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1\"/>
    </mc:Choice>
  </mc:AlternateContent>
  <xr:revisionPtr revIDLastSave="0" documentId="13_ncr:1_{9B713B0A-7ED8-45E4-837E-58DF03FD3D28}" xr6:coauthVersionLast="47" xr6:coauthVersionMax="47" xr10:uidLastSave="{00000000-0000-0000-0000-000000000000}"/>
  <bookViews>
    <workbookView xWindow="-120" yWindow="-120" windowWidth="29040" windowHeight="15720" tabRatio="935" firstSheet="8" activeTab="8" xr2:uid="{00000000-000D-0000-FFFF-FFFF00000000}"/>
  </bookViews>
  <sheets>
    <sheet name="01" sheetId="38" r:id="rId1"/>
    <sheet name="02" sheetId="39" r:id="rId2"/>
    <sheet name="03" sheetId="40" r:id="rId3"/>
    <sheet name="04" sheetId="41" r:id="rId4"/>
    <sheet name="05" sheetId="42" r:id="rId5"/>
    <sheet name="06" sheetId="43" r:id="rId6"/>
    <sheet name="07" sheetId="45" r:id="rId7"/>
    <sheet name="08" sheetId="46" r:id="rId8"/>
    <sheet name="09" sheetId="47" r:id="rId9"/>
    <sheet name="10" sheetId="48" r:id="rId10"/>
    <sheet name="11" sheetId="49" r:id="rId11"/>
    <sheet name="12" sheetId="50" r:id="rId12"/>
    <sheet name="13" sheetId="51" r:id="rId13"/>
    <sheet name="14" sheetId="52" r:id="rId14"/>
    <sheet name="15" sheetId="54" r:id="rId15"/>
    <sheet name="16" sheetId="55" r:id="rId16"/>
    <sheet name="17" sheetId="56" r:id="rId17"/>
    <sheet name="18" sheetId="57" r:id="rId18"/>
    <sheet name="19" sheetId="58" r:id="rId19"/>
    <sheet name="20" sheetId="61" r:id="rId20"/>
    <sheet name="21" sheetId="62" r:id="rId21"/>
    <sheet name="22" sheetId="63" r:id="rId22"/>
    <sheet name="23" sheetId="65" r:id="rId23"/>
    <sheet name="24" sheetId="66" r:id="rId24"/>
    <sheet name="25" sheetId="67" r:id="rId25"/>
    <sheet name="26" sheetId="68" r:id="rId26"/>
    <sheet name="27" sheetId="69" r:id="rId27"/>
    <sheet name="28" sheetId="70" r:id="rId28"/>
    <sheet name="29" sheetId="71" r:id="rId29"/>
    <sheet name="30" sheetId="72" r:id="rId30"/>
    <sheet name="31" sheetId="73" r:id="rId31"/>
    <sheet name="4-01" sheetId="74" r:id="rId32"/>
    <sheet name="NewSample" sheetId="20" r:id="rId33"/>
    <sheet name="Sheet7" sheetId="64" r:id="rId34"/>
    <sheet name="Sheet4" sheetId="60" r:id="rId35"/>
    <sheet name="OSample" sheetId="2" r:id="rId36"/>
  </sheets>
  <externalReferences>
    <externalReference r:id="rId37"/>
  </externalReferences>
  <definedNames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0">#REF!</definedName>
    <definedName name="IPP" localSheetId="31">#REF!</definedName>
    <definedName name="IPP" localSheetId="32">#REF!</definedName>
    <definedName name="IPP" localSheetId="35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0">#REF!</definedName>
    <definedName name="ippp" localSheetId="31">#REF!</definedName>
    <definedName name="ippp" localSheetId="32">#REF!</definedName>
    <definedName name="ippp" localSheetId="35">#REF!</definedName>
    <definedName name="ippp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0">#REF!</definedName>
    <definedName name="sdasdf" localSheetId="31">#REF!</definedName>
    <definedName name="sdasdf" localSheetId="32">#REF!</definedName>
    <definedName name="sdasdf" localSheetId="35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4" i="74" l="1"/>
  <c r="M60" i="74"/>
  <c r="AH128" i="74" l="1"/>
  <c r="AI128" i="74"/>
  <c r="AH127" i="74"/>
  <c r="AI127" i="74"/>
  <c r="AG255" i="74"/>
  <c r="C255" i="74"/>
  <c r="D254" i="74"/>
  <c r="E254" i="74" s="1"/>
  <c r="R253" i="74"/>
  <c r="S253" i="74" s="1"/>
  <c r="T253" i="74" s="1"/>
  <c r="U253" i="74" s="1"/>
  <c r="V253" i="74" s="1"/>
  <c r="W253" i="74" s="1"/>
  <c r="X253" i="74" s="1"/>
  <c r="Y253" i="74" s="1"/>
  <c r="Z253" i="74" s="1"/>
  <c r="AA253" i="74" s="1"/>
  <c r="AB253" i="74" s="1"/>
  <c r="AC253" i="74" s="1"/>
  <c r="AD253" i="74" s="1"/>
  <c r="AE253" i="74" s="1"/>
  <c r="AF253" i="74" s="1"/>
  <c r="B253" i="74" s="1"/>
  <c r="K253" i="74"/>
  <c r="L253" i="74" s="1"/>
  <c r="M253" i="74" s="1"/>
  <c r="N253" i="74" s="1"/>
  <c r="O253" i="74" s="1"/>
  <c r="P253" i="74" s="1"/>
  <c r="Q253" i="74" s="1"/>
  <c r="J253" i="74"/>
  <c r="E253" i="74"/>
  <c r="F253" i="74" s="1"/>
  <c r="G253" i="74" s="1"/>
  <c r="H253" i="74" s="1"/>
  <c r="I253" i="74" s="1"/>
  <c r="D253" i="74"/>
  <c r="D252" i="74"/>
  <c r="E252" i="74" s="1"/>
  <c r="F252" i="74" s="1"/>
  <c r="G252" i="74" s="1"/>
  <c r="H252" i="74" s="1"/>
  <c r="I252" i="74" s="1"/>
  <c r="J252" i="74" s="1"/>
  <c r="K252" i="74" s="1"/>
  <c r="L252" i="74" s="1"/>
  <c r="M252" i="74" s="1"/>
  <c r="N252" i="74" s="1"/>
  <c r="O252" i="74" s="1"/>
  <c r="P252" i="74" s="1"/>
  <c r="Q252" i="74" s="1"/>
  <c r="R252" i="74" s="1"/>
  <c r="S252" i="74" s="1"/>
  <c r="T252" i="74" s="1"/>
  <c r="U252" i="74" s="1"/>
  <c r="V252" i="74" s="1"/>
  <c r="W252" i="74" s="1"/>
  <c r="X252" i="74" s="1"/>
  <c r="Y252" i="74" s="1"/>
  <c r="Z252" i="74" s="1"/>
  <c r="AA252" i="74" s="1"/>
  <c r="AB252" i="74" s="1"/>
  <c r="AC252" i="74" s="1"/>
  <c r="AD252" i="74" s="1"/>
  <c r="AE252" i="74" s="1"/>
  <c r="AF252" i="74" s="1"/>
  <c r="B252" i="74" s="1"/>
  <c r="D251" i="74"/>
  <c r="E251" i="74" s="1"/>
  <c r="F251" i="74" s="1"/>
  <c r="G251" i="74" s="1"/>
  <c r="H251" i="74" s="1"/>
  <c r="I251" i="74" s="1"/>
  <c r="J251" i="74" s="1"/>
  <c r="K251" i="74" s="1"/>
  <c r="L251" i="74" s="1"/>
  <c r="M251" i="74" s="1"/>
  <c r="N251" i="74" s="1"/>
  <c r="O251" i="74" s="1"/>
  <c r="P251" i="74" s="1"/>
  <c r="Q251" i="74" s="1"/>
  <c r="R251" i="74" s="1"/>
  <c r="S251" i="74" s="1"/>
  <c r="T251" i="74" s="1"/>
  <c r="U251" i="74" s="1"/>
  <c r="V251" i="74" s="1"/>
  <c r="W251" i="74" s="1"/>
  <c r="X251" i="74" s="1"/>
  <c r="Y251" i="74" s="1"/>
  <c r="Z251" i="74" s="1"/>
  <c r="AA251" i="74" s="1"/>
  <c r="AB251" i="74" s="1"/>
  <c r="AC251" i="74" s="1"/>
  <c r="AD251" i="74" s="1"/>
  <c r="AE251" i="74" s="1"/>
  <c r="AF251" i="74" s="1"/>
  <c r="B251" i="74" s="1"/>
  <c r="D250" i="74"/>
  <c r="E250" i="74" s="1"/>
  <c r="E249" i="74"/>
  <c r="F249" i="74" s="1"/>
  <c r="G249" i="74" s="1"/>
  <c r="D249" i="74"/>
  <c r="D255" i="74" s="1"/>
  <c r="AG247" i="74"/>
  <c r="AF247" i="74"/>
  <c r="AE247" i="74"/>
  <c r="AD247" i="74"/>
  <c r="AC247" i="74"/>
  <c r="AB247" i="74"/>
  <c r="AA247" i="74"/>
  <c r="Z247" i="74"/>
  <c r="Z121" i="74" s="1"/>
  <c r="Y247" i="74"/>
  <c r="Y121" i="74" s="1"/>
  <c r="X247" i="74"/>
  <c r="W247" i="74"/>
  <c r="V247" i="74"/>
  <c r="U247" i="74"/>
  <c r="T247" i="74"/>
  <c r="S247" i="74"/>
  <c r="R247" i="74"/>
  <c r="Q247" i="74"/>
  <c r="P247" i="74"/>
  <c r="O247" i="74"/>
  <c r="N247" i="74"/>
  <c r="M247" i="74"/>
  <c r="L247" i="74"/>
  <c r="K247" i="74"/>
  <c r="J247" i="74"/>
  <c r="I247" i="74"/>
  <c r="H247" i="74"/>
  <c r="G247" i="74"/>
  <c r="F247" i="74"/>
  <c r="E247" i="74"/>
  <c r="D247" i="74"/>
  <c r="C247" i="74"/>
  <c r="B247" i="74"/>
  <c r="AI133" i="74"/>
  <c r="AH133" i="74"/>
  <c r="AI132" i="74"/>
  <c r="AH132" i="74"/>
  <c r="AI131" i="74"/>
  <c r="AH131" i="74"/>
  <c r="AI130" i="74"/>
  <c r="AH130" i="74"/>
  <c r="AI129" i="74"/>
  <c r="AH129" i="74"/>
  <c r="AI126" i="74"/>
  <c r="AH126" i="74"/>
  <c r="AI125" i="74"/>
  <c r="AH125" i="74"/>
  <c r="AI124" i="74"/>
  <c r="AH124" i="74"/>
  <c r="AI123" i="74"/>
  <c r="AH123" i="74"/>
  <c r="AI122" i="74"/>
  <c r="AH122" i="74"/>
  <c r="C121" i="74"/>
  <c r="AI120" i="74"/>
  <c r="AH120" i="74"/>
  <c r="AI119" i="74"/>
  <c r="AH119" i="74"/>
  <c r="AI118" i="74"/>
  <c r="AH118" i="74"/>
  <c r="AI117" i="74"/>
  <c r="AH117" i="74"/>
  <c r="AI116" i="74"/>
  <c r="AH116" i="74"/>
  <c r="AI115" i="74"/>
  <c r="AH115" i="74"/>
  <c r="AI114" i="74"/>
  <c r="AH114" i="74"/>
  <c r="AI113" i="74"/>
  <c r="AH113" i="74"/>
  <c r="AI112" i="74"/>
  <c r="AH112" i="74"/>
  <c r="AF111" i="74"/>
  <c r="AB110" i="74"/>
  <c r="Y110" i="74"/>
  <c r="T110" i="74"/>
  <c r="BB23" i="74" s="1"/>
  <c r="AI109" i="74"/>
  <c r="AF109" i="74"/>
  <c r="AE109" i="74"/>
  <c r="AD109" i="74"/>
  <c r="AC109" i="74"/>
  <c r="AB109" i="74"/>
  <c r="AA109" i="74"/>
  <c r="Z109" i="74"/>
  <c r="Z110" i="74" s="1"/>
  <c r="BF23" i="74" s="1"/>
  <c r="Y109" i="74"/>
  <c r="X109" i="74"/>
  <c r="W109" i="74"/>
  <c r="V109" i="74"/>
  <c r="U109" i="74"/>
  <c r="T109" i="74"/>
  <c r="S109" i="74"/>
  <c r="R109" i="74"/>
  <c r="R110" i="74" s="1"/>
  <c r="AZ23" i="74" s="1"/>
  <c r="Q109" i="74"/>
  <c r="P109" i="74"/>
  <c r="O109" i="74"/>
  <c r="N109" i="74"/>
  <c r="M109" i="74"/>
  <c r="L109" i="74"/>
  <c r="K109" i="74"/>
  <c r="J109" i="74"/>
  <c r="I109" i="74"/>
  <c r="H109" i="74"/>
  <c r="G109" i="74"/>
  <c r="F109" i="74"/>
  <c r="E109" i="74"/>
  <c r="D109" i="74"/>
  <c r="C109" i="74"/>
  <c r="B109" i="74"/>
  <c r="AH109" i="74" s="1"/>
  <c r="AF108" i="74"/>
  <c r="AE108" i="74"/>
  <c r="AD108" i="74"/>
  <c r="AC108" i="74"/>
  <c r="AB108" i="74"/>
  <c r="AA108" i="74"/>
  <c r="Z108" i="74"/>
  <c r="Y108" i="74"/>
  <c r="X108" i="74"/>
  <c r="W108" i="74"/>
  <c r="V108" i="74"/>
  <c r="U108" i="74"/>
  <c r="T108" i="74"/>
  <c r="S108" i="74"/>
  <c r="R108" i="74"/>
  <c r="Q108" i="74"/>
  <c r="P108" i="74"/>
  <c r="O108" i="74"/>
  <c r="N108" i="74"/>
  <c r="M108" i="74"/>
  <c r="L108" i="74"/>
  <c r="K108" i="74"/>
  <c r="J108" i="74"/>
  <c r="I108" i="74"/>
  <c r="H108" i="74"/>
  <c r="G108" i="74"/>
  <c r="F108" i="74"/>
  <c r="E108" i="74"/>
  <c r="D108" i="74"/>
  <c r="C108" i="74"/>
  <c r="B108" i="74"/>
  <c r="AI108" i="74" s="1"/>
  <c r="AF107" i="74"/>
  <c r="AE107" i="74"/>
  <c r="AD107" i="74"/>
  <c r="AC107" i="74"/>
  <c r="AB107" i="74"/>
  <c r="AA107" i="74"/>
  <c r="Z107" i="74"/>
  <c r="Y107" i="74"/>
  <c r="X107" i="74"/>
  <c r="W107" i="74"/>
  <c r="V107" i="74"/>
  <c r="U107" i="74"/>
  <c r="T107" i="74"/>
  <c r="S107" i="74"/>
  <c r="R107" i="74"/>
  <c r="Q107" i="74"/>
  <c r="P107" i="74"/>
  <c r="O107" i="74"/>
  <c r="N107" i="74"/>
  <c r="M107" i="74"/>
  <c r="L107" i="74"/>
  <c r="L110" i="74" s="1"/>
  <c r="K107" i="74"/>
  <c r="J107" i="74"/>
  <c r="I107" i="74"/>
  <c r="H107" i="74"/>
  <c r="G107" i="74"/>
  <c r="F107" i="74"/>
  <c r="E107" i="74"/>
  <c r="D107" i="74"/>
  <c r="C107" i="74"/>
  <c r="B107" i="74"/>
  <c r="AF106" i="74"/>
  <c r="AE106" i="74"/>
  <c r="AD106" i="74"/>
  <c r="AC106" i="74"/>
  <c r="AB106" i="74"/>
  <c r="AA106" i="74"/>
  <c r="Z106" i="74"/>
  <c r="Y106" i="74"/>
  <c r="X106" i="74"/>
  <c r="W106" i="74"/>
  <c r="V106" i="74"/>
  <c r="U106" i="74"/>
  <c r="T106" i="74"/>
  <c r="S106" i="74"/>
  <c r="R106" i="74"/>
  <c r="Q106" i="74"/>
  <c r="P106" i="74"/>
  <c r="O106" i="74"/>
  <c r="N106" i="74"/>
  <c r="M106" i="74"/>
  <c r="L106" i="74"/>
  <c r="K106" i="74"/>
  <c r="J106" i="74"/>
  <c r="I106" i="74"/>
  <c r="H106" i="74"/>
  <c r="G106" i="74"/>
  <c r="F106" i="74"/>
  <c r="E106" i="74"/>
  <c r="D106" i="74"/>
  <c r="C106" i="74"/>
  <c r="B106" i="74"/>
  <c r="AF105" i="74"/>
  <c r="AE105" i="74"/>
  <c r="AD105" i="74"/>
  <c r="AC105" i="74"/>
  <c r="AB105" i="74"/>
  <c r="AA105" i="74"/>
  <c r="Z105" i="74"/>
  <c r="Y105" i="74"/>
  <c r="X105" i="74"/>
  <c r="W105" i="74"/>
  <c r="V105" i="74"/>
  <c r="U105" i="74"/>
  <c r="T105" i="74"/>
  <c r="S105" i="74"/>
  <c r="R105" i="74"/>
  <c r="Q105" i="74"/>
  <c r="Q110" i="74" s="1"/>
  <c r="AY23" i="74" s="1"/>
  <c r="P105" i="74"/>
  <c r="O105" i="74"/>
  <c r="N105" i="74"/>
  <c r="M105" i="74"/>
  <c r="L105" i="74"/>
  <c r="K105" i="74"/>
  <c r="J105" i="74"/>
  <c r="I105" i="74"/>
  <c r="H105" i="74"/>
  <c r="G105" i="74"/>
  <c r="F105" i="74"/>
  <c r="AH105" i="74" s="1"/>
  <c r="E105" i="74"/>
  <c r="D105" i="74"/>
  <c r="C105" i="74"/>
  <c r="B105" i="74"/>
  <c r="AF104" i="74"/>
  <c r="AF110" i="74" s="1"/>
  <c r="AE104" i="74"/>
  <c r="AD104" i="74"/>
  <c r="AC104" i="74"/>
  <c r="AC110" i="74" s="1"/>
  <c r="AB104" i="74"/>
  <c r="AA104" i="74"/>
  <c r="Z104" i="74"/>
  <c r="Y104" i="74"/>
  <c r="X104" i="74"/>
  <c r="X110" i="74" s="1"/>
  <c r="X111" i="74" s="1"/>
  <c r="W104" i="74"/>
  <c r="V104" i="74"/>
  <c r="U104" i="74"/>
  <c r="U110" i="74" s="1"/>
  <c r="T104" i="74"/>
  <c r="S104" i="74"/>
  <c r="R104" i="74"/>
  <c r="Q104" i="74"/>
  <c r="P104" i="74"/>
  <c r="P110" i="74" s="1"/>
  <c r="P111" i="74" s="1"/>
  <c r="O104" i="74"/>
  <c r="N104" i="74"/>
  <c r="M104" i="74"/>
  <c r="L104" i="74"/>
  <c r="K104" i="74"/>
  <c r="J104" i="74"/>
  <c r="J110" i="74" s="1"/>
  <c r="I104" i="74"/>
  <c r="H104" i="74"/>
  <c r="G104" i="74"/>
  <c r="F104" i="74"/>
  <c r="E104" i="74"/>
  <c r="D104" i="74"/>
  <c r="C104" i="74"/>
  <c r="B104" i="74"/>
  <c r="S102" i="74"/>
  <c r="R102" i="74"/>
  <c r="AI101" i="74"/>
  <c r="AH101" i="74"/>
  <c r="O100" i="74"/>
  <c r="O102" i="74" s="1"/>
  <c r="AI99" i="74"/>
  <c r="AH99" i="74"/>
  <c r="AG99" i="74"/>
  <c r="AI98" i="74"/>
  <c r="AH98" i="74"/>
  <c r="AI97" i="74"/>
  <c r="AH97" i="74"/>
  <c r="AI96" i="74"/>
  <c r="AH96" i="74"/>
  <c r="AG95" i="74"/>
  <c r="AF95" i="74"/>
  <c r="AE95" i="74"/>
  <c r="AD95" i="74"/>
  <c r="AC95" i="74"/>
  <c r="AB95" i="74"/>
  <c r="AB111" i="74" s="1"/>
  <c r="AA95" i="74"/>
  <c r="Z95" i="74"/>
  <c r="Y95" i="74"/>
  <c r="Y111" i="74" s="1"/>
  <c r="X95" i="74"/>
  <c r="W95" i="74"/>
  <c r="V95" i="74"/>
  <c r="U95" i="74"/>
  <c r="T95" i="74"/>
  <c r="S95" i="74"/>
  <c r="R95" i="74"/>
  <c r="Q95" i="74"/>
  <c r="Q100" i="74" s="1"/>
  <c r="Q102" i="74" s="1"/>
  <c r="P95" i="74"/>
  <c r="O95" i="74"/>
  <c r="N95" i="74"/>
  <c r="M95" i="74"/>
  <c r="L5" i="74" s="1"/>
  <c r="L95" i="74"/>
  <c r="K5" i="74" s="1"/>
  <c r="K95" i="74"/>
  <c r="AT19" i="74" s="1"/>
  <c r="J95" i="74"/>
  <c r="I95" i="74"/>
  <c r="H5" i="74" s="1"/>
  <c r="H95" i="74"/>
  <c r="G5" i="74" s="1"/>
  <c r="G95" i="74"/>
  <c r="F5" i="74" s="1"/>
  <c r="F95" i="74"/>
  <c r="AQ19" i="74" s="1"/>
  <c r="E95" i="74"/>
  <c r="D95" i="74"/>
  <c r="C95" i="74"/>
  <c r="B95" i="74"/>
  <c r="AI94" i="74"/>
  <c r="AH94" i="74"/>
  <c r="AI93" i="74"/>
  <c r="AH93" i="74"/>
  <c r="AI92" i="74"/>
  <c r="AH92" i="74"/>
  <c r="AI91" i="74"/>
  <c r="AH91" i="74"/>
  <c r="AI90" i="74"/>
  <c r="AH90" i="74"/>
  <c r="AI89" i="74"/>
  <c r="AH89" i="74"/>
  <c r="AI88" i="74"/>
  <c r="AH88" i="74"/>
  <c r="AI87" i="74"/>
  <c r="AH87" i="74"/>
  <c r="AI86" i="74"/>
  <c r="AH86" i="74"/>
  <c r="AI85" i="74"/>
  <c r="AH85" i="74"/>
  <c r="AI84" i="74"/>
  <c r="AH84" i="74"/>
  <c r="AG83" i="74"/>
  <c r="AF83" i="74"/>
  <c r="AE83" i="74"/>
  <c r="AD83" i="74"/>
  <c r="AC83" i="74"/>
  <c r="AB83" i="74"/>
  <c r="AA83" i="74"/>
  <c r="Z83" i="74"/>
  <c r="Y83" i="74"/>
  <c r="X83" i="74"/>
  <c r="W83" i="74"/>
  <c r="V83" i="74"/>
  <c r="U83" i="74"/>
  <c r="T83" i="74"/>
  <c r="S83" i="74"/>
  <c r="R83" i="74"/>
  <c r="Q83" i="74"/>
  <c r="P83" i="74"/>
  <c r="O83" i="74"/>
  <c r="N83" i="74"/>
  <c r="M83" i="74"/>
  <c r="L83" i="74"/>
  <c r="K83" i="74"/>
  <c r="J83" i="74"/>
  <c r="I83" i="74"/>
  <c r="H83" i="74"/>
  <c r="G83" i="74"/>
  <c r="F83" i="74"/>
  <c r="E83" i="74"/>
  <c r="D83" i="74"/>
  <c r="C83" i="74"/>
  <c r="B83" i="74"/>
  <c r="AM20" i="74" s="1"/>
  <c r="AI82" i="74"/>
  <c r="AH82" i="74"/>
  <c r="AI81" i="74"/>
  <c r="AH81" i="74"/>
  <c r="AI80" i="74"/>
  <c r="AH80" i="74"/>
  <c r="AF79" i="74"/>
  <c r="AE79" i="74"/>
  <c r="AD79" i="74"/>
  <c r="AC79" i="74"/>
  <c r="AB79" i="74"/>
  <c r="AA79" i="74"/>
  <c r="Z79" i="74"/>
  <c r="Y79" i="74"/>
  <c r="X79" i="74"/>
  <c r="W79" i="74"/>
  <c r="V79" i="74"/>
  <c r="U79" i="74"/>
  <c r="BC18" i="74" s="1"/>
  <c r="T79" i="74"/>
  <c r="S79" i="74"/>
  <c r="R79" i="74"/>
  <c r="Q79" i="74"/>
  <c r="P79" i="74"/>
  <c r="O79" i="74"/>
  <c r="N79" i="74"/>
  <c r="M79" i="74"/>
  <c r="AU18" i="74" s="1"/>
  <c r="L79" i="74"/>
  <c r="K79" i="74"/>
  <c r="AT18" i="74" s="1"/>
  <c r="J79" i="74"/>
  <c r="I79" i="74"/>
  <c r="H79" i="74"/>
  <c r="G79" i="74"/>
  <c r="F79" i="74"/>
  <c r="E79" i="74"/>
  <c r="D79" i="74"/>
  <c r="C79" i="74"/>
  <c r="AN18" i="74" s="1"/>
  <c r="B79" i="74"/>
  <c r="BS78" i="74"/>
  <c r="BP78" i="74"/>
  <c r="BK78" i="74"/>
  <c r="BJ78" i="74"/>
  <c r="BC78" i="74"/>
  <c r="AZ78" i="74"/>
  <c r="AI78" i="74"/>
  <c r="AH78" i="74"/>
  <c r="AG78" i="74"/>
  <c r="AG79" i="74" s="1"/>
  <c r="BU77" i="74"/>
  <c r="BT77" i="74"/>
  <c r="BN77" i="74"/>
  <c r="BM77" i="74"/>
  <c r="BL77" i="74"/>
  <c r="BE77" i="74"/>
  <c r="BD77" i="74"/>
  <c r="AI77" i="74"/>
  <c r="AH77" i="74"/>
  <c r="BW76" i="74"/>
  <c r="BO76" i="74"/>
  <c r="BN76" i="74"/>
  <c r="BM76" i="74"/>
  <c r="BH76" i="74"/>
  <c r="BG76" i="74"/>
  <c r="AI76" i="74"/>
  <c r="AH76" i="74"/>
  <c r="BR75" i="74"/>
  <c r="BQ75" i="74"/>
  <c r="BI75" i="74"/>
  <c r="BH75" i="74"/>
  <c r="BG75" i="74"/>
  <c r="AI75" i="74"/>
  <c r="AH75" i="74"/>
  <c r="BS74" i="74"/>
  <c r="BR74" i="74"/>
  <c r="BQ74" i="74"/>
  <c r="BK74" i="74"/>
  <c r="BJ74" i="74"/>
  <c r="BH74" i="74"/>
  <c r="BG74" i="74"/>
  <c r="BC74" i="74"/>
  <c r="BB74" i="74"/>
  <c r="AZ74" i="74"/>
  <c r="AI74" i="74"/>
  <c r="AH74" i="74"/>
  <c r="BU73" i="74"/>
  <c r="BT73" i="74"/>
  <c r="BR73" i="74"/>
  <c r="BQ73" i="74"/>
  <c r="BM73" i="74"/>
  <c r="BL73" i="74"/>
  <c r="BJ73" i="74"/>
  <c r="BI73" i="74"/>
  <c r="BE73" i="74"/>
  <c r="BD73" i="74"/>
  <c r="BA73" i="74"/>
  <c r="AI73" i="74"/>
  <c r="AH73" i="74"/>
  <c r="AI72" i="74"/>
  <c r="AH72" i="74"/>
  <c r="BW71" i="74"/>
  <c r="BW78" i="74" s="1"/>
  <c r="BV71" i="74"/>
  <c r="BV78" i="74" s="1"/>
  <c r="BU71" i="74"/>
  <c r="BU78" i="74" s="1"/>
  <c r="BT71" i="74"/>
  <c r="BT78" i="74" s="1"/>
  <c r="BS71" i="74"/>
  <c r="BR71" i="74"/>
  <c r="BR78" i="74" s="1"/>
  <c r="BQ71" i="74"/>
  <c r="BQ78" i="74" s="1"/>
  <c r="BP71" i="74"/>
  <c r="BO71" i="74"/>
  <c r="BO78" i="74" s="1"/>
  <c r="BN71" i="74"/>
  <c r="BN78" i="74" s="1"/>
  <c r="BM71" i="74"/>
  <c r="BM78" i="74" s="1"/>
  <c r="BL71" i="74"/>
  <c r="BL78" i="74" s="1"/>
  <c r="BK71" i="74"/>
  <c r="BJ71" i="74"/>
  <c r="BI71" i="74"/>
  <c r="BI78" i="74" s="1"/>
  <c r="BH71" i="74"/>
  <c r="BH78" i="74" s="1"/>
  <c r="BG71" i="74"/>
  <c r="BG78" i="74" s="1"/>
  <c r="BF71" i="74"/>
  <c r="BF78" i="74" s="1"/>
  <c r="BE71" i="74"/>
  <c r="BE78" i="74" s="1"/>
  <c r="BD71" i="74"/>
  <c r="BD78" i="74" s="1"/>
  <c r="BC71" i="74"/>
  <c r="BB71" i="74"/>
  <c r="BB78" i="74" s="1"/>
  <c r="BA71" i="74"/>
  <c r="BA78" i="74" s="1"/>
  <c r="AZ71" i="74"/>
  <c r="AI71" i="74"/>
  <c r="AH71" i="74"/>
  <c r="BW70" i="74"/>
  <c r="BW77" i="74" s="1"/>
  <c r="BV70" i="74"/>
  <c r="BV77" i="74" s="1"/>
  <c r="BU70" i="74"/>
  <c r="BT70" i="74"/>
  <c r="BS70" i="74"/>
  <c r="BS77" i="74" s="1"/>
  <c r="BR70" i="74"/>
  <c r="BR77" i="74" s="1"/>
  <c r="BQ70" i="74"/>
  <c r="BQ77" i="74" s="1"/>
  <c r="BP70" i="74"/>
  <c r="BP77" i="74" s="1"/>
  <c r="BO70" i="74"/>
  <c r="BO77" i="74" s="1"/>
  <c r="BN70" i="74"/>
  <c r="BM70" i="74"/>
  <c r="BL70" i="74"/>
  <c r="BK70" i="74"/>
  <c r="BK77" i="74" s="1"/>
  <c r="BJ70" i="74"/>
  <c r="BJ77" i="74" s="1"/>
  <c r="BI70" i="74"/>
  <c r="BI77" i="74" s="1"/>
  <c r="BH70" i="74"/>
  <c r="BH77" i="74" s="1"/>
  <c r="BG70" i="74"/>
  <c r="BG77" i="74" s="1"/>
  <c r="BF70" i="74"/>
  <c r="BF77" i="74" s="1"/>
  <c r="BE70" i="74"/>
  <c r="BD70" i="74"/>
  <c r="BC70" i="74"/>
  <c r="BC77" i="74" s="1"/>
  <c r="BB70" i="74"/>
  <c r="BB77" i="74" s="1"/>
  <c r="BA70" i="74"/>
  <c r="BA77" i="74" s="1"/>
  <c r="AZ70" i="74"/>
  <c r="AZ77" i="74" s="1"/>
  <c r="AI70" i="74"/>
  <c r="AH70" i="74"/>
  <c r="BW69" i="74"/>
  <c r="BV69" i="74"/>
  <c r="BV76" i="74" s="1"/>
  <c r="BU69" i="74"/>
  <c r="BU76" i="74" s="1"/>
  <c r="BT69" i="74"/>
  <c r="BT76" i="74" s="1"/>
  <c r="BS69" i="74"/>
  <c r="BS76" i="74" s="1"/>
  <c r="BR69" i="74"/>
  <c r="BR76" i="74" s="1"/>
  <c r="BQ69" i="74"/>
  <c r="BQ76" i="74" s="1"/>
  <c r="BP69" i="74"/>
  <c r="BP76" i="74" s="1"/>
  <c r="BO69" i="74"/>
  <c r="BN69" i="74"/>
  <c r="BM69" i="74"/>
  <c r="BL69" i="74"/>
  <c r="BL76" i="74" s="1"/>
  <c r="BK69" i="74"/>
  <c r="BK76" i="74" s="1"/>
  <c r="BJ69" i="74"/>
  <c r="BJ76" i="74" s="1"/>
  <c r="BI69" i="74"/>
  <c r="BI76" i="74" s="1"/>
  <c r="BH69" i="74"/>
  <c r="BG69" i="74"/>
  <c r="BF69" i="74"/>
  <c r="BF76" i="74" s="1"/>
  <c r="BE69" i="74"/>
  <c r="BE76" i="74" s="1"/>
  <c r="BD69" i="74"/>
  <c r="BD76" i="74" s="1"/>
  <c r="BC69" i="74"/>
  <c r="BC76" i="74" s="1"/>
  <c r="BB69" i="74"/>
  <c r="BB76" i="74" s="1"/>
  <c r="BA69" i="74"/>
  <c r="BA76" i="74" s="1"/>
  <c r="AZ69" i="74"/>
  <c r="AZ76" i="74" s="1"/>
  <c r="AI69" i="74"/>
  <c r="AH69" i="74"/>
  <c r="BW68" i="74"/>
  <c r="BW75" i="74" s="1"/>
  <c r="BV68" i="74"/>
  <c r="BV75" i="74" s="1"/>
  <c r="BU68" i="74"/>
  <c r="BU75" i="74" s="1"/>
  <c r="BT68" i="74"/>
  <c r="BT75" i="74" s="1"/>
  <c r="BS68" i="74"/>
  <c r="BS75" i="74" s="1"/>
  <c r="BR68" i="74"/>
  <c r="BQ68" i="74"/>
  <c r="BP68" i="74"/>
  <c r="BP75" i="74" s="1"/>
  <c r="BO68" i="74"/>
  <c r="BO75" i="74" s="1"/>
  <c r="BN68" i="74"/>
  <c r="BN75" i="74" s="1"/>
  <c r="BM68" i="74"/>
  <c r="BM75" i="74" s="1"/>
  <c r="BL68" i="74"/>
  <c r="BL75" i="74" s="1"/>
  <c r="BK68" i="74"/>
  <c r="BK75" i="74" s="1"/>
  <c r="BJ68" i="74"/>
  <c r="BJ75" i="74" s="1"/>
  <c r="BI68" i="74"/>
  <c r="BH68" i="74"/>
  <c r="BG68" i="74"/>
  <c r="BF68" i="74"/>
  <c r="BF75" i="74" s="1"/>
  <c r="BE68" i="74"/>
  <c r="BE75" i="74" s="1"/>
  <c r="BD68" i="74"/>
  <c r="BD75" i="74" s="1"/>
  <c r="BC68" i="74"/>
  <c r="BC75" i="74" s="1"/>
  <c r="BB68" i="74"/>
  <c r="BB75" i="74" s="1"/>
  <c r="BA68" i="74"/>
  <c r="BA75" i="74" s="1"/>
  <c r="AZ68" i="74"/>
  <c r="AZ75" i="74" s="1"/>
  <c r="AI68" i="74"/>
  <c r="AH68" i="74"/>
  <c r="BW67" i="74"/>
  <c r="BW74" i="74" s="1"/>
  <c r="BV67" i="74"/>
  <c r="BV74" i="74" s="1"/>
  <c r="BU67" i="74"/>
  <c r="BU74" i="74" s="1"/>
  <c r="BT67" i="74"/>
  <c r="BT74" i="74" s="1"/>
  <c r="BS67" i="74"/>
  <c r="BR67" i="74"/>
  <c r="BQ67" i="74"/>
  <c r="BP67" i="74"/>
  <c r="BP74" i="74" s="1"/>
  <c r="BO67" i="74"/>
  <c r="BO74" i="74" s="1"/>
  <c r="BN67" i="74"/>
  <c r="BN74" i="74" s="1"/>
  <c r="BM67" i="74"/>
  <c r="BM74" i="74" s="1"/>
  <c r="BL67" i="74"/>
  <c r="BL74" i="74" s="1"/>
  <c r="BK67" i="74"/>
  <c r="BJ67" i="74"/>
  <c r="BI67" i="74"/>
  <c r="BI74" i="74" s="1"/>
  <c r="BH67" i="74"/>
  <c r="BG67" i="74"/>
  <c r="BF67" i="74"/>
  <c r="BF74" i="74" s="1"/>
  <c r="BE67" i="74"/>
  <c r="BE74" i="74" s="1"/>
  <c r="BD67" i="74"/>
  <c r="BD74" i="74" s="1"/>
  <c r="BC67" i="74"/>
  <c r="BB67" i="74"/>
  <c r="BA67" i="74"/>
  <c r="BA74" i="74" s="1"/>
  <c r="AZ67" i="74"/>
  <c r="AI67" i="74"/>
  <c r="AH67" i="74"/>
  <c r="BW66" i="74"/>
  <c r="BW73" i="74" s="1"/>
  <c r="BV66" i="74"/>
  <c r="BV73" i="74" s="1"/>
  <c r="BU66" i="74"/>
  <c r="BT66" i="74"/>
  <c r="BS66" i="74"/>
  <c r="BS73" i="74" s="1"/>
  <c r="BR66" i="74"/>
  <c r="BQ66" i="74"/>
  <c r="BP66" i="74"/>
  <c r="BP73" i="74" s="1"/>
  <c r="BO66" i="74"/>
  <c r="BO73" i="74" s="1"/>
  <c r="BN66" i="74"/>
  <c r="BN73" i="74" s="1"/>
  <c r="BM66" i="74"/>
  <c r="BL66" i="74"/>
  <c r="BK66" i="74"/>
  <c r="BK73" i="74" s="1"/>
  <c r="BJ66" i="74"/>
  <c r="BI66" i="74"/>
  <c r="BH66" i="74"/>
  <c r="BH73" i="74" s="1"/>
  <c r="BG66" i="74"/>
  <c r="BG73" i="74" s="1"/>
  <c r="BF66" i="74"/>
  <c r="BF73" i="74" s="1"/>
  <c r="BE66" i="74"/>
  <c r="BD66" i="74"/>
  <c r="BC66" i="74"/>
  <c r="BC73" i="74" s="1"/>
  <c r="BB66" i="74"/>
  <c r="BB73" i="74" s="1"/>
  <c r="BA66" i="74"/>
  <c r="AZ66" i="74"/>
  <c r="AI66" i="74"/>
  <c r="AH66" i="74"/>
  <c r="AG65" i="74"/>
  <c r="AF65" i="74"/>
  <c r="AE65" i="74"/>
  <c r="AD65" i="74"/>
  <c r="BH17" i="74" s="1"/>
  <c r="AC65" i="74"/>
  <c r="AB65" i="74"/>
  <c r="AA65" i="74"/>
  <c r="Z65" i="74"/>
  <c r="Y65" i="74"/>
  <c r="X65" i="74"/>
  <c r="W65" i="74"/>
  <c r="V65" i="74"/>
  <c r="U65" i="74"/>
  <c r="BC17" i="74" s="1"/>
  <c r="T65" i="74"/>
  <c r="S65" i="74"/>
  <c r="R65" i="74"/>
  <c r="Q65" i="74"/>
  <c r="P65" i="74"/>
  <c r="O65" i="74"/>
  <c r="N65" i="74"/>
  <c r="M65" i="74"/>
  <c r="AU17" i="74" s="1"/>
  <c r="L65" i="74"/>
  <c r="K65" i="74"/>
  <c r="J65" i="74"/>
  <c r="I65" i="74"/>
  <c r="AS17" i="74" s="1"/>
  <c r="H65" i="74"/>
  <c r="G65" i="74"/>
  <c r="F65" i="74"/>
  <c r="AQ17" i="74" s="1"/>
  <c r="E65" i="74"/>
  <c r="AP17" i="74" s="1"/>
  <c r="D65" i="74"/>
  <c r="C65" i="74"/>
  <c r="B65" i="74"/>
  <c r="AI64" i="74"/>
  <c r="AH64" i="74"/>
  <c r="AI63" i="74"/>
  <c r="AH63" i="74"/>
  <c r="AI62" i="74"/>
  <c r="AH62" i="74"/>
  <c r="AG61" i="74"/>
  <c r="AG100" i="74" s="1"/>
  <c r="AF61" i="74"/>
  <c r="AF100" i="74" s="1"/>
  <c r="AF102" i="74" s="1"/>
  <c r="AF103" i="74" s="1"/>
  <c r="AF7" i="74" s="1"/>
  <c r="AE61" i="74"/>
  <c r="AE100" i="74" s="1"/>
  <c r="AE102" i="74" s="1"/>
  <c r="AD61" i="74"/>
  <c r="AD100" i="74" s="1"/>
  <c r="AD102" i="74" s="1"/>
  <c r="AC61" i="74"/>
  <c r="AC100" i="74" s="1"/>
  <c r="AC102" i="74" s="1"/>
  <c r="AC103" i="74" s="1"/>
  <c r="AC7" i="74" s="1"/>
  <c r="AB61" i="74"/>
  <c r="AB100" i="74" s="1"/>
  <c r="AB102" i="74" s="1"/>
  <c r="AB103" i="74" s="1"/>
  <c r="AA61" i="74"/>
  <c r="AA100" i="74" s="1"/>
  <c r="AA102" i="74" s="1"/>
  <c r="Z61" i="74"/>
  <c r="Z100" i="74" s="1"/>
  <c r="Z102" i="74" s="1"/>
  <c r="Z103" i="74" s="1"/>
  <c r="Z7" i="74" s="1"/>
  <c r="Y61" i="74"/>
  <c r="Y100" i="74" s="1"/>
  <c r="Y102" i="74" s="1"/>
  <c r="Y103" i="74" s="1"/>
  <c r="Y7" i="74" s="1"/>
  <c r="X61" i="74"/>
  <c r="X100" i="74" s="1"/>
  <c r="X102" i="74" s="1"/>
  <c r="X103" i="74" s="1"/>
  <c r="X7" i="74" s="1"/>
  <c r="W61" i="74"/>
  <c r="W100" i="74" s="1"/>
  <c r="W102" i="74" s="1"/>
  <c r="V61" i="74"/>
  <c r="BD16" i="74" s="1"/>
  <c r="BD22" i="74" s="1"/>
  <c r="U61" i="74"/>
  <c r="U100" i="74" s="1"/>
  <c r="U102" i="74" s="1"/>
  <c r="U103" i="74" s="1"/>
  <c r="U7" i="74" s="1"/>
  <c r="T61" i="74"/>
  <c r="T100" i="74" s="1"/>
  <c r="T102" i="74" s="1"/>
  <c r="S61" i="74"/>
  <c r="S100" i="74" s="1"/>
  <c r="R61" i="74"/>
  <c r="R100" i="74" s="1"/>
  <c r="Q61" i="74"/>
  <c r="P61" i="74"/>
  <c r="P100" i="74" s="1"/>
  <c r="P102" i="74" s="1"/>
  <c r="P103" i="74" s="1"/>
  <c r="P7" i="74" s="1"/>
  <c r="O61" i="74"/>
  <c r="N61" i="74"/>
  <c r="AV16" i="74" s="1"/>
  <c r="AV22" i="74" s="1"/>
  <c r="M61" i="74"/>
  <c r="L61" i="74"/>
  <c r="K61" i="74"/>
  <c r="J61" i="74"/>
  <c r="I61" i="74"/>
  <c r="AS16" i="74" s="1"/>
  <c r="H61" i="74"/>
  <c r="G61" i="74"/>
  <c r="F61" i="74"/>
  <c r="E61" i="74"/>
  <c r="D61" i="74"/>
  <c r="AO16" i="74" s="1"/>
  <c r="C61" i="74"/>
  <c r="B61" i="74"/>
  <c r="AM16" i="74" s="1"/>
  <c r="AI60" i="74"/>
  <c r="AH60" i="74"/>
  <c r="AI59" i="74"/>
  <c r="AH59" i="74"/>
  <c r="AI58" i="74"/>
  <c r="AH58" i="74"/>
  <c r="AI57" i="74"/>
  <c r="AH57" i="74"/>
  <c r="AI56" i="74"/>
  <c r="AH56" i="74"/>
  <c r="AI55" i="74"/>
  <c r="AH55" i="74"/>
  <c r="AI54" i="74"/>
  <c r="AH54" i="74"/>
  <c r="AI53" i="74"/>
  <c r="AH53" i="74"/>
  <c r="AI52" i="74"/>
  <c r="AH52" i="74"/>
  <c r="AI51" i="74"/>
  <c r="AH51" i="74"/>
  <c r="AI50" i="74"/>
  <c r="AH50" i="74"/>
  <c r="AI49" i="74"/>
  <c r="AH49" i="74"/>
  <c r="AI48" i="74"/>
  <c r="AH48" i="74"/>
  <c r="AI47" i="74"/>
  <c r="AH47" i="74"/>
  <c r="AI46" i="74"/>
  <c r="AH46" i="74"/>
  <c r="AI45" i="74"/>
  <c r="AH45" i="74"/>
  <c r="AI44" i="74"/>
  <c r="AH44" i="74"/>
  <c r="AI43" i="74"/>
  <c r="AH43" i="74"/>
  <c r="AI42" i="74"/>
  <c r="AH42" i="74"/>
  <c r="AI41" i="74"/>
  <c r="AH41" i="74"/>
  <c r="AI40" i="74"/>
  <c r="AH40" i="74"/>
  <c r="AI39" i="74"/>
  <c r="AH39" i="74"/>
  <c r="AI38" i="74"/>
  <c r="AH38" i="74"/>
  <c r="AI37" i="74"/>
  <c r="AH37" i="74"/>
  <c r="AI36" i="74"/>
  <c r="AH36" i="74"/>
  <c r="AI35" i="74"/>
  <c r="AH35" i="74"/>
  <c r="AI34" i="74"/>
  <c r="AH34" i="74"/>
  <c r="AI33" i="74"/>
  <c r="AH33" i="74"/>
  <c r="AI32" i="74"/>
  <c r="AH32" i="74"/>
  <c r="AI31" i="74"/>
  <c r="AH31" i="74"/>
  <c r="AI30" i="74"/>
  <c r="AH30" i="74"/>
  <c r="AI29" i="74"/>
  <c r="AH29" i="74"/>
  <c r="AI28" i="74"/>
  <c r="AH28" i="74"/>
  <c r="AI27" i="74"/>
  <c r="AH27" i="74"/>
  <c r="AI26" i="74"/>
  <c r="AH26" i="74"/>
  <c r="AI25" i="74"/>
  <c r="AH25" i="74"/>
  <c r="AI24" i="74"/>
  <c r="AH24" i="74"/>
  <c r="BJ23" i="74"/>
  <c r="BG23" i="74"/>
  <c r="BE23" i="74"/>
  <c r="BC23" i="74"/>
  <c r="AX23" i="74"/>
  <c r="AI23" i="74"/>
  <c r="AH23" i="74"/>
  <c r="AI22" i="74"/>
  <c r="AH22" i="74"/>
  <c r="BJ21" i="74"/>
  <c r="BI21" i="74"/>
  <c r="BH21" i="74"/>
  <c r="BG21" i="74"/>
  <c r="BF21" i="74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AS21" i="74"/>
  <c r="AR21" i="74"/>
  <c r="AQ21" i="74"/>
  <c r="AP21" i="74"/>
  <c r="AO21" i="74"/>
  <c r="AN21" i="74"/>
  <c r="AM21" i="74"/>
  <c r="AI21" i="74"/>
  <c r="AH21" i="74"/>
  <c r="BJ20" i="74"/>
  <c r="BI20" i="74"/>
  <c r="BH20" i="74"/>
  <c r="BG20" i="74"/>
  <c r="BF20" i="74"/>
  <c r="BE20" i="74"/>
  <c r="BD20" i="74"/>
  <c r="BC20" i="74"/>
  <c r="BB20" i="74"/>
  <c r="BA20" i="74"/>
  <c r="AZ20" i="74"/>
  <c r="AY20" i="74"/>
  <c r="AX20" i="74"/>
  <c r="AW20" i="74"/>
  <c r="AV20" i="74"/>
  <c r="AU20" i="74"/>
  <c r="AT20" i="74"/>
  <c r="AS20" i="74"/>
  <c r="AR20" i="74"/>
  <c r="AQ20" i="74"/>
  <c r="AP20" i="74"/>
  <c r="AO20" i="74"/>
  <c r="AN20" i="74"/>
  <c r="AI20" i="74"/>
  <c r="AH20" i="74"/>
  <c r="BJ19" i="74"/>
  <c r="BI19" i="74"/>
  <c r="BH19" i="74"/>
  <c r="BG19" i="74"/>
  <c r="BF19" i="74"/>
  <c r="BE19" i="74"/>
  <c r="BD19" i="74"/>
  <c r="BC19" i="74"/>
  <c r="BB19" i="74"/>
  <c r="BA19" i="74"/>
  <c r="AZ19" i="74"/>
  <c r="AX19" i="74"/>
  <c r="AW19" i="74"/>
  <c r="AV19" i="74"/>
  <c r="AP19" i="74"/>
  <c r="AN19" i="74"/>
  <c r="AM19" i="74"/>
  <c r="AI19" i="74"/>
  <c r="AH19" i="74"/>
  <c r="BJ18" i="74"/>
  <c r="BJ22" i="74" s="1"/>
  <c r="BJ24" i="74" s="1"/>
  <c r="BI18" i="74"/>
  <c r="BH18" i="74"/>
  <c r="BG18" i="74"/>
  <c r="BF18" i="74"/>
  <c r="BE18" i="74"/>
  <c r="BD18" i="74"/>
  <c r="BB18" i="74"/>
  <c r="BB22" i="74" s="1"/>
  <c r="BB24" i="74" s="1"/>
  <c r="BA18" i="74"/>
  <c r="AZ18" i="74"/>
  <c r="AY18" i="74"/>
  <c r="AX18" i="74"/>
  <c r="AW18" i="74"/>
  <c r="AV18" i="74"/>
  <c r="AS18" i="74"/>
  <c r="AR18" i="74"/>
  <c r="AQ18" i="74"/>
  <c r="AO18" i="74"/>
  <c r="AM18" i="74"/>
  <c r="AI18" i="74"/>
  <c r="AH18" i="74"/>
  <c r="BJ17" i="74"/>
  <c r="BI17" i="74"/>
  <c r="BG17" i="74"/>
  <c r="BF17" i="74"/>
  <c r="BE17" i="74"/>
  <c r="BD17" i="74"/>
  <c r="BB17" i="74"/>
  <c r="BA17" i="74"/>
  <c r="AZ17" i="74"/>
  <c r="AY17" i="74"/>
  <c r="AX17" i="74"/>
  <c r="AW17" i="74"/>
  <c r="AV17" i="74"/>
  <c r="AT17" i="74"/>
  <c r="AR17" i="74"/>
  <c r="AO17" i="74"/>
  <c r="AN17" i="74"/>
  <c r="AM17" i="74"/>
  <c r="AI17" i="74"/>
  <c r="AH17" i="74"/>
  <c r="BJ16" i="74"/>
  <c r="BI16" i="74"/>
  <c r="BI22" i="74" s="1"/>
  <c r="BG16" i="74"/>
  <c r="BG22" i="74" s="1"/>
  <c r="BG24" i="74" s="1"/>
  <c r="BF16" i="74"/>
  <c r="BF22" i="74" s="1"/>
  <c r="BF24" i="74" s="1"/>
  <c r="BE16" i="74"/>
  <c r="BE22" i="74" s="1"/>
  <c r="BE24" i="74" s="1"/>
  <c r="BB16" i="74"/>
  <c r="BA16" i="74"/>
  <c r="BA22" i="74" s="1"/>
  <c r="AZ16" i="74"/>
  <c r="AZ22" i="74" s="1"/>
  <c r="AZ24" i="74" s="1"/>
  <c r="AY16" i="74"/>
  <c r="AX16" i="74"/>
  <c r="AX22" i="74" s="1"/>
  <c r="AX24" i="74" s="1"/>
  <c r="AW16" i="74"/>
  <c r="AW22" i="74" s="1"/>
  <c r="AT16" i="74"/>
  <c r="AQ16" i="74"/>
  <c r="AN16" i="74"/>
  <c r="AI16" i="74"/>
  <c r="AH16" i="74"/>
  <c r="AI15" i="74"/>
  <c r="AH15" i="74"/>
  <c r="AI14" i="74"/>
  <c r="AH14" i="74"/>
  <c r="AI13" i="74"/>
  <c r="AH13" i="74"/>
  <c r="AL12" i="74"/>
  <c r="AI12" i="74"/>
  <c r="AH12" i="74"/>
  <c r="AI11" i="74"/>
  <c r="AH11" i="74"/>
  <c r="AB7" i="74"/>
  <c r="AF5" i="74"/>
  <c r="AE5" i="74"/>
  <c r="AD5" i="74"/>
  <c r="AC5" i="74"/>
  <c r="AB5" i="74"/>
  <c r="AA5" i="74"/>
  <c r="Z5" i="74"/>
  <c r="Y5" i="74"/>
  <c r="W5" i="74"/>
  <c r="V5" i="74"/>
  <c r="U5" i="74"/>
  <c r="T5" i="74"/>
  <c r="S5" i="74"/>
  <c r="R5" i="74"/>
  <c r="Q5" i="74"/>
  <c r="O5" i="74"/>
  <c r="N5" i="74"/>
  <c r="M5" i="74"/>
  <c r="J5" i="74"/>
  <c r="I5" i="74"/>
  <c r="E5" i="74"/>
  <c r="D5" i="74"/>
  <c r="C5" i="74"/>
  <c r="B5" i="74"/>
  <c r="AG4" i="74"/>
  <c r="AG6" i="74" s="1"/>
  <c r="K4" i="74"/>
  <c r="E4" i="74"/>
  <c r="H4" i="74" s="1"/>
  <c r="B4" i="74"/>
  <c r="D261" i="74" s="1"/>
  <c r="AG3" i="74"/>
  <c r="AG2" i="74"/>
  <c r="AC60" i="73"/>
  <c r="AB60" i="73"/>
  <c r="AA61" i="73"/>
  <c r="AA60" i="73"/>
  <c r="AA65" i="73"/>
  <c r="AA79" i="73"/>
  <c r="AA83" i="73"/>
  <c r="Z60" i="73"/>
  <c r="Z61" i="73"/>
  <c r="Z65" i="73"/>
  <c r="Z79" i="73"/>
  <c r="Z83" i="73"/>
  <c r="Y60" i="73"/>
  <c r="Y61" i="73"/>
  <c r="Y65" i="73"/>
  <c r="Y79" i="73"/>
  <c r="Y83" i="73"/>
  <c r="X60" i="73"/>
  <c r="X61" i="73"/>
  <c r="X65" i="73"/>
  <c r="X79" i="73"/>
  <c r="X83" i="73"/>
  <c r="W60" i="73"/>
  <c r="W61" i="73"/>
  <c r="W65" i="73"/>
  <c r="W79" i="73"/>
  <c r="W83" i="73"/>
  <c r="V60" i="73"/>
  <c r="V61" i="73"/>
  <c r="V65" i="73"/>
  <c r="V79" i="73"/>
  <c r="V83" i="73"/>
  <c r="U60" i="73"/>
  <c r="U61" i="73"/>
  <c r="U65" i="73"/>
  <c r="U79" i="73"/>
  <c r="U83" i="73"/>
  <c r="T60" i="73"/>
  <c r="T61" i="73"/>
  <c r="T65" i="73"/>
  <c r="T79" i="73"/>
  <c r="T83" i="73"/>
  <c r="AU19" i="74" l="1"/>
  <c r="M110" i="74"/>
  <c r="AU23" i="74" s="1"/>
  <c r="M100" i="74"/>
  <c r="M102" i="74" s="1"/>
  <c r="L100" i="74"/>
  <c r="L102" i="74" s="1"/>
  <c r="L103" i="74" s="1"/>
  <c r="L7" i="74" s="1"/>
  <c r="J100" i="74"/>
  <c r="J102" i="74" s="1"/>
  <c r="J103" i="74" s="1"/>
  <c r="J7" i="74" s="1"/>
  <c r="AS19" i="74"/>
  <c r="I110" i="74"/>
  <c r="I111" i="74" s="1"/>
  <c r="H110" i="74"/>
  <c r="H111" i="74"/>
  <c r="H100" i="74"/>
  <c r="H102" i="74" s="1"/>
  <c r="H103" i="74" s="1"/>
  <c r="H7" i="74" s="1"/>
  <c r="AR19" i="74"/>
  <c r="G100" i="74"/>
  <c r="G102" i="74" s="1"/>
  <c r="AR16" i="74"/>
  <c r="F110" i="74"/>
  <c r="AQ23" i="74" s="1"/>
  <c r="F100" i="74"/>
  <c r="F102" i="74" s="1"/>
  <c r="AQ22" i="74"/>
  <c r="I100" i="74"/>
  <c r="I102" i="74" s="1"/>
  <c r="I103" i="74" s="1"/>
  <c r="I7" i="74" s="1"/>
  <c r="AS22" i="74"/>
  <c r="K100" i="74"/>
  <c r="K102" i="74" s="1"/>
  <c r="AT22" i="74"/>
  <c r="E110" i="74"/>
  <c r="AP23" i="74" s="1"/>
  <c r="E100" i="74"/>
  <c r="E102" i="74" s="1"/>
  <c r="E103" i="74" s="1"/>
  <c r="E7" i="74" s="1"/>
  <c r="AI65" i="74"/>
  <c r="AP16" i="74"/>
  <c r="D110" i="74"/>
  <c r="AO23" i="74" s="1"/>
  <c r="AO19" i="74"/>
  <c r="AN22" i="74"/>
  <c r="AI104" i="74"/>
  <c r="C100" i="74"/>
  <c r="C102" i="74" s="1"/>
  <c r="AH79" i="74"/>
  <c r="AO22" i="74"/>
  <c r="AO24" i="74" s="1"/>
  <c r="AI79" i="74"/>
  <c r="D100" i="74"/>
  <c r="D102" i="74" s="1"/>
  <c r="D103" i="74" s="1"/>
  <c r="D7" i="74" s="1"/>
  <c r="BG82" i="74" a="1"/>
  <c r="BI100" i="74" s="1"/>
  <c r="AM22" i="74"/>
  <c r="B100" i="74"/>
  <c r="B102" i="74" s="1"/>
  <c r="AS23" i="74"/>
  <c r="Q103" i="74"/>
  <c r="Q7" i="74" s="1"/>
  <c r="F250" i="74"/>
  <c r="E255" i="74"/>
  <c r="F254" i="74"/>
  <c r="E121" i="74"/>
  <c r="AY19" i="74"/>
  <c r="AY22" i="74" s="1"/>
  <c r="AY24" i="74" s="1"/>
  <c r="T103" i="74"/>
  <c r="T7" i="74" s="1"/>
  <c r="AZ73" i="74"/>
  <c r="G111" i="74"/>
  <c r="W111" i="74"/>
  <c r="N100" i="74"/>
  <c r="N102" i="74" s="1"/>
  <c r="P5" i="74"/>
  <c r="X5" i="74"/>
  <c r="BH16" i="74"/>
  <c r="BH22" i="74" s="1"/>
  <c r="AI95" i="74"/>
  <c r="J111" i="74"/>
  <c r="R111" i="74"/>
  <c r="Z111" i="74"/>
  <c r="AH95" i="74"/>
  <c r="V100" i="74"/>
  <c r="V102" i="74" s="1"/>
  <c r="AI83" i="74"/>
  <c r="AH83" i="74"/>
  <c r="AI107" i="74"/>
  <c r="C110" i="74"/>
  <c r="C103" i="74" s="1"/>
  <c r="C7" i="74" s="1"/>
  <c r="K110" i="74"/>
  <c r="S110" i="74"/>
  <c r="S103" i="74" s="1"/>
  <c r="S7" i="74" s="1"/>
  <c r="AA110" i="74"/>
  <c r="AA111" i="74" s="1"/>
  <c r="Q111" i="74"/>
  <c r="AP18" i="74"/>
  <c r="L111" i="74"/>
  <c r="T111" i="74"/>
  <c r="AH104" i="74"/>
  <c r="AI105" i="74"/>
  <c r="AI106" i="74"/>
  <c r="H249" i="74"/>
  <c r="V110" i="74"/>
  <c r="BD23" i="74" s="1"/>
  <c r="BD24" i="74" s="1"/>
  <c r="AG102" i="74"/>
  <c r="G110" i="74"/>
  <c r="AR23" i="74" s="1"/>
  <c r="W110" i="74"/>
  <c r="W103" i="74" s="1"/>
  <c r="W7" i="74" s="1"/>
  <c r="AU16" i="74"/>
  <c r="AU22" i="74" s="1"/>
  <c r="AU24" i="74" s="1"/>
  <c r="BC16" i="74"/>
  <c r="BC22" i="74" s="1"/>
  <c r="BC24" i="74" s="1"/>
  <c r="AH61" i="74"/>
  <c r="AH65" i="74"/>
  <c r="E111" i="74"/>
  <c r="M111" i="74"/>
  <c r="U111" i="74"/>
  <c r="AC111" i="74"/>
  <c r="R103" i="74"/>
  <c r="R7" i="74" s="1"/>
  <c r="N110" i="74"/>
  <c r="AV23" i="74" s="1"/>
  <c r="AV24" i="74" s="1"/>
  <c r="AD110" i="74"/>
  <c r="BH23" i="74" s="1"/>
  <c r="O110" i="74"/>
  <c r="AW23" i="74" s="1"/>
  <c r="AW24" i="74" s="1"/>
  <c r="AE110" i="74"/>
  <c r="BI23" i="74" s="1"/>
  <c r="BI24" i="74" s="1"/>
  <c r="B110" i="74"/>
  <c r="B111" i="74" s="1"/>
  <c r="AL13" i="74"/>
  <c r="AI61" i="74"/>
  <c r="N111" i="74"/>
  <c r="AD111" i="74"/>
  <c r="AH106" i="74"/>
  <c r="AH107" i="74"/>
  <c r="AH108" i="74"/>
  <c r="D121" i="74"/>
  <c r="M103" i="74" l="1"/>
  <c r="M7" i="74" s="1"/>
  <c r="AS24" i="74"/>
  <c r="AR22" i="74"/>
  <c r="C259" i="74"/>
  <c r="AR24" i="74"/>
  <c r="F111" i="74"/>
  <c r="AQ24" i="74"/>
  <c r="F103" i="74"/>
  <c r="F7" i="74" s="1"/>
  <c r="AP22" i="74"/>
  <c r="AT8" i="74" s="1"/>
  <c r="D111" i="74"/>
  <c r="AI100" i="74"/>
  <c r="AH100" i="74"/>
  <c r="AH102" i="74"/>
  <c r="BJ92" i="74"/>
  <c r="BH90" i="74"/>
  <c r="BI85" i="74"/>
  <c r="BH104" i="74"/>
  <c r="BG83" i="74"/>
  <c r="BJ104" i="74"/>
  <c r="BK92" i="74"/>
  <c r="BJ103" i="74"/>
  <c r="BK93" i="74"/>
  <c r="BL92" i="74"/>
  <c r="BL100" i="74"/>
  <c r="BK98" i="74"/>
  <c r="BI91" i="74"/>
  <c r="BK104" i="74"/>
  <c r="BL87" i="74"/>
  <c r="BL82" i="74"/>
  <c r="BK101" i="74"/>
  <c r="BG97" i="74"/>
  <c r="BG96" i="74"/>
  <c r="BI98" i="74"/>
  <c r="BG105" i="74"/>
  <c r="BJ90" i="74"/>
  <c r="BJ85" i="74"/>
  <c r="BI104" i="74"/>
  <c r="BG88" i="74"/>
  <c r="BK84" i="74"/>
  <c r="BJ100" i="74"/>
  <c r="BJ98" i="74"/>
  <c r="BJ93" i="74"/>
  <c r="BI99" i="74"/>
  <c r="BL85" i="74"/>
  <c r="BG91" i="74"/>
  <c r="BK91" i="74"/>
  <c r="BH82" i="74"/>
  <c r="BH101" i="74"/>
  <c r="BH96" i="74"/>
  <c r="BK100" i="74"/>
  <c r="BH95" i="74"/>
  <c r="BJ88" i="74"/>
  <c r="BK95" i="74"/>
  <c r="BG89" i="74"/>
  <c r="BI94" i="74"/>
  <c r="BK103" i="74"/>
  <c r="BJ91" i="74"/>
  <c r="BH102" i="74"/>
  <c r="BH89" i="74"/>
  <c r="BL99" i="74"/>
  <c r="BK86" i="74"/>
  <c r="BI97" i="74"/>
  <c r="BH84" i="74"/>
  <c r="BL94" i="74"/>
  <c r="BJ105" i="74"/>
  <c r="BI92" i="74"/>
  <c r="BG103" i="74"/>
  <c r="BI84" i="74"/>
  <c r="BH83" i="74"/>
  <c r="BG101" i="74"/>
  <c r="BL105" i="74"/>
  <c r="BH99" i="74"/>
  <c r="BI90" i="74"/>
  <c r="BK99" i="74"/>
  <c r="BG86" i="74"/>
  <c r="BL84" i="74"/>
  <c r="BJ95" i="74"/>
  <c r="BJ82" i="74"/>
  <c r="BH93" i="74"/>
  <c r="BL103" i="74"/>
  <c r="BK90" i="74"/>
  <c r="BI101" i="74"/>
  <c r="BH88" i="74"/>
  <c r="BL98" i="74"/>
  <c r="BK85" i="74"/>
  <c r="BI96" i="74"/>
  <c r="BJ96" i="74"/>
  <c r="BJ102" i="74"/>
  <c r="BI86" i="74"/>
  <c r="BI87" i="74"/>
  <c r="BL97" i="74"/>
  <c r="BI102" i="74"/>
  <c r="BK83" i="74"/>
  <c r="BI103" i="74"/>
  <c r="BL89" i="74"/>
  <c r="BH86" i="74"/>
  <c r="BL96" i="74"/>
  <c r="BL83" i="74"/>
  <c r="BJ94" i="74"/>
  <c r="BH105" i="74"/>
  <c r="BG92" i="74"/>
  <c r="BK102" i="74"/>
  <c r="BJ89" i="74"/>
  <c r="BH100" i="74"/>
  <c r="BG87" i="74"/>
  <c r="BK97" i="74"/>
  <c r="BI95" i="74"/>
  <c r="BG95" i="74"/>
  <c r="BG90" i="74"/>
  <c r="BH91" i="74"/>
  <c r="BG85" i="74"/>
  <c r="BG98" i="74"/>
  <c r="BH87" i="74"/>
  <c r="BG93" i="74"/>
  <c r="BJ87" i="74"/>
  <c r="BH98" i="74"/>
  <c r="BH85" i="74"/>
  <c r="BK82" i="74"/>
  <c r="BI93" i="74"/>
  <c r="BG104" i="74"/>
  <c r="BL90" i="74"/>
  <c r="BJ101" i="74"/>
  <c r="BI88" i="74"/>
  <c r="BG99" i="74"/>
  <c r="BI83" i="74"/>
  <c r="BG102" i="74"/>
  <c r="BH103" i="74"/>
  <c r="BI82" i="74"/>
  <c r="BJ83" i="74"/>
  <c r="BH94" i="74"/>
  <c r="BL104" i="74"/>
  <c r="BL91" i="74"/>
  <c r="BI89" i="74"/>
  <c r="BG100" i="74"/>
  <c r="BL86" i="74"/>
  <c r="BJ97" i="74"/>
  <c r="BK105" i="74"/>
  <c r="BJ84" i="74"/>
  <c r="BL95" i="74"/>
  <c r="BL93" i="74"/>
  <c r="BK87" i="74"/>
  <c r="BL101" i="74"/>
  <c r="BK88" i="74"/>
  <c r="BG82" i="74"/>
  <c r="BG94" i="74"/>
  <c r="BK96" i="74"/>
  <c r="BL88" i="74"/>
  <c r="BJ99" i="74"/>
  <c r="BJ86" i="74"/>
  <c r="BH97" i="74"/>
  <c r="BG84" i="74"/>
  <c r="BK94" i="74"/>
  <c r="BI105" i="74"/>
  <c r="BH92" i="74"/>
  <c r="BL102" i="74"/>
  <c r="BK89" i="74"/>
  <c r="O111" i="74"/>
  <c r="B103" i="74"/>
  <c r="G103" i="74"/>
  <c r="G7" i="74" s="1"/>
  <c r="O103" i="74"/>
  <c r="O7" i="74" s="1"/>
  <c r="G250" i="74"/>
  <c r="F255" i="74"/>
  <c r="AA103" i="74"/>
  <c r="AA7" i="74" s="1"/>
  <c r="BH24" i="74"/>
  <c r="V103" i="74"/>
  <c r="V7" i="74" s="1"/>
  <c r="AD103" i="74"/>
  <c r="AD7" i="74" s="1"/>
  <c r="I249" i="74"/>
  <c r="AE103" i="74"/>
  <c r="AE7" i="74" s="1"/>
  <c r="G254" i="74"/>
  <c r="F121" i="74"/>
  <c r="V111" i="74"/>
  <c r="BA23" i="74"/>
  <c r="BA24" i="74" s="1"/>
  <c r="S111" i="74"/>
  <c r="N103" i="74"/>
  <c r="N7" i="74" s="1"/>
  <c r="C111" i="74"/>
  <c r="AI111" i="74" s="1"/>
  <c r="AN23" i="74"/>
  <c r="AN24" i="74" s="1"/>
  <c r="AI110" i="74"/>
  <c r="AH110" i="74"/>
  <c r="AM23" i="74"/>
  <c r="AM24" i="74" s="1"/>
  <c r="K111" i="74"/>
  <c r="AT23" i="74"/>
  <c r="AT24" i="74" s="1"/>
  <c r="AE111" i="74"/>
  <c r="AI102" i="74"/>
  <c r="B259" i="74"/>
  <c r="K103" i="74"/>
  <c r="K7" i="74" s="1"/>
  <c r="S60" i="73"/>
  <c r="S61" i="73"/>
  <c r="S65" i="73"/>
  <c r="S79" i="73"/>
  <c r="S83" i="73"/>
  <c r="R60" i="73"/>
  <c r="Q65" i="73"/>
  <c r="Q60" i="73"/>
  <c r="P60" i="73"/>
  <c r="O60" i="73"/>
  <c r="O61" i="73"/>
  <c r="N60" i="73"/>
  <c r="K6" i="74" l="1"/>
  <c r="AP24" i="74"/>
  <c r="AT9" i="74" s="1"/>
  <c r="AI103" i="74"/>
  <c r="B7" i="74"/>
  <c r="A7" i="74" s="1"/>
  <c r="AH103" i="74"/>
  <c r="J249" i="74"/>
  <c r="AH111" i="74"/>
  <c r="H254" i="74"/>
  <c r="G121" i="74"/>
  <c r="H250" i="74"/>
  <c r="G255" i="74"/>
  <c r="K249" i="74" l="1"/>
  <c r="I250" i="74"/>
  <c r="H255" i="74"/>
  <c r="I254" i="74"/>
  <c r="H121" i="74"/>
  <c r="M60" i="73"/>
  <c r="L60" i="73"/>
  <c r="L61" i="73"/>
  <c r="L65" i="73"/>
  <c r="L79" i="73"/>
  <c r="L83" i="73"/>
  <c r="K61" i="73"/>
  <c r="K65" i="73"/>
  <c r="K79" i="73"/>
  <c r="K83" i="73"/>
  <c r="J61" i="73"/>
  <c r="J65" i="73"/>
  <c r="J79" i="73"/>
  <c r="J83" i="73"/>
  <c r="I61" i="73"/>
  <c r="I65" i="73"/>
  <c r="I79" i="73"/>
  <c r="I83" i="73"/>
  <c r="F121" i="73"/>
  <c r="G121" i="73"/>
  <c r="H83" i="73"/>
  <c r="H79" i="73"/>
  <c r="C65" i="73"/>
  <c r="D65" i="73"/>
  <c r="E65" i="73"/>
  <c r="F65" i="73"/>
  <c r="G65" i="73"/>
  <c r="H65" i="73"/>
  <c r="B61" i="73"/>
  <c r="C61" i="73"/>
  <c r="D61" i="73"/>
  <c r="E61" i="73"/>
  <c r="F61" i="73"/>
  <c r="G61" i="73"/>
  <c r="G79" i="73"/>
  <c r="G83" i="73"/>
  <c r="F79" i="73"/>
  <c r="F83" i="73"/>
  <c r="J254" i="74" l="1"/>
  <c r="I121" i="74"/>
  <c r="J250" i="74"/>
  <c r="I255" i="74"/>
  <c r="L249" i="74"/>
  <c r="M249" i="74" l="1"/>
  <c r="K250" i="74"/>
  <c r="J255" i="74"/>
  <c r="K254" i="74"/>
  <c r="J121" i="74"/>
  <c r="B79" i="73"/>
  <c r="C79" i="73"/>
  <c r="D79" i="73"/>
  <c r="E79" i="73"/>
  <c r="AH128" i="73"/>
  <c r="AI128" i="73"/>
  <c r="AH127" i="73"/>
  <c r="AI127" i="73"/>
  <c r="B100" i="73"/>
  <c r="C100" i="73"/>
  <c r="D100" i="73"/>
  <c r="E100" i="73"/>
  <c r="C83" i="73"/>
  <c r="D83" i="73"/>
  <c r="E83" i="73"/>
  <c r="AG255" i="73"/>
  <c r="C255" i="73"/>
  <c r="D254" i="73"/>
  <c r="E254" i="73" s="1"/>
  <c r="N253" i="73"/>
  <c r="O253" i="73" s="1"/>
  <c r="P253" i="73" s="1"/>
  <c r="Q253" i="73" s="1"/>
  <c r="R253" i="73" s="1"/>
  <c r="S253" i="73" s="1"/>
  <c r="T253" i="73" s="1"/>
  <c r="U253" i="73" s="1"/>
  <c r="V253" i="73" s="1"/>
  <c r="W253" i="73" s="1"/>
  <c r="X253" i="73" s="1"/>
  <c r="Y253" i="73" s="1"/>
  <c r="Z253" i="73" s="1"/>
  <c r="AA253" i="73" s="1"/>
  <c r="AB253" i="73" s="1"/>
  <c r="AC253" i="73" s="1"/>
  <c r="AD253" i="73" s="1"/>
  <c r="AE253" i="73" s="1"/>
  <c r="AF253" i="73" s="1"/>
  <c r="B253" i="73" s="1"/>
  <c r="E253" i="73"/>
  <c r="F253" i="73" s="1"/>
  <c r="G253" i="73" s="1"/>
  <c r="H253" i="73" s="1"/>
  <c r="I253" i="73" s="1"/>
  <c r="J253" i="73" s="1"/>
  <c r="K253" i="73" s="1"/>
  <c r="L253" i="73" s="1"/>
  <c r="M253" i="73" s="1"/>
  <c r="D253" i="73"/>
  <c r="AF252" i="73"/>
  <c r="B252" i="73" s="1"/>
  <c r="Q252" i="73"/>
  <c r="R252" i="73" s="1"/>
  <c r="S252" i="73" s="1"/>
  <c r="T252" i="73" s="1"/>
  <c r="U252" i="73" s="1"/>
  <c r="V252" i="73" s="1"/>
  <c r="W252" i="73" s="1"/>
  <c r="X252" i="73" s="1"/>
  <c r="Y252" i="73" s="1"/>
  <c r="Z252" i="73" s="1"/>
  <c r="AA252" i="73" s="1"/>
  <c r="AB252" i="73" s="1"/>
  <c r="AC252" i="73" s="1"/>
  <c r="AD252" i="73" s="1"/>
  <c r="AE252" i="73" s="1"/>
  <c r="P252" i="73"/>
  <c r="D252" i="73"/>
  <c r="E252" i="73" s="1"/>
  <c r="F252" i="73" s="1"/>
  <c r="G252" i="73" s="1"/>
  <c r="H252" i="73" s="1"/>
  <c r="I252" i="73" s="1"/>
  <c r="J252" i="73" s="1"/>
  <c r="K252" i="73" s="1"/>
  <c r="L252" i="73" s="1"/>
  <c r="M252" i="73" s="1"/>
  <c r="N252" i="73" s="1"/>
  <c r="O252" i="73" s="1"/>
  <c r="D251" i="73"/>
  <c r="E251" i="73" s="1"/>
  <c r="F251" i="73" s="1"/>
  <c r="G251" i="73" s="1"/>
  <c r="H251" i="73" s="1"/>
  <c r="I251" i="73" s="1"/>
  <c r="J251" i="73" s="1"/>
  <c r="K251" i="73" s="1"/>
  <c r="L251" i="73" s="1"/>
  <c r="M251" i="73" s="1"/>
  <c r="N251" i="73" s="1"/>
  <c r="O251" i="73" s="1"/>
  <c r="P251" i="73" s="1"/>
  <c r="Q251" i="73" s="1"/>
  <c r="R251" i="73" s="1"/>
  <c r="S251" i="73" s="1"/>
  <c r="T251" i="73" s="1"/>
  <c r="U251" i="73" s="1"/>
  <c r="V251" i="73" s="1"/>
  <c r="W251" i="73" s="1"/>
  <c r="X251" i="73" s="1"/>
  <c r="Y251" i="73" s="1"/>
  <c r="Z251" i="73" s="1"/>
  <c r="AA251" i="73" s="1"/>
  <c r="AB251" i="73" s="1"/>
  <c r="AC251" i="73" s="1"/>
  <c r="AD251" i="73" s="1"/>
  <c r="AE251" i="73" s="1"/>
  <c r="AF251" i="73" s="1"/>
  <c r="B251" i="73" s="1"/>
  <c r="D250" i="73"/>
  <c r="E250" i="73" s="1"/>
  <c r="E249" i="73"/>
  <c r="F249" i="73" s="1"/>
  <c r="D249" i="73"/>
  <c r="AG247" i="73"/>
  <c r="AF247" i="73"/>
  <c r="AE247" i="73"/>
  <c r="AD247" i="73"/>
  <c r="AC247" i="73"/>
  <c r="AB247" i="73"/>
  <c r="AA247" i="73"/>
  <c r="Z247" i="73"/>
  <c r="Y247" i="73"/>
  <c r="X247" i="73"/>
  <c r="W247" i="73"/>
  <c r="V247" i="73"/>
  <c r="U247" i="73"/>
  <c r="T247" i="73"/>
  <c r="S247" i="73"/>
  <c r="R247" i="73"/>
  <c r="Q247" i="73"/>
  <c r="P247" i="73"/>
  <c r="O247" i="73"/>
  <c r="N247" i="73"/>
  <c r="M247" i="73"/>
  <c r="L247" i="73"/>
  <c r="K247" i="73"/>
  <c r="J247" i="73"/>
  <c r="I247" i="73"/>
  <c r="H247" i="73"/>
  <c r="G247" i="73"/>
  <c r="F247" i="73"/>
  <c r="E247" i="73"/>
  <c r="D247" i="73"/>
  <c r="C247" i="73"/>
  <c r="B247" i="73"/>
  <c r="AI133" i="73"/>
  <c r="AH133" i="73"/>
  <c r="AI132" i="73"/>
  <c r="AH132" i="73"/>
  <c r="AI131" i="73"/>
  <c r="AH131" i="73"/>
  <c r="AI130" i="73"/>
  <c r="AH130" i="73"/>
  <c r="AI129" i="73"/>
  <c r="AH129" i="73"/>
  <c r="AI126" i="73"/>
  <c r="AH126" i="73"/>
  <c r="AI125" i="73"/>
  <c r="AH125" i="73"/>
  <c r="AI124" i="73"/>
  <c r="AH124" i="73"/>
  <c r="AI123" i="73"/>
  <c r="AH123" i="73"/>
  <c r="AI122" i="73"/>
  <c r="AH122" i="73"/>
  <c r="Z121" i="73"/>
  <c r="Y121" i="73"/>
  <c r="AI120" i="73"/>
  <c r="AH120" i="73"/>
  <c r="AI119" i="73"/>
  <c r="AH119" i="73"/>
  <c r="AI118" i="73"/>
  <c r="AH118" i="73"/>
  <c r="AI117" i="73"/>
  <c r="AH117" i="73"/>
  <c r="AI116" i="73"/>
  <c r="AH116" i="73"/>
  <c r="AI115" i="73"/>
  <c r="AH115" i="73"/>
  <c r="AI114" i="73"/>
  <c r="AH114" i="73"/>
  <c r="AI113" i="73"/>
  <c r="AH113" i="73"/>
  <c r="AI112" i="73"/>
  <c r="AH112" i="73"/>
  <c r="AI109" i="73"/>
  <c r="AF109" i="73"/>
  <c r="AE109" i="73"/>
  <c r="AD109" i="73"/>
  <c r="AC109" i="73"/>
  <c r="AB109" i="73"/>
  <c r="AA109" i="73"/>
  <c r="Z109" i="73"/>
  <c r="Y109" i="73"/>
  <c r="X109" i="73"/>
  <c r="W109" i="73"/>
  <c r="V109" i="73"/>
  <c r="U109" i="73"/>
  <c r="T109" i="73"/>
  <c r="S109" i="73"/>
  <c r="R109" i="73"/>
  <c r="Q109" i="73"/>
  <c r="P109" i="73"/>
  <c r="O109" i="73"/>
  <c r="N109" i="73"/>
  <c r="M109" i="73"/>
  <c r="L109" i="73"/>
  <c r="K109" i="73"/>
  <c r="J109" i="73"/>
  <c r="I109" i="73"/>
  <c r="H109" i="73"/>
  <c r="G109" i="73"/>
  <c r="F109" i="73"/>
  <c r="E109" i="73"/>
  <c r="B109" i="73"/>
  <c r="AH109" i="73" s="1"/>
  <c r="AF108" i="73"/>
  <c r="AE108" i="73"/>
  <c r="AD108" i="73"/>
  <c r="AC108" i="73"/>
  <c r="AB108" i="73"/>
  <c r="AA108" i="73"/>
  <c r="Z108" i="73"/>
  <c r="Y108" i="73"/>
  <c r="X108" i="73"/>
  <c r="W108" i="73"/>
  <c r="V108" i="73"/>
  <c r="U108" i="73"/>
  <c r="T108" i="73"/>
  <c r="S108" i="73"/>
  <c r="R108" i="73"/>
  <c r="Q108" i="73"/>
  <c r="P108" i="73"/>
  <c r="O108" i="73"/>
  <c r="N108" i="73"/>
  <c r="M108" i="73"/>
  <c r="L108" i="73"/>
  <c r="K108" i="73"/>
  <c r="J108" i="73"/>
  <c r="I108" i="73"/>
  <c r="H108" i="73"/>
  <c r="G108" i="73"/>
  <c r="F108" i="73"/>
  <c r="E108" i="73"/>
  <c r="B108" i="73"/>
  <c r="AF107" i="73"/>
  <c r="AE107" i="73"/>
  <c r="AD107" i="73"/>
  <c r="AC107" i="73"/>
  <c r="AB107" i="73"/>
  <c r="AA107" i="73"/>
  <c r="Z107" i="73"/>
  <c r="Y107" i="73"/>
  <c r="X107" i="73"/>
  <c r="W107" i="73"/>
  <c r="V107" i="73"/>
  <c r="U107" i="73"/>
  <c r="T107" i="73"/>
  <c r="S107" i="73"/>
  <c r="R107" i="73"/>
  <c r="Q107" i="73"/>
  <c r="P107" i="73"/>
  <c r="O107" i="73"/>
  <c r="N107" i="73"/>
  <c r="M107" i="73"/>
  <c r="L107" i="73"/>
  <c r="K107" i="73"/>
  <c r="J107" i="73"/>
  <c r="I107" i="73"/>
  <c r="H107" i="73"/>
  <c r="G107" i="73"/>
  <c r="F107" i="73"/>
  <c r="E107" i="73"/>
  <c r="B107" i="73"/>
  <c r="AF106" i="73"/>
  <c r="AE106" i="73"/>
  <c r="AD106" i="73"/>
  <c r="AC106" i="73"/>
  <c r="AC110" i="73" s="1"/>
  <c r="AB106" i="73"/>
  <c r="AB110" i="73" s="1"/>
  <c r="BG23" i="73" s="1"/>
  <c r="AA106" i="73"/>
  <c r="Z106" i="73"/>
  <c r="Y106" i="73"/>
  <c r="X106" i="73"/>
  <c r="W106" i="73"/>
  <c r="V106" i="73"/>
  <c r="U106" i="73"/>
  <c r="T106" i="73"/>
  <c r="S106" i="73"/>
  <c r="R106" i="73"/>
  <c r="Q106" i="73"/>
  <c r="P106" i="73"/>
  <c r="O106" i="73"/>
  <c r="N106" i="73"/>
  <c r="M106" i="73"/>
  <c r="L106" i="73"/>
  <c r="K106" i="73"/>
  <c r="J106" i="73"/>
  <c r="I106" i="73"/>
  <c r="H106" i="73"/>
  <c r="G106" i="73"/>
  <c r="F106" i="73"/>
  <c r="E106" i="73"/>
  <c r="B106" i="73"/>
  <c r="AF105" i="73"/>
  <c r="AE105" i="73"/>
  <c r="AD105" i="73"/>
  <c r="AC105" i="73"/>
  <c r="AB105" i="73"/>
  <c r="AA105" i="73"/>
  <c r="Z105" i="73"/>
  <c r="Y105" i="73"/>
  <c r="Y110" i="73" s="1"/>
  <c r="Y111" i="73" s="1"/>
  <c r="X105" i="73"/>
  <c r="W105" i="73"/>
  <c r="V105" i="73"/>
  <c r="U105" i="73"/>
  <c r="T105" i="73"/>
  <c r="S105" i="73"/>
  <c r="R105" i="73"/>
  <c r="Q105" i="73"/>
  <c r="P105" i="73"/>
  <c r="O105" i="73"/>
  <c r="N105" i="73"/>
  <c r="M105" i="73"/>
  <c r="L105" i="73"/>
  <c r="K105" i="73"/>
  <c r="J105" i="73"/>
  <c r="I105" i="73"/>
  <c r="H105" i="73"/>
  <c r="G105" i="73"/>
  <c r="F105" i="73"/>
  <c r="E105" i="73"/>
  <c r="B105" i="73"/>
  <c r="AF104" i="73"/>
  <c r="AF110" i="73" s="1"/>
  <c r="AE104" i="73"/>
  <c r="AD104" i="73"/>
  <c r="AD110" i="73" s="1"/>
  <c r="BH23" i="73" s="1"/>
  <c r="AC104" i="73"/>
  <c r="AB104" i="73"/>
  <c r="AA104" i="73"/>
  <c r="Z104" i="73"/>
  <c r="Y104" i="73"/>
  <c r="X104" i="73"/>
  <c r="W104" i="73"/>
  <c r="V104" i="73"/>
  <c r="U104" i="73"/>
  <c r="T104" i="73"/>
  <c r="S104" i="73"/>
  <c r="R104" i="73"/>
  <c r="Q104" i="73"/>
  <c r="Q110" i="73" s="1"/>
  <c r="P104" i="73"/>
  <c r="P110" i="73" s="1"/>
  <c r="P111" i="73" s="1"/>
  <c r="O104" i="73"/>
  <c r="N104" i="73"/>
  <c r="N110" i="73" s="1"/>
  <c r="AV23" i="73" s="1"/>
  <c r="M104" i="73"/>
  <c r="L104" i="73"/>
  <c r="K104" i="73"/>
  <c r="J104" i="73"/>
  <c r="I104" i="73"/>
  <c r="H104" i="73"/>
  <c r="G104" i="73"/>
  <c r="F104" i="73"/>
  <c r="E104" i="73"/>
  <c r="B104" i="73"/>
  <c r="B102" i="73"/>
  <c r="AI101" i="73"/>
  <c r="AH101" i="73"/>
  <c r="Y100" i="73"/>
  <c r="Y102" i="73" s="1"/>
  <c r="Y103" i="73" s="1"/>
  <c r="Y7" i="73" s="1"/>
  <c r="AI99" i="73"/>
  <c r="AH99" i="73"/>
  <c r="AG99" i="73"/>
  <c r="AI98" i="73"/>
  <c r="AH98" i="73"/>
  <c r="AI97" i="73"/>
  <c r="AH97" i="73"/>
  <c r="AI96" i="73"/>
  <c r="AH96" i="73"/>
  <c r="AG95" i="73"/>
  <c r="AF95" i="73"/>
  <c r="BJ19" i="73" s="1"/>
  <c r="AE95" i="73"/>
  <c r="BI19" i="73" s="1"/>
  <c r="AD95" i="73"/>
  <c r="AC5" i="73" s="1"/>
  <c r="AC95" i="73"/>
  <c r="AB95" i="73"/>
  <c r="AA95" i="73"/>
  <c r="Z5" i="73" s="1"/>
  <c r="Z95" i="73"/>
  <c r="Z100" i="73" s="1"/>
  <c r="Z102" i="73" s="1"/>
  <c r="Y95" i="73"/>
  <c r="X5" i="73" s="1"/>
  <c r="X95" i="73"/>
  <c r="BE19" i="73" s="1"/>
  <c r="W95" i="73"/>
  <c r="V5" i="73" s="1"/>
  <c r="V95" i="73"/>
  <c r="V100" i="73" s="1"/>
  <c r="V102" i="73" s="1"/>
  <c r="U95" i="73"/>
  <c r="T95" i="73"/>
  <c r="BB19" i="73" s="1"/>
  <c r="S95" i="73"/>
  <c r="BA19" i="73" s="1"/>
  <c r="R95" i="73"/>
  <c r="Q5" i="73" s="1"/>
  <c r="Q95" i="73"/>
  <c r="P95" i="73"/>
  <c r="AX19" i="73" s="1"/>
  <c r="O95" i="73"/>
  <c r="N95" i="73"/>
  <c r="M5" i="73" s="1"/>
  <c r="M95" i="73"/>
  <c r="L95" i="73"/>
  <c r="L100" i="73" s="1"/>
  <c r="L102" i="73" s="1"/>
  <c r="K95" i="73"/>
  <c r="AT19" i="73" s="1"/>
  <c r="J95" i="73"/>
  <c r="I95" i="73"/>
  <c r="I100" i="73" s="1"/>
  <c r="I102" i="73" s="1"/>
  <c r="H95" i="73"/>
  <c r="G5" i="73" s="1"/>
  <c r="G95" i="73"/>
  <c r="G100" i="73" s="1"/>
  <c r="G102" i="73" s="1"/>
  <c r="F95" i="73"/>
  <c r="F100" i="73" s="1"/>
  <c r="F102" i="73" s="1"/>
  <c r="E95" i="73"/>
  <c r="B95" i="73"/>
  <c r="AI94" i="73"/>
  <c r="AH94" i="73"/>
  <c r="AI93" i="73"/>
  <c r="AH93" i="73"/>
  <c r="AI92" i="73"/>
  <c r="AH92" i="73"/>
  <c r="AI91" i="73"/>
  <c r="AH91" i="73"/>
  <c r="AI90" i="73"/>
  <c r="AH90" i="73"/>
  <c r="AI89" i="73"/>
  <c r="AH89" i="73"/>
  <c r="AI88" i="73"/>
  <c r="AH88" i="73"/>
  <c r="AI87" i="73"/>
  <c r="AH87" i="73"/>
  <c r="AI86" i="73"/>
  <c r="AH86" i="73"/>
  <c r="AI85" i="73"/>
  <c r="AH85" i="73"/>
  <c r="AI84" i="73"/>
  <c r="AH84" i="73"/>
  <c r="AG83" i="73"/>
  <c r="AF83" i="73"/>
  <c r="AE83" i="73"/>
  <c r="BI20" i="73" s="1"/>
  <c r="AD83" i="73"/>
  <c r="AC83" i="73"/>
  <c r="AB83" i="73"/>
  <c r="BG20" i="73" s="1"/>
  <c r="BB20" i="73"/>
  <c r="R83" i="73"/>
  <c r="Q83" i="73"/>
  <c r="AY20" i="73" s="1"/>
  <c r="P83" i="73"/>
  <c r="O83" i="73"/>
  <c r="AW20" i="73" s="1"/>
  <c r="N83" i="73"/>
  <c r="AV20" i="73" s="1"/>
  <c r="M83" i="73"/>
  <c r="AS20" i="73"/>
  <c r="AO20" i="73"/>
  <c r="B83" i="73"/>
  <c r="AI82" i="73"/>
  <c r="AH82" i="73"/>
  <c r="AI81" i="73"/>
  <c r="AH81" i="73"/>
  <c r="AI80" i="73"/>
  <c r="AH80" i="73"/>
  <c r="AG79" i="73"/>
  <c r="AF79" i="73"/>
  <c r="BJ18" i="73" s="1"/>
  <c r="AE79" i="73"/>
  <c r="AD79" i="73"/>
  <c r="AC79" i="73"/>
  <c r="AB79" i="73"/>
  <c r="BG18" i="73" s="1"/>
  <c r="BF18" i="73"/>
  <c r="BE18" i="73"/>
  <c r="R79" i="73"/>
  <c r="Q79" i="73"/>
  <c r="P79" i="73"/>
  <c r="AX18" i="73" s="1"/>
  <c r="O79" i="73"/>
  <c r="AW18" i="73" s="1"/>
  <c r="N79" i="73"/>
  <c r="AV18" i="73" s="1"/>
  <c r="M79" i="73"/>
  <c r="BW78" i="73"/>
  <c r="BV78" i="73"/>
  <c r="BP78" i="73"/>
  <c r="BN78" i="73"/>
  <c r="BK78" i="73"/>
  <c r="BI78" i="73"/>
  <c r="BH78" i="73"/>
  <c r="BF78" i="73"/>
  <c r="AI78" i="73"/>
  <c r="AH78" i="73"/>
  <c r="AG78" i="73"/>
  <c r="BS77" i="73"/>
  <c r="BR77" i="73"/>
  <c r="BQ77" i="73"/>
  <c r="BJ77" i="73"/>
  <c r="BI77" i="73"/>
  <c r="BG77" i="73"/>
  <c r="BB77" i="73"/>
  <c r="AI77" i="73"/>
  <c r="AH77" i="73"/>
  <c r="BV76" i="73"/>
  <c r="BU76" i="73"/>
  <c r="BT76" i="73"/>
  <c r="BM76" i="73"/>
  <c r="BL76" i="73"/>
  <c r="BK76" i="73"/>
  <c r="BD76" i="73"/>
  <c r="BC76" i="73"/>
  <c r="BA76" i="73"/>
  <c r="AI76" i="73"/>
  <c r="AH76" i="73"/>
  <c r="BW75" i="73"/>
  <c r="BS75" i="73"/>
  <c r="BG75" i="73"/>
  <c r="AI75" i="73"/>
  <c r="AH75" i="73"/>
  <c r="BW74" i="73"/>
  <c r="BU74" i="73"/>
  <c r="BQ74" i="73"/>
  <c r="BO74" i="73"/>
  <c r="BI74" i="73"/>
  <c r="BG74" i="73"/>
  <c r="BF74" i="73"/>
  <c r="AI74" i="73"/>
  <c r="AH74" i="73"/>
  <c r="BW73" i="73"/>
  <c r="BS73" i="73"/>
  <c r="BG73" i="73"/>
  <c r="AI73" i="73"/>
  <c r="AH73" i="73"/>
  <c r="AI72" i="73"/>
  <c r="AH72" i="73"/>
  <c r="BW71" i="73"/>
  <c r="BV71" i="73"/>
  <c r="BU71" i="73"/>
  <c r="BU78" i="73" s="1"/>
  <c r="BT71" i="73"/>
  <c r="BT78" i="73" s="1"/>
  <c r="BS71" i="73"/>
  <c r="BS78" i="73" s="1"/>
  <c r="BR71" i="73"/>
  <c r="BR78" i="73" s="1"/>
  <c r="BQ71" i="73"/>
  <c r="BQ78" i="73" s="1"/>
  <c r="BP71" i="73"/>
  <c r="BO71" i="73"/>
  <c r="BO78" i="73" s="1"/>
  <c r="BN71" i="73"/>
  <c r="BM71" i="73"/>
  <c r="BM78" i="73" s="1"/>
  <c r="BL71" i="73"/>
  <c r="BL78" i="73" s="1"/>
  <c r="BK71" i="73"/>
  <c r="BJ71" i="73"/>
  <c r="BJ78" i="73" s="1"/>
  <c r="BI71" i="73"/>
  <c r="BH71" i="73"/>
  <c r="BG71" i="73"/>
  <c r="BG78" i="73" s="1"/>
  <c r="BF71" i="73"/>
  <c r="BE71" i="73"/>
  <c r="BE78" i="73" s="1"/>
  <c r="BD71" i="73"/>
  <c r="BD78" i="73" s="1"/>
  <c r="BC71" i="73"/>
  <c r="BC78" i="73" s="1"/>
  <c r="BB71" i="73"/>
  <c r="BB78" i="73" s="1"/>
  <c r="BA71" i="73"/>
  <c r="BA78" i="73" s="1"/>
  <c r="AZ71" i="73"/>
  <c r="AZ78" i="73" s="1"/>
  <c r="AI71" i="73"/>
  <c r="AH71" i="73"/>
  <c r="BW70" i="73"/>
  <c r="BW77" i="73" s="1"/>
  <c r="BV70" i="73"/>
  <c r="BV77" i="73" s="1"/>
  <c r="BU70" i="73"/>
  <c r="BU77" i="73" s="1"/>
  <c r="BT70" i="73"/>
  <c r="BT77" i="73" s="1"/>
  <c r="BS70" i="73"/>
  <c r="BR70" i="73"/>
  <c r="BQ70" i="73"/>
  <c r="BP70" i="73"/>
  <c r="BP77" i="73" s="1"/>
  <c r="BO70" i="73"/>
  <c r="BO77" i="73" s="1"/>
  <c r="BN70" i="73"/>
  <c r="BN77" i="73" s="1"/>
  <c r="BM70" i="73"/>
  <c r="BM77" i="73" s="1"/>
  <c r="BL70" i="73"/>
  <c r="BL77" i="73" s="1"/>
  <c r="BK70" i="73"/>
  <c r="BK77" i="73" s="1"/>
  <c r="BJ70" i="73"/>
  <c r="BI70" i="73"/>
  <c r="BH70" i="73"/>
  <c r="BH77" i="73" s="1"/>
  <c r="BG70" i="73"/>
  <c r="BF70" i="73"/>
  <c r="BF77" i="73" s="1"/>
  <c r="BE70" i="73"/>
  <c r="BE77" i="73" s="1"/>
  <c r="BD70" i="73"/>
  <c r="BD77" i="73" s="1"/>
  <c r="BC70" i="73"/>
  <c r="BC77" i="73" s="1"/>
  <c r="BB70" i="73"/>
  <c r="BA70" i="73"/>
  <c r="BA77" i="73" s="1"/>
  <c r="AZ70" i="73"/>
  <c r="AZ77" i="73" s="1"/>
  <c r="AI70" i="73"/>
  <c r="AH70" i="73"/>
  <c r="BW69" i="73"/>
  <c r="BW76" i="73" s="1"/>
  <c r="BV69" i="73"/>
  <c r="BU69" i="73"/>
  <c r="BT69" i="73"/>
  <c r="BS69" i="73"/>
  <c r="BS76" i="73" s="1"/>
  <c r="BR69" i="73"/>
  <c r="BR76" i="73" s="1"/>
  <c r="BQ69" i="73"/>
  <c r="BQ76" i="73" s="1"/>
  <c r="BP69" i="73"/>
  <c r="BP76" i="73" s="1"/>
  <c r="BO69" i="73"/>
  <c r="BO76" i="73" s="1"/>
  <c r="BN69" i="73"/>
  <c r="BN76" i="73" s="1"/>
  <c r="BM69" i="73"/>
  <c r="BL69" i="73"/>
  <c r="BK69" i="73"/>
  <c r="BJ69" i="73"/>
  <c r="BJ76" i="73" s="1"/>
  <c r="BI69" i="73"/>
  <c r="BI76" i="73" s="1"/>
  <c r="BH69" i="73"/>
  <c r="BH76" i="73" s="1"/>
  <c r="BG69" i="73"/>
  <c r="BG76" i="73" s="1"/>
  <c r="BF69" i="73"/>
  <c r="BF76" i="73" s="1"/>
  <c r="BE69" i="73"/>
  <c r="BE76" i="73" s="1"/>
  <c r="BD69" i="73"/>
  <c r="BC69" i="73"/>
  <c r="BB69" i="73"/>
  <c r="BB76" i="73" s="1"/>
  <c r="BA69" i="73"/>
  <c r="AZ69" i="73"/>
  <c r="AZ76" i="73" s="1"/>
  <c r="AI69" i="73"/>
  <c r="AH69" i="73"/>
  <c r="BW68" i="73"/>
  <c r="BV68" i="73"/>
  <c r="BV75" i="73" s="1"/>
  <c r="BU68" i="73"/>
  <c r="BU75" i="73" s="1"/>
  <c r="BT68" i="73"/>
  <c r="BT75" i="73" s="1"/>
  <c r="BS68" i="73"/>
  <c r="BR68" i="73"/>
  <c r="BR75" i="73" s="1"/>
  <c r="BQ68" i="73"/>
  <c r="BQ75" i="73" s="1"/>
  <c r="BP68" i="73"/>
  <c r="BP75" i="73" s="1"/>
  <c r="BO68" i="73"/>
  <c r="BO75" i="73" s="1"/>
  <c r="BN68" i="73"/>
  <c r="BN75" i="73" s="1"/>
  <c r="BM68" i="73"/>
  <c r="BM75" i="73" s="1"/>
  <c r="BL68" i="73"/>
  <c r="BL75" i="73" s="1"/>
  <c r="BK68" i="73"/>
  <c r="BK75" i="73" s="1"/>
  <c r="BJ68" i="73"/>
  <c r="BJ75" i="73" s="1"/>
  <c r="BI68" i="73"/>
  <c r="BI75" i="73" s="1"/>
  <c r="BH68" i="73"/>
  <c r="BH75" i="73" s="1"/>
  <c r="BG68" i="73"/>
  <c r="BF68" i="73"/>
  <c r="BF75" i="73" s="1"/>
  <c r="BE68" i="73"/>
  <c r="BE75" i="73" s="1"/>
  <c r="BD68" i="73"/>
  <c r="BD75" i="73" s="1"/>
  <c r="BC68" i="73"/>
  <c r="BC75" i="73" s="1"/>
  <c r="BB68" i="73"/>
  <c r="BB75" i="73" s="1"/>
  <c r="BA68" i="73"/>
  <c r="BA75" i="73" s="1"/>
  <c r="AZ68" i="73"/>
  <c r="AI68" i="73"/>
  <c r="AH68" i="73"/>
  <c r="BW67" i="73"/>
  <c r="BV67" i="73"/>
  <c r="BV74" i="73" s="1"/>
  <c r="BU67" i="73"/>
  <c r="BT67" i="73"/>
  <c r="BT74" i="73" s="1"/>
  <c r="BS67" i="73"/>
  <c r="BS74" i="73" s="1"/>
  <c r="BR67" i="73"/>
  <c r="BR74" i="73" s="1"/>
  <c r="BQ67" i="73"/>
  <c r="BP67" i="73"/>
  <c r="BP74" i="73" s="1"/>
  <c r="BO67" i="73"/>
  <c r="BN67" i="73"/>
  <c r="BN74" i="73" s="1"/>
  <c r="BM67" i="73"/>
  <c r="BM74" i="73" s="1"/>
  <c r="BL67" i="73"/>
  <c r="BL74" i="73" s="1"/>
  <c r="BK67" i="73"/>
  <c r="BK74" i="73" s="1"/>
  <c r="BJ67" i="73"/>
  <c r="BJ74" i="73" s="1"/>
  <c r="BI67" i="73"/>
  <c r="BH67" i="73"/>
  <c r="BH74" i="73" s="1"/>
  <c r="BG67" i="73"/>
  <c r="BF67" i="73"/>
  <c r="BE67" i="73"/>
  <c r="BE74" i="73" s="1"/>
  <c r="BD67" i="73"/>
  <c r="BD74" i="73" s="1"/>
  <c r="BC67" i="73"/>
  <c r="BC74" i="73" s="1"/>
  <c r="BB67" i="73"/>
  <c r="BB74" i="73" s="1"/>
  <c r="BA67" i="73"/>
  <c r="BA74" i="73" s="1"/>
  <c r="AZ67" i="73"/>
  <c r="AZ74" i="73" s="1"/>
  <c r="AI67" i="73"/>
  <c r="AH67" i="73"/>
  <c r="BW66" i="73"/>
  <c r="BV66" i="73"/>
  <c r="BV73" i="73" s="1"/>
  <c r="BU66" i="73"/>
  <c r="BU73" i="73" s="1"/>
  <c r="BT66" i="73"/>
  <c r="BT73" i="73" s="1"/>
  <c r="BS66" i="73"/>
  <c r="BR66" i="73"/>
  <c r="BR73" i="73" s="1"/>
  <c r="BQ66" i="73"/>
  <c r="BQ73" i="73" s="1"/>
  <c r="BP66" i="73"/>
  <c r="BP73" i="73" s="1"/>
  <c r="BO66" i="73"/>
  <c r="BO73" i="73" s="1"/>
  <c r="BN66" i="73"/>
  <c r="BN73" i="73" s="1"/>
  <c r="BM66" i="73"/>
  <c r="BM73" i="73" s="1"/>
  <c r="BL66" i="73"/>
  <c r="BL73" i="73" s="1"/>
  <c r="BK66" i="73"/>
  <c r="BK73" i="73" s="1"/>
  <c r="BJ66" i="73"/>
  <c r="BJ73" i="73" s="1"/>
  <c r="BI66" i="73"/>
  <c r="BI73" i="73" s="1"/>
  <c r="BH66" i="73"/>
  <c r="BH73" i="73" s="1"/>
  <c r="BG66" i="73"/>
  <c r="BF66" i="73"/>
  <c r="BF73" i="73" s="1"/>
  <c r="BE66" i="73"/>
  <c r="BE73" i="73" s="1"/>
  <c r="BD66" i="73"/>
  <c r="BD73" i="73" s="1"/>
  <c r="BC66" i="73"/>
  <c r="BC73" i="73" s="1"/>
  <c r="BB66" i="73"/>
  <c r="BB73" i="73" s="1"/>
  <c r="BA66" i="73"/>
  <c r="BA73" i="73" s="1"/>
  <c r="AZ66" i="73"/>
  <c r="AZ73" i="73" s="1"/>
  <c r="AI66" i="73"/>
  <c r="AH66" i="73"/>
  <c r="AG65" i="73"/>
  <c r="AF65" i="73"/>
  <c r="AE65" i="73"/>
  <c r="AD65" i="73"/>
  <c r="AC65" i="73"/>
  <c r="AB65" i="73"/>
  <c r="BG17" i="73" s="1"/>
  <c r="BF17" i="73"/>
  <c r="BB17" i="73"/>
  <c r="R65" i="73"/>
  <c r="AZ17" i="73" s="1"/>
  <c r="AY17" i="73"/>
  <c r="P65" i="73"/>
  <c r="O65" i="73"/>
  <c r="AW17" i="73" s="1"/>
  <c r="N65" i="73"/>
  <c r="M65" i="73"/>
  <c r="AR17" i="73"/>
  <c r="AP17" i="73"/>
  <c r="AO17" i="73"/>
  <c r="B65" i="73"/>
  <c r="AI64" i="73"/>
  <c r="AH64" i="73"/>
  <c r="AI63" i="73"/>
  <c r="AH63" i="73"/>
  <c r="AI62" i="73"/>
  <c r="AH62" i="73"/>
  <c r="AG61" i="73"/>
  <c r="AG100" i="73" s="1"/>
  <c r="AF61" i="73"/>
  <c r="BJ16" i="73" s="1"/>
  <c r="AE61" i="73"/>
  <c r="BI16" i="73" s="1"/>
  <c r="AD61" i="73"/>
  <c r="AC61" i="73"/>
  <c r="AB61" i="73"/>
  <c r="AA100" i="73"/>
  <c r="AA102" i="73" s="1"/>
  <c r="R61" i="73"/>
  <c r="Q61" i="73"/>
  <c r="P61" i="73"/>
  <c r="AX16" i="73" s="1"/>
  <c r="N61" i="73"/>
  <c r="AV16" i="73" s="1"/>
  <c r="M61" i="73"/>
  <c r="J100" i="73"/>
  <c r="J102" i="73" s="1"/>
  <c r="AS16" i="73"/>
  <c r="H61" i="73"/>
  <c r="D7" i="73"/>
  <c r="AI60" i="73"/>
  <c r="AH60" i="73"/>
  <c r="AI59" i="73"/>
  <c r="AH59" i="73"/>
  <c r="AI58" i="73"/>
  <c r="AH58" i="73"/>
  <c r="AI57" i="73"/>
  <c r="AH57" i="73"/>
  <c r="AI56" i="73"/>
  <c r="AH56" i="73"/>
  <c r="AI55" i="73"/>
  <c r="AH55" i="73"/>
  <c r="AI54" i="73"/>
  <c r="AH54" i="73"/>
  <c r="AI53" i="73"/>
  <c r="AH53" i="73"/>
  <c r="AI52" i="73"/>
  <c r="AH52" i="73"/>
  <c r="AI51" i="73"/>
  <c r="AH51" i="73"/>
  <c r="AI50" i="73"/>
  <c r="AH50" i="73"/>
  <c r="AI49" i="73"/>
  <c r="AH49" i="73"/>
  <c r="AI48" i="73"/>
  <c r="AH48" i="73"/>
  <c r="AI47" i="73"/>
  <c r="AH47" i="73"/>
  <c r="AI46" i="73"/>
  <c r="AH46" i="73"/>
  <c r="AI45" i="73"/>
  <c r="AH45" i="73"/>
  <c r="AI44" i="73"/>
  <c r="AH44" i="73"/>
  <c r="AI43" i="73"/>
  <c r="AH43" i="73"/>
  <c r="AI42" i="73"/>
  <c r="AH42" i="73"/>
  <c r="AI41" i="73"/>
  <c r="AH41" i="73"/>
  <c r="AI40" i="73"/>
  <c r="AH40" i="73"/>
  <c r="AI39" i="73"/>
  <c r="AH39" i="73"/>
  <c r="AI38" i="73"/>
  <c r="AH38" i="73"/>
  <c r="AI37" i="73"/>
  <c r="AH37" i="73"/>
  <c r="AI36" i="73"/>
  <c r="AH36" i="73"/>
  <c r="AI35" i="73"/>
  <c r="AH35" i="73"/>
  <c r="AI34" i="73"/>
  <c r="AH34" i="73"/>
  <c r="AI33" i="73"/>
  <c r="AH33" i="73"/>
  <c r="AI32" i="73"/>
  <c r="AH32" i="73"/>
  <c r="AI31" i="73"/>
  <c r="AH31" i="73"/>
  <c r="AI30" i="73"/>
  <c r="AH30" i="73"/>
  <c r="AI29" i="73"/>
  <c r="AH29" i="73"/>
  <c r="AI28" i="73"/>
  <c r="AH28" i="73"/>
  <c r="AI27" i="73"/>
  <c r="AH27" i="73"/>
  <c r="AI26" i="73"/>
  <c r="AH26" i="73"/>
  <c r="AI25" i="73"/>
  <c r="AH25" i="73"/>
  <c r="AI24" i="73"/>
  <c r="AH24" i="73"/>
  <c r="AO23" i="73"/>
  <c r="AN23" i="73"/>
  <c r="AI23" i="73"/>
  <c r="AH23" i="73"/>
  <c r="AI22" i="73"/>
  <c r="AH22" i="73"/>
  <c r="BJ21" i="73"/>
  <c r="BI21" i="73"/>
  <c r="BH21" i="73"/>
  <c r="BG21" i="73"/>
  <c r="BF21" i="73"/>
  <c r="BE21" i="73"/>
  <c r="BD21" i="73"/>
  <c r="BC21" i="73"/>
  <c r="BB21" i="73"/>
  <c r="BA21" i="73"/>
  <c r="AZ21" i="73"/>
  <c r="AY21" i="73"/>
  <c r="AX21" i="73"/>
  <c r="AW21" i="73"/>
  <c r="AV21" i="73"/>
  <c r="AU21" i="73"/>
  <c r="AT21" i="73"/>
  <c r="AS21" i="73"/>
  <c r="AR21" i="73"/>
  <c r="AQ21" i="73"/>
  <c r="AP21" i="73"/>
  <c r="AO21" i="73"/>
  <c r="AN21" i="73"/>
  <c r="AM21" i="73"/>
  <c r="AI21" i="73"/>
  <c r="AH21" i="73"/>
  <c r="BJ20" i="73"/>
  <c r="BH20" i="73"/>
  <c r="BF20" i="73"/>
  <c r="BE20" i="73"/>
  <c r="BD20" i="73"/>
  <c r="BC20" i="73"/>
  <c r="BA20" i="73"/>
  <c r="AZ20" i="73"/>
  <c r="AX20" i="73"/>
  <c r="AU20" i="73"/>
  <c r="AT20" i="73"/>
  <c r="AR20" i="73"/>
  <c r="AQ20" i="73"/>
  <c r="AP20" i="73"/>
  <c r="AN20" i="73"/>
  <c r="AM20" i="73"/>
  <c r="AI20" i="73"/>
  <c r="AH20" i="73"/>
  <c r="BG19" i="73"/>
  <c r="BF19" i="73"/>
  <c r="AZ19" i="73"/>
  <c r="AY19" i="73"/>
  <c r="AW19" i="73"/>
  <c r="AV19" i="73"/>
  <c r="AO19" i="73"/>
  <c r="AN19" i="73"/>
  <c r="AI19" i="73"/>
  <c r="AH19" i="73"/>
  <c r="BI18" i="73"/>
  <c r="BH18" i="73"/>
  <c r="BD18" i="73"/>
  <c r="BC18" i="73"/>
  <c r="BB18" i="73"/>
  <c r="BA18" i="73"/>
  <c r="AZ18" i="73"/>
  <c r="AY18" i="73"/>
  <c r="AU18" i="73"/>
  <c r="AT18" i="73"/>
  <c r="AS18" i="73"/>
  <c r="AR18" i="73"/>
  <c r="AQ18" i="73"/>
  <c r="AP18" i="73"/>
  <c r="AO18" i="73"/>
  <c r="AN18" i="73"/>
  <c r="AI18" i="73"/>
  <c r="AH18" i="73"/>
  <c r="BJ17" i="73"/>
  <c r="BI17" i="73"/>
  <c r="BH17" i="73"/>
  <c r="BE17" i="73"/>
  <c r="BD17" i="73"/>
  <c r="BC17" i="73"/>
  <c r="BA17" i="73"/>
  <c r="AX17" i="73"/>
  <c r="AV17" i="73"/>
  <c r="AU17" i="73"/>
  <c r="AT17" i="73"/>
  <c r="AS17" i="73"/>
  <c r="AQ17" i="73"/>
  <c r="AN17" i="73"/>
  <c r="AM17" i="73"/>
  <c r="AI17" i="73"/>
  <c r="AH17" i="73"/>
  <c r="BH16" i="73"/>
  <c r="BF16" i="73"/>
  <c r="BE16" i="73"/>
  <c r="BD16" i="73"/>
  <c r="BC16" i="73"/>
  <c r="AU16" i="73"/>
  <c r="AR16" i="73"/>
  <c r="AQ16" i="73"/>
  <c r="AP16" i="73"/>
  <c r="AO16" i="73"/>
  <c r="AN16" i="73"/>
  <c r="AM16" i="73"/>
  <c r="AI16" i="73"/>
  <c r="AH16" i="73"/>
  <c r="AI15" i="73"/>
  <c r="AH15" i="73"/>
  <c r="AI14" i="73"/>
  <c r="AH14" i="73"/>
  <c r="AI13" i="73"/>
  <c r="AH13" i="73"/>
  <c r="AL12" i="73"/>
  <c r="AI12" i="73"/>
  <c r="AH12" i="73"/>
  <c r="AI11" i="73"/>
  <c r="AH11" i="73"/>
  <c r="C7" i="73"/>
  <c r="AF5" i="73"/>
  <c r="AD5" i="73"/>
  <c r="AA5" i="73"/>
  <c r="Y5" i="73"/>
  <c r="W5" i="73"/>
  <c r="R5" i="73"/>
  <c r="P5" i="73"/>
  <c r="N5" i="73"/>
  <c r="J5" i="73"/>
  <c r="I5" i="73"/>
  <c r="H5" i="73"/>
  <c r="F5" i="73"/>
  <c r="C5" i="73"/>
  <c r="B5" i="73"/>
  <c r="AG4" i="73"/>
  <c r="K4" i="73"/>
  <c r="E4" i="73"/>
  <c r="H4" i="73" s="1"/>
  <c r="B4" i="73"/>
  <c r="D261" i="73" s="1"/>
  <c r="AG3" i="73"/>
  <c r="AG2" i="73"/>
  <c r="AC61" i="72"/>
  <c r="AC65" i="72"/>
  <c r="AC79" i="72"/>
  <c r="AC83" i="72"/>
  <c r="AC95" i="72"/>
  <c r="AC104" i="72"/>
  <c r="AC105" i="72"/>
  <c r="AC106" i="72"/>
  <c r="AC107" i="72"/>
  <c r="AC108" i="72"/>
  <c r="AC109" i="72"/>
  <c r="AC121" i="72"/>
  <c r="AB61" i="72"/>
  <c r="AB65" i="72"/>
  <c r="AB79" i="72"/>
  <c r="AB83" i="72"/>
  <c r="Z61" i="72"/>
  <c r="Z65" i="72"/>
  <c r="Y61" i="72"/>
  <c r="Y65" i="72"/>
  <c r="Y79" i="72"/>
  <c r="Y83" i="72"/>
  <c r="U65" i="72"/>
  <c r="U61" i="72"/>
  <c r="S61" i="72"/>
  <c r="L254" i="74" l="1"/>
  <c r="K121" i="74"/>
  <c r="L250" i="74"/>
  <c r="K255" i="74"/>
  <c r="N249" i="74"/>
  <c r="AE5" i="73"/>
  <c r="BJ22" i="73"/>
  <c r="BI22" i="73"/>
  <c r="BH19" i="73"/>
  <c r="BH22" i="73"/>
  <c r="BH24" i="73" s="1"/>
  <c r="AD100" i="73"/>
  <c r="AD102" i="73" s="1"/>
  <c r="AD103" i="73" s="1"/>
  <c r="AD7" i="73" s="1"/>
  <c r="AB111" i="73"/>
  <c r="AA110" i="73"/>
  <c r="AA103" i="73" s="1"/>
  <c r="AA7" i="73" s="1"/>
  <c r="Z110" i="73"/>
  <c r="BF23" i="73" s="1"/>
  <c r="BF22" i="73"/>
  <c r="X110" i="73"/>
  <c r="BE23" i="73" s="1"/>
  <c r="E102" i="73"/>
  <c r="X111" i="73"/>
  <c r="V110" i="73"/>
  <c r="BD23" i="73" s="1"/>
  <c r="U5" i="73"/>
  <c r="BD19" i="73"/>
  <c r="S5" i="73"/>
  <c r="T110" i="73"/>
  <c r="BB23" i="73" s="1"/>
  <c r="S110" i="73"/>
  <c r="R110" i="73"/>
  <c r="AZ23" i="73" s="1"/>
  <c r="Q111" i="73"/>
  <c r="AY23" i="73"/>
  <c r="Q100" i="73"/>
  <c r="Q102" i="73" s="1"/>
  <c r="Q103" i="73" s="1"/>
  <c r="Q7" i="73" s="1"/>
  <c r="O5" i="73"/>
  <c r="AX23" i="73"/>
  <c r="O100" i="73"/>
  <c r="O102" i="73" s="1"/>
  <c r="AW16" i="73"/>
  <c r="AW22" i="73" s="1"/>
  <c r="N100" i="73"/>
  <c r="N102" i="73" s="1"/>
  <c r="N103" i="73" s="1"/>
  <c r="N7" i="73" s="1"/>
  <c r="AV22" i="73"/>
  <c r="AV24" i="73" s="1"/>
  <c r="AI79" i="73"/>
  <c r="M110" i="73"/>
  <c r="AU23" i="73" s="1"/>
  <c r="L110" i="73"/>
  <c r="L103" i="73" s="1"/>
  <c r="L7" i="73" s="1"/>
  <c r="K5" i="73"/>
  <c r="L111" i="73"/>
  <c r="K110" i="73"/>
  <c r="J110" i="73"/>
  <c r="AS19" i="73"/>
  <c r="AS22" i="73"/>
  <c r="I110" i="73"/>
  <c r="I103" i="73" s="1"/>
  <c r="I7" i="73" s="1"/>
  <c r="H110" i="73"/>
  <c r="H111" i="73"/>
  <c r="AI65" i="73"/>
  <c r="AR19" i="73"/>
  <c r="AR22" i="73"/>
  <c r="E5" i="73"/>
  <c r="AQ19" i="73"/>
  <c r="AQ22" i="73" s="1"/>
  <c r="AQ24" i="73" s="1"/>
  <c r="F110" i="73"/>
  <c r="AQ23" i="73" s="1"/>
  <c r="BF24" i="73"/>
  <c r="F103" i="73"/>
  <c r="F7" i="73" s="1"/>
  <c r="AH105" i="73"/>
  <c r="F254" i="73"/>
  <c r="E121" i="73"/>
  <c r="J103" i="73"/>
  <c r="J7" i="73" s="1"/>
  <c r="Z103" i="73"/>
  <c r="Z7" i="73" s="1"/>
  <c r="AH61" i="73"/>
  <c r="AH65" i="73"/>
  <c r="AZ75" i="73"/>
  <c r="BG82" i="73" a="1"/>
  <c r="N111" i="73"/>
  <c r="V111" i="73"/>
  <c r="AD111" i="73"/>
  <c r="V103" i="73"/>
  <c r="V7" i="73" s="1"/>
  <c r="BJ23" i="73"/>
  <c r="AF111" i="73"/>
  <c r="I111" i="73"/>
  <c r="AS23" i="73"/>
  <c r="AS24" i="73" s="1"/>
  <c r="AU19" i="73"/>
  <c r="AU22" i="73" s="1"/>
  <c r="AU24" i="73" s="1"/>
  <c r="BC19" i="73"/>
  <c r="BC22" i="73" s="1"/>
  <c r="G110" i="73"/>
  <c r="AR23" i="73" s="1"/>
  <c r="AI104" i="73"/>
  <c r="O110" i="73"/>
  <c r="AW23" i="73" s="1"/>
  <c r="AE110" i="73"/>
  <c r="BI23" i="73" s="1"/>
  <c r="R100" i="73"/>
  <c r="R102" i="73" s="1"/>
  <c r="R103" i="73" s="1"/>
  <c r="R7" i="73" s="1"/>
  <c r="AZ16" i="73"/>
  <c r="AZ22" i="73" s="1"/>
  <c r="AZ24" i="73" s="1"/>
  <c r="AL13" i="73"/>
  <c r="AN22" i="73"/>
  <c r="AN24" i="73" s="1"/>
  <c r="AX22" i="73"/>
  <c r="AX24" i="73" s="1"/>
  <c r="K100" i="73"/>
  <c r="K102" i="73" s="1"/>
  <c r="K103" i="73" s="1"/>
  <c r="K7" i="73" s="1"/>
  <c r="AT16" i="73"/>
  <c r="AT22" i="73" s="1"/>
  <c r="S100" i="73"/>
  <c r="S102" i="73" s="1"/>
  <c r="S103" i="73" s="1"/>
  <c r="S7" i="73" s="1"/>
  <c r="BA16" i="73"/>
  <c r="BA22" i="73" s="1"/>
  <c r="AI61" i="73"/>
  <c r="W100" i="73"/>
  <c r="W102" i="73" s="1"/>
  <c r="AI105" i="73"/>
  <c r="F250" i="73"/>
  <c r="G250" i="73" s="1"/>
  <c r="H250" i="73" s="1"/>
  <c r="I250" i="73" s="1"/>
  <c r="J250" i="73" s="1"/>
  <c r="K250" i="73" s="1"/>
  <c r="L250" i="73" s="1"/>
  <c r="M250" i="73" s="1"/>
  <c r="N250" i="73" s="1"/>
  <c r="O250" i="73" s="1"/>
  <c r="P250" i="73" s="1"/>
  <c r="Q250" i="73" s="1"/>
  <c r="R250" i="73" s="1"/>
  <c r="S250" i="73" s="1"/>
  <c r="T250" i="73" s="1"/>
  <c r="U250" i="73" s="1"/>
  <c r="V250" i="73" s="1"/>
  <c r="W250" i="73" s="1"/>
  <c r="X250" i="73" s="1"/>
  <c r="Y250" i="73" s="1"/>
  <c r="Z250" i="73" s="1"/>
  <c r="AA250" i="73" s="1"/>
  <c r="AB250" i="73" s="1"/>
  <c r="AC250" i="73" s="1"/>
  <c r="AD250" i="73" s="1"/>
  <c r="AE250" i="73" s="1"/>
  <c r="AF250" i="73" s="1"/>
  <c r="B250" i="73" s="1"/>
  <c r="E255" i="73"/>
  <c r="T100" i="73"/>
  <c r="T102" i="73" s="1"/>
  <c r="T103" i="73" s="1"/>
  <c r="T7" i="73" s="1"/>
  <c r="BB16" i="73"/>
  <c r="BB22" i="73" s="1"/>
  <c r="BB24" i="73" s="1"/>
  <c r="AC111" i="73"/>
  <c r="W110" i="73"/>
  <c r="W111" i="73" s="1"/>
  <c r="AO22" i="73"/>
  <c r="AO24" i="73" s="1"/>
  <c r="AB100" i="73"/>
  <c r="AB102" i="73" s="1"/>
  <c r="AB103" i="73" s="1"/>
  <c r="AB7" i="73" s="1"/>
  <c r="BG16" i="73"/>
  <c r="BG22" i="73" s="1"/>
  <c r="BG24" i="73" s="1"/>
  <c r="AG6" i="73"/>
  <c r="D5" i="73"/>
  <c r="L5" i="73"/>
  <c r="T5" i="73"/>
  <c r="AB5" i="73"/>
  <c r="AP22" i="73"/>
  <c r="BD22" i="73"/>
  <c r="BD24" i="73" s="1"/>
  <c r="E110" i="73"/>
  <c r="AP23" i="73" s="1"/>
  <c r="AH106" i="73"/>
  <c r="U110" i="73"/>
  <c r="BC23" i="73" s="1"/>
  <c r="BE22" i="73"/>
  <c r="BE24" i="73" s="1"/>
  <c r="AP19" i="73"/>
  <c r="G249" i="73"/>
  <c r="F255" i="73"/>
  <c r="AC100" i="73"/>
  <c r="AC102" i="73" s="1"/>
  <c r="AC103" i="73" s="1"/>
  <c r="AC7" i="73" s="1"/>
  <c r="AH79" i="73"/>
  <c r="B110" i="73"/>
  <c r="M100" i="73"/>
  <c r="M102" i="73" s="1"/>
  <c r="M103" i="73" s="1"/>
  <c r="M7" i="73" s="1"/>
  <c r="U100" i="73"/>
  <c r="U102" i="73" s="1"/>
  <c r="AY16" i="73"/>
  <c r="AY22" i="73" s="1"/>
  <c r="AY24" i="73" s="1"/>
  <c r="AM18" i="73"/>
  <c r="AM22" i="73" s="1"/>
  <c r="AG102" i="73"/>
  <c r="AH104" i="73"/>
  <c r="AI108" i="73"/>
  <c r="D255" i="73"/>
  <c r="B111" i="73"/>
  <c r="AI95" i="73"/>
  <c r="J111" i="73"/>
  <c r="R111" i="73"/>
  <c r="Z111" i="73"/>
  <c r="AH95" i="73"/>
  <c r="AE100" i="73"/>
  <c r="AE102" i="73" s="1"/>
  <c r="AI106" i="73"/>
  <c r="AI107" i="73"/>
  <c r="AH108" i="73"/>
  <c r="AM19" i="73"/>
  <c r="H100" i="73"/>
  <c r="H102" i="73" s="1"/>
  <c r="H103" i="73" s="1"/>
  <c r="H7" i="73" s="1"/>
  <c r="P100" i="73"/>
  <c r="P102" i="73" s="1"/>
  <c r="P103" i="73" s="1"/>
  <c r="P7" i="73" s="1"/>
  <c r="X100" i="73"/>
  <c r="X102" i="73" s="1"/>
  <c r="X103" i="73" s="1"/>
  <c r="X7" i="73" s="1"/>
  <c r="AF100" i="73"/>
  <c r="AF102" i="73" s="1"/>
  <c r="AF103" i="73" s="1"/>
  <c r="AF7" i="73" s="1"/>
  <c r="AI83" i="73"/>
  <c r="AH83" i="73"/>
  <c r="AH107" i="73"/>
  <c r="AC110" i="72"/>
  <c r="AC111" i="72" s="1"/>
  <c r="AC100" i="72"/>
  <c r="AC102" i="72" s="1"/>
  <c r="AC103" i="72" s="1"/>
  <c r="BI24" i="73" l="1"/>
  <c r="BJ24" i="73"/>
  <c r="M250" i="74"/>
  <c r="L255" i="74"/>
  <c r="O249" i="74"/>
  <c r="M254" i="74"/>
  <c r="L121" i="74"/>
  <c r="AA111" i="73"/>
  <c r="W103" i="73"/>
  <c r="W7" i="73" s="1"/>
  <c r="BC24" i="73"/>
  <c r="U103" i="73"/>
  <c r="U7" i="73" s="1"/>
  <c r="T111" i="73"/>
  <c r="S111" i="73"/>
  <c r="BA23" i="73"/>
  <c r="BA24" i="73" s="1"/>
  <c r="O103" i="73"/>
  <c r="O7" i="73" s="1"/>
  <c r="M111" i="73"/>
  <c r="K111" i="73"/>
  <c r="AT23" i="73"/>
  <c r="AT24" i="73" s="1"/>
  <c r="AR24" i="73"/>
  <c r="G103" i="73"/>
  <c r="G7" i="73" s="1"/>
  <c r="F111" i="73"/>
  <c r="AP24" i="73"/>
  <c r="E103" i="73"/>
  <c r="E7" i="73" s="1"/>
  <c r="AT8" i="73"/>
  <c r="AE111" i="73"/>
  <c r="BK105" i="73"/>
  <c r="BI104" i="73"/>
  <c r="BG103" i="73"/>
  <c r="BK101" i="73"/>
  <c r="BI100" i="73"/>
  <c r="BG99" i="73"/>
  <c r="BK97" i="73"/>
  <c r="BI96" i="73"/>
  <c r="BG95" i="73"/>
  <c r="BK93" i="73"/>
  <c r="BI92" i="73"/>
  <c r="BG91" i="73"/>
  <c r="BK89" i="73"/>
  <c r="BI88" i="73"/>
  <c r="BG87" i="73"/>
  <c r="BK85" i="73"/>
  <c r="BI84" i="73"/>
  <c r="BG83" i="73"/>
  <c r="BI105" i="73"/>
  <c r="BG104" i="73"/>
  <c r="BK102" i="73"/>
  <c r="BI101" i="73"/>
  <c r="BG100" i="73"/>
  <c r="BK98" i="73"/>
  <c r="BI97" i="73"/>
  <c r="BG96" i="73"/>
  <c r="BK94" i="73"/>
  <c r="BI93" i="73"/>
  <c r="BG92" i="73"/>
  <c r="BK90" i="73"/>
  <c r="BI89" i="73"/>
  <c r="BG88" i="73"/>
  <c r="BK86" i="73"/>
  <c r="BI85" i="73"/>
  <c r="BG84" i="73"/>
  <c r="BK82" i="73"/>
  <c r="BL104" i="73"/>
  <c r="BJ103" i="73"/>
  <c r="BH102" i="73"/>
  <c r="BL100" i="73"/>
  <c r="BJ99" i="73"/>
  <c r="BH98" i="73"/>
  <c r="BL96" i="73"/>
  <c r="BJ95" i="73"/>
  <c r="BH94" i="73"/>
  <c r="BL92" i="73"/>
  <c r="BJ91" i="73"/>
  <c r="BH90" i="73"/>
  <c r="BL88" i="73"/>
  <c r="BJ87" i="73"/>
  <c r="BH86" i="73"/>
  <c r="BL84" i="73"/>
  <c r="BJ83" i="73"/>
  <c r="BH82" i="73"/>
  <c r="BH104" i="73"/>
  <c r="BG102" i="73"/>
  <c r="BL99" i="73"/>
  <c r="BL97" i="73"/>
  <c r="BK95" i="73"/>
  <c r="BJ93" i="73"/>
  <c r="BI91" i="73"/>
  <c r="BH89" i="73"/>
  <c r="BH87" i="73"/>
  <c r="BG85" i="73"/>
  <c r="BL82" i="73"/>
  <c r="BL103" i="73"/>
  <c r="BL101" i="73"/>
  <c r="BK99" i="73"/>
  <c r="BJ97" i="73"/>
  <c r="BI95" i="73"/>
  <c r="BH93" i="73"/>
  <c r="BH91" i="73"/>
  <c r="BG89" i="73"/>
  <c r="BL86" i="73"/>
  <c r="BK84" i="73"/>
  <c r="BJ82" i="73"/>
  <c r="BL105" i="73"/>
  <c r="BK103" i="73"/>
  <c r="BJ101" i="73"/>
  <c r="BI99" i="73"/>
  <c r="BH97" i="73"/>
  <c r="BH95" i="73"/>
  <c r="BG93" i="73"/>
  <c r="BL90" i="73"/>
  <c r="BK88" i="73"/>
  <c r="BJ86" i="73"/>
  <c r="BJ84" i="73"/>
  <c r="BI82" i="73"/>
  <c r="BJ105" i="73"/>
  <c r="BI103" i="73"/>
  <c r="BH101" i="73"/>
  <c r="BH99" i="73"/>
  <c r="BG97" i="73"/>
  <c r="BL94" i="73"/>
  <c r="BK92" i="73"/>
  <c r="BJ90" i="73"/>
  <c r="BJ88" i="73"/>
  <c r="BI86" i="73"/>
  <c r="BH84" i="73"/>
  <c r="BG82" i="73"/>
  <c r="BH105" i="73"/>
  <c r="BH103" i="73"/>
  <c r="BG101" i="73"/>
  <c r="BL98" i="73"/>
  <c r="BK96" i="73"/>
  <c r="BJ94" i="73"/>
  <c r="BJ92" i="73"/>
  <c r="BI90" i="73"/>
  <c r="BH88" i="73"/>
  <c r="BG86" i="73"/>
  <c r="BL83" i="73"/>
  <c r="BK104" i="73"/>
  <c r="BJ98" i="73"/>
  <c r="BL93" i="73"/>
  <c r="BK87" i="73"/>
  <c r="BJ104" i="73"/>
  <c r="BI98" i="73"/>
  <c r="BH92" i="73"/>
  <c r="BI87" i="73"/>
  <c r="BK83" i="73"/>
  <c r="BI94" i="73"/>
  <c r="BI83" i="73"/>
  <c r="BL102" i="73"/>
  <c r="BG98" i="73"/>
  <c r="BL91" i="73"/>
  <c r="BL85" i="73"/>
  <c r="BJ102" i="73"/>
  <c r="BJ96" i="73"/>
  <c r="BK91" i="73"/>
  <c r="BJ85" i="73"/>
  <c r="BK100" i="73"/>
  <c r="BL95" i="73"/>
  <c r="BL89" i="73"/>
  <c r="BJ100" i="73"/>
  <c r="BJ89" i="73"/>
  <c r="BI102" i="73"/>
  <c r="BH96" i="73"/>
  <c r="BG90" i="73"/>
  <c r="BH85" i="73"/>
  <c r="BG105" i="73"/>
  <c r="BH100" i="73"/>
  <c r="BG94" i="73"/>
  <c r="BL87" i="73"/>
  <c r="BH83" i="73"/>
  <c r="AW24" i="73"/>
  <c r="O111" i="73"/>
  <c r="G254" i="73"/>
  <c r="H254" i="73" s="1"/>
  <c r="I254" i="73" s="1"/>
  <c r="J254" i="73" s="1"/>
  <c r="K254" i="73" s="1"/>
  <c r="L254" i="73" s="1"/>
  <c r="M254" i="73" s="1"/>
  <c r="N254" i="73" s="1"/>
  <c r="O254" i="73" s="1"/>
  <c r="P254" i="73" s="1"/>
  <c r="Q254" i="73" s="1"/>
  <c r="R254" i="73" s="1"/>
  <c r="S254" i="73" s="1"/>
  <c r="T254" i="73" s="1"/>
  <c r="U254" i="73" s="1"/>
  <c r="V254" i="73" s="1"/>
  <c r="W254" i="73" s="1"/>
  <c r="X254" i="73" s="1"/>
  <c r="Y254" i="73" s="1"/>
  <c r="Z254" i="73" s="1"/>
  <c r="AA254" i="73" s="1"/>
  <c r="AB254" i="73" s="1"/>
  <c r="AC254" i="73" s="1"/>
  <c r="AD254" i="73" s="1"/>
  <c r="AE254" i="73" s="1"/>
  <c r="AF254" i="73" s="1"/>
  <c r="B254" i="73" s="1"/>
  <c r="AH100" i="73"/>
  <c r="H249" i="73"/>
  <c r="G255" i="73"/>
  <c r="AE103" i="73"/>
  <c r="AE7" i="73" s="1"/>
  <c r="AM23" i="73"/>
  <c r="AM24" i="73" s="1"/>
  <c r="AI110" i="73"/>
  <c r="AH110" i="73"/>
  <c r="E111" i="73"/>
  <c r="G111" i="73"/>
  <c r="B259" i="73"/>
  <c r="U111" i="73"/>
  <c r="AI102" i="73"/>
  <c r="AI100" i="73"/>
  <c r="AH102" i="73"/>
  <c r="C259" i="73"/>
  <c r="B103" i="73"/>
  <c r="N254" i="74" l="1"/>
  <c r="M121" i="74"/>
  <c r="P249" i="74"/>
  <c r="N250" i="74"/>
  <c r="M255" i="74"/>
  <c r="AT9" i="73"/>
  <c r="AH111" i="73"/>
  <c r="AI111" i="73"/>
  <c r="K6" i="73"/>
  <c r="I249" i="73"/>
  <c r="H255" i="73"/>
  <c r="H121" i="73"/>
  <c r="AI103" i="73"/>
  <c r="AH103" i="73"/>
  <c r="B7" i="73"/>
  <c r="A7" i="73" s="1"/>
  <c r="O250" i="74" l="1"/>
  <c r="N255" i="74"/>
  <c r="Q249" i="74"/>
  <c r="O254" i="74"/>
  <c r="N121" i="74"/>
  <c r="J249" i="73"/>
  <c r="I255" i="73"/>
  <c r="I121" i="73"/>
  <c r="P254" i="74" l="1"/>
  <c r="Q254" i="74" s="1"/>
  <c r="R254" i="74" s="1"/>
  <c r="S254" i="74" s="1"/>
  <c r="T254" i="74" s="1"/>
  <c r="U254" i="74" s="1"/>
  <c r="V254" i="74" s="1"/>
  <c r="W254" i="74" s="1"/>
  <c r="X254" i="74" s="1"/>
  <c r="Y254" i="74" s="1"/>
  <c r="Z254" i="74" s="1"/>
  <c r="AA254" i="74" s="1"/>
  <c r="AB254" i="74" s="1"/>
  <c r="AC254" i="74" s="1"/>
  <c r="AD254" i="74" s="1"/>
  <c r="AE254" i="74" s="1"/>
  <c r="AF254" i="74" s="1"/>
  <c r="B254" i="74" s="1"/>
  <c r="O121" i="74"/>
  <c r="Q121" i="74"/>
  <c r="R249" i="74"/>
  <c r="P250" i="74"/>
  <c r="O255" i="74"/>
  <c r="J255" i="73"/>
  <c r="J121" i="73"/>
  <c r="K249" i="73"/>
  <c r="Q250" i="74" l="1"/>
  <c r="P255" i="74"/>
  <c r="R121" i="74"/>
  <c r="S249" i="74"/>
  <c r="K255" i="73"/>
  <c r="K121" i="73"/>
  <c r="L249" i="73"/>
  <c r="S121" i="74" l="1"/>
  <c r="T249" i="74"/>
  <c r="R250" i="74"/>
  <c r="Q255" i="74"/>
  <c r="L255" i="73"/>
  <c r="L121" i="73"/>
  <c r="M249" i="73"/>
  <c r="T121" i="74" l="1"/>
  <c r="U249" i="74"/>
  <c r="S250" i="74"/>
  <c r="R255" i="74"/>
  <c r="M255" i="73"/>
  <c r="M121" i="73"/>
  <c r="N249" i="73"/>
  <c r="T250" i="74" l="1"/>
  <c r="S255" i="74"/>
  <c r="U121" i="74"/>
  <c r="V249" i="74"/>
  <c r="O249" i="73"/>
  <c r="N255" i="73"/>
  <c r="N121" i="73"/>
  <c r="W249" i="74" l="1"/>
  <c r="V121" i="74"/>
  <c r="U250" i="74"/>
  <c r="T255" i="74"/>
  <c r="P249" i="73"/>
  <c r="O255" i="73"/>
  <c r="O121" i="73"/>
  <c r="V250" i="74" l="1"/>
  <c r="U255" i="74"/>
  <c r="X249" i="74"/>
  <c r="W121" i="74"/>
  <c r="Q249" i="73"/>
  <c r="P255" i="73"/>
  <c r="Y249" i="74" l="1"/>
  <c r="X121" i="74"/>
  <c r="W250" i="74"/>
  <c r="V255" i="74"/>
  <c r="Q255" i="73"/>
  <c r="Q121" i="73"/>
  <c r="R249" i="73"/>
  <c r="X250" i="74" l="1"/>
  <c r="W255" i="74"/>
  <c r="Z249" i="74"/>
  <c r="R255" i="73"/>
  <c r="R121" i="73"/>
  <c r="S249" i="73"/>
  <c r="AA249" i="74" l="1"/>
  <c r="Y250" i="74"/>
  <c r="X255" i="74"/>
  <c r="S255" i="73"/>
  <c r="S121" i="73"/>
  <c r="T249" i="73"/>
  <c r="Z250" i="74" l="1"/>
  <c r="Y255" i="74"/>
  <c r="AA121" i="74"/>
  <c r="AB249" i="74"/>
  <c r="T255" i="73"/>
  <c r="T121" i="73"/>
  <c r="U249" i="73"/>
  <c r="AB121" i="74" l="1"/>
  <c r="AC249" i="74"/>
  <c r="AA250" i="74"/>
  <c r="Z255" i="74"/>
  <c r="U121" i="73"/>
  <c r="V249" i="73"/>
  <c r="U255" i="73"/>
  <c r="AB250" i="74" l="1"/>
  <c r="AA255" i="74"/>
  <c r="AC121" i="74"/>
  <c r="AD249" i="74"/>
  <c r="W249" i="73"/>
  <c r="V121" i="73"/>
  <c r="V255" i="73"/>
  <c r="AE249" i="74" l="1"/>
  <c r="AD121" i="74"/>
  <c r="AC250" i="74"/>
  <c r="AB255" i="74"/>
  <c r="X249" i="73"/>
  <c r="W255" i="73"/>
  <c r="W121" i="73"/>
  <c r="AD250" i="74" l="1"/>
  <c r="AC255" i="74"/>
  <c r="AF249" i="74"/>
  <c r="AE121" i="74"/>
  <c r="Y249" i="73"/>
  <c r="X121" i="73"/>
  <c r="X255" i="73"/>
  <c r="AF121" i="74" l="1"/>
  <c r="B249" i="74"/>
  <c r="AE250" i="74"/>
  <c r="AD255" i="74"/>
  <c r="Y255" i="73"/>
  <c r="Z249" i="73"/>
  <c r="B121" i="74" l="1"/>
  <c r="AF250" i="74"/>
  <c r="AE255" i="74"/>
  <c r="Z255" i="73"/>
  <c r="AA249" i="73"/>
  <c r="B250" i="74" l="1"/>
  <c r="B255" i="74" s="1"/>
  <c r="AF255" i="74"/>
  <c r="AI121" i="74"/>
  <c r="AH121" i="74"/>
  <c r="AA255" i="73"/>
  <c r="AA121" i="73"/>
  <c r="AB249" i="73"/>
  <c r="AB255" i="73" l="1"/>
  <c r="AB121" i="73"/>
  <c r="AC249" i="73"/>
  <c r="AC121" i="73" l="1"/>
  <c r="AC255" i="73"/>
  <c r="AD249" i="73"/>
  <c r="AE249" i="73" l="1"/>
  <c r="AD255" i="73"/>
  <c r="AD121" i="73"/>
  <c r="AF249" i="73" l="1"/>
  <c r="AE255" i="73"/>
  <c r="AE121" i="73"/>
  <c r="AF121" i="73" l="1"/>
  <c r="AF255" i="73"/>
  <c r="B249" i="73"/>
  <c r="B255" i="73" l="1"/>
  <c r="B121" i="73"/>
  <c r="AI121" i="73" l="1"/>
  <c r="AH121" i="73"/>
  <c r="M65" i="72" l="1"/>
  <c r="N60" i="72"/>
  <c r="M60" i="72" l="1"/>
  <c r="K124" i="72"/>
  <c r="L124" i="72"/>
  <c r="L65" i="72"/>
  <c r="L60" i="72"/>
  <c r="L31" i="72"/>
  <c r="K31" i="72"/>
  <c r="K61" i="72" s="1"/>
  <c r="K65" i="72"/>
  <c r="J124" i="72"/>
  <c r="I65" i="72"/>
  <c r="J65" i="72"/>
  <c r="I60" i="72"/>
  <c r="I28" i="72"/>
  <c r="I31" i="72"/>
  <c r="J31" i="72"/>
  <c r="I32" i="72"/>
  <c r="J32" i="72"/>
  <c r="H31" i="72"/>
  <c r="G124" i="72"/>
  <c r="H124" i="72"/>
  <c r="G65" i="72"/>
  <c r="H65" i="72"/>
  <c r="H60" i="72"/>
  <c r="G28" i="72"/>
  <c r="H28" i="72"/>
  <c r="G32" i="72"/>
  <c r="H32" i="72"/>
  <c r="F124" i="72"/>
  <c r="F32" i="72"/>
  <c r="F28" i="72"/>
  <c r="F61" i="72" s="1"/>
  <c r="E20" i="72"/>
  <c r="F60" i="72"/>
  <c r="F65" i="72"/>
  <c r="G61" i="72" l="1"/>
  <c r="H61" i="72"/>
  <c r="E124" i="72"/>
  <c r="E60" i="72"/>
  <c r="E61" i="72"/>
  <c r="E65" i="72"/>
  <c r="D124" i="72"/>
  <c r="B124" i="72"/>
  <c r="D60" i="72"/>
  <c r="D61" i="72"/>
  <c r="D65" i="72"/>
  <c r="D79" i="72"/>
  <c r="D83" i="72"/>
  <c r="D95" i="72"/>
  <c r="D100" i="72" s="1"/>
  <c r="D102" i="72" s="1"/>
  <c r="D104" i="72"/>
  <c r="D105" i="72"/>
  <c r="D106" i="72"/>
  <c r="D107" i="72"/>
  <c r="D108" i="72"/>
  <c r="D109" i="72"/>
  <c r="AH128" i="72"/>
  <c r="AI128" i="72"/>
  <c r="AH127" i="72"/>
  <c r="AI127" i="72"/>
  <c r="C124" i="72"/>
  <c r="C121" i="72" s="1"/>
  <c r="C60" i="72"/>
  <c r="C61" i="72"/>
  <c r="C65" i="72"/>
  <c r="C79" i="72"/>
  <c r="C83" i="72"/>
  <c r="B60" i="72"/>
  <c r="AH60" i="72" s="1"/>
  <c r="B109" i="72"/>
  <c r="B108" i="72"/>
  <c r="B107" i="72"/>
  <c r="B106" i="72"/>
  <c r="B105" i="72"/>
  <c r="B104" i="72"/>
  <c r="B95" i="72"/>
  <c r="B83" i="72"/>
  <c r="AM20" i="72" s="1"/>
  <c r="B79" i="72"/>
  <c r="AM18" i="72" s="1"/>
  <c r="B65" i="72"/>
  <c r="AM17" i="72" s="1"/>
  <c r="B61" i="72"/>
  <c r="AM16" i="72" s="1"/>
  <c r="G109" i="72"/>
  <c r="G108" i="72"/>
  <c r="G107" i="72"/>
  <c r="G106" i="72"/>
  <c r="G105" i="72"/>
  <c r="G104" i="72"/>
  <c r="G110" i="72" s="1"/>
  <c r="G95" i="72"/>
  <c r="G83" i="72"/>
  <c r="G79" i="72"/>
  <c r="AR18" i="72" s="1"/>
  <c r="AR17" i="72"/>
  <c r="AG255" i="72"/>
  <c r="C255" i="72"/>
  <c r="D254" i="72"/>
  <c r="J253" i="72"/>
  <c r="K253" i="72" s="1"/>
  <c r="L253" i="72" s="1"/>
  <c r="M253" i="72" s="1"/>
  <c r="N253" i="72" s="1"/>
  <c r="O253" i="72" s="1"/>
  <c r="P253" i="72" s="1"/>
  <c r="Q253" i="72" s="1"/>
  <c r="R253" i="72" s="1"/>
  <c r="S253" i="72" s="1"/>
  <c r="T253" i="72" s="1"/>
  <c r="U253" i="72" s="1"/>
  <c r="V253" i="72" s="1"/>
  <c r="W253" i="72" s="1"/>
  <c r="X253" i="72" s="1"/>
  <c r="Y253" i="72" s="1"/>
  <c r="Z253" i="72" s="1"/>
  <c r="AA253" i="72" s="1"/>
  <c r="AB253" i="72" s="1"/>
  <c r="AC253" i="72" s="1"/>
  <c r="AD253" i="72" s="1"/>
  <c r="AE253" i="72" s="1"/>
  <c r="AF253" i="72" s="1"/>
  <c r="B253" i="72" s="1"/>
  <c r="D253" i="72"/>
  <c r="E253" i="72" s="1"/>
  <c r="F253" i="72" s="1"/>
  <c r="G253" i="72" s="1"/>
  <c r="H253" i="72" s="1"/>
  <c r="I253" i="72" s="1"/>
  <c r="D252" i="72"/>
  <c r="E252" i="72" s="1"/>
  <c r="F252" i="72" s="1"/>
  <c r="G252" i="72" s="1"/>
  <c r="H252" i="72" s="1"/>
  <c r="I252" i="72" s="1"/>
  <c r="J252" i="72" s="1"/>
  <c r="K252" i="72" s="1"/>
  <c r="L252" i="72" s="1"/>
  <c r="M252" i="72" s="1"/>
  <c r="N252" i="72" s="1"/>
  <c r="O252" i="72" s="1"/>
  <c r="P252" i="72" s="1"/>
  <c r="Q252" i="72" s="1"/>
  <c r="R252" i="72" s="1"/>
  <c r="S252" i="72" s="1"/>
  <c r="T252" i="72" s="1"/>
  <c r="U252" i="72" s="1"/>
  <c r="V252" i="72" s="1"/>
  <c r="W252" i="72" s="1"/>
  <c r="X252" i="72" s="1"/>
  <c r="Y252" i="72" s="1"/>
  <c r="Z252" i="72" s="1"/>
  <c r="AA252" i="72" s="1"/>
  <c r="AB252" i="72" s="1"/>
  <c r="AC252" i="72" s="1"/>
  <c r="AD252" i="72" s="1"/>
  <c r="AE252" i="72" s="1"/>
  <c r="AF252" i="72" s="1"/>
  <c r="B252" i="72" s="1"/>
  <c r="F251" i="72"/>
  <c r="G251" i="72" s="1"/>
  <c r="H251" i="72" s="1"/>
  <c r="I251" i="72" s="1"/>
  <c r="J251" i="72" s="1"/>
  <c r="K251" i="72" s="1"/>
  <c r="L251" i="72" s="1"/>
  <c r="M251" i="72" s="1"/>
  <c r="N251" i="72" s="1"/>
  <c r="O251" i="72" s="1"/>
  <c r="P251" i="72" s="1"/>
  <c r="Q251" i="72" s="1"/>
  <c r="R251" i="72" s="1"/>
  <c r="S251" i="72" s="1"/>
  <c r="T251" i="72" s="1"/>
  <c r="U251" i="72" s="1"/>
  <c r="V251" i="72" s="1"/>
  <c r="W251" i="72" s="1"/>
  <c r="X251" i="72" s="1"/>
  <c r="Y251" i="72" s="1"/>
  <c r="Z251" i="72" s="1"/>
  <c r="AA251" i="72" s="1"/>
  <c r="AB251" i="72" s="1"/>
  <c r="AC251" i="72" s="1"/>
  <c r="AD251" i="72" s="1"/>
  <c r="AE251" i="72" s="1"/>
  <c r="AF251" i="72" s="1"/>
  <c r="B251" i="72" s="1"/>
  <c r="D251" i="72"/>
  <c r="E251" i="72" s="1"/>
  <c r="D250" i="72"/>
  <c r="E250" i="72" s="1"/>
  <c r="F250" i="72" s="1"/>
  <c r="G250" i="72" s="1"/>
  <c r="H250" i="72" s="1"/>
  <c r="I250" i="72" s="1"/>
  <c r="J250" i="72" s="1"/>
  <c r="K250" i="72" s="1"/>
  <c r="L250" i="72" s="1"/>
  <c r="M250" i="72" s="1"/>
  <c r="N250" i="72" s="1"/>
  <c r="O250" i="72" s="1"/>
  <c r="P250" i="72" s="1"/>
  <c r="Q250" i="72" s="1"/>
  <c r="R250" i="72" s="1"/>
  <c r="S250" i="72" s="1"/>
  <c r="T250" i="72" s="1"/>
  <c r="U250" i="72" s="1"/>
  <c r="V250" i="72" s="1"/>
  <c r="W250" i="72" s="1"/>
  <c r="X250" i="72" s="1"/>
  <c r="Y250" i="72" s="1"/>
  <c r="Z250" i="72" s="1"/>
  <c r="AA250" i="72" s="1"/>
  <c r="AB250" i="72" s="1"/>
  <c r="AC250" i="72" s="1"/>
  <c r="AD250" i="72" s="1"/>
  <c r="AE250" i="72" s="1"/>
  <c r="AF250" i="72" s="1"/>
  <c r="B250" i="72" s="1"/>
  <c r="D249" i="72"/>
  <c r="AG247" i="72"/>
  <c r="AF247" i="72"/>
  <c r="AE247" i="72"/>
  <c r="AD247" i="72"/>
  <c r="AC247" i="72"/>
  <c r="AB247" i="72"/>
  <c r="AA247" i="72"/>
  <c r="Z247" i="72"/>
  <c r="Z121" i="72" s="1"/>
  <c r="Y247" i="72"/>
  <c r="Y121" i="72" s="1"/>
  <c r="X247" i="72"/>
  <c r="W247" i="72"/>
  <c r="V247" i="72"/>
  <c r="U247" i="72"/>
  <c r="T247" i="72"/>
  <c r="S247" i="72"/>
  <c r="R247" i="72"/>
  <c r="Q247" i="72"/>
  <c r="P247" i="72"/>
  <c r="O247" i="72"/>
  <c r="N247" i="72"/>
  <c r="M247" i="72"/>
  <c r="L247" i="72"/>
  <c r="K247" i="72"/>
  <c r="J247" i="72"/>
  <c r="I247" i="72"/>
  <c r="H247" i="72"/>
  <c r="G247" i="72"/>
  <c r="F247" i="72"/>
  <c r="E247" i="72"/>
  <c r="D247" i="72"/>
  <c r="C247" i="72"/>
  <c r="B247" i="72"/>
  <c r="AI133" i="72"/>
  <c r="AH133" i="72"/>
  <c r="AI132" i="72"/>
  <c r="AH132" i="72"/>
  <c r="AI131" i="72"/>
  <c r="AH131" i="72"/>
  <c r="AI130" i="72"/>
  <c r="AH130" i="72"/>
  <c r="AI129" i="72"/>
  <c r="AH129" i="72"/>
  <c r="AI126" i="72"/>
  <c r="AH126" i="72"/>
  <c r="AI125" i="72"/>
  <c r="AH125" i="72"/>
  <c r="AI123" i="72"/>
  <c r="AH123" i="72"/>
  <c r="AI122" i="72"/>
  <c r="AH122" i="72"/>
  <c r="AI120" i="72"/>
  <c r="AH120" i="72"/>
  <c r="AI119" i="72"/>
  <c r="AH119" i="72"/>
  <c r="AI118" i="72"/>
  <c r="AH118" i="72"/>
  <c r="AI117" i="72"/>
  <c r="AH117" i="72"/>
  <c r="AI116" i="72"/>
  <c r="AH116" i="72"/>
  <c r="AI115" i="72"/>
  <c r="AH115" i="72"/>
  <c r="AI114" i="72"/>
  <c r="AH114" i="72"/>
  <c r="AI113" i="72"/>
  <c r="AH113" i="72"/>
  <c r="AI112" i="72"/>
  <c r="AH112" i="72"/>
  <c r="AD109" i="72"/>
  <c r="AB109" i="72"/>
  <c r="AA109" i="72"/>
  <c r="Z109" i="72"/>
  <c r="Y109" i="72"/>
  <c r="X109" i="72"/>
  <c r="W109" i="72"/>
  <c r="V109" i="72"/>
  <c r="U109" i="72"/>
  <c r="T109" i="72"/>
  <c r="S109" i="72"/>
  <c r="R109" i="72"/>
  <c r="Q109" i="72"/>
  <c r="P109" i="72"/>
  <c r="O109" i="72"/>
  <c r="N109" i="72"/>
  <c r="M109" i="72"/>
  <c r="L109" i="72"/>
  <c r="K109" i="72"/>
  <c r="J109" i="72"/>
  <c r="I109" i="72"/>
  <c r="H109" i="72"/>
  <c r="F109" i="72"/>
  <c r="E109" i="72"/>
  <c r="C109" i="72"/>
  <c r="AD108" i="72"/>
  <c r="AB108" i="72"/>
  <c r="AA108" i="72"/>
  <c r="Z108" i="72"/>
  <c r="Y108" i="72"/>
  <c r="X108" i="72"/>
  <c r="W108" i="72"/>
  <c r="V108" i="72"/>
  <c r="U108" i="72"/>
  <c r="T108" i="72"/>
  <c r="S108" i="72"/>
  <c r="R108" i="72"/>
  <c r="Q108" i="72"/>
  <c r="P108" i="72"/>
  <c r="O108" i="72"/>
  <c r="N108" i="72"/>
  <c r="M108" i="72"/>
  <c r="L108" i="72"/>
  <c r="K108" i="72"/>
  <c r="J108" i="72"/>
  <c r="I108" i="72"/>
  <c r="H108" i="72"/>
  <c r="F108" i="72"/>
  <c r="E108" i="72"/>
  <c r="C108" i="72"/>
  <c r="AD107" i="72"/>
  <c r="AB107" i="72"/>
  <c r="AA107" i="72"/>
  <c r="Z107" i="72"/>
  <c r="Y107" i="72"/>
  <c r="X107" i="72"/>
  <c r="W107" i="72"/>
  <c r="V107" i="72"/>
  <c r="U107" i="72"/>
  <c r="T107" i="72"/>
  <c r="S107" i="72"/>
  <c r="R107" i="72"/>
  <c r="Q107" i="72"/>
  <c r="P107" i="72"/>
  <c r="O107" i="72"/>
  <c r="N107" i="72"/>
  <c r="M107" i="72"/>
  <c r="L107" i="72"/>
  <c r="K107" i="72"/>
  <c r="J107" i="72"/>
  <c r="I107" i="72"/>
  <c r="H107" i="72"/>
  <c r="F107" i="72"/>
  <c r="E107" i="72"/>
  <c r="C107" i="72"/>
  <c r="AD106" i="72"/>
  <c r="AB106" i="72"/>
  <c r="AA106" i="72"/>
  <c r="Z106" i="72"/>
  <c r="Y106" i="72"/>
  <c r="X106" i="72"/>
  <c r="W106" i="72"/>
  <c r="V106" i="72"/>
  <c r="U106" i="72"/>
  <c r="T106" i="72"/>
  <c r="S106" i="72"/>
  <c r="R106" i="72"/>
  <c r="Q106" i="72"/>
  <c r="P106" i="72"/>
  <c r="O106" i="72"/>
  <c r="N106" i="72"/>
  <c r="M106" i="72"/>
  <c r="L106" i="72"/>
  <c r="K106" i="72"/>
  <c r="J106" i="72"/>
  <c r="I106" i="72"/>
  <c r="H106" i="72"/>
  <c r="F106" i="72"/>
  <c r="E106" i="72"/>
  <c r="C106" i="72"/>
  <c r="AD105" i="72"/>
  <c r="AB105" i="72"/>
  <c r="AA105" i="72"/>
  <c r="Z105" i="72"/>
  <c r="Y105" i="72"/>
  <c r="X105" i="72"/>
  <c r="W105" i="72"/>
  <c r="V105" i="72"/>
  <c r="U105" i="72"/>
  <c r="T105" i="72"/>
  <c r="S105" i="72"/>
  <c r="R105" i="72"/>
  <c r="Q105" i="72"/>
  <c r="P105" i="72"/>
  <c r="O105" i="72"/>
  <c r="N105" i="72"/>
  <c r="M105" i="72"/>
  <c r="L105" i="72"/>
  <c r="K105" i="72"/>
  <c r="J105" i="72"/>
  <c r="I105" i="72"/>
  <c r="H105" i="72"/>
  <c r="F105" i="72"/>
  <c r="E105" i="72"/>
  <c r="C105" i="72"/>
  <c r="AD104" i="72"/>
  <c r="AB104" i="72"/>
  <c r="AA104" i="72"/>
  <c r="Z104" i="72"/>
  <c r="Z110" i="72" s="1"/>
  <c r="BF23" i="72" s="1"/>
  <c r="Y104" i="72"/>
  <c r="Y110" i="72" s="1"/>
  <c r="X104" i="72"/>
  <c r="W104" i="72"/>
  <c r="V104" i="72"/>
  <c r="U104" i="72"/>
  <c r="T104" i="72"/>
  <c r="S104" i="72"/>
  <c r="R104" i="72"/>
  <c r="Q104" i="72"/>
  <c r="Q110" i="72" s="1"/>
  <c r="AY23" i="72" s="1"/>
  <c r="P104" i="72"/>
  <c r="O104" i="72"/>
  <c r="N104" i="72"/>
  <c r="M104" i="72"/>
  <c r="L104" i="72"/>
  <c r="K104" i="72"/>
  <c r="J104" i="72"/>
  <c r="I104" i="72"/>
  <c r="I110" i="72" s="1"/>
  <c r="AS23" i="72" s="1"/>
  <c r="H104" i="72"/>
  <c r="F104" i="72"/>
  <c r="E104" i="72"/>
  <c r="C104" i="72"/>
  <c r="AI101" i="72"/>
  <c r="AH101" i="72"/>
  <c r="AI99" i="72"/>
  <c r="AH99" i="72"/>
  <c r="AG99" i="72"/>
  <c r="AI98" i="72"/>
  <c r="AH98" i="72"/>
  <c r="AI97" i="72"/>
  <c r="AH97" i="72"/>
  <c r="AI96" i="72"/>
  <c r="AH96" i="72"/>
  <c r="AG95" i="72"/>
  <c r="AD95" i="72"/>
  <c r="AB95" i="72"/>
  <c r="AA5" i="72" s="1"/>
  <c r="AA95" i="72"/>
  <c r="Z5" i="72" s="1"/>
  <c r="Z95" i="72"/>
  <c r="BF19" i="72" s="1"/>
  <c r="Y95" i="72"/>
  <c r="X95" i="72"/>
  <c r="W5" i="72" s="1"/>
  <c r="W95" i="72"/>
  <c r="V5" i="72" s="1"/>
  <c r="V95" i="72"/>
  <c r="U95" i="72"/>
  <c r="T5" i="72" s="1"/>
  <c r="T95" i="72"/>
  <c r="BB19" i="72" s="1"/>
  <c r="S95" i="72"/>
  <c r="BA19" i="72" s="1"/>
  <c r="R95" i="72"/>
  <c r="Q5" i="72" s="1"/>
  <c r="Q95" i="72"/>
  <c r="P5" i="72" s="1"/>
  <c r="P95" i="72"/>
  <c r="AX19" i="72" s="1"/>
  <c r="O95" i="72"/>
  <c r="AW19" i="72" s="1"/>
  <c r="N95" i="72"/>
  <c r="M95" i="72"/>
  <c r="AU19" i="72" s="1"/>
  <c r="L95" i="72"/>
  <c r="K5" i="72" s="1"/>
  <c r="K95" i="72"/>
  <c r="AT19" i="72" s="1"/>
  <c r="J95" i="72"/>
  <c r="I5" i="72" s="1"/>
  <c r="I95" i="72"/>
  <c r="H95" i="72"/>
  <c r="F95" i="72"/>
  <c r="E95" i="72"/>
  <c r="C95" i="72"/>
  <c r="AN19" i="72" s="1"/>
  <c r="AI94" i="72"/>
  <c r="AH94" i="72"/>
  <c r="AI93" i="72"/>
  <c r="AH93" i="72"/>
  <c r="AI92" i="72"/>
  <c r="AH92" i="72"/>
  <c r="AI91" i="72"/>
  <c r="AH91" i="72"/>
  <c r="AI90" i="72"/>
  <c r="AH90" i="72"/>
  <c r="AI89" i="72"/>
  <c r="AH89" i="72"/>
  <c r="AI88" i="72"/>
  <c r="AH88" i="72"/>
  <c r="AI87" i="72"/>
  <c r="AH87" i="72"/>
  <c r="AI86" i="72"/>
  <c r="AH86" i="72"/>
  <c r="AI85" i="72"/>
  <c r="AH85" i="72"/>
  <c r="AI84" i="72"/>
  <c r="AH84" i="72"/>
  <c r="AG83" i="72"/>
  <c r="BJ20" i="72"/>
  <c r="AD83" i="72"/>
  <c r="BG20" i="72"/>
  <c r="AA83" i="72"/>
  <c r="Z83" i="72"/>
  <c r="X83" i="72"/>
  <c r="BE20" i="72" s="1"/>
  <c r="W83" i="72"/>
  <c r="V83" i="72"/>
  <c r="U83" i="72"/>
  <c r="T83" i="72"/>
  <c r="BB20" i="72" s="1"/>
  <c r="S83" i="72"/>
  <c r="R83" i="72"/>
  <c r="Q83" i="72"/>
  <c r="AY20" i="72" s="1"/>
  <c r="P83" i="72"/>
  <c r="AX20" i="72" s="1"/>
  <c r="O83" i="72"/>
  <c r="N83" i="72"/>
  <c r="M83" i="72"/>
  <c r="AU20" i="72" s="1"/>
  <c r="L83" i="72"/>
  <c r="K83" i="72"/>
  <c r="AT20" i="72" s="1"/>
  <c r="J83" i="72"/>
  <c r="I83" i="72"/>
  <c r="H83" i="72"/>
  <c r="F83" i="72"/>
  <c r="E83" i="72"/>
  <c r="AI82" i="72"/>
  <c r="AH82" i="72"/>
  <c r="AI81" i="72"/>
  <c r="AH81" i="72"/>
  <c r="AI80" i="72"/>
  <c r="AH80" i="72"/>
  <c r="AD79" i="72"/>
  <c r="BG18" i="72"/>
  <c r="AA79" i="72"/>
  <c r="Z79" i="72"/>
  <c r="BF18" i="72" s="1"/>
  <c r="X79" i="72"/>
  <c r="W79" i="72"/>
  <c r="V79" i="72"/>
  <c r="BD18" i="72" s="1"/>
  <c r="U79" i="72"/>
  <c r="BC18" i="72" s="1"/>
  <c r="T79" i="72"/>
  <c r="S79" i="72"/>
  <c r="BA18" i="72" s="1"/>
  <c r="R79" i="72"/>
  <c r="Q79" i="72"/>
  <c r="AY18" i="72" s="1"/>
  <c r="P79" i="72"/>
  <c r="O79" i="72"/>
  <c r="AW18" i="72" s="1"/>
  <c r="N79" i="72"/>
  <c r="AV18" i="72" s="1"/>
  <c r="M79" i="72"/>
  <c r="AU18" i="72" s="1"/>
  <c r="L79" i="72"/>
  <c r="K79" i="72"/>
  <c r="AT18" i="72" s="1"/>
  <c r="J79" i="72"/>
  <c r="I79" i="72"/>
  <c r="AS18" i="72" s="1"/>
  <c r="H79" i="72"/>
  <c r="F79" i="72"/>
  <c r="E79" i="72"/>
  <c r="BQ78" i="72"/>
  <c r="AI78" i="72"/>
  <c r="AH78" i="72"/>
  <c r="AG78" i="72"/>
  <c r="AG79" i="72" s="1"/>
  <c r="AG3" i="72" s="1"/>
  <c r="BS77" i="72"/>
  <c r="BH77" i="72"/>
  <c r="BC77" i="72"/>
  <c r="AI77" i="72"/>
  <c r="AH77" i="72"/>
  <c r="AI76" i="72"/>
  <c r="AH76" i="72"/>
  <c r="AI75" i="72"/>
  <c r="AH75" i="72"/>
  <c r="AI74" i="72"/>
  <c r="AH74" i="72"/>
  <c r="BA73" i="72"/>
  <c r="AI73" i="72"/>
  <c r="AH73" i="72"/>
  <c r="AI72" i="72"/>
  <c r="AH72" i="72"/>
  <c r="BW71" i="72"/>
  <c r="BW78" i="72" s="1"/>
  <c r="BV71" i="72"/>
  <c r="BV78" i="72" s="1"/>
  <c r="BU71" i="72"/>
  <c r="BU78" i="72" s="1"/>
  <c r="BT71" i="72"/>
  <c r="BT78" i="72" s="1"/>
  <c r="BS71" i="72"/>
  <c r="BS78" i="72" s="1"/>
  <c r="BR71" i="72"/>
  <c r="BR78" i="72" s="1"/>
  <c r="BQ71" i="72"/>
  <c r="BP71" i="72"/>
  <c r="BP78" i="72" s="1"/>
  <c r="BO71" i="72"/>
  <c r="BO78" i="72" s="1"/>
  <c r="BN71" i="72"/>
  <c r="BN78" i="72" s="1"/>
  <c r="BM71" i="72"/>
  <c r="BM78" i="72" s="1"/>
  <c r="BL71" i="72"/>
  <c r="BL78" i="72" s="1"/>
  <c r="BK71" i="72"/>
  <c r="BK78" i="72" s="1"/>
  <c r="BJ71" i="72"/>
  <c r="BJ78" i="72" s="1"/>
  <c r="BI71" i="72"/>
  <c r="BI78" i="72" s="1"/>
  <c r="BH71" i="72"/>
  <c r="BH78" i="72" s="1"/>
  <c r="BG71" i="72"/>
  <c r="BG78" i="72" s="1"/>
  <c r="BF71" i="72"/>
  <c r="BF78" i="72" s="1"/>
  <c r="BE71" i="72"/>
  <c r="BE78" i="72" s="1"/>
  <c r="BD71" i="72"/>
  <c r="BD78" i="72" s="1"/>
  <c r="BC71" i="72"/>
  <c r="BC78" i="72" s="1"/>
  <c r="BB71" i="72"/>
  <c r="BB78" i="72" s="1"/>
  <c r="BA71" i="72"/>
  <c r="BA78" i="72" s="1"/>
  <c r="AZ71" i="72"/>
  <c r="AZ78" i="72" s="1"/>
  <c r="AI71" i="72"/>
  <c r="AH71" i="72"/>
  <c r="BW70" i="72"/>
  <c r="BW77" i="72" s="1"/>
  <c r="BV70" i="72"/>
  <c r="BV77" i="72" s="1"/>
  <c r="BU70" i="72"/>
  <c r="BU77" i="72" s="1"/>
  <c r="BT70" i="72"/>
  <c r="BT77" i="72" s="1"/>
  <c r="BS70" i="72"/>
  <c r="BR70" i="72"/>
  <c r="BR77" i="72" s="1"/>
  <c r="BQ70" i="72"/>
  <c r="BQ77" i="72" s="1"/>
  <c r="BP70" i="72"/>
  <c r="BP77" i="72" s="1"/>
  <c r="BO70" i="72"/>
  <c r="BO77" i="72" s="1"/>
  <c r="BN70" i="72"/>
  <c r="BN77" i="72" s="1"/>
  <c r="BM70" i="72"/>
  <c r="BM77" i="72" s="1"/>
  <c r="BL70" i="72"/>
  <c r="BL77" i="72" s="1"/>
  <c r="BK70" i="72"/>
  <c r="BK77" i="72" s="1"/>
  <c r="BJ70" i="72"/>
  <c r="BJ77" i="72" s="1"/>
  <c r="BI70" i="72"/>
  <c r="BI77" i="72" s="1"/>
  <c r="BH70" i="72"/>
  <c r="BG70" i="72"/>
  <c r="BG77" i="72" s="1"/>
  <c r="BF70" i="72"/>
  <c r="BF77" i="72" s="1"/>
  <c r="BE70" i="72"/>
  <c r="BE77" i="72" s="1"/>
  <c r="BD70" i="72"/>
  <c r="BD77" i="72" s="1"/>
  <c r="BC70" i="72"/>
  <c r="BB70" i="72"/>
  <c r="BB77" i="72" s="1"/>
  <c r="BA70" i="72"/>
  <c r="BA77" i="72" s="1"/>
  <c r="AZ70" i="72"/>
  <c r="AZ77" i="72" s="1"/>
  <c r="AI70" i="72"/>
  <c r="AH70" i="72"/>
  <c r="BW69" i="72"/>
  <c r="BW76" i="72" s="1"/>
  <c r="BV69" i="72"/>
  <c r="BV76" i="72" s="1"/>
  <c r="BU69" i="72"/>
  <c r="BU76" i="72" s="1"/>
  <c r="BT69" i="72"/>
  <c r="BT76" i="72" s="1"/>
  <c r="BS69" i="72"/>
  <c r="BS76" i="72" s="1"/>
  <c r="BR69" i="72"/>
  <c r="BR76" i="72" s="1"/>
  <c r="BQ69" i="72"/>
  <c r="BQ76" i="72" s="1"/>
  <c r="BP69" i="72"/>
  <c r="BP76" i="72" s="1"/>
  <c r="BO69" i="72"/>
  <c r="BO76" i="72" s="1"/>
  <c r="BN69" i="72"/>
  <c r="BN76" i="72" s="1"/>
  <c r="BM69" i="72"/>
  <c r="BM76" i="72" s="1"/>
  <c r="BL69" i="72"/>
  <c r="BL76" i="72" s="1"/>
  <c r="BK69" i="72"/>
  <c r="BK76" i="72" s="1"/>
  <c r="BJ69" i="72"/>
  <c r="BJ76" i="72" s="1"/>
  <c r="BI69" i="72"/>
  <c r="BI76" i="72" s="1"/>
  <c r="BH69" i="72"/>
  <c r="BH76" i="72" s="1"/>
  <c r="BG69" i="72"/>
  <c r="BG76" i="72" s="1"/>
  <c r="BF69" i="72"/>
  <c r="BF76" i="72" s="1"/>
  <c r="BE69" i="72"/>
  <c r="BE76" i="72" s="1"/>
  <c r="BD69" i="72"/>
  <c r="BD76" i="72" s="1"/>
  <c r="BC69" i="72"/>
  <c r="BC76" i="72" s="1"/>
  <c r="BB69" i="72"/>
  <c r="BB76" i="72" s="1"/>
  <c r="BA69" i="72"/>
  <c r="BA76" i="72" s="1"/>
  <c r="AZ69" i="72"/>
  <c r="AZ76" i="72" s="1"/>
  <c r="AI69" i="72"/>
  <c r="AH69" i="72"/>
  <c r="BW68" i="72"/>
  <c r="BW75" i="72" s="1"/>
  <c r="BV68" i="72"/>
  <c r="BV75" i="72" s="1"/>
  <c r="BU68" i="72"/>
  <c r="BU75" i="72" s="1"/>
  <c r="BT68" i="72"/>
  <c r="BT75" i="72" s="1"/>
  <c r="BS68" i="72"/>
  <c r="BS75" i="72" s="1"/>
  <c r="BR68" i="72"/>
  <c r="BR75" i="72" s="1"/>
  <c r="BQ68" i="72"/>
  <c r="BQ75" i="72" s="1"/>
  <c r="BP68" i="72"/>
  <c r="BP75" i="72" s="1"/>
  <c r="BO68" i="72"/>
  <c r="BO75" i="72" s="1"/>
  <c r="BN68" i="72"/>
  <c r="BN75" i="72" s="1"/>
  <c r="BM68" i="72"/>
  <c r="BM75" i="72" s="1"/>
  <c r="BL68" i="72"/>
  <c r="BL75" i="72" s="1"/>
  <c r="BK68" i="72"/>
  <c r="BK75" i="72" s="1"/>
  <c r="BJ68" i="72"/>
  <c r="BJ75" i="72" s="1"/>
  <c r="BI68" i="72"/>
  <c r="BI75" i="72" s="1"/>
  <c r="BH68" i="72"/>
  <c r="BH75" i="72" s="1"/>
  <c r="BG68" i="72"/>
  <c r="BG75" i="72" s="1"/>
  <c r="BF68" i="72"/>
  <c r="BF75" i="72" s="1"/>
  <c r="BE68" i="72"/>
  <c r="BE75" i="72" s="1"/>
  <c r="BD68" i="72"/>
  <c r="BD75" i="72" s="1"/>
  <c r="BC68" i="72"/>
  <c r="BC75" i="72" s="1"/>
  <c r="BB68" i="72"/>
  <c r="BB75" i="72" s="1"/>
  <c r="BA68" i="72"/>
  <c r="BA75" i="72" s="1"/>
  <c r="AZ68" i="72"/>
  <c r="AZ75" i="72" s="1"/>
  <c r="AI68" i="72"/>
  <c r="AH68" i="72"/>
  <c r="BW67" i="72"/>
  <c r="BW74" i="72" s="1"/>
  <c r="BV67" i="72"/>
  <c r="BV74" i="72" s="1"/>
  <c r="BU67" i="72"/>
  <c r="BU74" i="72" s="1"/>
  <c r="BT67" i="72"/>
  <c r="BT74" i="72" s="1"/>
  <c r="BS67" i="72"/>
  <c r="BS74" i="72" s="1"/>
  <c r="BR67" i="72"/>
  <c r="BR74" i="72" s="1"/>
  <c r="BQ67" i="72"/>
  <c r="BQ74" i="72" s="1"/>
  <c r="BP67" i="72"/>
  <c r="BP74" i="72" s="1"/>
  <c r="BO67" i="72"/>
  <c r="BO74" i="72" s="1"/>
  <c r="BN67" i="72"/>
  <c r="BN74" i="72" s="1"/>
  <c r="BM67" i="72"/>
  <c r="BM74" i="72" s="1"/>
  <c r="BL67" i="72"/>
  <c r="BL74" i="72" s="1"/>
  <c r="BK67" i="72"/>
  <c r="BK74" i="72" s="1"/>
  <c r="BJ67" i="72"/>
  <c r="BJ74" i="72" s="1"/>
  <c r="BI67" i="72"/>
  <c r="BI74" i="72" s="1"/>
  <c r="BH67" i="72"/>
  <c r="BH74" i="72" s="1"/>
  <c r="BG67" i="72"/>
  <c r="BG74" i="72" s="1"/>
  <c r="BF67" i="72"/>
  <c r="BF74" i="72" s="1"/>
  <c r="BE67" i="72"/>
  <c r="BE74" i="72" s="1"/>
  <c r="BD67" i="72"/>
  <c r="BD74" i="72" s="1"/>
  <c r="BC67" i="72"/>
  <c r="BC74" i="72" s="1"/>
  <c r="BB67" i="72"/>
  <c r="BB74" i="72" s="1"/>
  <c r="BA67" i="72"/>
  <c r="BA74" i="72" s="1"/>
  <c r="AZ67" i="72"/>
  <c r="AZ74" i="72" s="1"/>
  <c r="AI67" i="72"/>
  <c r="AH67" i="72"/>
  <c r="BW66" i="72"/>
  <c r="BW73" i="72" s="1"/>
  <c r="BV66" i="72"/>
  <c r="BV73" i="72" s="1"/>
  <c r="BU66" i="72"/>
  <c r="BU73" i="72" s="1"/>
  <c r="BT66" i="72"/>
  <c r="BT73" i="72" s="1"/>
  <c r="BS66" i="72"/>
  <c r="BS73" i="72" s="1"/>
  <c r="BR66" i="72"/>
  <c r="BR73" i="72" s="1"/>
  <c r="BQ66" i="72"/>
  <c r="BQ73" i="72" s="1"/>
  <c r="BP66" i="72"/>
  <c r="BP73" i="72" s="1"/>
  <c r="BO66" i="72"/>
  <c r="BO73" i="72" s="1"/>
  <c r="BN66" i="72"/>
  <c r="BN73" i="72" s="1"/>
  <c r="BM66" i="72"/>
  <c r="BM73" i="72" s="1"/>
  <c r="BL66" i="72"/>
  <c r="BL73" i="72" s="1"/>
  <c r="BK66" i="72"/>
  <c r="BK73" i="72" s="1"/>
  <c r="BJ66" i="72"/>
  <c r="BJ73" i="72" s="1"/>
  <c r="BI66" i="72"/>
  <c r="BI73" i="72" s="1"/>
  <c r="BH66" i="72"/>
  <c r="BH73" i="72" s="1"/>
  <c r="BG66" i="72"/>
  <c r="BG73" i="72" s="1"/>
  <c r="BF66" i="72"/>
  <c r="BF73" i="72" s="1"/>
  <c r="BE66" i="72"/>
  <c r="BE73" i="72" s="1"/>
  <c r="BD66" i="72"/>
  <c r="BD73" i="72" s="1"/>
  <c r="BC66" i="72"/>
  <c r="BC73" i="72" s="1"/>
  <c r="BB66" i="72"/>
  <c r="BB73" i="72" s="1"/>
  <c r="BA66" i="72"/>
  <c r="AZ66" i="72"/>
  <c r="AI66" i="72"/>
  <c r="AH66" i="72"/>
  <c r="AG65" i="72"/>
  <c r="BJ17" i="72"/>
  <c r="AD65" i="72"/>
  <c r="BH17" i="72" s="1"/>
  <c r="AA65" i="72"/>
  <c r="BF17" i="72"/>
  <c r="X65" i="72"/>
  <c r="W65" i="72"/>
  <c r="V65" i="72"/>
  <c r="BD17" i="72" s="1"/>
  <c r="BC17" i="72"/>
  <c r="T65" i="72"/>
  <c r="S65" i="72"/>
  <c r="BA17" i="72" s="1"/>
  <c r="R65" i="72"/>
  <c r="AZ17" i="72" s="1"/>
  <c r="Q65" i="72"/>
  <c r="AY17" i="72" s="1"/>
  <c r="P65" i="72"/>
  <c r="AX17" i="72" s="1"/>
  <c r="O65" i="72"/>
  <c r="N65" i="72"/>
  <c r="AV17" i="72" s="1"/>
  <c r="AU17" i="72"/>
  <c r="AP17" i="72"/>
  <c r="AI64" i="72"/>
  <c r="AH64" i="72"/>
  <c r="AI63" i="72"/>
  <c r="AH63" i="72"/>
  <c r="AI62" i="72"/>
  <c r="AH62" i="72"/>
  <c r="AG61" i="72"/>
  <c r="AD61" i="72"/>
  <c r="BH16" i="72" s="1"/>
  <c r="BH22" i="72" s="1"/>
  <c r="BG16" i="72"/>
  <c r="AA61" i="72"/>
  <c r="X61" i="72"/>
  <c r="W61" i="72"/>
  <c r="V61" i="72"/>
  <c r="BC16" i="72"/>
  <c r="T61" i="72"/>
  <c r="BB16" i="72" s="1"/>
  <c r="BA16" i="72"/>
  <c r="R61" i="72"/>
  <c r="Q61" i="72"/>
  <c r="P61" i="72"/>
  <c r="O61" i="72"/>
  <c r="N61" i="72"/>
  <c r="AV16" i="72" s="1"/>
  <c r="M61" i="72"/>
  <c r="AU16" i="72" s="1"/>
  <c r="L61" i="72"/>
  <c r="AT16" i="72"/>
  <c r="J61" i="72"/>
  <c r="I61" i="72"/>
  <c r="AS16" i="72" s="1"/>
  <c r="AI59" i="72"/>
  <c r="AH59" i="72"/>
  <c r="AI58" i="72"/>
  <c r="AH58" i="72"/>
  <c r="AI57" i="72"/>
  <c r="AH57" i="72"/>
  <c r="AI56" i="72"/>
  <c r="AH56" i="72"/>
  <c r="AI55" i="72"/>
  <c r="AH55" i="72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I47" i="72"/>
  <c r="AH47" i="72"/>
  <c r="AI46" i="72"/>
  <c r="AH46" i="72"/>
  <c r="AI45" i="72"/>
  <c r="AH45" i="72"/>
  <c r="AI44" i="72"/>
  <c r="AH44" i="72"/>
  <c r="AI43" i="72"/>
  <c r="AH43" i="72"/>
  <c r="AI42" i="72"/>
  <c r="AH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I23" i="72"/>
  <c r="AH23" i="72"/>
  <c r="AI22" i="72"/>
  <c r="AH22" i="72"/>
  <c r="BJ21" i="72"/>
  <c r="BI21" i="72"/>
  <c r="BH21" i="72"/>
  <c r="BG21" i="72"/>
  <c r="BF21" i="72"/>
  <c r="BE21" i="72"/>
  <c r="BD21" i="72"/>
  <c r="BC21" i="72"/>
  <c r="BB21" i="72"/>
  <c r="BA21" i="72"/>
  <c r="AZ21" i="72"/>
  <c r="AY21" i="72"/>
  <c r="AX21" i="72"/>
  <c r="AW21" i="72"/>
  <c r="AV21" i="72"/>
  <c r="AU21" i="72"/>
  <c r="AT21" i="72"/>
  <c r="AS21" i="72"/>
  <c r="AR21" i="72"/>
  <c r="AQ21" i="72"/>
  <c r="AP21" i="72"/>
  <c r="AO21" i="72"/>
  <c r="AN21" i="72"/>
  <c r="AM21" i="72"/>
  <c r="AI21" i="72"/>
  <c r="AH21" i="72"/>
  <c r="BI20" i="72"/>
  <c r="BH20" i="72"/>
  <c r="BF20" i="72"/>
  <c r="BD20" i="72"/>
  <c r="BC20" i="72"/>
  <c r="BA20" i="72"/>
  <c r="AZ20" i="72"/>
  <c r="AW20" i="72"/>
  <c r="AV20" i="72"/>
  <c r="AS20" i="72"/>
  <c r="AR20" i="72"/>
  <c r="AQ20" i="72"/>
  <c r="AP20" i="72"/>
  <c r="AO20" i="72"/>
  <c r="AN20" i="72"/>
  <c r="AI20" i="72"/>
  <c r="AH20" i="72"/>
  <c r="BJ19" i="72"/>
  <c r="BI19" i="72"/>
  <c r="BH19" i="72"/>
  <c r="AI19" i="72"/>
  <c r="AH19" i="72"/>
  <c r="BJ18" i="72"/>
  <c r="BI18" i="72"/>
  <c r="BH18" i="72"/>
  <c r="BE18" i="72"/>
  <c r="BB18" i="72"/>
  <c r="AZ18" i="72"/>
  <c r="AX18" i="72"/>
  <c r="AQ18" i="72"/>
  <c r="AP18" i="72"/>
  <c r="AO18" i="72"/>
  <c r="AI18" i="72"/>
  <c r="AH18" i="72"/>
  <c r="BI17" i="72"/>
  <c r="BG17" i="72"/>
  <c r="BE17" i="72"/>
  <c r="BB17" i="72"/>
  <c r="AW17" i="72"/>
  <c r="AT17" i="72"/>
  <c r="AS17" i="72"/>
  <c r="AQ17" i="72"/>
  <c r="AO17" i="72"/>
  <c r="AN17" i="72"/>
  <c r="AI17" i="72"/>
  <c r="AH17" i="72"/>
  <c r="BF16" i="72"/>
  <c r="BE16" i="72"/>
  <c r="AY16" i="72"/>
  <c r="AX16" i="72"/>
  <c r="AO16" i="72"/>
  <c r="AN16" i="72"/>
  <c r="AI16" i="72"/>
  <c r="AH16" i="72"/>
  <c r="AI15" i="72"/>
  <c r="AH15" i="72"/>
  <c r="AI14" i="72"/>
  <c r="AH14" i="72"/>
  <c r="AI13" i="72"/>
  <c r="AH13" i="72"/>
  <c r="AL12" i="72"/>
  <c r="AI12" i="72"/>
  <c r="AH12" i="72"/>
  <c r="AI11" i="72"/>
  <c r="AH11" i="72"/>
  <c r="AE5" i="72"/>
  <c r="AD5" i="72"/>
  <c r="AC5" i="72"/>
  <c r="AB5" i="72"/>
  <c r="AG4" i="72"/>
  <c r="K4" i="72"/>
  <c r="E4" i="72"/>
  <c r="H4" i="72" s="1"/>
  <c r="B4" i="72"/>
  <c r="D261" i="72" s="1"/>
  <c r="AG2" i="72"/>
  <c r="AE61" i="71"/>
  <c r="AF61" i="71"/>
  <c r="AE65" i="71"/>
  <c r="AF65" i="71"/>
  <c r="BG19" i="72" l="1"/>
  <c r="Y5" i="72"/>
  <c r="BE19" i="72"/>
  <c r="W100" i="72"/>
  <c r="W102" i="72" s="1"/>
  <c r="BC19" i="72"/>
  <c r="S5" i="72"/>
  <c r="R5" i="72"/>
  <c r="AZ19" i="72"/>
  <c r="O5" i="72"/>
  <c r="N5" i="72"/>
  <c r="O100" i="72"/>
  <c r="O102" i="72" s="1"/>
  <c r="L5" i="72"/>
  <c r="Y111" i="72"/>
  <c r="E100" i="72"/>
  <c r="E102" i="72" s="1"/>
  <c r="AI60" i="72"/>
  <c r="J5" i="72"/>
  <c r="BG22" i="72"/>
  <c r="BE22" i="72"/>
  <c r="V100" i="72"/>
  <c r="V102" i="72" s="1"/>
  <c r="AD100" i="72"/>
  <c r="AD102" i="72" s="1"/>
  <c r="H100" i="72"/>
  <c r="H102" i="72" s="1"/>
  <c r="J110" i="72"/>
  <c r="J111" i="72" s="1"/>
  <c r="R110" i="72"/>
  <c r="AZ23" i="72" s="1"/>
  <c r="BC22" i="72"/>
  <c r="AG6" i="72"/>
  <c r="P100" i="72"/>
  <c r="P102" i="72" s="1"/>
  <c r="X100" i="72"/>
  <c r="X102" i="72" s="1"/>
  <c r="H110" i="72"/>
  <c r="P110" i="72"/>
  <c r="AX23" i="72" s="1"/>
  <c r="X110" i="72"/>
  <c r="BJ23" i="72"/>
  <c r="AH124" i="72"/>
  <c r="D255" i="72"/>
  <c r="D121" i="72"/>
  <c r="AU22" i="72"/>
  <c r="AI124" i="72"/>
  <c r="I111" i="72"/>
  <c r="AW16" i="72"/>
  <c r="AW22" i="72" s="1"/>
  <c r="J100" i="72"/>
  <c r="J102" i="72" s="1"/>
  <c r="R100" i="72"/>
  <c r="R102" i="72" s="1"/>
  <c r="Z100" i="72"/>
  <c r="Z102" i="72" s="1"/>
  <c r="Z103" i="72" s="1"/>
  <c r="Z7" i="72" s="1"/>
  <c r="K110" i="72"/>
  <c r="AT23" i="72" s="1"/>
  <c r="S110" i="72"/>
  <c r="BA23" i="72" s="1"/>
  <c r="AA110" i="72"/>
  <c r="T100" i="72"/>
  <c r="T102" i="72" s="1"/>
  <c r="N100" i="72"/>
  <c r="N102" i="72" s="1"/>
  <c r="AI109" i="72"/>
  <c r="AX22" i="72"/>
  <c r="BI16" i="72"/>
  <c r="BI22" i="72" s="1"/>
  <c r="BB22" i="72"/>
  <c r="L100" i="72"/>
  <c r="L102" i="72" s="1"/>
  <c r="L103" i="72" s="1"/>
  <c r="L7" i="72" s="1"/>
  <c r="AB100" i="72"/>
  <c r="AB102" i="72" s="1"/>
  <c r="AT22" i="72"/>
  <c r="M100" i="72"/>
  <c r="M102" i="72" s="1"/>
  <c r="U100" i="72"/>
  <c r="U102" i="72" s="1"/>
  <c r="G5" i="72"/>
  <c r="G111" i="72"/>
  <c r="H111" i="72"/>
  <c r="F5" i="72"/>
  <c r="F100" i="72"/>
  <c r="F102" i="72" s="1"/>
  <c r="AQ16" i="72"/>
  <c r="AP19" i="72"/>
  <c r="D5" i="72"/>
  <c r="AP16" i="72"/>
  <c r="AP22" i="72" s="1"/>
  <c r="D103" i="72"/>
  <c r="D7" i="72" s="1"/>
  <c r="D110" i="72"/>
  <c r="D111" i="72" s="1"/>
  <c r="C5" i="72"/>
  <c r="AO19" i="72"/>
  <c r="AH109" i="72"/>
  <c r="AO22" i="72"/>
  <c r="AR19" i="72"/>
  <c r="G100" i="72"/>
  <c r="G102" i="72" s="1"/>
  <c r="G103" i="72" s="1"/>
  <c r="G7" i="72" s="1"/>
  <c r="B5" i="72"/>
  <c r="C110" i="72"/>
  <c r="AN23" i="72" s="1"/>
  <c r="B110" i="72"/>
  <c r="B111" i="72" s="1"/>
  <c r="AF5" i="72"/>
  <c r="AM19" i="72"/>
  <c r="AH107" i="72"/>
  <c r="B100" i="72"/>
  <c r="B102" i="72" s="1"/>
  <c r="AR16" i="72"/>
  <c r="BG82" i="72" a="1"/>
  <c r="BK97" i="72" s="1"/>
  <c r="AI79" i="72"/>
  <c r="AH79" i="72"/>
  <c r="AM22" i="72"/>
  <c r="BF22" i="72"/>
  <c r="BF24" i="72" s="1"/>
  <c r="BA22" i="72"/>
  <c r="AH61" i="72"/>
  <c r="AH65" i="72"/>
  <c r="AI106" i="72"/>
  <c r="AL13" i="72"/>
  <c r="BD16" i="72"/>
  <c r="C100" i="72"/>
  <c r="C102" i="72" s="1"/>
  <c r="K100" i="72"/>
  <c r="K102" i="72" s="1"/>
  <c r="S100" i="72"/>
  <c r="S102" i="72" s="1"/>
  <c r="AA100" i="72"/>
  <c r="AA102" i="72" s="1"/>
  <c r="AA103" i="72" s="1"/>
  <c r="AA7" i="72" s="1"/>
  <c r="AI61" i="72"/>
  <c r="AI65" i="72"/>
  <c r="AI105" i="72"/>
  <c r="Q111" i="72"/>
  <c r="E5" i="72"/>
  <c r="M5" i="72"/>
  <c r="U5" i="72"/>
  <c r="AQ19" i="72"/>
  <c r="AY19" i="72"/>
  <c r="AY22" i="72" s="1"/>
  <c r="AY24" i="72" s="1"/>
  <c r="AZ73" i="72"/>
  <c r="AI104" i="72"/>
  <c r="AH105" i="72"/>
  <c r="AS19" i="72"/>
  <c r="AS22" i="72" s="1"/>
  <c r="AS24" i="72" s="1"/>
  <c r="AI95" i="72"/>
  <c r="Z111" i="72"/>
  <c r="AH95" i="72"/>
  <c r="L110" i="72"/>
  <c r="L111" i="72" s="1"/>
  <c r="T110" i="72"/>
  <c r="BB23" i="72" s="1"/>
  <c r="AB110" i="72"/>
  <c r="BG23" i="72" s="1"/>
  <c r="BG24" i="72" s="1"/>
  <c r="H5" i="72"/>
  <c r="X5" i="72"/>
  <c r="AZ16" i="72"/>
  <c r="AZ22" i="72" s="1"/>
  <c r="AN18" i="72"/>
  <c r="AN22" i="72" s="1"/>
  <c r="AN24" i="72" s="1"/>
  <c r="AI83" i="72"/>
  <c r="AH83" i="72"/>
  <c r="C111" i="72"/>
  <c r="S111" i="72"/>
  <c r="AA111" i="72"/>
  <c r="E110" i="72"/>
  <c r="AP23" i="72" s="1"/>
  <c r="M110" i="72"/>
  <c r="AU23" i="72" s="1"/>
  <c r="U110" i="72"/>
  <c r="BC23" i="72" s="1"/>
  <c r="F110" i="72"/>
  <c r="AQ23" i="72" s="1"/>
  <c r="N110" i="72"/>
  <c r="AV23" i="72" s="1"/>
  <c r="V110" i="72"/>
  <c r="BD23" i="72" s="1"/>
  <c r="AD110" i="72"/>
  <c r="BH23" i="72" s="1"/>
  <c r="BH24" i="72" s="1"/>
  <c r="AG102" i="72"/>
  <c r="AI108" i="72"/>
  <c r="BJ16" i="72"/>
  <c r="BJ22" i="72" s="1"/>
  <c r="BJ24" i="72" s="1"/>
  <c r="AV19" i="72"/>
  <c r="AV22" i="72" s="1"/>
  <c r="BD19" i="72"/>
  <c r="I100" i="72"/>
  <c r="I102" i="72" s="1"/>
  <c r="I103" i="72" s="1"/>
  <c r="I7" i="72" s="1"/>
  <c r="Q100" i="72"/>
  <c r="Q102" i="72" s="1"/>
  <c r="Q103" i="72" s="1"/>
  <c r="Q7" i="72" s="1"/>
  <c r="Y100" i="72"/>
  <c r="Y102" i="72" s="1"/>
  <c r="Y103" i="72" s="1"/>
  <c r="Y7" i="72" s="1"/>
  <c r="AG100" i="72"/>
  <c r="AR23" i="72"/>
  <c r="O110" i="72"/>
  <c r="AW23" i="72" s="1"/>
  <c r="W110" i="72"/>
  <c r="BI23" i="72"/>
  <c r="AI107" i="72"/>
  <c r="E254" i="72"/>
  <c r="F254" i="72" s="1"/>
  <c r="G254" i="72" s="1"/>
  <c r="H254" i="72" s="1"/>
  <c r="I254" i="72" s="1"/>
  <c r="J254" i="72" s="1"/>
  <c r="K254" i="72" s="1"/>
  <c r="L254" i="72" s="1"/>
  <c r="M254" i="72" s="1"/>
  <c r="N254" i="72" s="1"/>
  <c r="O254" i="72" s="1"/>
  <c r="P254" i="72" s="1"/>
  <c r="Q254" i="72" s="1"/>
  <c r="R254" i="72" s="1"/>
  <c r="S254" i="72" s="1"/>
  <c r="T254" i="72" s="1"/>
  <c r="U254" i="72" s="1"/>
  <c r="V254" i="72" s="1"/>
  <c r="W254" i="72" s="1"/>
  <c r="X254" i="72" s="1"/>
  <c r="Y254" i="72" s="1"/>
  <c r="Z254" i="72" s="1"/>
  <c r="AA254" i="72" s="1"/>
  <c r="AB254" i="72" s="1"/>
  <c r="AC254" i="72" s="1"/>
  <c r="AD254" i="72" s="1"/>
  <c r="AE254" i="72" s="1"/>
  <c r="AF254" i="72" s="1"/>
  <c r="B254" i="72" s="1"/>
  <c r="AH104" i="72"/>
  <c r="E249" i="72"/>
  <c r="AH106" i="72"/>
  <c r="AH108" i="72"/>
  <c r="W103" i="72" l="1"/>
  <c r="W7" i="72" s="1"/>
  <c r="BC24" i="72"/>
  <c r="BB24" i="72"/>
  <c r="S103" i="72"/>
  <c r="S7" i="72" s="1"/>
  <c r="R111" i="72"/>
  <c r="P111" i="72"/>
  <c r="P103" i="72"/>
  <c r="P7" i="72" s="1"/>
  <c r="M111" i="72"/>
  <c r="AV24" i="72"/>
  <c r="N111" i="72"/>
  <c r="C103" i="72"/>
  <c r="C7" i="72" s="1"/>
  <c r="U111" i="72"/>
  <c r="AC7" i="72"/>
  <c r="AO23" i="72"/>
  <c r="AO24" i="72" s="1"/>
  <c r="M103" i="72"/>
  <c r="M7" i="72" s="1"/>
  <c r="T103" i="72"/>
  <c r="T7" i="72" s="1"/>
  <c r="AU24" i="72"/>
  <c r="K103" i="72"/>
  <c r="K7" i="72" s="1"/>
  <c r="J103" i="72"/>
  <c r="J7" i="72" s="1"/>
  <c r="X111" i="72"/>
  <c r="BE23" i="72"/>
  <c r="BE24" i="72" s="1"/>
  <c r="AD103" i="72"/>
  <c r="AD7" i="72" s="1"/>
  <c r="AT24" i="72"/>
  <c r="H103" i="72"/>
  <c r="H7" i="72" s="1"/>
  <c r="BI24" i="72"/>
  <c r="AP24" i="72"/>
  <c r="AZ24" i="72"/>
  <c r="AF7" i="72"/>
  <c r="X103" i="72"/>
  <c r="X7" i="72" s="1"/>
  <c r="K111" i="72"/>
  <c r="BA24" i="72"/>
  <c r="B103" i="72"/>
  <c r="B7" i="72" s="1"/>
  <c r="AX24" i="72"/>
  <c r="R103" i="72"/>
  <c r="R7" i="72" s="1"/>
  <c r="AR22" i="72"/>
  <c r="AR24" i="72" s="1"/>
  <c r="F111" i="72"/>
  <c r="F103" i="72"/>
  <c r="F7" i="72" s="1"/>
  <c r="AQ22" i="72"/>
  <c r="AQ24" i="72" s="1"/>
  <c r="E111" i="72"/>
  <c r="BK89" i="72"/>
  <c r="BK82" i="72"/>
  <c r="BI100" i="72"/>
  <c r="BG84" i="72"/>
  <c r="BJ99" i="72"/>
  <c r="BG104" i="72"/>
  <c r="BH103" i="72"/>
  <c r="BI86" i="72"/>
  <c r="BJ94" i="72"/>
  <c r="BH105" i="72"/>
  <c r="BL93" i="72"/>
  <c r="BK88" i="72"/>
  <c r="BL104" i="72"/>
  <c r="BL99" i="72"/>
  <c r="BG95" i="72"/>
  <c r="BH87" i="72"/>
  <c r="BG82" i="72"/>
  <c r="BK91" i="72"/>
  <c r="BL86" i="72"/>
  <c r="BK105" i="72"/>
  <c r="BI101" i="72"/>
  <c r="BJ96" i="72"/>
  <c r="BG97" i="72"/>
  <c r="BH92" i="72"/>
  <c r="BG88" i="72"/>
  <c r="BJ83" i="72"/>
  <c r="BI102" i="72"/>
  <c r="BJ97" i="72"/>
  <c r="BG102" i="72"/>
  <c r="BL88" i="72"/>
  <c r="BL83" i="72"/>
  <c r="BL102" i="72"/>
  <c r="BG92" i="72"/>
  <c r="BH94" i="72"/>
  <c r="BH89" i="72"/>
  <c r="BI84" i="72"/>
  <c r="BK96" i="72"/>
  <c r="BJ104" i="72"/>
  <c r="BL97" i="72"/>
  <c r="BK98" i="72"/>
  <c r="BK102" i="72"/>
  <c r="BI99" i="72"/>
  <c r="BK92" i="72"/>
  <c r="BJ87" i="72"/>
  <c r="BH98" i="72"/>
  <c r="BG85" i="72"/>
  <c r="BK95" i="72"/>
  <c r="BJ82" i="72"/>
  <c r="BH93" i="72"/>
  <c r="BL103" i="72"/>
  <c r="BL90" i="72"/>
  <c r="BJ101" i="72"/>
  <c r="BI88" i="72"/>
  <c r="BG99" i="72"/>
  <c r="BH83" i="72"/>
  <c r="BL89" i="72"/>
  <c r="BK104" i="72"/>
  <c r="BL105" i="72"/>
  <c r="BH91" i="72"/>
  <c r="BI87" i="72"/>
  <c r="BG100" i="72"/>
  <c r="BH90" i="72"/>
  <c r="BL100" i="72"/>
  <c r="BK87" i="72"/>
  <c r="BI98" i="72"/>
  <c r="BH85" i="72"/>
  <c r="BL95" i="72"/>
  <c r="BL82" i="72"/>
  <c r="BJ93" i="72"/>
  <c r="BH104" i="72"/>
  <c r="BG91" i="72"/>
  <c r="BK101" i="72"/>
  <c r="BK86" i="72"/>
  <c r="BJ100" i="72"/>
  <c r="BL101" i="72"/>
  <c r="BK84" i="72"/>
  <c r="BG98" i="72"/>
  <c r="BK94" i="72"/>
  <c r="BI103" i="72"/>
  <c r="BJ91" i="72"/>
  <c r="BH102" i="72"/>
  <c r="BG89" i="72"/>
  <c r="BK99" i="72"/>
  <c r="BJ86" i="72"/>
  <c r="BH97" i="72"/>
  <c r="BH84" i="72"/>
  <c r="BL94" i="72"/>
  <c r="BJ105" i="72"/>
  <c r="BI92" i="72"/>
  <c r="BG103" i="72"/>
  <c r="BG90" i="72"/>
  <c r="BI83" i="72"/>
  <c r="BJ84" i="72"/>
  <c r="BJ88" i="72"/>
  <c r="BI85" i="72"/>
  <c r="BI105" i="72"/>
  <c r="BH82" i="72"/>
  <c r="BL92" i="72"/>
  <c r="BJ103" i="72"/>
  <c r="BI90" i="72"/>
  <c r="BG101" i="72"/>
  <c r="BL87" i="72"/>
  <c r="BJ98" i="72"/>
  <c r="BJ85" i="72"/>
  <c r="BH96" i="72"/>
  <c r="BG83" i="72"/>
  <c r="BK93" i="72"/>
  <c r="BI104" i="72"/>
  <c r="BG86" i="72"/>
  <c r="BI97" i="72"/>
  <c r="BK90" i="72"/>
  <c r="BI91" i="72"/>
  <c r="BI95" i="72"/>
  <c r="BJ92" i="72"/>
  <c r="BL85" i="72"/>
  <c r="BL84" i="72"/>
  <c r="BJ95" i="72"/>
  <c r="BI82" i="72"/>
  <c r="BG93" i="72"/>
  <c r="BK103" i="72"/>
  <c r="BJ90" i="72"/>
  <c r="BH101" i="72"/>
  <c r="BH88" i="72"/>
  <c r="BL98" i="72"/>
  <c r="BK85" i="72"/>
  <c r="BI96" i="72"/>
  <c r="BI93" i="72"/>
  <c r="BK100" i="72"/>
  <c r="BG94" i="72"/>
  <c r="BH95" i="72"/>
  <c r="BH99" i="72"/>
  <c r="BG96" i="72"/>
  <c r="BI89" i="72"/>
  <c r="BH86" i="72"/>
  <c r="BL96" i="72"/>
  <c r="BK83" i="72"/>
  <c r="BI94" i="72"/>
  <c r="BG105" i="72"/>
  <c r="BL91" i="72"/>
  <c r="BJ102" i="72"/>
  <c r="BJ89" i="72"/>
  <c r="BH100" i="72"/>
  <c r="BG87" i="72"/>
  <c r="O103" i="72"/>
  <c r="O7" i="72" s="1"/>
  <c r="T111" i="72"/>
  <c r="U103" i="72"/>
  <c r="U7" i="72" s="1"/>
  <c r="W111" i="72"/>
  <c r="AI102" i="72"/>
  <c r="B259" i="72"/>
  <c r="V103" i="72"/>
  <c r="V7" i="72" s="1"/>
  <c r="AB111" i="72"/>
  <c r="AH102" i="72"/>
  <c r="F249" i="72"/>
  <c r="E255" i="72"/>
  <c r="E121" i="72"/>
  <c r="AB103" i="72"/>
  <c r="AB7" i="72" s="1"/>
  <c r="O111" i="72"/>
  <c r="BD22" i="72"/>
  <c r="BD24" i="72" s="1"/>
  <c r="C259" i="72"/>
  <c r="AH100" i="72"/>
  <c r="AW24" i="72"/>
  <c r="AI100" i="72"/>
  <c r="AM23" i="72"/>
  <c r="AM24" i="72" s="1"/>
  <c r="AI110" i="72"/>
  <c r="AH110" i="72"/>
  <c r="E103" i="72"/>
  <c r="E7" i="72" s="1"/>
  <c r="AD111" i="72"/>
  <c r="N103" i="72"/>
  <c r="N7" i="72" s="1"/>
  <c r="V111" i="72"/>
  <c r="AE7" i="72"/>
  <c r="AI111" i="72" l="1"/>
  <c r="AH111" i="72"/>
  <c r="AT9" i="72"/>
  <c r="G249" i="72"/>
  <c r="G121" i="72" s="1"/>
  <c r="F121" i="72"/>
  <c r="F255" i="72"/>
  <c r="A7" i="72"/>
  <c r="AH103" i="72"/>
  <c r="AT8" i="72"/>
  <c r="K6" i="72"/>
  <c r="AI103" i="72"/>
  <c r="H249" i="72" l="1"/>
  <c r="G255" i="72"/>
  <c r="I249" i="72" l="1"/>
  <c r="H255" i="72"/>
  <c r="H121" i="72"/>
  <c r="I255" i="72" l="1"/>
  <c r="I121" i="72"/>
  <c r="J249" i="72"/>
  <c r="J255" i="72" l="1"/>
  <c r="J121" i="72"/>
  <c r="K249" i="72"/>
  <c r="K255" i="72" l="1"/>
  <c r="K121" i="72"/>
  <c r="L249" i="72"/>
  <c r="L255" i="72" l="1"/>
  <c r="L121" i="72"/>
  <c r="M249" i="72"/>
  <c r="N249" i="72" l="1"/>
  <c r="M121" i="72"/>
  <c r="M255" i="72"/>
  <c r="O249" i="72" l="1"/>
  <c r="N121" i="72"/>
  <c r="N255" i="72"/>
  <c r="P249" i="72" l="1"/>
  <c r="O255" i="72"/>
  <c r="O121" i="72"/>
  <c r="Q249" i="72" l="1"/>
  <c r="P255" i="72"/>
  <c r="Q255" i="72" l="1"/>
  <c r="Q121" i="72"/>
  <c r="R249" i="72"/>
  <c r="R255" i="72" l="1"/>
  <c r="R121" i="72"/>
  <c r="S249" i="72"/>
  <c r="S255" i="72" l="1"/>
  <c r="S121" i="72"/>
  <c r="T249" i="72"/>
  <c r="T255" i="72" l="1"/>
  <c r="T121" i="72"/>
  <c r="U249" i="72"/>
  <c r="U121" i="72" l="1"/>
  <c r="V249" i="72"/>
  <c r="U255" i="72"/>
  <c r="W249" i="72" l="1"/>
  <c r="V121" i="72"/>
  <c r="V255" i="72"/>
  <c r="X249" i="72" l="1"/>
  <c r="W255" i="72"/>
  <c r="W121" i="72"/>
  <c r="Y249" i="72" l="1"/>
  <c r="X255" i="72"/>
  <c r="X121" i="72"/>
  <c r="Y255" i="72" l="1"/>
  <c r="Z249" i="72"/>
  <c r="Z255" i="72" l="1"/>
  <c r="AA249" i="72"/>
  <c r="AA255" i="72" l="1"/>
  <c r="AA121" i="72"/>
  <c r="AB249" i="72"/>
  <c r="AB255" i="72" l="1"/>
  <c r="AB121" i="72"/>
  <c r="AC249" i="72"/>
  <c r="AD249" i="72" l="1"/>
  <c r="AC255" i="72"/>
  <c r="AE249" i="72" l="1"/>
  <c r="AD121" i="72"/>
  <c r="AD255" i="72"/>
  <c r="AF249" i="72" l="1"/>
  <c r="AE255" i="72"/>
  <c r="AF255" i="72" l="1"/>
  <c r="B249" i="72"/>
  <c r="B255" i="72" l="1"/>
  <c r="B121" i="72"/>
  <c r="AI121" i="72" l="1"/>
  <c r="AH121" i="72"/>
  <c r="AD124" i="71" l="1"/>
  <c r="AD60" i="71"/>
  <c r="AD61" i="71"/>
  <c r="AD65" i="71"/>
  <c r="AC60" i="71" l="1"/>
  <c r="AB60" i="71"/>
  <c r="AC124" i="71"/>
  <c r="AC61" i="71"/>
  <c r="AC65" i="71"/>
  <c r="AC79" i="71"/>
  <c r="AC83" i="71"/>
  <c r="AC95" i="71"/>
  <c r="AC104" i="71"/>
  <c r="AC105" i="71"/>
  <c r="AC106" i="71"/>
  <c r="AC107" i="71"/>
  <c r="AC108" i="71"/>
  <c r="AC109" i="71"/>
  <c r="AB124" i="71"/>
  <c r="AB61" i="71"/>
  <c r="AB65" i="71"/>
  <c r="AC110" i="71" l="1"/>
  <c r="AC111" i="71" s="1"/>
  <c r="AC100" i="71"/>
  <c r="AC102" i="71" s="1"/>
  <c r="AC103" i="71" s="1"/>
  <c r="AA61" i="71" l="1"/>
  <c r="AA65" i="71"/>
  <c r="AA79" i="71"/>
  <c r="AA83" i="71"/>
  <c r="AA95" i="71"/>
  <c r="AA104" i="71"/>
  <c r="AA105" i="71"/>
  <c r="AA106" i="71"/>
  <c r="AA107" i="71"/>
  <c r="AA108" i="71"/>
  <c r="AA109" i="71"/>
  <c r="AA121" i="71"/>
  <c r="Z61" i="71"/>
  <c r="Z65" i="71"/>
  <c r="Z79" i="71"/>
  <c r="Z83" i="71"/>
  <c r="Z95" i="71"/>
  <c r="Z104" i="71"/>
  <c r="Z105" i="71"/>
  <c r="Z106" i="71"/>
  <c r="Z107" i="71"/>
  <c r="Z108" i="71"/>
  <c r="Z109" i="71"/>
  <c r="Z121" i="71"/>
  <c r="Y61" i="71"/>
  <c r="Y65" i="71"/>
  <c r="Y79" i="71"/>
  <c r="Y83" i="71"/>
  <c r="Y95" i="71"/>
  <c r="Y104" i="71"/>
  <c r="Y105" i="71"/>
  <c r="Y106" i="71"/>
  <c r="Y107" i="71"/>
  <c r="Y108" i="71"/>
  <c r="Y109" i="71"/>
  <c r="Y121" i="71"/>
  <c r="X61" i="71"/>
  <c r="X65" i="71"/>
  <c r="X79" i="71"/>
  <c r="X83" i="71"/>
  <c r="X95" i="71"/>
  <c r="X104" i="71"/>
  <c r="X105" i="71"/>
  <c r="X106" i="71"/>
  <c r="X107" i="71"/>
  <c r="X108" i="71"/>
  <c r="X109" i="71"/>
  <c r="X121" i="71"/>
  <c r="AA110" i="71" l="1"/>
  <c r="AA100" i="71"/>
  <c r="AA102" i="71" s="1"/>
  <c r="AA103" i="71" s="1"/>
  <c r="AA111" i="71"/>
  <c r="Z110" i="71"/>
  <c r="Z111" i="71" s="1"/>
  <c r="Z100" i="71"/>
  <c r="Z102" i="71" s="1"/>
  <c r="Z103" i="71" s="1"/>
  <c r="Y110" i="71"/>
  <c r="Y111" i="71" s="1"/>
  <c r="Y100" i="71"/>
  <c r="Y102" i="71" s="1"/>
  <c r="Y103" i="71" s="1"/>
  <c r="X110" i="71"/>
  <c r="X111" i="71" s="1"/>
  <c r="X100" i="71"/>
  <c r="X102" i="71" s="1"/>
  <c r="X103" i="71" s="1"/>
  <c r="W61" i="71"/>
  <c r="W65" i="71"/>
  <c r="W79" i="71"/>
  <c r="W83" i="71"/>
  <c r="W95" i="71"/>
  <c r="W104" i="71"/>
  <c r="W105" i="71"/>
  <c r="W106" i="71"/>
  <c r="W107" i="71"/>
  <c r="W108" i="71"/>
  <c r="W109" i="71"/>
  <c r="W121" i="71"/>
  <c r="V61" i="71"/>
  <c r="V65" i="71"/>
  <c r="V79" i="71"/>
  <c r="V83" i="71"/>
  <c r="V95" i="71"/>
  <c r="V104" i="71"/>
  <c r="V105" i="71"/>
  <c r="V106" i="71"/>
  <c r="V107" i="71"/>
  <c r="V108" i="71"/>
  <c r="V109" i="71"/>
  <c r="V121" i="71"/>
  <c r="W110" i="71" l="1"/>
  <c r="W111" i="71"/>
  <c r="W100" i="71"/>
  <c r="W102" i="71" s="1"/>
  <c r="W103" i="71" s="1"/>
  <c r="V110" i="71"/>
  <c r="V100" i="71"/>
  <c r="V102" i="71" s="1"/>
  <c r="V103" i="71" s="1"/>
  <c r="V111" i="71"/>
  <c r="U61" i="71"/>
  <c r="U65" i="71"/>
  <c r="U79" i="71"/>
  <c r="U83" i="71"/>
  <c r="U95" i="71"/>
  <c r="U104" i="71"/>
  <c r="U105" i="71"/>
  <c r="U106" i="71"/>
  <c r="U107" i="71"/>
  <c r="U108" i="71"/>
  <c r="U109" i="71"/>
  <c r="U121" i="71"/>
  <c r="T61" i="71"/>
  <c r="T65" i="71"/>
  <c r="T79" i="71"/>
  <c r="T83" i="71"/>
  <c r="T95" i="71"/>
  <c r="T104" i="71"/>
  <c r="T105" i="71"/>
  <c r="T106" i="71"/>
  <c r="T107" i="71"/>
  <c r="T108" i="71"/>
  <c r="T109" i="71"/>
  <c r="T121" i="71"/>
  <c r="S61" i="71"/>
  <c r="S65" i="71"/>
  <c r="S79" i="71"/>
  <c r="S83" i="71"/>
  <c r="S95" i="71"/>
  <c r="S104" i="71"/>
  <c r="S105" i="71"/>
  <c r="S106" i="71"/>
  <c r="S107" i="71"/>
  <c r="S108" i="71"/>
  <c r="S109" i="71"/>
  <c r="S121" i="71"/>
  <c r="U110" i="71" l="1"/>
  <c r="U111" i="71" s="1"/>
  <c r="U100" i="71"/>
  <c r="U102" i="71" s="1"/>
  <c r="T110" i="71"/>
  <c r="T111" i="71" s="1"/>
  <c r="T100" i="71"/>
  <c r="T102" i="71" s="1"/>
  <c r="T103" i="71" s="1"/>
  <c r="S110" i="71"/>
  <c r="S100" i="71"/>
  <c r="S102" i="71" s="1"/>
  <c r="S111" i="71"/>
  <c r="S103" i="71"/>
  <c r="U103" i="71" l="1"/>
  <c r="L124" i="71" l="1"/>
  <c r="L60" i="71"/>
  <c r="K124" i="71" l="1"/>
  <c r="K60" i="71"/>
  <c r="J124" i="71"/>
  <c r="J60" i="71"/>
  <c r="I124" i="71"/>
  <c r="I60" i="71"/>
  <c r="H124" i="71"/>
  <c r="H60" i="71"/>
  <c r="G124" i="71"/>
  <c r="G60" i="71"/>
  <c r="F124" i="71"/>
  <c r="F60" i="71"/>
  <c r="AH128" i="71"/>
  <c r="AI128" i="71"/>
  <c r="AH127" i="71"/>
  <c r="AI127" i="71"/>
  <c r="E124" i="71"/>
  <c r="E60" i="71"/>
  <c r="D60" i="71"/>
  <c r="D61" i="71"/>
  <c r="D65" i="71"/>
  <c r="D79" i="71"/>
  <c r="D83" i="71"/>
  <c r="D95" i="71"/>
  <c r="D100" i="71"/>
  <c r="D102" i="71" s="1"/>
  <c r="D104" i="71"/>
  <c r="D105" i="71"/>
  <c r="D106" i="71"/>
  <c r="D107" i="71"/>
  <c r="D108" i="71"/>
  <c r="D109" i="71"/>
  <c r="D121" i="71"/>
  <c r="C60" i="71"/>
  <c r="C61" i="71"/>
  <c r="C65" i="71"/>
  <c r="C79" i="71"/>
  <c r="AN18" i="71" s="1"/>
  <c r="C83" i="71"/>
  <c r="C95" i="71"/>
  <c r="C104" i="71"/>
  <c r="C105" i="71"/>
  <c r="C110" i="71" s="1"/>
  <c r="C106" i="71"/>
  <c r="C107" i="71"/>
  <c r="C108" i="71"/>
  <c r="C109" i="71"/>
  <c r="C121" i="71"/>
  <c r="B141" i="71"/>
  <c r="B121" i="71"/>
  <c r="B109" i="71"/>
  <c r="B108" i="71"/>
  <c r="B107" i="71"/>
  <c r="B106" i="71"/>
  <c r="B105" i="71"/>
  <c r="B104" i="71"/>
  <c r="B110" i="71" s="1"/>
  <c r="B95" i="71"/>
  <c r="B111" i="71" s="1"/>
  <c r="B83" i="71"/>
  <c r="B79" i="71"/>
  <c r="B65" i="71"/>
  <c r="B61" i="71"/>
  <c r="B60" i="71"/>
  <c r="AF60" i="70"/>
  <c r="AF61" i="70"/>
  <c r="AF65" i="70"/>
  <c r="AF79" i="70"/>
  <c r="AF83" i="70"/>
  <c r="AF95" i="70"/>
  <c r="AF100" i="70"/>
  <c r="AF102" i="70"/>
  <c r="AF103" i="70"/>
  <c r="AF104" i="70"/>
  <c r="AF105" i="70"/>
  <c r="AF106" i="70"/>
  <c r="AF107" i="70"/>
  <c r="AF108" i="70"/>
  <c r="AF109" i="70"/>
  <c r="AF110" i="70"/>
  <c r="AF111" i="70"/>
  <c r="AG255" i="71"/>
  <c r="C255" i="71"/>
  <c r="E254" i="71"/>
  <c r="F254" i="71" s="1"/>
  <c r="G254" i="71" s="1"/>
  <c r="H254" i="71" s="1"/>
  <c r="I254" i="71" s="1"/>
  <c r="J254" i="71" s="1"/>
  <c r="K254" i="71" s="1"/>
  <c r="L254" i="71" s="1"/>
  <c r="M254" i="71" s="1"/>
  <c r="N254" i="71" s="1"/>
  <c r="O254" i="71" s="1"/>
  <c r="P254" i="71" s="1"/>
  <c r="Q254" i="71" s="1"/>
  <c r="R254" i="71" s="1"/>
  <c r="S254" i="71" s="1"/>
  <c r="T254" i="71" s="1"/>
  <c r="U254" i="71" s="1"/>
  <c r="V254" i="71" s="1"/>
  <c r="W254" i="71" s="1"/>
  <c r="X254" i="71" s="1"/>
  <c r="Y254" i="71" s="1"/>
  <c r="Z254" i="71" s="1"/>
  <c r="AA254" i="71" s="1"/>
  <c r="AB254" i="71" s="1"/>
  <c r="AC254" i="71" s="1"/>
  <c r="AD254" i="71" s="1"/>
  <c r="AE254" i="71" s="1"/>
  <c r="AF254" i="71" s="1"/>
  <c r="B254" i="71" s="1"/>
  <c r="D254" i="71"/>
  <c r="D253" i="71"/>
  <c r="E253" i="71" s="1"/>
  <c r="F253" i="71" s="1"/>
  <c r="G253" i="71" s="1"/>
  <c r="H253" i="71" s="1"/>
  <c r="I253" i="71" s="1"/>
  <c r="J253" i="71" s="1"/>
  <c r="K253" i="71" s="1"/>
  <c r="L253" i="71" s="1"/>
  <c r="M253" i="71" s="1"/>
  <c r="N253" i="71" s="1"/>
  <c r="O253" i="71" s="1"/>
  <c r="P253" i="71" s="1"/>
  <c r="Q253" i="71" s="1"/>
  <c r="R253" i="71" s="1"/>
  <c r="S253" i="71" s="1"/>
  <c r="T253" i="71" s="1"/>
  <c r="U253" i="71" s="1"/>
  <c r="V253" i="71" s="1"/>
  <c r="W253" i="71" s="1"/>
  <c r="X253" i="71" s="1"/>
  <c r="Y253" i="71" s="1"/>
  <c r="Z253" i="71" s="1"/>
  <c r="AA253" i="71" s="1"/>
  <c r="AB253" i="71" s="1"/>
  <c r="AC253" i="71" s="1"/>
  <c r="AD253" i="71" s="1"/>
  <c r="AE253" i="71" s="1"/>
  <c r="AF253" i="71" s="1"/>
  <c r="B253" i="71" s="1"/>
  <c r="E252" i="71"/>
  <c r="F252" i="71" s="1"/>
  <c r="G252" i="71" s="1"/>
  <c r="H252" i="71" s="1"/>
  <c r="I252" i="71" s="1"/>
  <c r="J252" i="71" s="1"/>
  <c r="K252" i="71" s="1"/>
  <c r="L252" i="71" s="1"/>
  <c r="M252" i="71" s="1"/>
  <c r="N252" i="71" s="1"/>
  <c r="O252" i="71" s="1"/>
  <c r="P252" i="71" s="1"/>
  <c r="Q252" i="71" s="1"/>
  <c r="R252" i="71" s="1"/>
  <c r="S252" i="71" s="1"/>
  <c r="T252" i="71" s="1"/>
  <c r="U252" i="71" s="1"/>
  <c r="V252" i="71" s="1"/>
  <c r="W252" i="71" s="1"/>
  <c r="X252" i="71" s="1"/>
  <c r="Y252" i="71" s="1"/>
  <c r="Z252" i="71" s="1"/>
  <c r="AA252" i="71" s="1"/>
  <c r="AB252" i="71" s="1"/>
  <c r="AC252" i="71" s="1"/>
  <c r="AD252" i="71" s="1"/>
  <c r="AE252" i="71" s="1"/>
  <c r="AF252" i="71" s="1"/>
  <c r="B252" i="71" s="1"/>
  <c r="D252" i="71"/>
  <c r="E251" i="71"/>
  <c r="F251" i="71" s="1"/>
  <c r="G251" i="71" s="1"/>
  <c r="H251" i="71" s="1"/>
  <c r="I251" i="71" s="1"/>
  <c r="J251" i="71" s="1"/>
  <c r="K251" i="71" s="1"/>
  <c r="L251" i="71" s="1"/>
  <c r="M251" i="71" s="1"/>
  <c r="N251" i="71" s="1"/>
  <c r="O251" i="71" s="1"/>
  <c r="P251" i="71" s="1"/>
  <c r="Q251" i="71" s="1"/>
  <c r="R251" i="71" s="1"/>
  <c r="S251" i="71" s="1"/>
  <c r="T251" i="71" s="1"/>
  <c r="U251" i="71" s="1"/>
  <c r="V251" i="71" s="1"/>
  <c r="W251" i="71" s="1"/>
  <c r="X251" i="71" s="1"/>
  <c r="Y251" i="71" s="1"/>
  <c r="Z251" i="71" s="1"/>
  <c r="AA251" i="71" s="1"/>
  <c r="AB251" i="71" s="1"/>
  <c r="AC251" i="71" s="1"/>
  <c r="AD251" i="71" s="1"/>
  <c r="AE251" i="71" s="1"/>
  <c r="AF251" i="71" s="1"/>
  <c r="B251" i="71" s="1"/>
  <c r="D251" i="71"/>
  <c r="E250" i="71"/>
  <c r="F250" i="71" s="1"/>
  <c r="G250" i="71" s="1"/>
  <c r="H250" i="71" s="1"/>
  <c r="I250" i="71" s="1"/>
  <c r="J250" i="71" s="1"/>
  <c r="K250" i="71" s="1"/>
  <c r="L250" i="71" s="1"/>
  <c r="M250" i="71" s="1"/>
  <c r="N250" i="71" s="1"/>
  <c r="O250" i="71" s="1"/>
  <c r="P250" i="71" s="1"/>
  <c r="Q250" i="71" s="1"/>
  <c r="R250" i="71" s="1"/>
  <c r="S250" i="71" s="1"/>
  <c r="T250" i="71" s="1"/>
  <c r="U250" i="71" s="1"/>
  <c r="V250" i="71" s="1"/>
  <c r="W250" i="71" s="1"/>
  <c r="X250" i="71" s="1"/>
  <c r="Y250" i="71" s="1"/>
  <c r="Z250" i="71" s="1"/>
  <c r="AA250" i="71" s="1"/>
  <c r="AB250" i="71" s="1"/>
  <c r="AC250" i="71" s="1"/>
  <c r="AD250" i="71" s="1"/>
  <c r="AE250" i="71" s="1"/>
  <c r="AF250" i="71" s="1"/>
  <c r="B250" i="71" s="1"/>
  <c r="D250" i="71"/>
  <c r="D249" i="71"/>
  <c r="AG247" i="71"/>
  <c r="AF247" i="71"/>
  <c r="AE247" i="71"/>
  <c r="AD247" i="71"/>
  <c r="AC247" i="71"/>
  <c r="AB247" i="71"/>
  <c r="AA247" i="71"/>
  <c r="Z247" i="71"/>
  <c r="Y247" i="71"/>
  <c r="X247" i="71"/>
  <c r="W247" i="71"/>
  <c r="V247" i="71"/>
  <c r="U247" i="71"/>
  <c r="T247" i="71"/>
  <c r="S247" i="71"/>
  <c r="R247" i="71"/>
  <c r="Q247" i="71"/>
  <c r="P247" i="71"/>
  <c r="O247" i="71"/>
  <c r="N247" i="71"/>
  <c r="M247" i="71"/>
  <c r="L247" i="71"/>
  <c r="K247" i="71"/>
  <c r="J247" i="71"/>
  <c r="I247" i="71"/>
  <c r="H247" i="71"/>
  <c r="G247" i="71"/>
  <c r="F247" i="71"/>
  <c r="E247" i="71"/>
  <c r="D247" i="71"/>
  <c r="C247" i="71"/>
  <c r="B247" i="71"/>
  <c r="AI133" i="71"/>
  <c r="AH133" i="71"/>
  <c r="AI132" i="71"/>
  <c r="AH132" i="71"/>
  <c r="AI131" i="71"/>
  <c r="AH131" i="71"/>
  <c r="AI130" i="71"/>
  <c r="AH130" i="71"/>
  <c r="AI129" i="71"/>
  <c r="AH129" i="71"/>
  <c r="AI126" i="71"/>
  <c r="AH126" i="71"/>
  <c r="AI125" i="71"/>
  <c r="AH125" i="71"/>
  <c r="AI123" i="71"/>
  <c r="AH123" i="71"/>
  <c r="AI122" i="71"/>
  <c r="AH122" i="71"/>
  <c r="AI120" i="71"/>
  <c r="AH120" i="71"/>
  <c r="AI119" i="71"/>
  <c r="AH119" i="71"/>
  <c r="AI118" i="71"/>
  <c r="AH118" i="71"/>
  <c r="AI117" i="71"/>
  <c r="AH117" i="71"/>
  <c r="AI116" i="71"/>
  <c r="AH116" i="71"/>
  <c r="AI115" i="71"/>
  <c r="AH115" i="71"/>
  <c r="AI114" i="71"/>
  <c r="AH114" i="71"/>
  <c r="AI113" i="71"/>
  <c r="AH113" i="71"/>
  <c r="AI112" i="71"/>
  <c r="AH112" i="71"/>
  <c r="K110" i="71"/>
  <c r="AT23" i="71" s="1"/>
  <c r="AF109" i="71"/>
  <c r="AE109" i="71"/>
  <c r="AD109" i="71"/>
  <c r="AB109" i="71"/>
  <c r="R109" i="71"/>
  <c r="Q109" i="71"/>
  <c r="P109" i="71"/>
  <c r="O109" i="71"/>
  <c r="N109" i="71"/>
  <c r="M109" i="71"/>
  <c r="L109" i="71"/>
  <c r="K109" i="71"/>
  <c r="J109" i="71"/>
  <c r="I109" i="71"/>
  <c r="H109" i="71"/>
  <c r="G109" i="71"/>
  <c r="F109" i="71"/>
  <c r="E109" i="71"/>
  <c r="AF108" i="71"/>
  <c r="AE108" i="71"/>
  <c r="AD108" i="71"/>
  <c r="AB108" i="71"/>
  <c r="R108" i="71"/>
  <c r="Q108" i="71"/>
  <c r="P108" i="71"/>
  <c r="O108" i="71"/>
  <c r="N108" i="71"/>
  <c r="M108" i="71"/>
  <c r="L108" i="71"/>
  <c r="K108" i="71"/>
  <c r="J108" i="71"/>
  <c r="I108" i="71"/>
  <c r="H108" i="71"/>
  <c r="G108" i="71"/>
  <c r="F108" i="71"/>
  <c r="E108" i="71"/>
  <c r="AF107" i="71"/>
  <c r="AE107" i="71"/>
  <c r="AD107" i="71"/>
  <c r="AB107" i="71"/>
  <c r="R107" i="71"/>
  <c r="Q107" i="71"/>
  <c r="P107" i="71"/>
  <c r="O107" i="71"/>
  <c r="N107" i="71"/>
  <c r="M107" i="71"/>
  <c r="L107" i="71"/>
  <c r="K107" i="71"/>
  <c r="J107" i="71"/>
  <c r="I107" i="71"/>
  <c r="H107" i="71"/>
  <c r="G107" i="71"/>
  <c r="F107" i="71"/>
  <c r="E107" i="71"/>
  <c r="AI107" i="71"/>
  <c r="AF106" i="71"/>
  <c r="AE106" i="71"/>
  <c r="AD106" i="71"/>
  <c r="AB106" i="71"/>
  <c r="R106" i="71"/>
  <c r="Q106" i="71"/>
  <c r="P106" i="71"/>
  <c r="O106" i="71"/>
  <c r="N106" i="71"/>
  <c r="M106" i="71"/>
  <c r="L106" i="71"/>
  <c r="K106" i="71"/>
  <c r="J106" i="71"/>
  <c r="I106" i="71"/>
  <c r="H106" i="71"/>
  <c r="G106" i="71"/>
  <c r="F106" i="71"/>
  <c r="E106" i="71"/>
  <c r="AF105" i="71"/>
  <c r="AE105" i="71"/>
  <c r="AD105" i="71"/>
  <c r="AB105" i="71"/>
  <c r="R105" i="71"/>
  <c r="Q105" i="71"/>
  <c r="P105" i="71"/>
  <c r="O105" i="71"/>
  <c r="N105" i="71"/>
  <c r="M105" i="71"/>
  <c r="L105" i="71"/>
  <c r="K105" i="71"/>
  <c r="J105" i="71"/>
  <c r="I105" i="71"/>
  <c r="H105" i="71"/>
  <c r="G105" i="71"/>
  <c r="F105" i="71"/>
  <c r="E105" i="71"/>
  <c r="AF104" i="71"/>
  <c r="AE104" i="71"/>
  <c r="AD104" i="71"/>
  <c r="AB104" i="71"/>
  <c r="BF23" i="71"/>
  <c r="R104" i="71"/>
  <c r="R110" i="71" s="1"/>
  <c r="AZ23" i="71" s="1"/>
  <c r="Q104" i="71"/>
  <c r="P104" i="71"/>
  <c r="O104" i="71"/>
  <c r="N104" i="71"/>
  <c r="N110" i="71" s="1"/>
  <c r="AV23" i="71" s="1"/>
  <c r="M104" i="71"/>
  <c r="L104" i="71"/>
  <c r="K104" i="71"/>
  <c r="J104" i="71"/>
  <c r="J110" i="71" s="1"/>
  <c r="I104" i="71"/>
  <c r="H104" i="71"/>
  <c r="G104" i="71"/>
  <c r="F104" i="71"/>
  <c r="F110" i="71" s="1"/>
  <c r="AQ23" i="71" s="1"/>
  <c r="E104" i="71"/>
  <c r="AI101" i="71"/>
  <c r="AH101" i="71"/>
  <c r="AI99" i="71"/>
  <c r="AH99" i="71"/>
  <c r="AG99" i="71"/>
  <c r="AI98" i="71"/>
  <c r="AH98" i="71"/>
  <c r="AI97" i="71"/>
  <c r="AH97" i="71"/>
  <c r="AI96" i="71"/>
  <c r="AH96" i="71"/>
  <c r="AG95" i="71"/>
  <c r="AF95" i="71"/>
  <c r="AE5" i="71" s="1"/>
  <c r="AE95" i="71"/>
  <c r="BI19" i="71" s="1"/>
  <c r="AD95" i="71"/>
  <c r="AC5" i="71" s="1"/>
  <c r="AB95" i="71"/>
  <c r="BG19" i="71" s="1"/>
  <c r="R95" i="71"/>
  <c r="AZ19" i="71" s="1"/>
  <c r="Q95" i="71"/>
  <c r="AY19" i="71" s="1"/>
  <c r="P95" i="71"/>
  <c r="AX19" i="71" s="1"/>
  <c r="O95" i="71"/>
  <c r="N95" i="71"/>
  <c r="AV19" i="71" s="1"/>
  <c r="M95" i="71"/>
  <c r="L95" i="71"/>
  <c r="K95" i="71"/>
  <c r="AT19" i="71" s="1"/>
  <c r="J95" i="71"/>
  <c r="I95" i="71"/>
  <c r="H95" i="71"/>
  <c r="G95" i="71"/>
  <c r="F5" i="71" s="1"/>
  <c r="F95" i="71"/>
  <c r="E5" i="71" s="1"/>
  <c r="E95" i="71"/>
  <c r="AI94" i="71"/>
  <c r="AH94" i="71"/>
  <c r="AI93" i="71"/>
  <c r="AH93" i="71"/>
  <c r="AI92" i="71"/>
  <c r="AH92" i="71"/>
  <c r="AI91" i="71"/>
  <c r="AH91" i="71"/>
  <c r="AI90" i="71"/>
  <c r="AH90" i="71"/>
  <c r="AI89" i="71"/>
  <c r="AH89" i="71"/>
  <c r="AI88" i="71"/>
  <c r="AH88" i="71"/>
  <c r="AI87" i="71"/>
  <c r="AH87" i="71"/>
  <c r="AI86" i="71"/>
  <c r="AH86" i="71"/>
  <c r="AI85" i="71"/>
  <c r="AH85" i="71"/>
  <c r="AI84" i="71"/>
  <c r="AH84" i="71"/>
  <c r="AG83" i="71"/>
  <c r="AF83" i="71"/>
  <c r="AE83" i="71"/>
  <c r="AD83" i="71"/>
  <c r="AB83" i="71"/>
  <c r="BD20" i="71"/>
  <c r="R83" i="71"/>
  <c r="Q83" i="71"/>
  <c r="P83" i="71"/>
  <c r="O83" i="71"/>
  <c r="N83" i="71"/>
  <c r="AV20" i="71" s="1"/>
  <c r="M83" i="71"/>
  <c r="L83" i="71"/>
  <c r="K83" i="71"/>
  <c r="J83" i="71"/>
  <c r="I83" i="71"/>
  <c r="H83" i="71"/>
  <c r="G83" i="71"/>
  <c r="F83" i="71"/>
  <c r="E83" i="71"/>
  <c r="AI82" i="71"/>
  <c r="AH82" i="71"/>
  <c r="AI81" i="71"/>
  <c r="AH81" i="71"/>
  <c r="AI80" i="71"/>
  <c r="AH80" i="71"/>
  <c r="AG79" i="71"/>
  <c r="AG3" i="71" s="1"/>
  <c r="AF79" i="71"/>
  <c r="AE79" i="71"/>
  <c r="BI18" i="71" s="1"/>
  <c r="AD79" i="71"/>
  <c r="BH18" i="71" s="1"/>
  <c r="AB79" i="71"/>
  <c r="BF18" i="71"/>
  <c r="R79" i="71"/>
  <c r="AZ18" i="71" s="1"/>
  <c r="Q79" i="71"/>
  <c r="P79" i="71"/>
  <c r="O79" i="71"/>
  <c r="AW18" i="71" s="1"/>
  <c r="N79" i="71"/>
  <c r="M79" i="71"/>
  <c r="L79" i="71"/>
  <c r="K79" i="71"/>
  <c r="J79" i="71"/>
  <c r="I79" i="71"/>
  <c r="AS18" i="71" s="1"/>
  <c r="H79" i="71"/>
  <c r="G79" i="71"/>
  <c r="F79" i="71"/>
  <c r="AQ18" i="71" s="1"/>
  <c r="E79" i="71"/>
  <c r="BS78" i="71"/>
  <c r="BP78" i="71"/>
  <c r="BD78" i="71"/>
  <c r="BC78" i="71"/>
  <c r="AI78" i="71"/>
  <c r="AH78" i="71"/>
  <c r="AG78" i="71"/>
  <c r="BJ77" i="71"/>
  <c r="BF77" i="71"/>
  <c r="BE77" i="71"/>
  <c r="BB77" i="71"/>
  <c r="AI77" i="71"/>
  <c r="AH77" i="71"/>
  <c r="BV76" i="71"/>
  <c r="BU76" i="71"/>
  <c r="BO76" i="71"/>
  <c r="BM76" i="71"/>
  <c r="BL76" i="71"/>
  <c r="BE76" i="71"/>
  <c r="BD76" i="71"/>
  <c r="AI76" i="71"/>
  <c r="AH76" i="71"/>
  <c r="BA75" i="71"/>
  <c r="AI75" i="71"/>
  <c r="AH75" i="71"/>
  <c r="BS74" i="71"/>
  <c r="BK74" i="71"/>
  <c r="BJ74" i="71"/>
  <c r="BI74" i="71"/>
  <c r="BC74" i="71"/>
  <c r="BB74" i="71"/>
  <c r="BA74" i="71"/>
  <c r="AI74" i="71"/>
  <c r="AH74" i="71"/>
  <c r="BU73" i="71"/>
  <c r="BS73" i="71"/>
  <c r="AI73" i="71"/>
  <c r="AH73" i="71"/>
  <c r="AI72" i="71"/>
  <c r="AH72" i="71"/>
  <c r="BW71" i="71"/>
  <c r="BW78" i="71" s="1"/>
  <c r="BV71" i="71"/>
  <c r="BV78" i="71" s="1"/>
  <c r="BU71" i="71"/>
  <c r="BU78" i="71" s="1"/>
  <c r="BT71" i="71"/>
  <c r="BT78" i="71" s="1"/>
  <c r="BS71" i="71"/>
  <c r="BR71" i="71"/>
  <c r="BR78" i="71" s="1"/>
  <c r="BQ71" i="71"/>
  <c r="BQ78" i="71" s="1"/>
  <c r="BP71" i="71"/>
  <c r="BO71" i="71"/>
  <c r="BO78" i="71" s="1"/>
  <c r="BN71" i="71"/>
  <c r="BN78" i="71" s="1"/>
  <c r="BM71" i="71"/>
  <c r="BM78" i="71" s="1"/>
  <c r="BL71" i="71"/>
  <c r="BL78" i="71" s="1"/>
  <c r="BK71" i="71"/>
  <c r="BK78" i="71" s="1"/>
  <c r="BJ71" i="71"/>
  <c r="BJ78" i="71" s="1"/>
  <c r="BI71" i="71"/>
  <c r="BI78" i="71" s="1"/>
  <c r="BH71" i="71"/>
  <c r="BH78" i="71" s="1"/>
  <c r="BG71" i="71"/>
  <c r="BG78" i="71" s="1"/>
  <c r="BF71" i="71"/>
  <c r="BF78" i="71" s="1"/>
  <c r="BE71" i="71"/>
  <c r="BE78" i="71" s="1"/>
  <c r="BD71" i="71"/>
  <c r="BC71" i="71"/>
  <c r="BB71" i="71"/>
  <c r="BB78" i="71" s="1"/>
  <c r="BA71" i="71"/>
  <c r="BA78" i="71" s="1"/>
  <c r="AZ71" i="71"/>
  <c r="AZ78" i="71" s="1"/>
  <c r="AI71" i="71"/>
  <c r="AH71" i="71"/>
  <c r="BW70" i="71"/>
  <c r="BW77" i="71" s="1"/>
  <c r="BV70" i="71"/>
  <c r="BV77" i="71" s="1"/>
  <c r="BU70" i="71"/>
  <c r="BU77" i="71" s="1"/>
  <c r="BT70" i="71"/>
  <c r="BT77" i="71" s="1"/>
  <c r="BS70" i="71"/>
  <c r="BS77" i="71" s="1"/>
  <c r="BR70" i="71"/>
  <c r="BR77" i="71" s="1"/>
  <c r="BQ70" i="71"/>
  <c r="BQ77" i="71" s="1"/>
  <c r="BP70" i="71"/>
  <c r="BP77" i="71" s="1"/>
  <c r="BO70" i="71"/>
  <c r="BO77" i="71" s="1"/>
  <c r="BN70" i="71"/>
  <c r="BN77" i="71" s="1"/>
  <c r="BM70" i="71"/>
  <c r="BM77" i="71" s="1"/>
  <c r="BL70" i="71"/>
  <c r="BL77" i="71" s="1"/>
  <c r="BK70" i="71"/>
  <c r="BK77" i="71" s="1"/>
  <c r="BJ70" i="71"/>
  <c r="BI70" i="71"/>
  <c r="BI77" i="71" s="1"/>
  <c r="BH70" i="71"/>
  <c r="BH77" i="71" s="1"/>
  <c r="BG70" i="71"/>
  <c r="BG77" i="71" s="1"/>
  <c r="BF70" i="71"/>
  <c r="BE70" i="71"/>
  <c r="BD70" i="71"/>
  <c r="BD77" i="71" s="1"/>
  <c r="BC70" i="71"/>
  <c r="BC77" i="71" s="1"/>
  <c r="BB70" i="71"/>
  <c r="BA70" i="71"/>
  <c r="BA77" i="71" s="1"/>
  <c r="AZ70" i="71"/>
  <c r="AZ77" i="71" s="1"/>
  <c r="AI70" i="71"/>
  <c r="AH70" i="71"/>
  <c r="BW69" i="71"/>
  <c r="BW76" i="71" s="1"/>
  <c r="BV69" i="71"/>
  <c r="BU69" i="71"/>
  <c r="BT69" i="71"/>
  <c r="BT76" i="71" s="1"/>
  <c r="BS69" i="71"/>
  <c r="BS76" i="71" s="1"/>
  <c r="BR69" i="71"/>
  <c r="BR76" i="71" s="1"/>
  <c r="BQ69" i="71"/>
  <c r="BQ76" i="71" s="1"/>
  <c r="BP69" i="71"/>
  <c r="BP76" i="71" s="1"/>
  <c r="BO69" i="71"/>
  <c r="BN69" i="71"/>
  <c r="BN76" i="71" s="1"/>
  <c r="BM69" i="71"/>
  <c r="BL69" i="71"/>
  <c r="BK69" i="71"/>
  <c r="BK76" i="71" s="1"/>
  <c r="BJ69" i="71"/>
  <c r="BJ76" i="71" s="1"/>
  <c r="BI69" i="71"/>
  <c r="BI76" i="71" s="1"/>
  <c r="BH69" i="71"/>
  <c r="BH76" i="71" s="1"/>
  <c r="BG69" i="71"/>
  <c r="BG76" i="71" s="1"/>
  <c r="BF69" i="71"/>
  <c r="BF76" i="71" s="1"/>
  <c r="BE69" i="71"/>
  <c r="BD69" i="71"/>
  <c r="BC69" i="71"/>
  <c r="BC76" i="71" s="1"/>
  <c r="BB69" i="71"/>
  <c r="BB76" i="71" s="1"/>
  <c r="BA69" i="71"/>
  <c r="BA76" i="71" s="1"/>
  <c r="AZ69" i="71"/>
  <c r="AZ76" i="71" s="1"/>
  <c r="AI69" i="71"/>
  <c r="AH69" i="71"/>
  <c r="BW68" i="71"/>
  <c r="BW75" i="71" s="1"/>
  <c r="BV68" i="71"/>
  <c r="BV75" i="71" s="1"/>
  <c r="BU68" i="71"/>
  <c r="BU75" i="71" s="1"/>
  <c r="BT68" i="71"/>
  <c r="BT75" i="71" s="1"/>
  <c r="BS68" i="71"/>
  <c r="BS75" i="71" s="1"/>
  <c r="BR68" i="71"/>
  <c r="BR75" i="71" s="1"/>
  <c r="BQ68" i="71"/>
  <c r="BQ75" i="71" s="1"/>
  <c r="BP68" i="71"/>
  <c r="BP75" i="71" s="1"/>
  <c r="BO68" i="71"/>
  <c r="BO75" i="71" s="1"/>
  <c r="BN68" i="71"/>
  <c r="BN75" i="71" s="1"/>
  <c r="BM68" i="71"/>
  <c r="BM75" i="71" s="1"/>
  <c r="BL68" i="71"/>
  <c r="BL75" i="71" s="1"/>
  <c r="BK68" i="71"/>
  <c r="BK75" i="71" s="1"/>
  <c r="BJ68" i="71"/>
  <c r="BJ75" i="71" s="1"/>
  <c r="BI68" i="71"/>
  <c r="BI75" i="71" s="1"/>
  <c r="BH68" i="71"/>
  <c r="BH75" i="71" s="1"/>
  <c r="BG68" i="71"/>
  <c r="BG75" i="71" s="1"/>
  <c r="BF68" i="71"/>
  <c r="BF75" i="71" s="1"/>
  <c r="BE68" i="71"/>
  <c r="BE75" i="71" s="1"/>
  <c r="BD68" i="71"/>
  <c r="BD75" i="71" s="1"/>
  <c r="BC68" i="71"/>
  <c r="BC75" i="71" s="1"/>
  <c r="BB68" i="71"/>
  <c r="BB75" i="71" s="1"/>
  <c r="BA68" i="71"/>
  <c r="AZ68" i="71"/>
  <c r="AZ75" i="71" s="1"/>
  <c r="AI68" i="71"/>
  <c r="AH68" i="71"/>
  <c r="BW67" i="71"/>
  <c r="BW74" i="71" s="1"/>
  <c r="BV67" i="71"/>
  <c r="BV74" i="71" s="1"/>
  <c r="BU67" i="71"/>
  <c r="BU74" i="71" s="1"/>
  <c r="BT67" i="71"/>
  <c r="BT74" i="71" s="1"/>
  <c r="BS67" i="71"/>
  <c r="BR67" i="71"/>
  <c r="BR74" i="71" s="1"/>
  <c r="BQ67" i="71"/>
  <c r="BQ74" i="71" s="1"/>
  <c r="BP67" i="71"/>
  <c r="BP74" i="71" s="1"/>
  <c r="BO67" i="71"/>
  <c r="BO74" i="71" s="1"/>
  <c r="BN67" i="71"/>
  <c r="BN74" i="71" s="1"/>
  <c r="BM67" i="71"/>
  <c r="BM74" i="71" s="1"/>
  <c r="BL67" i="71"/>
  <c r="BL74" i="71" s="1"/>
  <c r="BK67" i="71"/>
  <c r="BJ67" i="71"/>
  <c r="BI67" i="71"/>
  <c r="BH67" i="71"/>
  <c r="BH74" i="71" s="1"/>
  <c r="BG67" i="71"/>
  <c r="BG74" i="71" s="1"/>
  <c r="BF67" i="71"/>
  <c r="BF74" i="71" s="1"/>
  <c r="BE67" i="71"/>
  <c r="BE74" i="71" s="1"/>
  <c r="BD67" i="71"/>
  <c r="BD74" i="71" s="1"/>
  <c r="BC67" i="71"/>
  <c r="BB67" i="71"/>
  <c r="BA67" i="71"/>
  <c r="AZ67" i="71"/>
  <c r="AZ74" i="71" s="1"/>
  <c r="AI67" i="71"/>
  <c r="AH67" i="71"/>
  <c r="BW66" i="71"/>
  <c r="BW73" i="71" s="1"/>
  <c r="BV66" i="71"/>
  <c r="BV73" i="71" s="1"/>
  <c r="BU66" i="71"/>
  <c r="BT66" i="71"/>
  <c r="BT73" i="71" s="1"/>
  <c r="BS66" i="71"/>
  <c r="BR66" i="71"/>
  <c r="BR73" i="71" s="1"/>
  <c r="BQ66" i="71"/>
  <c r="BQ73" i="71" s="1"/>
  <c r="BP66" i="71"/>
  <c r="BP73" i="71" s="1"/>
  <c r="BO66" i="71"/>
  <c r="BO73" i="71" s="1"/>
  <c r="BN66" i="71"/>
  <c r="BN73" i="71" s="1"/>
  <c r="BM66" i="71"/>
  <c r="BM73" i="71" s="1"/>
  <c r="BL66" i="71"/>
  <c r="BL73" i="71" s="1"/>
  <c r="BK66" i="71"/>
  <c r="BK73" i="71" s="1"/>
  <c r="BJ66" i="71"/>
  <c r="BJ73" i="71" s="1"/>
  <c r="BI66" i="71"/>
  <c r="BI73" i="71" s="1"/>
  <c r="BH66" i="71"/>
  <c r="BH73" i="71" s="1"/>
  <c r="BG66" i="71"/>
  <c r="BG73" i="71" s="1"/>
  <c r="BF66" i="71"/>
  <c r="BF73" i="71" s="1"/>
  <c r="BE66" i="71"/>
  <c r="BE73" i="71" s="1"/>
  <c r="BD66" i="71"/>
  <c r="BD73" i="71" s="1"/>
  <c r="BC66" i="71"/>
  <c r="BC73" i="71" s="1"/>
  <c r="BB66" i="71"/>
  <c r="BB73" i="71" s="1"/>
  <c r="BA66" i="71"/>
  <c r="BA73" i="71" s="1"/>
  <c r="AZ66" i="71"/>
  <c r="AI66" i="71"/>
  <c r="AH66" i="71"/>
  <c r="AG65" i="71"/>
  <c r="BG17" i="71"/>
  <c r="BC17" i="71"/>
  <c r="BB17" i="71"/>
  <c r="R65" i="71"/>
  <c r="AZ17" i="71" s="1"/>
  <c r="Q65" i="71"/>
  <c r="AY17" i="71" s="1"/>
  <c r="P65" i="71"/>
  <c r="O65" i="71"/>
  <c r="N65" i="71"/>
  <c r="M65" i="71"/>
  <c r="AU17" i="71" s="1"/>
  <c r="L65" i="71"/>
  <c r="K65" i="71"/>
  <c r="AT17" i="71" s="1"/>
  <c r="J65" i="71"/>
  <c r="I65" i="71"/>
  <c r="AS17" i="71" s="1"/>
  <c r="H65" i="71"/>
  <c r="G65" i="71"/>
  <c r="AR17" i="71" s="1"/>
  <c r="F65" i="71"/>
  <c r="AQ17" i="71" s="1"/>
  <c r="E65" i="71"/>
  <c r="AP17" i="71" s="1"/>
  <c r="AI64" i="71"/>
  <c r="AH64" i="71"/>
  <c r="AI63" i="71"/>
  <c r="AH63" i="71"/>
  <c r="AI62" i="71"/>
  <c r="AH62" i="71"/>
  <c r="AG61" i="71"/>
  <c r="BI16" i="71"/>
  <c r="Z7" i="71"/>
  <c r="R61" i="71"/>
  <c r="Q61" i="71"/>
  <c r="AY16" i="71" s="1"/>
  <c r="P61" i="71"/>
  <c r="O61" i="71"/>
  <c r="AW16" i="71" s="1"/>
  <c r="N61" i="71"/>
  <c r="M61" i="71"/>
  <c r="AU16" i="71" s="1"/>
  <c r="L61" i="71"/>
  <c r="K61" i="71"/>
  <c r="AT16" i="71" s="1"/>
  <c r="J61" i="71"/>
  <c r="I61" i="71"/>
  <c r="H61" i="71"/>
  <c r="G61" i="71"/>
  <c r="F61" i="71"/>
  <c r="E61" i="71"/>
  <c r="AP16" i="71" s="1"/>
  <c r="AH60" i="71"/>
  <c r="AI59" i="71"/>
  <c r="AH59" i="71"/>
  <c r="AI58" i="71"/>
  <c r="AH58" i="71"/>
  <c r="AI57" i="71"/>
  <c r="AH57" i="71"/>
  <c r="AI56" i="71"/>
  <c r="AH56" i="71"/>
  <c r="AI55" i="71"/>
  <c r="AH55" i="71"/>
  <c r="AI54" i="71"/>
  <c r="AH54" i="71"/>
  <c r="AI53" i="71"/>
  <c r="AH53" i="71"/>
  <c r="AI52" i="71"/>
  <c r="AH52" i="71"/>
  <c r="AI51" i="71"/>
  <c r="AH51" i="71"/>
  <c r="AI50" i="71"/>
  <c r="AH50" i="71"/>
  <c r="AI49" i="71"/>
  <c r="AH49" i="71"/>
  <c r="AI48" i="71"/>
  <c r="AH48" i="71"/>
  <c r="AI47" i="71"/>
  <c r="AH47" i="71"/>
  <c r="AI46" i="71"/>
  <c r="AH46" i="71"/>
  <c r="AI45" i="71"/>
  <c r="AH45" i="71"/>
  <c r="AI44" i="71"/>
  <c r="AH44" i="71"/>
  <c r="AI43" i="71"/>
  <c r="AH43" i="71"/>
  <c r="AI42" i="71"/>
  <c r="AH42" i="71"/>
  <c r="AI41" i="71"/>
  <c r="AH41" i="71"/>
  <c r="AI40" i="71"/>
  <c r="AH40" i="71"/>
  <c r="AI39" i="71"/>
  <c r="AH39" i="71"/>
  <c r="AI38" i="71"/>
  <c r="AH38" i="71"/>
  <c r="AI37" i="71"/>
  <c r="AH37" i="71"/>
  <c r="AI36" i="71"/>
  <c r="AH36" i="71"/>
  <c r="AI35" i="71"/>
  <c r="AH35" i="71"/>
  <c r="AI34" i="71"/>
  <c r="AH34" i="71"/>
  <c r="AI33" i="71"/>
  <c r="AH33" i="71"/>
  <c r="AI32" i="71"/>
  <c r="AH32" i="71"/>
  <c r="AI31" i="71"/>
  <c r="AH31" i="71"/>
  <c r="AI30" i="71"/>
  <c r="AH30" i="71"/>
  <c r="AI29" i="71"/>
  <c r="AH29" i="71"/>
  <c r="AI28" i="71"/>
  <c r="AH28" i="71"/>
  <c r="AI27" i="71"/>
  <c r="AH27" i="71"/>
  <c r="AI26" i="71"/>
  <c r="AH26" i="71"/>
  <c r="AI25" i="71"/>
  <c r="AH25" i="71"/>
  <c r="AI24" i="71"/>
  <c r="AH24" i="71"/>
  <c r="BD23" i="71"/>
  <c r="BA23" i="71"/>
  <c r="AI23" i="71"/>
  <c r="AH23" i="71"/>
  <c r="AI22" i="71"/>
  <c r="AH22" i="71"/>
  <c r="BJ21" i="71"/>
  <c r="BI21" i="71"/>
  <c r="BH21" i="71"/>
  <c r="BG21" i="71"/>
  <c r="BF21" i="71"/>
  <c r="BE21" i="71"/>
  <c r="BD21" i="71"/>
  <c r="BC21" i="71"/>
  <c r="BB21" i="71"/>
  <c r="BA21" i="71"/>
  <c r="AZ21" i="71"/>
  <c r="AY21" i="71"/>
  <c r="AX21" i="71"/>
  <c r="AW21" i="71"/>
  <c r="AV21" i="71"/>
  <c r="AU21" i="71"/>
  <c r="AT21" i="71"/>
  <c r="AS21" i="71"/>
  <c r="AR21" i="71"/>
  <c r="AQ21" i="71"/>
  <c r="AP21" i="71"/>
  <c r="AO21" i="71"/>
  <c r="AN21" i="71"/>
  <c r="AM21" i="71"/>
  <c r="AI21" i="71"/>
  <c r="AH21" i="71"/>
  <c r="BJ20" i="71"/>
  <c r="BI20" i="71"/>
  <c r="BH20" i="71"/>
  <c r="BG20" i="71"/>
  <c r="BF20" i="71"/>
  <c r="BE20" i="71"/>
  <c r="BC20" i="71"/>
  <c r="BB20" i="71"/>
  <c r="BA20" i="71"/>
  <c r="AZ20" i="71"/>
  <c r="AY20" i="71"/>
  <c r="AX20" i="71"/>
  <c r="AW20" i="71"/>
  <c r="AU20" i="71"/>
  <c r="AT20" i="71"/>
  <c r="AS20" i="71"/>
  <c r="AR20" i="71"/>
  <c r="AQ20" i="71"/>
  <c r="AP20" i="71"/>
  <c r="AO20" i="71"/>
  <c r="AN20" i="71"/>
  <c r="AM20" i="71"/>
  <c r="AI20" i="71"/>
  <c r="AH20" i="71"/>
  <c r="BF19" i="71"/>
  <c r="BE19" i="71"/>
  <c r="BB19" i="71"/>
  <c r="BA19" i="71"/>
  <c r="AW19" i="71"/>
  <c r="AS19" i="71"/>
  <c r="AN19" i="71"/>
  <c r="AI19" i="71"/>
  <c r="AH19" i="71"/>
  <c r="BJ18" i="71"/>
  <c r="BG18" i="71"/>
  <c r="BE18" i="71"/>
  <c r="BD18" i="71"/>
  <c r="BC18" i="71"/>
  <c r="BB18" i="71"/>
  <c r="BA18" i="71"/>
  <c r="AY18" i="71"/>
  <c r="AX18" i="71"/>
  <c r="AV18" i="71"/>
  <c r="AU18" i="71"/>
  <c r="AT18" i="71"/>
  <c r="AR18" i="71"/>
  <c r="AP18" i="71"/>
  <c r="AO18" i="71"/>
  <c r="AM18" i="71"/>
  <c r="AI18" i="71"/>
  <c r="AH18" i="71"/>
  <c r="BJ17" i="71"/>
  <c r="BI17" i="71"/>
  <c r="BH17" i="71"/>
  <c r="BF17" i="71"/>
  <c r="BE17" i="71"/>
  <c r="BD17" i="71"/>
  <c r="BA17" i="71"/>
  <c r="AX17" i="71"/>
  <c r="AW17" i="71"/>
  <c r="AV17" i="71"/>
  <c r="AO17" i="71"/>
  <c r="AN17" i="71"/>
  <c r="AI17" i="71"/>
  <c r="AH17" i="71"/>
  <c r="BJ16" i="71"/>
  <c r="BG16" i="71"/>
  <c r="BF16" i="71"/>
  <c r="BF22" i="71" s="1"/>
  <c r="BF24" i="71" s="1"/>
  <c r="BE16" i="71"/>
  <c r="BC16" i="71"/>
  <c r="BB16" i="71"/>
  <c r="BA16" i="71"/>
  <c r="AO16" i="71"/>
  <c r="AN16" i="71"/>
  <c r="AM16" i="71"/>
  <c r="AI16" i="71"/>
  <c r="AH16" i="71"/>
  <c r="AI15" i="71"/>
  <c r="AH15" i="71"/>
  <c r="AI14" i="71"/>
  <c r="AH14" i="71"/>
  <c r="AI13" i="71"/>
  <c r="AH13" i="71"/>
  <c r="AL12" i="71"/>
  <c r="AI12" i="71"/>
  <c r="AH12" i="71"/>
  <c r="AI11" i="71"/>
  <c r="AH11" i="71"/>
  <c r="AB5" i="71"/>
  <c r="AA5" i="71"/>
  <c r="Z5" i="71"/>
  <c r="Y5" i="71"/>
  <c r="X5" i="71"/>
  <c r="W5" i="71"/>
  <c r="V5" i="71"/>
  <c r="U5" i="71"/>
  <c r="S5" i="71"/>
  <c r="R5" i="71"/>
  <c r="P5" i="71"/>
  <c r="O5" i="71"/>
  <c r="N5" i="71"/>
  <c r="K5" i="71"/>
  <c r="J5" i="71"/>
  <c r="I5" i="71"/>
  <c r="H5" i="71"/>
  <c r="G5" i="71"/>
  <c r="B5" i="71"/>
  <c r="AG4" i="71"/>
  <c r="K4" i="71"/>
  <c r="E4" i="71"/>
  <c r="H4" i="71" s="1"/>
  <c r="B4" i="71"/>
  <c r="AG2" i="71"/>
  <c r="AG6" i="71" s="1"/>
  <c r="AE60" i="70"/>
  <c r="AE61" i="70"/>
  <c r="AE65" i="70"/>
  <c r="AE79" i="70"/>
  <c r="AE83" i="70"/>
  <c r="AE95" i="70"/>
  <c r="AE104" i="70"/>
  <c r="AE105" i="70"/>
  <c r="AE106" i="70"/>
  <c r="AE107" i="70"/>
  <c r="AE108" i="70"/>
  <c r="AE109" i="70"/>
  <c r="BJ19" i="71" l="1"/>
  <c r="AE110" i="71"/>
  <c r="BI23" i="71" s="1"/>
  <c r="AD5" i="71"/>
  <c r="AF100" i="71"/>
  <c r="AF102" i="71" s="1"/>
  <c r="BJ22" i="71"/>
  <c r="AD110" i="71"/>
  <c r="BH23" i="71" s="1"/>
  <c r="BH19" i="71"/>
  <c r="AD100" i="71"/>
  <c r="AD102" i="71" s="1"/>
  <c r="AD103" i="71" s="1"/>
  <c r="AD7" i="71" s="1"/>
  <c r="AB110" i="71"/>
  <c r="BG23" i="71" s="1"/>
  <c r="BG22" i="71"/>
  <c r="BE22" i="71"/>
  <c r="BB22" i="71"/>
  <c r="BA22" i="71"/>
  <c r="BA24" i="71" s="1"/>
  <c r="Q5" i="71"/>
  <c r="R100" i="71"/>
  <c r="R102" i="71" s="1"/>
  <c r="R103" i="71" s="1"/>
  <c r="R7" i="71" s="1"/>
  <c r="AY22" i="71"/>
  <c r="P100" i="71"/>
  <c r="P102" i="71" s="1"/>
  <c r="AX16" i="71"/>
  <c r="AX22" i="71" s="1"/>
  <c r="O110" i="71"/>
  <c r="AW23" i="71" s="1"/>
  <c r="K111" i="71"/>
  <c r="AT22" i="71"/>
  <c r="AT24" i="71" s="1"/>
  <c r="AI124" i="71"/>
  <c r="J100" i="71"/>
  <c r="J102" i="71" s="1"/>
  <c r="J103" i="71" s="1"/>
  <c r="J7" i="71" s="1"/>
  <c r="H100" i="71"/>
  <c r="H102" i="71" s="1"/>
  <c r="AI60" i="71"/>
  <c r="AR19" i="71"/>
  <c r="G110" i="71"/>
  <c r="AR23" i="71" s="1"/>
  <c r="G100" i="71"/>
  <c r="G102" i="71" s="1"/>
  <c r="AR16" i="71"/>
  <c r="AQ19" i="71"/>
  <c r="F100" i="71"/>
  <c r="F102" i="71" s="1"/>
  <c r="F103" i="71" s="1"/>
  <c r="F7" i="71" s="1"/>
  <c r="AQ16" i="71"/>
  <c r="AQ22" i="71" s="1"/>
  <c r="AQ24" i="71" s="1"/>
  <c r="AH124" i="71"/>
  <c r="AH61" i="71"/>
  <c r="D110" i="71"/>
  <c r="D111" i="71" s="1"/>
  <c r="AO19" i="71"/>
  <c r="C5" i="71"/>
  <c r="AI106" i="71"/>
  <c r="C100" i="71"/>
  <c r="C102" i="71" s="1"/>
  <c r="C103" i="71" s="1"/>
  <c r="C111" i="71"/>
  <c r="AN22" i="71"/>
  <c r="AH79" i="71"/>
  <c r="AM19" i="71"/>
  <c r="AI104" i="71"/>
  <c r="B100" i="71"/>
  <c r="B102" i="71" s="1"/>
  <c r="AF5" i="71"/>
  <c r="B103" i="71"/>
  <c r="AI95" i="71"/>
  <c r="AH105" i="71"/>
  <c r="BI22" i="71"/>
  <c r="BI24" i="71" s="1"/>
  <c r="F111" i="71"/>
  <c r="N111" i="71"/>
  <c r="AD111" i="71"/>
  <c r="G111" i="71"/>
  <c r="O111" i="71"/>
  <c r="AE111" i="71"/>
  <c r="G103" i="71"/>
  <c r="G7" i="71" s="1"/>
  <c r="AS16" i="71"/>
  <c r="AS22" i="71" s="1"/>
  <c r="I100" i="71"/>
  <c r="I102" i="71" s="1"/>
  <c r="Q100" i="71"/>
  <c r="Q102" i="71" s="1"/>
  <c r="AG100" i="71"/>
  <c r="AI65" i="71"/>
  <c r="AH65" i="71"/>
  <c r="AE100" i="71"/>
  <c r="AE102" i="71" s="1"/>
  <c r="AE103" i="71" s="1"/>
  <c r="AE7" i="71" s="1"/>
  <c r="J111" i="71"/>
  <c r="AH104" i="71"/>
  <c r="AI105" i="71"/>
  <c r="AO23" i="71"/>
  <c r="L110" i="71"/>
  <c r="L111" i="71" s="1"/>
  <c r="BB23" i="71"/>
  <c r="BB24" i="71" s="1"/>
  <c r="R111" i="71"/>
  <c r="BG82" i="71" a="1"/>
  <c r="AZ73" i="71"/>
  <c r="D261" i="71"/>
  <c r="AL13" i="71"/>
  <c r="AW22" i="71"/>
  <c r="AW24" i="71" s="1"/>
  <c r="AI79" i="71"/>
  <c r="AO22" i="71"/>
  <c r="BH16" i="71"/>
  <c r="BH22" i="71" s="1"/>
  <c r="BH24" i="71" s="1"/>
  <c r="L100" i="71"/>
  <c r="L102" i="71" s="1"/>
  <c r="L103" i="71" s="1"/>
  <c r="L7" i="71" s="1"/>
  <c r="AB100" i="71"/>
  <c r="AB102" i="71" s="1"/>
  <c r="AB103" i="71" s="1"/>
  <c r="AB7" i="71" s="1"/>
  <c r="AZ16" i="71"/>
  <c r="AZ22" i="71" s="1"/>
  <c r="AZ24" i="71" s="1"/>
  <c r="BD19" i="71"/>
  <c r="E100" i="71"/>
  <c r="E102" i="71" s="1"/>
  <c r="M100" i="71"/>
  <c r="M102" i="71" s="1"/>
  <c r="AI83" i="71"/>
  <c r="AP19" i="71"/>
  <c r="AP22" i="71" s="1"/>
  <c r="D5" i="71"/>
  <c r="L5" i="71"/>
  <c r="AU19" i="71"/>
  <c r="AU22" i="71" s="1"/>
  <c r="T5" i="71"/>
  <c r="BC19" i="71"/>
  <c r="BC22" i="71" s="1"/>
  <c r="BC24" i="71" s="1"/>
  <c r="W7" i="71"/>
  <c r="AI61" i="71"/>
  <c r="N100" i="71"/>
  <c r="N102" i="71" s="1"/>
  <c r="N103" i="71" s="1"/>
  <c r="N7" i="71" s="1"/>
  <c r="AV16" i="71"/>
  <c r="AV22" i="71" s="1"/>
  <c r="AV24" i="71" s="1"/>
  <c r="V7" i="71"/>
  <c r="BD16" i="71"/>
  <c r="AR22" i="71"/>
  <c r="AR24" i="71" s="1"/>
  <c r="O100" i="71"/>
  <c r="O102" i="71" s="1"/>
  <c r="O103" i="71" s="1"/>
  <c r="O7" i="71" s="1"/>
  <c r="M5" i="71"/>
  <c r="AM17" i="71"/>
  <c r="AM22" i="71" s="1"/>
  <c r="AB111" i="71"/>
  <c r="I110" i="71"/>
  <c r="Q110" i="71"/>
  <c r="AI108" i="71"/>
  <c r="AH109" i="71"/>
  <c r="D255" i="71"/>
  <c r="E249" i="71"/>
  <c r="AH107" i="71"/>
  <c r="E110" i="71"/>
  <c r="AP23" i="71" s="1"/>
  <c r="M110" i="71"/>
  <c r="AU23" i="71" s="1"/>
  <c r="BC23" i="71"/>
  <c r="AH83" i="71"/>
  <c r="AH95" i="71"/>
  <c r="AG102" i="71"/>
  <c r="K100" i="71"/>
  <c r="K102" i="71" s="1"/>
  <c r="K103" i="71" s="1"/>
  <c r="K7" i="71" s="1"/>
  <c r="S7" i="71"/>
  <c r="AA7" i="71"/>
  <c r="H110" i="71"/>
  <c r="H111" i="71" s="1"/>
  <c r="P110" i="71"/>
  <c r="AX23" i="71" s="1"/>
  <c r="BE23" i="71"/>
  <c r="BE24" i="71" s="1"/>
  <c r="AF110" i="71"/>
  <c r="BJ23" i="71" s="1"/>
  <c r="AI109" i="71"/>
  <c r="AN23" i="71"/>
  <c r="AN24" i="71" s="1"/>
  <c r="AH106" i="71"/>
  <c r="AH108" i="71"/>
  <c r="AE110" i="70"/>
  <c r="AE111" i="70"/>
  <c r="AE100" i="70"/>
  <c r="AE102" i="70" s="1"/>
  <c r="AC60" i="70"/>
  <c r="AD60" i="70"/>
  <c r="AC61" i="70"/>
  <c r="AD61" i="70"/>
  <c r="AC65" i="70"/>
  <c r="AD65" i="70"/>
  <c r="AC79" i="70"/>
  <c r="AD79" i="70"/>
  <c r="AC83" i="70"/>
  <c r="AD83" i="70"/>
  <c r="AC95" i="70"/>
  <c r="AD95" i="70"/>
  <c r="AC104" i="70"/>
  <c r="AC110" i="70" s="1"/>
  <c r="AD104" i="70"/>
  <c r="AC105" i="70"/>
  <c r="AD105" i="70"/>
  <c r="AC106" i="70"/>
  <c r="AD106" i="70"/>
  <c r="AC107" i="70"/>
  <c r="AD107" i="70"/>
  <c r="AC108" i="70"/>
  <c r="AD108" i="70"/>
  <c r="AC109" i="70"/>
  <c r="AD109" i="70"/>
  <c r="BJ24" i="71" l="1"/>
  <c r="BG24" i="71"/>
  <c r="AX24" i="71"/>
  <c r="D103" i="71"/>
  <c r="AO24" i="71"/>
  <c r="AF111" i="71"/>
  <c r="AF103" i="71"/>
  <c r="AF7" i="71" s="1"/>
  <c r="AC100" i="70"/>
  <c r="AC102" i="70" s="1"/>
  <c r="AP24" i="71"/>
  <c r="C259" i="71"/>
  <c r="H103" i="71"/>
  <c r="H7" i="71" s="1"/>
  <c r="AD110" i="70"/>
  <c r="T7" i="71"/>
  <c r="Q111" i="71"/>
  <c r="AY23" i="71"/>
  <c r="AY24" i="71" s="1"/>
  <c r="AI100" i="71"/>
  <c r="AH100" i="71"/>
  <c r="M111" i="71"/>
  <c r="AH110" i="71"/>
  <c r="AM23" i="71"/>
  <c r="AM24" i="71" s="1"/>
  <c r="AI110" i="71"/>
  <c r="P111" i="71"/>
  <c r="AC7" i="71"/>
  <c r="U7" i="71"/>
  <c r="D7" i="71"/>
  <c r="I103" i="71"/>
  <c r="I7" i="71" s="1"/>
  <c r="B259" i="71"/>
  <c r="F249" i="71"/>
  <c r="E255" i="71"/>
  <c r="E121" i="71"/>
  <c r="E103" i="71"/>
  <c r="E7" i="71" s="1"/>
  <c r="AU24" i="71"/>
  <c r="I111" i="71"/>
  <c r="AS23" i="71"/>
  <c r="AS24" i="71" s="1"/>
  <c r="BJ105" i="71"/>
  <c r="BH104" i="71"/>
  <c r="BL102" i="71"/>
  <c r="BJ101" i="71"/>
  <c r="BH100" i="71"/>
  <c r="BL98" i="71"/>
  <c r="BJ97" i="71"/>
  <c r="BH96" i="71"/>
  <c r="BL94" i="71"/>
  <c r="BJ93" i="71"/>
  <c r="BH92" i="71"/>
  <c r="BL90" i="71"/>
  <c r="BJ89" i="71"/>
  <c r="BH88" i="71"/>
  <c r="BL86" i="71"/>
  <c r="BJ85" i="71"/>
  <c r="BH84" i="71"/>
  <c r="BL82" i="71"/>
  <c r="BL105" i="71"/>
  <c r="BJ104" i="71"/>
  <c r="BH103" i="71"/>
  <c r="BL101" i="71"/>
  <c r="BJ100" i="71"/>
  <c r="BH99" i="71"/>
  <c r="BL97" i="71"/>
  <c r="BJ96" i="71"/>
  <c r="BH95" i="71"/>
  <c r="BL93" i="71"/>
  <c r="BJ92" i="71"/>
  <c r="BH91" i="71"/>
  <c r="BL89" i="71"/>
  <c r="BJ88" i="71"/>
  <c r="BH87" i="71"/>
  <c r="BL85" i="71"/>
  <c r="BJ84" i="71"/>
  <c r="BH83" i="71"/>
  <c r="BI104" i="71"/>
  <c r="BJ102" i="71"/>
  <c r="BL100" i="71"/>
  <c r="BG99" i="71"/>
  <c r="BH97" i="71"/>
  <c r="BJ95" i="71"/>
  <c r="BK93" i="71"/>
  <c r="BL91" i="71"/>
  <c r="BH90" i="71"/>
  <c r="BI88" i="71"/>
  <c r="BJ86" i="71"/>
  <c r="BL84" i="71"/>
  <c r="BG83" i="71"/>
  <c r="BG104" i="71"/>
  <c r="BI102" i="71"/>
  <c r="BK100" i="71"/>
  <c r="BK98" i="71"/>
  <c r="BG97" i="71"/>
  <c r="BI95" i="71"/>
  <c r="BI93" i="71"/>
  <c r="BK91" i="71"/>
  <c r="BG90" i="71"/>
  <c r="BG88" i="71"/>
  <c r="BI86" i="71"/>
  <c r="BK84" i="71"/>
  <c r="BK82" i="71"/>
  <c r="BK105" i="71"/>
  <c r="BL103" i="71"/>
  <c r="BH102" i="71"/>
  <c r="BI100" i="71"/>
  <c r="BJ98" i="71"/>
  <c r="BL96" i="71"/>
  <c r="BG95" i="71"/>
  <c r="BH93" i="71"/>
  <c r="BJ91" i="71"/>
  <c r="BK89" i="71"/>
  <c r="BL87" i="71"/>
  <c r="BH86" i="71"/>
  <c r="BI84" i="71"/>
  <c r="BJ82" i="71"/>
  <c r="BI105" i="71"/>
  <c r="BK103" i="71"/>
  <c r="BG102" i="71"/>
  <c r="BG100" i="71"/>
  <c r="BI98" i="71"/>
  <c r="BK96" i="71"/>
  <c r="BK94" i="71"/>
  <c r="BG93" i="71"/>
  <c r="BI91" i="71"/>
  <c r="BI89" i="71"/>
  <c r="BK87" i="71"/>
  <c r="BG86" i="71"/>
  <c r="BG84" i="71"/>
  <c r="BI82" i="71"/>
  <c r="BH105" i="71"/>
  <c r="BJ103" i="71"/>
  <c r="BK101" i="71"/>
  <c r="BL99" i="71"/>
  <c r="BH98" i="71"/>
  <c r="BI96" i="71"/>
  <c r="BJ94" i="71"/>
  <c r="BL92" i="71"/>
  <c r="BG91" i="71"/>
  <c r="BH89" i="71"/>
  <c r="BJ87" i="71"/>
  <c r="BK85" i="71"/>
  <c r="BL83" i="71"/>
  <c r="BH82" i="71"/>
  <c r="BK104" i="71"/>
  <c r="BK102" i="71"/>
  <c r="BG101" i="71"/>
  <c r="BI99" i="71"/>
  <c r="BI97" i="71"/>
  <c r="BK95" i="71"/>
  <c r="BG94" i="71"/>
  <c r="BG92" i="71"/>
  <c r="BI90" i="71"/>
  <c r="BK88" i="71"/>
  <c r="BK86" i="71"/>
  <c r="BG85" i="71"/>
  <c r="BI83" i="71"/>
  <c r="BI101" i="71"/>
  <c r="BI94" i="71"/>
  <c r="BI87" i="71"/>
  <c r="BH101" i="71"/>
  <c r="BH94" i="71"/>
  <c r="BG87" i="71"/>
  <c r="BI103" i="71"/>
  <c r="BG89" i="71"/>
  <c r="BK99" i="71"/>
  <c r="BK92" i="71"/>
  <c r="BI85" i="71"/>
  <c r="BJ99" i="71"/>
  <c r="BI92" i="71"/>
  <c r="BH85" i="71"/>
  <c r="BG96" i="71"/>
  <c r="BG82" i="71"/>
  <c r="BG105" i="71"/>
  <c r="BG98" i="71"/>
  <c r="BK90" i="71"/>
  <c r="BK83" i="71"/>
  <c r="BL104" i="71"/>
  <c r="BK97" i="71"/>
  <c r="BJ90" i="71"/>
  <c r="BJ83" i="71"/>
  <c r="BG103" i="71"/>
  <c r="BL95" i="71"/>
  <c r="BL88" i="71"/>
  <c r="C7" i="71"/>
  <c r="P103" i="71"/>
  <c r="P7" i="71" s="1"/>
  <c r="X7" i="71"/>
  <c r="BD22" i="71"/>
  <c r="BD24" i="71" s="1"/>
  <c r="E111" i="71"/>
  <c r="M103" i="71"/>
  <c r="M7" i="71" s="1"/>
  <c r="Q103" i="71"/>
  <c r="Q7" i="71" s="1"/>
  <c r="Y7" i="71"/>
  <c r="AE103" i="70"/>
  <c r="AD100" i="70"/>
  <c r="AD102" i="70" s="1"/>
  <c r="AD103" i="70" s="1"/>
  <c r="AD111" i="70"/>
  <c r="AC111" i="70"/>
  <c r="AC103" i="70"/>
  <c r="K6" i="71" l="1"/>
  <c r="AH102" i="71"/>
  <c r="AI102" i="71"/>
  <c r="G249" i="71"/>
  <c r="F255" i="71"/>
  <c r="F121" i="71"/>
  <c r="AT9" i="71"/>
  <c r="AI111" i="71"/>
  <c r="AH111" i="71"/>
  <c r="AT8" i="71"/>
  <c r="H249" i="71" l="1"/>
  <c r="G121" i="71"/>
  <c r="G255" i="71"/>
  <c r="AH103" i="71"/>
  <c r="B7" i="71"/>
  <c r="A7" i="71" s="1"/>
  <c r="AI103" i="71"/>
  <c r="I249" i="71" l="1"/>
  <c r="H255" i="71"/>
  <c r="H121" i="71"/>
  <c r="I255" i="71" l="1"/>
  <c r="I121" i="71"/>
  <c r="J249" i="71"/>
  <c r="J255" i="71" l="1"/>
  <c r="J121" i="71"/>
  <c r="K249" i="71"/>
  <c r="K255" i="71" l="1"/>
  <c r="K121" i="71"/>
  <c r="L249" i="71"/>
  <c r="L255" i="71" l="1"/>
  <c r="L121" i="71"/>
  <c r="M249" i="71"/>
  <c r="N249" i="71" l="1"/>
  <c r="M255" i="71"/>
  <c r="M121" i="71"/>
  <c r="O249" i="71" l="1"/>
  <c r="N121" i="71"/>
  <c r="N255" i="71"/>
  <c r="P249" i="71" l="1"/>
  <c r="O121" i="71"/>
  <c r="O255" i="71"/>
  <c r="Q249" i="71" l="1"/>
  <c r="P255" i="71"/>
  <c r="Q255" i="71" l="1"/>
  <c r="R249" i="71"/>
  <c r="Q121" i="71"/>
  <c r="R255" i="71" l="1"/>
  <c r="R121" i="71"/>
  <c r="S249" i="71"/>
  <c r="S255" i="71" l="1"/>
  <c r="T249" i="71"/>
  <c r="T255" i="71" l="1"/>
  <c r="U249" i="71"/>
  <c r="AB60" i="70"/>
  <c r="AB61" i="70"/>
  <c r="AB65" i="70"/>
  <c r="AB79" i="70"/>
  <c r="AB83" i="70"/>
  <c r="AA60" i="70"/>
  <c r="AA61" i="70"/>
  <c r="AA65" i="70"/>
  <c r="AA79" i="70"/>
  <c r="AA83" i="70"/>
  <c r="V249" i="71" l="1"/>
  <c r="U255" i="71"/>
  <c r="W249" i="71" l="1"/>
  <c r="V255" i="71"/>
  <c r="X249" i="71" l="1"/>
  <c r="W255" i="71"/>
  <c r="Y249" i="71" l="1"/>
  <c r="X255" i="71"/>
  <c r="Y255" i="71" l="1"/>
  <c r="Z249" i="71"/>
  <c r="Z255" i="71" l="1"/>
  <c r="AA249" i="71"/>
  <c r="AA255" i="71" l="1"/>
  <c r="AB249" i="71"/>
  <c r="AB255" i="71" l="1"/>
  <c r="AB121" i="71"/>
  <c r="AC249" i="71"/>
  <c r="AC121" i="71" l="1"/>
  <c r="AD249" i="71"/>
  <c r="AC255" i="71"/>
  <c r="AE249" i="71" l="1"/>
  <c r="AD121" i="71"/>
  <c r="AD255" i="71"/>
  <c r="AF249" i="71" l="1"/>
  <c r="AE255" i="71"/>
  <c r="AE121" i="71"/>
  <c r="AF255" i="71" l="1"/>
  <c r="AF121" i="71"/>
  <c r="B249" i="71"/>
  <c r="B255" i="71" l="1"/>
  <c r="AI121" i="71" l="1"/>
  <c r="AH121" i="71"/>
  <c r="Z60" i="70" l="1"/>
  <c r="Y60" i="70" l="1"/>
  <c r="Y61" i="70"/>
  <c r="Y65" i="70"/>
  <c r="Y79" i="70"/>
  <c r="Y83" i="70"/>
  <c r="X60" i="70"/>
  <c r="X61" i="70"/>
  <c r="X65" i="70"/>
  <c r="X79" i="70"/>
  <c r="X83" i="70"/>
  <c r="W60" i="70"/>
  <c r="W61" i="70"/>
  <c r="W65" i="70"/>
  <c r="W79" i="70"/>
  <c r="W83" i="70"/>
  <c r="V60" i="70"/>
  <c r="V61" i="70"/>
  <c r="V65" i="70"/>
  <c r="V79" i="70"/>
  <c r="V83" i="70"/>
  <c r="U60" i="70"/>
  <c r="U61" i="70"/>
  <c r="U65" i="70"/>
  <c r="U79" i="70"/>
  <c r="U83" i="70"/>
  <c r="T60" i="70"/>
  <c r="T28" i="70"/>
  <c r="T61" i="70" s="1"/>
  <c r="T65" i="70"/>
  <c r="T79" i="70"/>
  <c r="T83" i="70"/>
  <c r="S60" i="70"/>
  <c r="S28" i="70"/>
  <c r="S61" i="70" s="1"/>
  <c r="S65" i="70"/>
  <c r="S79" i="70"/>
  <c r="S83" i="70"/>
  <c r="R28" i="70"/>
  <c r="R124" i="70"/>
  <c r="R60" i="70"/>
  <c r="Q124" i="70"/>
  <c r="Q60" i="70"/>
  <c r="Q61" i="70"/>
  <c r="Q65" i="70"/>
  <c r="P124" i="70"/>
  <c r="P60" i="70"/>
  <c r="O124" i="70"/>
  <c r="O60" i="70"/>
  <c r="N124" i="70"/>
  <c r="N60" i="70"/>
  <c r="M124" i="70"/>
  <c r="M60" i="70"/>
  <c r="M61" i="70"/>
  <c r="M65" i="70"/>
  <c r="M79" i="70"/>
  <c r="M83" i="70"/>
  <c r="M95" i="70"/>
  <c r="M104" i="70"/>
  <c r="M105" i="70"/>
  <c r="M106" i="70"/>
  <c r="M107" i="70"/>
  <c r="M108" i="70"/>
  <c r="M109" i="70"/>
  <c r="M110" i="70" l="1"/>
  <c r="M111" i="70" s="1"/>
  <c r="M100" i="70"/>
  <c r="M102" i="70" s="1"/>
  <c r="M103" i="70" s="1"/>
  <c r="AH128" i="70" l="1"/>
  <c r="AI128" i="70"/>
  <c r="AH127" i="70"/>
  <c r="AI127" i="70"/>
  <c r="AG255" i="70"/>
  <c r="C255" i="70"/>
  <c r="E254" i="70"/>
  <c r="D254" i="70"/>
  <c r="D253" i="70"/>
  <c r="E253" i="70" s="1"/>
  <c r="F253" i="70" s="1"/>
  <c r="G253" i="70" s="1"/>
  <c r="H253" i="70" s="1"/>
  <c r="I253" i="70" s="1"/>
  <c r="J253" i="70" s="1"/>
  <c r="K253" i="70" s="1"/>
  <c r="L253" i="70" s="1"/>
  <c r="M253" i="70" s="1"/>
  <c r="N253" i="70" s="1"/>
  <c r="O253" i="70" s="1"/>
  <c r="P253" i="70" s="1"/>
  <c r="Q253" i="70" s="1"/>
  <c r="R253" i="70" s="1"/>
  <c r="S253" i="70" s="1"/>
  <c r="T253" i="70" s="1"/>
  <c r="U253" i="70" s="1"/>
  <c r="V253" i="70" s="1"/>
  <c r="W253" i="70" s="1"/>
  <c r="X253" i="70" s="1"/>
  <c r="Y253" i="70" s="1"/>
  <c r="Z253" i="70" s="1"/>
  <c r="AA253" i="70" s="1"/>
  <c r="AB253" i="70" s="1"/>
  <c r="AC253" i="70" s="1"/>
  <c r="AD253" i="70" s="1"/>
  <c r="AE253" i="70" s="1"/>
  <c r="AF253" i="70" s="1"/>
  <c r="B253" i="70" s="1"/>
  <c r="D252" i="70"/>
  <c r="E252" i="70" s="1"/>
  <c r="F252" i="70" s="1"/>
  <c r="G252" i="70" s="1"/>
  <c r="H252" i="70" s="1"/>
  <c r="I252" i="70" s="1"/>
  <c r="J252" i="70" s="1"/>
  <c r="K252" i="70" s="1"/>
  <c r="L252" i="70" s="1"/>
  <c r="M252" i="70" s="1"/>
  <c r="N252" i="70" s="1"/>
  <c r="O252" i="70" s="1"/>
  <c r="P252" i="70" s="1"/>
  <c r="Q252" i="70" s="1"/>
  <c r="R252" i="70" s="1"/>
  <c r="S252" i="70" s="1"/>
  <c r="T252" i="70" s="1"/>
  <c r="U252" i="70" s="1"/>
  <c r="V252" i="70" s="1"/>
  <c r="W252" i="70" s="1"/>
  <c r="X252" i="70" s="1"/>
  <c r="Y252" i="70" s="1"/>
  <c r="Z252" i="70" s="1"/>
  <c r="AA252" i="70" s="1"/>
  <c r="AB252" i="70" s="1"/>
  <c r="AC252" i="70" s="1"/>
  <c r="AD252" i="70" s="1"/>
  <c r="AE252" i="70" s="1"/>
  <c r="AF252" i="70" s="1"/>
  <c r="B252" i="70" s="1"/>
  <c r="D251" i="70"/>
  <c r="E251" i="70" s="1"/>
  <c r="F251" i="70" s="1"/>
  <c r="G251" i="70" s="1"/>
  <c r="H251" i="70" s="1"/>
  <c r="I251" i="70" s="1"/>
  <c r="J251" i="70" s="1"/>
  <c r="K251" i="70" s="1"/>
  <c r="L251" i="70" s="1"/>
  <c r="M251" i="70" s="1"/>
  <c r="N251" i="70" s="1"/>
  <c r="O251" i="70" s="1"/>
  <c r="P251" i="70" s="1"/>
  <c r="Q251" i="70" s="1"/>
  <c r="R251" i="70" s="1"/>
  <c r="S251" i="70" s="1"/>
  <c r="T251" i="70" s="1"/>
  <c r="U251" i="70" s="1"/>
  <c r="V251" i="70" s="1"/>
  <c r="W251" i="70" s="1"/>
  <c r="X251" i="70" s="1"/>
  <c r="Y251" i="70" s="1"/>
  <c r="Z251" i="70" s="1"/>
  <c r="AA251" i="70" s="1"/>
  <c r="AB251" i="70" s="1"/>
  <c r="AC251" i="70" s="1"/>
  <c r="AD251" i="70" s="1"/>
  <c r="AE251" i="70" s="1"/>
  <c r="AF251" i="70" s="1"/>
  <c r="B251" i="70" s="1"/>
  <c r="D250" i="70"/>
  <c r="E250" i="70" s="1"/>
  <c r="E249" i="70"/>
  <c r="F249" i="70" s="1"/>
  <c r="G249" i="70" s="1"/>
  <c r="D249" i="70"/>
  <c r="AG247" i="70"/>
  <c r="AF247" i="70"/>
  <c r="AE247" i="70"/>
  <c r="AD247" i="70"/>
  <c r="AC247" i="70"/>
  <c r="AB247" i="70"/>
  <c r="AA247" i="70"/>
  <c r="Z247" i="70"/>
  <c r="Z121" i="70" s="1"/>
  <c r="Y247" i="70"/>
  <c r="X247" i="70"/>
  <c r="W247" i="70"/>
  <c r="V247" i="70"/>
  <c r="U247" i="70"/>
  <c r="T247" i="70"/>
  <c r="S247" i="70"/>
  <c r="R247" i="70"/>
  <c r="Q247" i="70"/>
  <c r="P247" i="70"/>
  <c r="O247" i="70"/>
  <c r="N247" i="70"/>
  <c r="M247" i="70"/>
  <c r="L247" i="70"/>
  <c r="K247" i="70"/>
  <c r="J247" i="70"/>
  <c r="I247" i="70"/>
  <c r="H247" i="70"/>
  <c r="G247" i="70"/>
  <c r="F247" i="70"/>
  <c r="E247" i="70"/>
  <c r="D247" i="70"/>
  <c r="C247" i="70"/>
  <c r="B247" i="70"/>
  <c r="AI133" i="70"/>
  <c r="AH133" i="70"/>
  <c r="AI132" i="70"/>
  <c r="AH132" i="70"/>
  <c r="AI131" i="70"/>
  <c r="AH131" i="70"/>
  <c r="AI130" i="70"/>
  <c r="AH130" i="70"/>
  <c r="AI129" i="70"/>
  <c r="AH129" i="70"/>
  <c r="AI126" i="70"/>
  <c r="AH126" i="70"/>
  <c r="AI125" i="70"/>
  <c r="AH125" i="70"/>
  <c r="AI124" i="70"/>
  <c r="AH124" i="70"/>
  <c r="AI123" i="70"/>
  <c r="AH123" i="70"/>
  <c r="AI122" i="70"/>
  <c r="AH122" i="70"/>
  <c r="Y121" i="70"/>
  <c r="C121" i="70"/>
  <c r="AI120" i="70"/>
  <c r="AH120" i="70"/>
  <c r="AI119" i="70"/>
  <c r="AH119" i="70"/>
  <c r="AI118" i="70"/>
  <c r="AH118" i="70"/>
  <c r="AI117" i="70"/>
  <c r="AH117" i="70"/>
  <c r="AI116" i="70"/>
  <c r="AH116" i="70"/>
  <c r="AI115" i="70"/>
  <c r="AH115" i="70"/>
  <c r="AI114" i="70"/>
  <c r="AH114" i="70"/>
  <c r="AI113" i="70"/>
  <c r="AH113" i="70"/>
  <c r="AI112" i="70"/>
  <c r="AH112" i="70"/>
  <c r="AB109" i="70"/>
  <c r="AA109" i="70"/>
  <c r="Z109" i="70"/>
  <c r="Y109" i="70"/>
  <c r="X109" i="70"/>
  <c r="W109" i="70"/>
  <c r="V109" i="70"/>
  <c r="U109" i="70"/>
  <c r="T109" i="70"/>
  <c r="S109" i="70"/>
  <c r="R109" i="70"/>
  <c r="Q109" i="70"/>
  <c r="P109" i="70"/>
  <c r="O109" i="70"/>
  <c r="N109" i="70"/>
  <c r="L109" i="70"/>
  <c r="K109" i="70"/>
  <c r="J109" i="70"/>
  <c r="I109" i="70"/>
  <c r="H109" i="70"/>
  <c r="G109" i="70"/>
  <c r="F109" i="70"/>
  <c r="E109" i="70"/>
  <c r="D109" i="70"/>
  <c r="C109" i="70"/>
  <c r="B109" i="70"/>
  <c r="AB108" i="70"/>
  <c r="AA108" i="70"/>
  <c r="Z108" i="70"/>
  <c r="Y108" i="70"/>
  <c r="X108" i="70"/>
  <c r="W108" i="70"/>
  <c r="V108" i="70"/>
  <c r="U108" i="70"/>
  <c r="T108" i="70"/>
  <c r="S108" i="70"/>
  <c r="R108" i="70"/>
  <c r="Q108" i="70"/>
  <c r="P108" i="70"/>
  <c r="O108" i="70"/>
  <c r="N108" i="70"/>
  <c r="L108" i="70"/>
  <c r="K108" i="70"/>
  <c r="J108" i="70"/>
  <c r="I108" i="70"/>
  <c r="H108" i="70"/>
  <c r="G108" i="70"/>
  <c r="F108" i="70"/>
  <c r="E108" i="70"/>
  <c r="D108" i="70"/>
  <c r="C108" i="70"/>
  <c r="B108" i="70"/>
  <c r="AB107" i="70"/>
  <c r="AA107" i="70"/>
  <c r="Z107" i="70"/>
  <c r="Y107" i="70"/>
  <c r="X107" i="70"/>
  <c r="W107" i="70"/>
  <c r="V107" i="70"/>
  <c r="U107" i="70"/>
  <c r="T107" i="70"/>
  <c r="S107" i="70"/>
  <c r="R107" i="70"/>
  <c r="Q107" i="70"/>
  <c r="P107" i="70"/>
  <c r="O107" i="70"/>
  <c r="N107" i="70"/>
  <c r="L107" i="70"/>
  <c r="K107" i="70"/>
  <c r="J107" i="70"/>
  <c r="I107" i="70"/>
  <c r="H107" i="70"/>
  <c r="G107" i="70"/>
  <c r="F107" i="70"/>
  <c r="E107" i="70"/>
  <c r="D107" i="70"/>
  <c r="C107" i="70"/>
  <c r="B107" i="70"/>
  <c r="AB106" i="70"/>
  <c r="AA106" i="70"/>
  <c r="Z106" i="70"/>
  <c r="Y106" i="70"/>
  <c r="X106" i="70"/>
  <c r="W106" i="70"/>
  <c r="V106" i="70"/>
  <c r="U106" i="70"/>
  <c r="T106" i="70"/>
  <c r="S106" i="70"/>
  <c r="R106" i="70"/>
  <c r="Q106" i="70"/>
  <c r="P106" i="70"/>
  <c r="O106" i="70"/>
  <c r="N106" i="70"/>
  <c r="L106" i="70"/>
  <c r="K106" i="70"/>
  <c r="J106" i="70"/>
  <c r="I106" i="70"/>
  <c r="H106" i="70"/>
  <c r="G106" i="70"/>
  <c r="F106" i="70"/>
  <c r="E106" i="70"/>
  <c r="D106" i="70"/>
  <c r="C106" i="70"/>
  <c r="B106" i="70"/>
  <c r="AB105" i="70"/>
  <c r="AA105" i="70"/>
  <c r="Z105" i="70"/>
  <c r="Y105" i="70"/>
  <c r="X105" i="70"/>
  <c r="W105" i="70"/>
  <c r="V105" i="70"/>
  <c r="U105" i="70"/>
  <c r="T105" i="70"/>
  <c r="S105" i="70"/>
  <c r="R105" i="70"/>
  <c r="Q105" i="70"/>
  <c r="P105" i="70"/>
  <c r="O105" i="70"/>
  <c r="N105" i="70"/>
  <c r="N110" i="70" s="1"/>
  <c r="AV23" i="70" s="1"/>
  <c r="L105" i="70"/>
  <c r="K105" i="70"/>
  <c r="J105" i="70"/>
  <c r="I105" i="70"/>
  <c r="H105" i="70"/>
  <c r="G105" i="70"/>
  <c r="F105" i="70"/>
  <c r="E105" i="70"/>
  <c r="D105" i="70"/>
  <c r="C105" i="70"/>
  <c r="B105" i="70"/>
  <c r="AB104" i="70"/>
  <c r="AA104" i="70"/>
  <c r="Z104" i="70"/>
  <c r="Z110" i="70" s="1"/>
  <c r="BF23" i="70" s="1"/>
  <c r="Y104" i="70"/>
  <c r="Y110" i="70" s="1"/>
  <c r="X104" i="70"/>
  <c r="W104" i="70"/>
  <c r="V104" i="70"/>
  <c r="U104" i="70"/>
  <c r="T104" i="70"/>
  <c r="S104" i="70"/>
  <c r="R104" i="70"/>
  <c r="Q104" i="70"/>
  <c r="P104" i="70"/>
  <c r="O104" i="70"/>
  <c r="O110" i="70" s="1"/>
  <c r="AW23" i="70" s="1"/>
  <c r="N104" i="70"/>
  <c r="L104" i="70"/>
  <c r="K104" i="70"/>
  <c r="J104" i="70"/>
  <c r="J110" i="70" s="1"/>
  <c r="I104" i="70"/>
  <c r="H104" i="70"/>
  <c r="G104" i="70"/>
  <c r="G110" i="70" s="1"/>
  <c r="AR23" i="70" s="1"/>
  <c r="F104" i="70"/>
  <c r="E104" i="70"/>
  <c r="D104" i="70"/>
  <c r="C104" i="70"/>
  <c r="B104" i="70"/>
  <c r="B110" i="70" s="1"/>
  <c r="AM23" i="70" s="1"/>
  <c r="AI101" i="70"/>
  <c r="AH101" i="70"/>
  <c r="AI99" i="70"/>
  <c r="AH99" i="70"/>
  <c r="AG99" i="70"/>
  <c r="AI98" i="70"/>
  <c r="AH98" i="70"/>
  <c r="AI97" i="70"/>
  <c r="AH97" i="70"/>
  <c r="AI96" i="70"/>
  <c r="AH96" i="70"/>
  <c r="AG95" i="70"/>
  <c r="AB95" i="70"/>
  <c r="AA5" i="70" s="1"/>
  <c r="AA95" i="70"/>
  <c r="AA100" i="70" s="1"/>
  <c r="AA102" i="70" s="1"/>
  <c r="Z95" i="70"/>
  <c r="BF19" i="70" s="1"/>
  <c r="Y95" i="70"/>
  <c r="X5" i="70" s="1"/>
  <c r="X95" i="70"/>
  <c r="BE19" i="70" s="1"/>
  <c r="W95" i="70"/>
  <c r="W100" i="70" s="1"/>
  <c r="W102" i="70" s="1"/>
  <c r="V95" i="70"/>
  <c r="BD19" i="70" s="1"/>
  <c r="U95" i="70"/>
  <c r="BC19" i="70" s="1"/>
  <c r="T95" i="70"/>
  <c r="S5" i="70" s="1"/>
  <c r="S95" i="70"/>
  <c r="R5" i="70" s="1"/>
  <c r="R95" i="70"/>
  <c r="Q95" i="70"/>
  <c r="P95" i="70"/>
  <c r="AX19" i="70" s="1"/>
  <c r="O95" i="70"/>
  <c r="N5" i="70" s="1"/>
  <c r="N95" i="70"/>
  <c r="M5" i="70" s="1"/>
  <c r="L95" i="70"/>
  <c r="K5" i="70" s="1"/>
  <c r="K95" i="70"/>
  <c r="AT19" i="70" s="1"/>
  <c r="J95" i="70"/>
  <c r="I95" i="70"/>
  <c r="AS19" i="70" s="1"/>
  <c r="H95" i="70"/>
  <c r="G5" i="70" s="1"/>
  <c r="G95" i="70"/>
  <c r="AR19" i="70" s="1"/>
  <c r="F95" i="70"/>
  <c r="E5" i="70" s="1"/>
  <c r="E95" i="70"/>
  <c r="AP19" i="70" s="1"/>
  <c r="D95" i="70"/>
  <c r="C5" i="70" s="1"/>
  <c r="C95" i="70"/>
  <c r="AN19" i="70" s="1"/>
  <c r="B95" i="70"/>
  <c r="AM19" i="70" s="1"/>
  <c r="AI94" i="70"/>
  <c r="AH94" i="70"/>
  <c r="AI93" i="70"/>
  <c r="AH93" i="70"/>
  <c r="AI92" i="70"/>
  <c r="AH92" i="70"/>
  <c r="AI91" i="70"/>
  <c r="AH91" i="70"/>
  <c r="AI90" i="70"/>
  <c r="AH90" i="70"/>
  <c r="AI89" i="70"/>
  <c r="AH89" i="70"/>
  <c r="AI88" i="70"/>
  <c r="AH88" i="70"/>
  <c r="AI87" i="70"/>
  <c r="AH87" i="70"/>
  <c r="AI86" i="70"/>
  <c r="AH86" i="70"/>
  <c r="AI85" i="70"/>
  <c r="AH85" i="70"/>
  <c r="AI84" i="70"/>
  <c r="AH84" i="70"/>
  <c r="AG83" i="70"/>
  <c r="AG4" i="70" s="1"/>
  <c r="Z83" i="70"/>
  <c r="BF20" i="70" s="1"/>
  <c r="R83" i="70"/>
  <c r="AZ20" i="70" s="1"/>
  <c r="Q83" i="70"/>
  <c r="AY20" i="70" s="1"/>
  <c r="P83" i="70"/>
  <c r="O83" i="70"/>
  <c r="N83" i="70"/>
  <c r="L83" i="70"/>
  <c r="K83" i="70"/>
  <c r="J83" i="70"/>
  <c r="I83" i="70"/>
  <c r="H83" i="70"/>
  <c r="G83" i="70"/>
  <c r="AR20" i="70" s="1"/>
  <c r="F83" i="70"/>
  <c r="E83" i="70"/>
  <c r="D83" i="70"/>
  <c r="AO20" i="70" s="1"/>
  <c r="C83" i="70"/>
  <c r="AN20" i="70" s="1"/>
  <c r="B83" i="70"/>
  <c r="AM20" i="70" s="1"/>
  <c r="AI82" i="70"/>
  <c r="AH82" i="70"/>
  <c r="AI81" i="70"/>
  <c r="AH81" i="70"/>
  <c r="AI80" i="70"/>
  <c r="AH80" i="70"/>
  <c r="BJ18" i="70"/>
  <c r="Z79" i="70"/>
  <c r="BF18" i="70" s="1"/>
  <c r="BE18" i="70"/>
  <c r="BD18" i="70"/>
  <c r="R79" i="70"/>
  <c r="AZ18" i="70" s="1"/>
  <c r="Q79" i="70"/>
  <c r="Q100" i="70" s="1"/>
  <c r="Q102" i="70" s="1"/>
  <c r="P79" i="70"/>
  <c r="AX18" i="70" s="1"/>
  <c r="O79" i="70"/>
  <c r="AW18" i="70" s="1"/>
  <c r="N79" i="70"/>
  <c r="AV18" i="70" s="1"/>
  <c r="L79" i="70"/>
  <c r="K79" i="70"/>
  <c r="J79" i="70"/>
  <c r="I79" i="70"/>
  <c r="H79" i="70"/>
  <c r="G79" i="70"/>
  <c r="AR18" i="70" s="1"/>
  <c r="F79" i="70"/>
  <c r="AQ18" i="70" s="1"/>
  <c r="E79" i="70"/>
  <c r="AP18" i="70" s="1"/>
  <c r="D79" i="70"/>
  <c r="C79" i="70"/>
  <c r="AN18" i="70" s="1"/>
  <c r="B79" i="70"/>
  <c r="AI78" i="70"/>
  <c r="AH78" i="70"/>
  <c r="AG78" i="70"/>
  <c r="AG79" i="70" s="1"/>
  <c r="AG3" i="70" s="1"/>
  <c r="AI77" i="70"/>
  <c r="AH77" i="70"/>
  <c r="AI76" i="70"/>
  <c r="AH76" i="70"/>
  <c r="AI75" i="70"/>
  <c r="AH75" i="70"/>
  <c r="AI74" i="70"/>
  <c r="AH74" i="70"/>
  <c r="AI73" i="70"/>
  <c r="AH73" i="70"/>
  <c r="AI72" i="70"/>
  <c r="AH72" i="70"/>
  <c r="BW71" i="70"/>
  <c r="BW78" i="70" s="1"/>
  <c r="BV71" i="70"/>
  <c r="BV78" i="70" s="1"/>
  <c r="BU71" i="70"/>
  <c r="BU78" i="70" s="1"/>
  <c r="BT71" i="70"/>
  <c r="BT78" i="70" s="1"/>
  <c r="BS71" i="70"/>
  <c r="BS78" i="70" s="1"/>
  <c r="BR71" i="70"/>
  <c r="BR78" i="70" s="1"/>
  <c r="BQ71" i="70"/>
  <c r="BQ78" i="70" s="1"/>
  <c r="BP71" i="70"/>
  <c r="BP78" i="70" s="1"/>
  <c r="BO71" i="70"/>
  <c r="BO78" i="70" s="1"/>
  <c r="BN71" i="70"/>
  <c r="BN78" i="70" s="1"/>
  <c r="BM71" i="70"/>
  <c r="BM78" i="70" s="1"/>
  <c r="BL71" i="70"/>
  <c r="BL78" i="70" s="1"/>
  <c r="BK71" i="70"/>
  <c r="BK78" i="70" s="1"/>
  <c r="BJ71" i="70"/>
  <c r="BJ78" i="70" s="1"/>
  <c r="BI71" i="70"/>
  <c r="BI78" i="70" s="1"/>
  <c r="BH71" i="70"/>
  <c r="BH78" i="70" s="1"/>
  <c r="BG71" i="70"/>
  <c r="BG78" i="70" s="1"/>
  <c r="BF71" i="70"/>
  <c r="BF78" i="70" s="1"/>
  <c r="BE71" i="70"/>
  <c r="BE78" i="70" s="1"/>
  <c r="BD71" i="70"/>
  <c r="BD78" i="70" s="1"/>
  <c r="BC71" i="70"/>
  <c r="BC78" i="70" s="1"/>
  <c r="BB71" i="70"/>
  <c r="BB78" i="70" s="1"/>
  <c r="BA71" i="70"/>
  <c r="BA78" i="70" s="1"/>
  <c r="AZ71" i="70"/>
  <c r="AZ78" i="70" s="1"/>
  <c r="AI71" i="70"/>
  <c r="AH71" i="70"/>
  <c r="BW70" i="70"/>
  <c r="BW77" i="70" s="1"/>
  <c r="BV70" i="70"/>
  <c r="BV77" i="70" s="1"/>
  <c r="BU70" i="70"/>
  <c r="BU77" i="70" s="1"/>
  <c r="BT70" i="70"/>
  <c r="BT77" i="70" s="1"/>
  <c r="BS70" i="70"/>
  <c r="BS77" i="70" s="1"/>
  <c r="BR70" i="70"/>
  <c r="BR77" i="70" s="1"/>
  <c r="BQ70" i="70"/>
  <c r="BQ77" i="70" s="1"/>
  <c r="BP70" i="70"/>
  <c r="BP77" i="70" s="1"/>
  <c r="BO70" i="70"/>
  <c r="BO77" i="70" s="1"/>
  <c r="BN70" i="70"/>
  <c r="BN77" i="70" s="1"/>
  <c r="BM70" i="70"/>
  <c r="BM77" i="70" s="1"/>
  <c r="BL70" i="70"/>
  <c r="BL77" i="70" s="1"/>
  <c r="BK70" i="70"/>
  <c r="BK77" i="70" s="1"/>
  <c r="BJ70" i="70"/>
  <c r="BJ77" i="70" s="1"/>
  <c r="BI70" i="70"/>
  <c r="BI77" i="70" s="1"/>
  <c r="BH70" i="70"/>
  <c r="BH77" i="70" s="1"/>
  <c r="BG70" i="70"/>
  <c r="BG77" i="70" s="1"/>
  <c r="BF70" i="70"/>
  <c r="BF77" i="70" s="1"/>
  <c r="BE70" i="70"/>
  <c r="BE77" i="70" s="1"/>
  <c r="BD70" i="70"/>
  <c r="BD77" i="70" s="1"/>
  <c r="BC70" i="70"/>
  <c r="BC77" i="70" s="1"/>
  <c r="BB70" i="70"/>
  <c r="BB77" i="70" s="1"/>
  <c r="BA70" i="70"/>
  <c r="BA77" i="70" s="1"/>
  <c r="AZ70" i="70"/>
  <c r="AZ77" i="70" s="1"/>
  <c r="AI70" i="70"/>
  <c r="AH70" i="70"/>
  <c r="BW69" i="70"/>
  <c r="BW76" i="70" s="1"/>
  <c r="BV69" i="70"/>
  <c r="BV76" i="70" s="1"/>
  <c r="BU69" i="70"/>
  <c r="BU76" i="70" s="1"/>
  <c r="BT69" i="70"/>
  <c r="BT76" i="70" s="1"/>
  <c r="BS69" i="70"/>
  <c r="BS76" i="70" s="1"/>
  <c r="BR69" i="70"/>
  <c r="BR76" i="70" s="1"/>
  <c r="BQ69" i="70"/>
  <c r="BQ76" i="70" s="1"/>
  <c r="BP69" i="70"/>
  <c r="BP76" i="70" s="1"/>
  <c r="BO69" i="70"/>
  <c r="BO76" i="70" s="1"/>
  <c r="BN69" i="70"/>
  <c r="BN76" i="70" s="1"/>
  <c r="BM69" i="70"/>
  <c r="BM76" i="70" s="1"/>
  <c r="BL69" i="70"/>
  <c r="BL76" i="70" s="1"/>
  <c r="BK69" i="70"/>
  <c r="BK76" i="70" s="1"/>
  <c r="BJ69" i="70"/>
  <c r="BJ76" i="70" s="1"/>
  <c r="BI69" i="70"/>
  <c r="BI76" i="70" s="1"/>
  <c r="BH69" i="70"/>
  <c r="BH76" i="70" s="1"/>
  <c r="BG69" i="70"/>
  <c r="BG76" i="70" s="1"/>
  <c r="BF69" i="70"/>
  <c r="BF76" i="70" s="1"/>
  <c r="BE69" i="70"/>
  <c r="BE76" i="70" s="1"/>
  <c r="BD69" i="70"/>
  <c r="BD76" i="70" s="1"/>
  <c r="BC69" i="70"/>
  <c r="BC76" i="70" s="1"/>
  <c r="BB69" i="70"/>
  <c r="BB76" i="70" s="1"/>
  <c r="BA69" i="70"/>
  <c r="BA76" i="70" s="1"/>
  <c r="AZ69" i="70"/>
  <c r="AZ76" i="70" s="1"/>
  <c r="AI69" i="70"/>
  <c r="AH69" i="70"/>
  <c r="BW68" i="70"/>
  <c r="BW75" i="70" s="1"/>
  <c r="BV68" i="70"/>
  <c r="BV75" i="70" s="1"/>
  <c r="BU68" i="70"/>
  <c r="BU75" i="70" s="1"/>
  <c r="BT68" i="70"/>
  <c r="BT75" i="70" s="1"/>
  <c r="BS68" i="70"/>
  <c r="BS75" i="70" s="1"/>
  <c r="BR68" i="70"/>
  <c r="BR75" i="70" s="1"/>
  <c r="BQ68" i="70"/>
  <c r="BQ75" i="70" s="1"/>
  <c r="BP68" i="70"/>
  <c r="BP75" i="70" s="1"/>
  <c r="BO68" i="70"/>
  <c r="BO75" i="70" s="1"/>
  <c r="BN68" i="70"/>
  <c r="BN75" i="70" s="1"/>
  <c r="BM68" i="70"/>
  <c r="BM75" i="70" s="1"/>
  <c r="BL68" i="70"/>
  <c r="BL75" i="70" s="1"/>
  <c r="BK68" i="70"/>
  <c r="BK75" i="70" s="1"/>
  <c r="BJ68" i="70"/>
  <c r="BJ75" i="70" s="1"/>
  <c r="BI68" i="70"/>
  <c r="BI75" i="70" s="1"/>
  <c r="BH68" i="70"/>
  <c r="BH75" i="70" s="1"/>
  <c r="BG68" i="70"/>
  <c r="BG75" i="70" s="1"/>
  <c r="BF68" i="70"/>
  <c r="BF75" i="70" s="1"/>
  <c r="BE68" i="70"/>
  <c r="BE75" i="70" s="1"/>
  <c r="BD68" i="70"/>
  <c r="BD75" i="70" s="1"/>
  <c r="BC68" i="70"/>
  <c r="BC75" i="70" s="1"/>
  <c r="BB68" i="70"/>
  <c r="BB75" i="70" s="1"/>
  <c r="BA68" i="70"/>
  <c r="BA75" i="70" s="1"/>
  <c r="AZ68" i="70"/>
  <c r="AZ75" i="70" s="1"/>
  <c r="AI68" i="70"/>
  <c r="AH68" i="70"/>
  <c r="BW67" i="70"/>
  <c r="BW74" i="70" s="1"/>
  <c r="BV67" i="70"/>
  <c r="BV74" i="70" s="1"/>
  <c r="BU67" i="70"/>
  <c r="BU74" i="70" s="1"/>
  <c r="BT67" i="70"/>
  <c r="BT74" i="70" s="1"/>
  <c r="BS67" i="70"/>
  <c r="BS74" i="70" s="1"/>
  <c r="BR67" i="70"/>
  <c r="BR74" i="70" s="1"/>
  <c r="BQ67" i="70"/>
  <c r="BQ74" i="70" s="1"/>
  <c r="BP67" i="70"/>
  <c r="BP74" i="70" s="1"/>
  <c r="BO67" i="70"/>
  <c r="BO74" i="70" s="1"/>
  <c r="BN67" i="70"/>
  <c r="BN74" i="70" s="1"/>
  <c r="BM67" i="70"/>
  <c r="BM74" i="70" s="1"/>
  <c r="BL67" i="70"/>
  <c r="BL74" i="70" s="1"/>
  <c r="BK67" i="70"/>
  <c r="BK74" i="70" s="1"/>
  <c r="BJ67" i="70"/>
  <c r="BJ74" i="70" s="1"/>
  <c r="BI67" i="70"/>
  <c r="BI74" i="70" s="1"/>
  <c r="BH67" i="70"/>
  <c r="BH74" i="70" s="1"/>
  <c r="BG67" i="70"/>
  <c r="BG74" i="70" s="1"/>
  <c r="BF67" i="70"/>
  <c r="BF74" i="70" s="1"/>
  <c r="BE67" i="70"/>
  <c r="BE74" i="70" s="1"/>
  <c r="BD67" i="70"/>
  <c r="BD74" i="70" s="1"/>
  <c r="BC67" i="70"/>
  <c r="BC74" i="70" s="1"/>
  <c r="BB67" i="70"/>
  <c r="BB74" i="70" s="1"/>
  <c r="BA67" i="70"/>
  <c r="BA74" i="70" s="1"/>
  <c r="AZ67" i="70"/>
  <c r="AZ74" i="70" s="1"/>
  <c r="AI67" i="70"/>
  <c r="AH67" i="70"/>
  <c r="BW66" i="70"/>
  <c r="BW73" i="70" s="1"/>
  <c r="BV66" i="70"/>
  <c r="BV73" i="70" s="1"/>
  <c r="BU66" i="70"/>
  <c r="BU73" i="70" s="1"/>
  <c r="BT66" i="70"/>
  <c r="BT73" i="70" s="1"/>
  <c r="BS66" i="70"/>
  <c r="BS73" i="70" s="1"/>
  <c r="BR66" i="70"/>
  <c r="BR73" i="70" s="1"/>
  <c r="BQ66" i="70"/>
  <c r="BQ73" i="70" s="1"/>
  <c r="BP66" i="70"/>
  <c r="BP73" i="70" s="1"/>
  <c r="BO66" i="70"/>
  <c r="BO73" i="70" s="1"/>
  <c r="BN66" i="70"/>
  <c r="BN73" i="70" s="1"/>
  <c r="BM66" i="70"/>
  <c r="BM73" i="70" s="1"/>
  <c r="BL66" i="70"/>
  <c r="BL73" i="70" s="1"/>
  <c r="BK66" i="70"/>
  <c r="BK73" i="70" s="1"/>
  <c r="BJ66" i="70"/>
  <c r="BJ73" i="70" s="1"/>
  <c r="BI66" i="70"/>
  <c r="BI73" i="70" s="1"/>
  <c r="BH66" i="70"/>
  <c r="BH73" i="70" s="1"/>
  <c r="BG66" i="70"/>
  <c r="BG73" i="70" s="1"/>
  <c r="BF66" i="70"/>
  <c r="BF73" i="70" s="1"/>
  <c r="BE66" i="70"/>
  <c r="BE73" i="70" s="1"/>
  <c r="BD66" i="70"/>
  <c r="BD73" i="70" s="1"/>
  <c r="BC66" i="70"/>
  <c r="BC73" i="70" s="1"/>
  <c r="BB66" i="70"/>
  <c r="BB73" i="70" s="1"/>
  <c r="BA66" i="70"/>
  <c r="BA73" i="70" s="1"/>
  <c r="AZ66" i="70"/>
  <c r="AZ73" i="70" s="1"/>
  <c r="AI66" i="70"/>
  <c r="AH66" i="70"/>
  <c r="AG65" i="70"/>
  <c r="BH17" i="70"/>
  <c r="Z65" i="70"/>
  <c r="BF17" i="70" s="1"/>
  <c r="BB17" i="70"/>
  <c r="BA17" i="70"/>
  <c r="R65" i="70"/>
  <c r="AZ17" i="70" s="1"/>
  <c r="P65" i="70"/>
  <c r="AX17" i="70" s="1"/>
  <c r="O65" i="70"/>
  <c r="N65" i="70"/>
  <c r="L65" i="70"/>
  <c r="K65" i="70"/>
  <c r="AT17" i="70" s="1"/>
  <c r="J65" i="70"/>
  <c r="I65" i="70"/>
  <c r="H65" i="70"/>
  <c r="G65" i="70"/>
  <c r="F65" i="70"/>
  <c r="AQ17" i="70" s="1"/>
  <c r="E65" i="70"/>
  <c r="AP17" i="70" s="1"/>
  <c r="D65" i="70"/>
  <c r="C65" i="70"/>
  <c r="B65" i="70"/>
  <c r="AI64" i="70"/>
  <c r="AH64" i="70"/>
  <c r="AI63" i="70"/>
  <c r="AH63" i="70"/>
  <c r="AI62" i="70"/>
  <c r="AH62" i="70"/>
  <c r="AG61" i="70"/>
  <c r="Z61" i="70"/>
  <c r="S100" i="70"/>
  <c r="S102" i="70" s="1"/>
  <c r="R61" i="70"/>
  <c r="P61" i="70"/>
  <c r="O61" i="70"/>
  <c r="N61" i="70"/>
  <c r="AV16" i="70" s="1"/>
  <c r="L61" i="70"/>
  <c r="K61" i="70"/>
  <c r="J61" i="70"/>
  <c r="I61" i="70"/>
  <c r="AS16" i="70" s="1"/>
  <c r="H61" i="70"/>
  <c r="G61" i="70"/>
  <c r="G100" i="70" s="1"/>
  <c r="G102" i="70" s="1"/>
  <c r="F61" i="70"/>
  <c r="E61" i="70"/>
  <c r="D61" i="70"/>
  <c r="C61" i="70"/>
  <c r="B61" i="70"/>
  <c r="AI60" i="70"/>
  <c r="AH60" i="70"/>
  <c r="AI59" i="70"/>
  <c r="AH59" i="70"/>
  <c r="AI58" i="70"/>
  <c r="AH58" i="70"/>
  <c r="AI57" i="70"/>
  <c r="AH57" i="70"/>
  <c r="AI56" i="70"/>
  <c r="AH56" i="70"/>
  <c r="AI55" i="70"/>
  <c r="AH55" i="70"/>
  <c r="AI54" i="70"/>
  <c r="AH54" i="70"/>
  <c r="AI53" i="70"/>
  <c r="AH53" i="70"/>
  <c r="AI52" i="70"/>
  <c r="AH52" i="70"/>
  <c r="AI51" i="70"/>
  <c r="AH51" i="70"/>
  <c r="AI50" i="70"/>
  <c r="AH50" i="70"/>
  <c r="AI49" i="70"/>
  <c r="AH49" i="70"/>
  <c r="AI48" i="70"/>
  <c r="AH48" i="70"/>
  <c r="AI47" i="70"/>
  <c r="AH47" i="70"/>
  <c r="AI46" i="70"/>
  <c r="AH46" i="70"/>
  <c r="AI45" i="70"/>
  <c r="AH45" i="70"/>
  <c r="AI44" i="70"/>
  <c r="AH44" i="70"/>
  <c r="AI43" i="70"/>
  <c r="AH43" i="70"/>
  <c r="AI42" i="70"/>
  <c r="AH42" i="70"/>
  <c r="AI41" i="70"/>
  <c r="AH41" i="70"/>
  <c r="AI40" i="70"/>
  <c r="AH40" i="70"/>
  <c r="AI39" i="70"/>
  <c r="AH39" i="70"/>
  <c r="AI38" i="70"/>
  <c r="AH38" i="70"/>
  <c r="AI37" i="70"/>
  <c r="AH37" i="70"/>
  <c r="AI36" i="70"/>
  <c r="AH36" i="70"/>
  <c r="AI35" i="70"/>
  <c r="AH35" i="70"/>
  <c r="AI34" i="70"/>
  <c r="AH34" i="70"/>
  <c r="AI33" i="70"/>
  <c r="AH33" i="70"/>
  <c r="AI32" i="70"/>
  <c r="AH32" i="70"/>
  <c r="AI31" i="70"/>
  <c r="AH31" i="70"/>
  <c r="AI30" i="70"/>
  <c r="AH30" i="70"/>
  <c r="AI29" i="70"/>
  <c r="AH29" i="70"/>
  <c r="AI28" i="70"/>
  <c r="AH28" i="70"/>
  <c r="AI27" i="70"/>
  <c r="AH27" i="70"/>
  <c r="AI26" i="70"/>
  <c r="AH26" i="70"/>
  <c r="AI25" i="70"/>
  <c r="AH25" i="70"/>
  <c r="AI24" i="70"/>
  <c r="AH24" i="70"/>
  <c r="BJ23" i="70"/>
  <c r="BI23" i="70"/>
  <c r="BH23" i="70"/>
  <c r="AI23" i="70"/>
  <c r="AH23" i="70"/>
  <c r="AI22" i="70"/>
  <c r="AH22" i="70"/>
  <c r="BJ21" i="70"/>
  <c r="BI21" i="70"/>
  <c r="BH21" i="70"/>
  <c r="BG21" i="70"/>
  <c r="BF21" i="70"/>
  <c r="BE21" i="70"/>
  <c r="BD21" i="70"/>
  <c r="BC21" i="70"/>
  <c r="BB21" i="70"/>
  <c r="BA21" i="70"/>
  <c r="AZ21" i="70"/>
  <c r="AY21" i="70"/>
  <c r="AX21" i="70"/>
  <c r="AW21" i="70"/>
  <c r="AV21" i="70"/>
  <c r="AU21" i="70"/>
  <c r="AT21" i="70"/>
  <c r="AS21" i="70"/>
  <c r="AR21" i="70"/>
  <c r="AQ21" i="70"/>
  <c r="AP21" i="70"/>
  <c r="AO21" i="70"/>
  <c r="AN21" i="70"/>
  <c r="AM21" i="70"/>
  <c r="AI21" i="70"/>
  <c r="AH21" i="70"/>
  <c r="BJ20" i="70"/>
  <c r="BI20" i="70"/>
  <c r="BH20" i="70"/>
  <c r="BG20" i="70"/>
  <c r="BE20" i="70"/>
  <c r="BD20" i="70"/>
  <c r="BC20" i="70"/>
  <c r="BB20" i="70"/>
  <c r="BA20" i="70"/>
  <c r="AX20" i="70"/>
  <c r="AW20" i="70"/>
  <c r="AV20" i="70"/>
  <c r="AU20" i="70"/>
  <c r="AT20" i="70"/>
  <c r="AQ20" i="70"/>
  <c r="AP20" i="70"/>
  <c r="AI20" i="70"/>
  <c r="AH20" i="70"/>
  <c r="BJ19" i="70"/>
  <c r="BI19" i="70"/>
  <c r="BH19" i="70"/>
  <c r="BB19" i="70"/>
  <c r="BA19" i="70"/>
  <c r="AU19" i="70"/>
  <c r="AI19" i="70"/>
  <c r="AH19" i="70"/>
  <c r="BI18" i="70"/>
  <c r="BH18" i="70"/>
  <c r="BG18" i="70"/>
  <c r="BC18" i="70"/>
  <c r="BB18" i="70"/>
  <c r="BA18" i="70"/>
  <c r="AY18" i="70"/>
  <c r="AU18" i="70"/>
  <c r="AT18" i="70"/>
  <c r="AS18" i="70"/>
  <c r="AO18" i="70"/>
  <c r="AI18" i="70"/>
  <c r="AH18" i="70"/>
  <c r="BJ17" i="70"/>
  <c r="BI17" i="70"/>
  <c r="BG17" i="70"/>
  <c r="BE17" i="70"/>
  <c r="BD17" i="70"/>
  <c r="BC17" i="70"/>
  <c r="AY17" i="70"/>
  <c r="AW17" i="70"/>
  <c r="AV17" i="70"/>
  <c r="AU17" i="70"/>
  <c r="AS17" i="70"/>
  <c r="AR17" i="70"/>
  <c r="AO17" i="70"/>
  <c r="AN17" i="70"/>
  <c r="AI17" i="70"/>
  <c r="AH17" i="70"/>
  <c r="BI16" i="70"/>
  <c r="BE16" i="70"/>
  <c r="BD16" i="70"/>
  <c r="BC16" i="70"/>
  <c r="BA16" i="70"/>
  <c r="AY16" i="70"/>
  <c r="AX16" i="70"/>
  <c r="AU16" i="70"/>
  <c r="AI16" i="70"/>
  <c r="AH16" i="70"/>
  <c r="AI15" i="70"/>
  <c r="AH15" i="70"/>
  <c r="AI14" i="70"/>
  <c r="AH14" i="70"/>
  <c r="AI13" i="70"/>
  <c r="AH13" i="70"/>
  <c r="AL12" i="70"/>
  <c r="AI12" i="70"/>
  <c r="AH12" i="70"/>
  <c r="AI11" i="70"/>
  <c r="AH11" i="70"/>
  <c r="AE7" i="70"/>
  <c r="AE5" i="70"/>
  <c r="AD5" i="70"/>
  <c r="AC5" i="70"/>
  <c r="AB5" i="70"/>
  <c r="L5" i="70"/>
  <c r="J5" i="70"/>
  <c r="H5" i="70"/>
  <c r="F5" i="70"/>
  <c r="K4" i="70"/>
  <c r="E4" i="70"/>
  <c r="H4" i="70" s="1"/>
  <c r="B4" i="70"/>
  <c r="D261" i="70" s="1"/>
  <c r="AG2" i="70"/>
  <c r="V110" i="70" l="1"/>
  <c r="BD23" i="70" s="1"/>
  <c r="AI109" i="70"/>
  <c r="AG100" i="70"/>
  <c r="Y111" i="70"/>
  <c r="AH107" i="70"/>
  <c r="Q110" i="70"/>
  <c r="AY23" i="70" s="1"/>
  <c r="D255" i="70"/>
  <c r="BI22" i="70"/>
  <c r="BI24" i="70" s="1"/>
  <c r="AB100" i="70"/>
  <c r="AB102" i="70" s="1"/>
  <c r="BG19" i="70"/>
  <c r="Z5" i="70"/>
  <c r="Z111" i="70"/>
  <c r="Z100" i="70"/>
  <c r="Z102" i="70" s="1"/>
  <c r="Z103" i="70" s="1"/>
  <c r="Z7" i="70" s="1"/>
  <c r="Y5" i="70"/>
  <c r="Y100" i="70"/>
  <c r="Y102" i="70" s="1"/>
  <c r="Y103" i="70" s="1"/>
  <c r="Y7" i="70" s="1"/>
  <c r="W5" i="70"/>
  <c r="X110" i="70"/>
  <c r="BE23" i="70" s="1"/>
  <c r="W110" i="70"/>
  <c r="W103" i="70" s="1"/>
  <c r="W7" i="70" s="1"/>
  <c r="V5" i="70"/>
  <c r="U5" i="70"/>
  <c r="V100" i="70"/>
  <c r="V102" i="70" s="1"/>
  <c r="V103" i="70" s="1"/>
  <c r="V7" i="70" s="1"/>
  <c r="BD22" i="70"/>
  <c r="BD24" i="70" s="1"/>
  <c r="T5" i="70"/>
  <c r="U100" i="70"/>
  <c r="U102" i="70" s="1"/>
  <c r="BC22" i="70"/>
  <c r="BA22" i="70"/>
  <c r="R110" i="70"/>
  <c r="AZ23" i="70" s="1"/>
  <c r="Q111" i="70"/>
  <c r="AY19" i="70"/>
  <c r="AY22" i="70" s="1"/>
  <c r="AY24" i="70" s="1"/>
  <c r="P5" i="70"/>
  <c r="P110" i="70"/>
  <c r="AX23" i="70" s="1"/>
  <c r="O5" i="70"/>
  <c r="O100" i="70"/>
  <c r="O102" i="70" s="1"/>
  <c r="O103" i="70" s="1"/>
  <c r="O7" i="70" s="1"/>
  <c r="AW19" i="70"/>
  <c r="AW16" i="70"/>
  <c r="AW22" i="70" s="1"/>
  <c r="AW24" i="70" s="1"/>
  <c r="AV19" i="70"/>
  <c r="N100" i="70"/>
  <c r="N102" i="70" s="1"/>
  <c r="N103" i="70" s="1"/>
  <c r="N7" i="70" s="1"/>
  <c r="AU22" i="70"/>
  <c r="J111" i="70"/>
  <c r="I110" i="70"/>
  <c r="AS23" i="70" s="1"/>
  <c r="J100" i="70"/>
  <c r="J102" i="70" s="1"/>
  <c r="J103" i="70" s="1"/>
  <c r="J7" i="70" s="1"/>
  <c r="I100" i="70"/>
  <c r="I102" i="70" s="1"/>
  <c r="I103" i="70" s="1"/>
  <c r="I7" i="70" s="1"/>
  <c r="H110" i="70"/>
  <c r="H111" i="70"/>
  <c r="AI106" i="70"/>
  <c r="AR16" i="70"/>
  <c r="AR22" i="70" s="1"/>
  <c r="AR24" i="70" s="1"/>
  <c r="AQ19" i="70"/>
  <c r="F110" i="70"/>
  <c r="AQ23" i="70" s="1"/>
  <c r="L100" i="70"/>
  <c r="L102" i="70" s="1"/>
  <c r="F100" i="70"/>
  <c r="F102" i="70" s="1"/>
  <c r="AH65" i="70"/>
  <c r="AQ16" i="70"/>
  <c r="D5" i="70"/>
  <c r="E100" i="70"/>
  <c r="E102" i="70" s="1"/>
  <c r="AO19" i="70"/>
  <c r="D100" i="70"/>
  <c r="D102" i="70" s="1"/>
  <c r="B5" i="70"/>
  <c r="C100" i="70"/>
  <c r="C102" i="70" s="1"/>
  <c r="AI79" i="70"/>
  <c r="AI61" i="70"/>
  <c r="AM17" i="70"/>
  <c r="AS22" i="70"/>
  <c r="AS24" i="70" s="1"/>
  <c r="BE22" i="70"/>
  <c r="BE24" i="70" s="1"/>
  <c r="G103" i="70"/>
  <c r="G7" i="70" s="1"/>
  <c r="AT16" i="70"/>
  <c r="AT22" i="70" s="1"/>
  <c r="K100" i="70"/>
  <c r="K102" i="70" s="1"/>
  <c r="AI65" i="70"/>
  <c r="T100" i="70"/>
  <c r="T102" i="70" s="1"/>
  <c r="BB16" i="70"/>
  <c r="BB22" i="70" s="1"/>
  <c r="AH79" i="70"/>
  <c r="I5" i="70"/>
  <c r="AC7" i="70"/>
  <c r="F254" i="70"/>
  <c r="E121" i="70"/>
  <c r="AS20" i="70"/>
  <c r="B100" i="70"/>
  <c r="R100" i="70"/>
  <c r="R102" i="70" s="1"/>
  <c r="R103" i="70" s="1"/>
  <c r="R7" i="70" s="1"/>
  <c r="AZ16" i="70"/>
  <c r="AI83" i="70"/>
  <c r="AH83" i="70"/>
  <c r="AM16" i="70"/>
  <c r="BF16" i="70"/>
  <c r="BF22" i="70" s="1"/>
  <c r="BF24" i="70" s="1"/>
  <c r="AL13" i="70"/>
  <c r="AN16" i="70"/>
  <c r="AN22" i="70" s="1"/>
  <c r="BG16" i="70"/>
  <c r="BG22" i="70" s="1"/>
  <c r="AD7" i="70"/>
  <c r="BH16" i="70"/>
  <c r="BH22" i="70" s="1"/>
  <c r="BH24" i="70" s="1"/>
  <c r="BG82" i="70" a="1"/>
  <c r="AG102" i="70"/>
  <c r="D110" i="70"/>
  <c r="AO23" i="70" s="1"/>
  <c r="L110" i="70"/>
  <c r="T110" i="70"/>
  <c r="BB23" i="70" s="1"/>
  <c r="AB110" i="70"/>
  <c r="BG23" i="70" s="1"/>
  <c r="B111" i="70"/>
  <c r="AI95" i="70"/>
  <c r="AF5" i="70"/>
  <c r="AH95" i="70"/>
  <c r="AH61" i="70"/>
  <c r="Q5" i="70"/>
  <c r="AV22" i="70"/>
  <c r="AV24" i="70" s="1"/>
  <c r="AG6" i="70"/>
  <c r="AO16" i="70"/>
  <c r="AO22" i="70" s="1"/>
  <c r="AX22" i="70"/>
  <c r="AM18" i="70"/>
  <c r="AP16" i="70"/>
  <c r="AP22" i="70" s="1"/>
  <c r="AP24" i="70" s="1"/>
  <c r="AZ19" i="70"/>
  <c r="H100" i="70"/>
  <c r="H102" i="70" s="1"/>
  <c r="H103" i="70" s="1"/>
  <c r="H7" i="70" s="1"/>
  <c r="P100" i="70"/>
  <c r="P102" i="70" s="1"/>
  <c r="P103" i="70" s="1"/>
  <c r="P7" i="70" s="1"/>
  <c r="X100" i="70"/>
  <c r="X102" i="70" s="1"/>
  <c r="X103" i="70" s="1"/>
  <c r="X7" i="70" s="1"/>
  <c r="AF7" i="70"/>
  <c r="BJ16" i="70"/>
  <c r="BJ22" i="70" s="1"/>
  <c r="BJ24" i="70" s="1"/>
  <c r="E110" i="70"/>
  <c r="AP23" i="70" s="1"/>
  <c r="U110" i="70"/>
  <c r="BC23" i="70" s="1"/>
  <c r="F250" i="70"/>
  <c r="G250" i="70" s="1"/>
  <c r="H250" i="70" s="1"/>
  <c r="I250" i="70" s="1"/>
  <c r="J250" i="70" s="1"/>
  <c r="K250" i="70" s="1"/>
  <c r="L250" i="70" s="1"/>
  <c r="M250" i="70" s="1"/>
  <c r="N250" i="70" s="1"/>
  <c r="O250" i="70" s="1"/>
  <c r="P250" i="70" s="1"/>
  <c r="Q250" i="70" s="1"/>
  <c r="R250" i="70" s="1"/>
  <c r="S250" i="70" s="1"/>
  <c r="T250" i="70" s="1"/>
  <c r="U250" i="70" s="1"/>
  <c r="V250" i="70" s="1"/>
  <c r="W250" i="70" s="1"/>
  <c r="X250" i="70" s="1"/>
  <c r="Y250" i="70" s="1"/>
  <c r="Z250" i="70" s="1"/>
  <c r="AA250" i="70" s="1"/>
  <c r="AB250" i="70" s="1"/>
  <c r="AC250" i="70" s="1"/>
  <c r="AD250" i="70" s="1"/>
  <c r="AE250" i="70" s="1"/>
  <c r="AF250" i="70" s="1"/>
  <c r="B250" i="70" s="1"/>
  <c r="E255" i="70"/>
  <c r="AI104" i="70"/>
  <c r="AH105" i="70"/>
  <c r="AH109" i="70"/>
  <c r="H249" i="70"/>
  <c r="F111" i="70"/>
  <c r="N111" i="70"/>
  <c r="V111" i="70"/>
  <c r="AH104" i="70"/>
  <c r="AI105" i="70"/>
  <c r="AH106" i="70"/>
  <c r="AI107" i="70"/>
  <c r="AI108" i="70"/>
  <c r="G111" i="70"/>
  <c r="O111" i="70"/>
  <c r="W111" i="70"/>
  <c r="C110" i="70"/>
  <c r="C103" i="70" s="1"/>
  <c r="C7" i="70" s="1"/>
  <c r="K110" i="70"/>
  <c r="S110" i="70"/>
  <c r="S103" i="70" s="1"/>
  <c r="S7" i="70" s="1"/>
  <c r="AA110" i="70"/>
  <c r="AA111" i="70" s="1"/>
  <c r="AH108" i="70"/>
  <c r="D121" i="70"/>
  <c r="BG24" i="70" l="1"/>
  <c r="Q103" i="70"/>
  <c r="Q7" i="70" s="1"/>
  <c r="AB111" i="70"/>
  <c r="AB103" i="70"/>
  <c r="AB7" i="70" s="1"/>
  <c r="X111" i="70"/>
  <c r="BC24" i="70"/>
  <c r="BB24" i="70"/>
  <c r="R111" i="70"/>
  <c r="AZ22" i="70"/>
  <c r="AZ24" i="70" s="1"/>
  <c r="AX24" i="70"/>
  <c r="P111" i="70"/>
  <c r="L103" i="70"/>
  <c r="L7" i="70" s="1"/>
  <c r="K103" i="70"/>
  <c r="K7" i="70" s="1"/>
  <c r="I111" i="70"/>
  <c r="AQ22" i="70"/>
  <c r="AQ24" i="70" s="1"/>
  <c r="F103" i="70"/>
  <c r="F7" i="70" s="1"/>
  <c r="AM22" i="70"/>
  <c r="AM24" i="70" s="1"/>
  <c r="F121" i="70"/>
  <c r="G254" i="70"/>
  <c r="AH110" i="70"/>
  <c r="T103" i="70"/>
  <c r="T7" i="70" s="1"/>
  <c r="U103" i="70"/>
  <c r="U7" i="70" s="1"/>
  <c r="AI110" i="70"/>
  <c r="I249" i="70"/>
  <c r="AA103" i="70"/>
  <c r="AA7" i="70" s="1"/>
  <c r="B102" i="70"/>
  <c r="AI100" i="70"/>
  <c r="AH100" i="70"/>
  <c r="U111" i="70"/>
  <c r="E111" i="70"/>
  <c r="BK105" i="70"/>
  <c r="BI104" i="70"/>
  <c r="BG103" i="70"/>
  <c r="BK101" i="70"/>
  <c r="BI100" i="70"/>
  <c r="BG99" i="70"/>
  <c r="BK97" i="70"/>
  <c r="BI96" i="70"/>
  <c r="BG95" i="70"/>
  <c r="BK93" i="70"/>
  <c r="BI92" i="70"/>
  <c r="BG91" i="70"/>
  <c r="BK89" i="70"/>
  <c r="BI88" i="70"/>
  <c r="BG87" i="70"/>
  <c r="BK85" i="70"/>
  <c r="BI84" i="70"/>
  <c r="BG83" i="70"/>
  <c r="BL104" i="70"/>
  <c r="BJ103" i="70"/>
  <c r="BH102" i="70"/>
  <c r="BL100" i="70"/>
  <c r="BJ99" i="70"/>
  <c r="BH98" i="70"/>
  <c r="BL96" i="70"/>
  <c r="BJ95" i="70"/>
  <c r="BH94" i="70"/>
  <c r="BL92" i="70"/>
  <c r="BJ91" i="70"/>
  <c r="BH105" i="70"/>
  <c r="BI103" i="70"/>
  <c r="BJ101" i="70"/>
  <c r="BL99" i="70"/>
  <c r="BG98" i="70"/>
  <c r="BH96" i="70"/>
  <c r="BJ94" i="70"/>
  <c r="BK92" i="70"/>
  <c r="BL90" i="70"/>
  <c r="BI89" i="70"/>
  <c r="BL87" i="70"/>
  <c r="BI86" i="70"/>
  <c r="BL84" i="70"/>
  <c r="BI83" i="70"/>
  <c r="BG105" i="70"/>
  <c r="BK104" i="70"/>
  <c r="BL102" i="70"/>
  <c r="BH101" i="70"/>
  <c r="BI99" i="70"/>
  <c r="BJ97" i="70"/>
  <c r="BL95" i="70"/>
  <c r="BG94" i="70"/>
  <c r="BH92" i="70"/>
  <c r="BJ90" i="70"/>
  <c r="BG89" i="70"/>
  <c r="BJ87" i="70"/>
  <c r="BG86" i="70"/>
  <c r="BJ84" i="70"/>
  <c r="BL82" i="70"/>
  <c r="BJ104" i="70"/>
  <c r="BK102" i="70"/>
  <c r="BG101" i="70"/>
  <c r="BH99" i="70"/>
  <c r="BI97" i="70"/>
  <c r="BK95" i="70"/>
  <c r="BL93" i="70"/>
  <c r="BG92" i="70"/>
  <c r="BI90" i="70"/>
  <c r="BL88" i="70"/>
  <c r="BI87" i="70"/>
  <c r="BL85" i="70"/>
  <c r="BH84" i="70"/>
  <c r="BK82" i="70"/>
  <c r="BJ105" i="70"/>
  <c r="BI102" i="70"/>
  <c r="BK99" i="70"/>
  <c r="BK96" i="70"/>
  <c r="BJ93" i="70"/>
  <c r="BH91" i="70"/>
  <c r="BJ88" i="70"/>
  <c r="BH86" i="70"/>
  <c r="BK83" i="70"/>
  <c r="BI93" i="70"/>
  <c r="BH103" i="70"/>
  <c r="BI105" i="70"/>
  <c r="BG102" i="70"/>
  <c r="BL98" i="70"/>
  <c r="BJ96" i="70"/>
  <c r="BK90" i="70"/>
  <c r="BH88" i="70"/>
  <c r="BJ85" i="70"/>
  <c r="BJ83" i="70"/>
  <c r="BH100" i="70"/>
  <c r="BH104" i="70"/>
  <c r="BL101" i="70"/>
  <c r="BK98" i="70"/>
  <c r="BG96" i="70"/>
  <c r="BH93" i="70"/>
  <c r="BH90" i="70"/>
  <c r="BG88" i="70"/>
  <c r="BI85" i="70"/>
  <c r="BH83" i="70"/>
  <c r="BH97" i="70"/>
  <c r="BK94" i="70"/>
  <c r="BK91" i="70"/>
  <c r="BH89" i="70"/>
  <c r="BK86" i="70"/>
  <c r="BG84" i="70"/>
  <c r="BL105" i="70"/>
  <c r="BJ102" i="70"/>
  <c r="BG100" i="70"/>
  <c r="BG97" i="70"/>
  <c r="BI94" i="70"/>
  <c r="BI91" i="70"/>
  <c r="BK88" i="70"/>
  <c r="BJ86" i="70"/>
  <c r="BL83" i="70"/>
  <c r="BG104" i="70"/>
  <c r="BI101" i="70"/>
  <c r="BJ98" i="70"/>
  <c r="BI95" i="70"/>
  <c r="BG93" i="70"/>
  <c r="BG90" i="70"/>
  <c r="BK87" i="70"/>
  <c r="BH85" i="70"/>
  <c r="BJ82" i="70"/>
  <c r="BL103" i="70"/>
  <c r="BK100" i="70"/>
  <c r="BI98" i="70"/>
  <c r="BH95" i="70"/>
  <c r="BJ92" i="70"/>
  <c r="BL89" i="70"/>
  <c r="BH87" i="70"/>
  <c r="BG85" i="70"/>
  <c r="BI82" i="70"/>
  <c r="BG82" i="70"/>
  <c r="BK103" i="70"/>
  <c r="BJ100" i="70"/>
  <c r="BL97" i="70"/>
  <c r="BL94" i="70"/>
  <c r="BL91" i="70"/>
  <c r="BJ89" i="70"/>
  <c r="BL86" i="70"/>
  <c r="BK84" i="70"/>
  <c r="BH82" i="70"/>
  <c r="AU23" i="70"/>
  <c r="AU24" i="70" s="1"/>
  <c r="M7" i="70"/>
  <c r="S111" i="70"/>
  <c r="BA23" i="70"/>
  <c r="BA24" i="70" s="1"/>
  <c r="F255" i="70"/>
  <c r="T111" i="70"/>
  <c r="AT23" i="70"/>
  <c r="AT24" i="70" s="1"/>
  <c r="K111" i="70"/>
  <c r="L111" i="70"/>
  <c r="E103" i="70"/>
  <c r="E7" i="70" s="1"/>
  <c r="B259" i="70"/>
  <c r="AN23" i="70"/>
  <c r="AN24" i="70" s="1"/>
  <c r="C111" i="70"/>
  <c r="G255" i="70"/>
  <c r="D111" i="70"/>
  <c r="AO24" i="70"/>
  <c r="D103" i="70"/>
  <c r="D7" i="70" s="1"/>
  <c r="C259" i="70"/>
  <c r="AH111" i="70" l="1"/>
  <c r="AI111" i="70"/>
  <c r="AT8" i="70"/>
  <c r="H254" i="70"/>
  <c r="G121" i="70"/>
  <c r="J249" i="70"/>
  <c r="K6" i="70"/>
  <c r="B103" i="70"/>
  <c r="AI102" i="70"/>
  <c r="AH102" i="70"/>
  <c r="AT9" i="70"/>
  <c r="K249" i="70" l="1"/>
  <c r="AI103" i="70"/>
  <c r="AH103" i="70"/>
  <c r="B7" i="70"/>
  <c r="A7" i="70" s="1"/>
  <c r="I254" i="70"/>
  <c r="H255" i="70"/>
  <c r="H121" i="70"/>
  <c r="J254" i="70" l="1"/>
  <c r="I255" i="70"/>
  <c r="I121" i="70"/>
  <c r="L249" i="70"/>
  <c r="K254" i="70" l="1"/>
  <c r="J255" i="70"/>
  <c r="J121" i="70"/>
  <c r="M249" i="70"/>
  <c r="N249" i="70" l="1"/>
  <c r="L254" i="70"/>
  <c r="K255" i="70"/>
  <c r="K121" i="70"/>
  <c r="M254" i="70" l="1"/>
  <c r="M121" i="70" s="1"/>
  <c r="L255" i="70"/>
  <c r="L121" i="70"/>
  <c r="O249" i="70"/>
  <c r="P249" i="70" l="1"/>
  <c r="N254" i="70"/>
  <c r="M255" i="70"/>
  <c r="O254" i="70" l="1"/>
  <c r="N121" i="70"/>
  <c r="N255" i="70"/>
  <c r="Q249" i="70"/>
  <c r="R249" i="70" l="1"/>
  <c r="P254" i="70"/>
  <c r="O255" i="70"/>
  <c r="O121" i="70"/>
  <c r="Q254" i="70" l="1"/>
  <c r="P255" i="70"/>
  <c r="S249" i="70"/>
  <c r="R254" i="70" l="1"/>
  <c r="Q255" i="70"/>
  <c r="Q121" i="70"/>
  <c r="T249" i="70"/>
  <c r="U249" i="70" l="1"/>
  <c r="S254" i="70"/>
  <c r="R255" i="70"/>
  <c r="R121" i="70"/>
  <c r="T254" i="70" l="1"/>
  <c r="S255" i="70"/>
  <c r="S121" i="70"/>
  <c r="V249" i="70"/>
  <c r="W249" i="70" l="1"/>
  <c r="U254" i="70"/>
  <c r="T255" i="70"/>
  <c r="T121" i="70"/>
  <c r="V254" i="70" l="1"/>
  <c r="U121" i="70"/>
  <c r="U255" i="70"/>
  <c r="X249" i="70"/>
  <c r="Y249" i="70" l="1"/>
  <c r="W254" i="70"/>
  <c r="V255" i="70"/>
  <c r="V121" i="70"/>
  <c r="AA61" i="69"/>
  <c r="AA65" i="69"/>
  <c r="AA79" i="69"/>
  <c r="AA83" i="69"/>
  <c r="AA95" i="69"/>
  <c r="AA111" i="69" s="1"/>
  <c r="AA104" i="69"/>
  <c r="AA105" i="69"/>
  <c r="AA106" i="69"/>
  <c r="AA107" i="69"/>
  <c r="AA108" i="69"/>
  <c r="AA109" i="69"/>
  <c r="AA110" i="69"/>
  <c r="AA121" i="69"/>
  <c r="Z60" i="69"/>
  <c r="Z61" i="69"/>
  <c r="Z65" i="69"/>
  <c r="Z79" i="69"/>
  <c r="Z83" i="69"/>
  <c r="Z95" i="69"/>
  <c r="Z104" i="69"/>
  <c r="Z105" i="69"/>
  <c r="Z106" i="69"/>
  <c r="Z107" i="69"/>
  <c r="Z108" i="69"/>
  <c r="Z109" i="69"/>
  <c r="Z121" i="69"/>
  <c r="Y60" i="69"/>
  <c r="Y61" i="69"/>
  <c r="Y65" i="69"/>
  <c r="Y79" i="69"/>
  <c r="Y83" i="69"/>
  <c r="Y95" i="69"/>
  <c r="Y104" i="69"/>
  <c r="Y110" i="69" s="1"/>
  <c r="Y105" i="69"/>
  <c r="Y106" i="69"/>
  <c r="Y107" i="69"/>
  <c r="Y108" i="69"/>
  <c r="Y109" i="69"/>
  <c r="Y121" i="69"/>
  <c r="X124" i="69"/>
  <c r="X60" i="69"/>
  <c r="W61" i="69"/>
  <c r="W65" i="69"/>
  <c r="W79" i="69"/>
  <c r="W83" i="69"/>
  <c r="W95" i="69"/>
  <c r="W104" i="69"/>
  <c r="W105" i="69"/>
  <c r="W106" i="69"/>
  <c r="W107" i="69"/>
  <c r="W108" i="69"/>
  <c r="W109" i="69"/>
  <c r="W121" i="69"/>
  <c r="V61" i="69"/>
  <c r="V65" i="69"/>
  <c r="V79" i="69"/>
  <c r="V83" i="69"/>
  <c r="V95" i="69"/>
  <c r="V104" i="69"/>
  <c r="V105" i="69"/>
  <c r="V106" i="69"/>
  <c r="V107" i="69"/>
  <c r="V108" i="69"/>
  <c r="V109" i="69"/>
  <c r="V121" i="69"/>
  <c r="U61" i="69"/>
  <c r="U65" i="69"/>
  <c r="U79" i="69"/>
  <c r="U83" i="69"/>
  <c r="U95" i="69"/>
  <c r="U104" i="69"/>
  <c r="U105" i="69"/>
  <c r="U106" i="69"/>
  <c r="U107" i="69"/>
  <c r="U108" i="69"/>
  <c r="U109" i="69"/>
  <c r="U121" i="69"/>
  <c r="X254" i="70" l="1"/>
  <c r="W255" i="70"/>
  <c r="W121" i="70"/>
  <c r="Z249" i="70"/>
  <c r="AA100" i="69"/>
  <c r="AA102" i="69" s="1"/>
  <c r="AA103" i="69" s="1"/>
  <c r="Z110" i="69"/>
  <c r="Z111" i="69" s="1"/>
  <c r="Z100" i="69"/>
  <c r="Z102" i="69" s="1"/>
  <c r="Z103" i="69" s="1"/>
  <c r="Y100" i="69"/>
  <c r="Y102" i="69" s="1"/>
  <c r="Y103" i="69" s="1"/>
  <c r="Y111" i="69"/>
  <c r="W100" i="69"/>
  <c r="W102" i="69" s="1"/>
  <c r="W110" i="69"/>
  <c r="V110" i="69"/>
  <c r="V100" i="69"/>
  <c r="V102" i="69" s="1"/>
  <c r="V103" i="69" s="1"/>
  <c r="V111" i="69"/>
  <c r="U110" i="69"/>
  <c r="U100" i="69"/>
  <c r="U102" i="69" s="1"/>
  <c r="U103" i="69" s="1"/>
  <c r="U111" i="69"/>
  <c r="T61" i="69"/>
  <c r="T65" i="69"/>
  <c r="T79" i="69"/>
  <c r="T83" i="69"/>
  <c r="T95" i="69"/>
  <c r="T104" i="69"/>
  <c r="T105" i="69"/>
  <c r="T106" i="69"/>
  <c r="T107" i="69"/>
  <c r="T108" i="69"/>
  <c r="T109" i="69"/>
  <c r="T121" i="69"/>
  <c r="S61" i="69"/>
  <c r="S65" i="69"/>
  <c r="S79" i="69"/>
  <c r="S83" i="69"/>
  <c r="S95" i="69"/>
  <c r="S104" i="69"/>
  <c r="S105" i="69"/>
  <c r="S106" i="69"/>
  <c r="S107" i="69"/>
  <c r="S108" i="69"/>
  <c r="S109" i="69"/>
  <c r="S121" i="69"/>
  <c r="R124" i="69"/>
  <c r="R60" i="69"/>
  <c r="Q124" i="69"/>
  <c r="Q60" i="69"/>
  <c r="Q61" i="69"/>
  <c r="Q65" i="69"/>
  <c r="P124" i="69"/>
  <c r="P65" i="69"/>
  <c r="P60" i="69"/>
  <c r="O124" i="69"/>
  <c r="O60" i="69"/>
  <c r="AA249" i="70" l="1"/>
  <c r="Y254" i="70"/>
  <c r="X121" i="70"/>
  <c r="X255" i="70"/>
  <c r="W103" i="69"/>
  <c r="W111" i="69"/>
  <c r="T110" i="69"/>
  <c r="T111" i="69"/>
  <c r="T100" i="69"/>
  <c r="T102" i="69" s="1"/>
  <c r="T103" i="69" s="1"/>
  <c r="S110" i="69"/>
  <c r="S111" i="69" s="1"/>
  <c r="S100" i="69"/>
  <c r="S102" i="69" s="1"/>
  <c r="S103" i="69" s="1"/>
  <c r="Z254" i="70" l="1"/>
  <c r="Y255" i="70"/>
  <c r="AB249" i="70"/>
  <c r="AC249" i="70" l="1"/>
  <c r="AA254" i="70"/>
  <c r="Z255" i="70"/>
  <c r="AB254" i="70" l="1"/>
  <c r="AA255" i="70"/>
  <c r="AA121" i="70"/>
  <c r="AD249" i="70"/>
  <c r="AE249" i="70" l="1"/>
  <c r="AC254" i="70"/>
  <c r="AC121" i="70" s="1"/>
  <c r="AB255" i="70"/>
  <c r="AB121" i="70"/>
  <c r="AD254" i="70" l="1"/>
  <c r="AD121" i="70" s="1"/>
  <c r="AC255" i="70"/>
  <c r="AF249" i="70"/>
  <c r="B249" i="70" l="1"/>
  <c r="AE254" i="70"/>
  <c r="AE121" i="70" s="1"/>
  <c r="AD255" i="70"/>
  <c r="AF254" i="70" l="1"/>
  <c r="AF121" i="70" s="1"/>
  <c r="AE255" i="70"/>
  <c r="B254" i="70" l="1"/>
  <c r="AF255" i="70"/>
  <c r="B255" i="70" l="1"/>
  <c r="B121" i="70"/>
  <c r="AI121" i="70" l="1"/>
  <c r="AH121" i="70"/>
  <c r="N124" i="69" l="1"/>
  <c r="N60" i="69"/>
  <c r="M124" i="69" l="1"/>
  <c r="M60" i="69"/>
  <c r="M61" i="69"/>
  <c r="AU16" i="69" s="1"/>
  <c r="M65" i="69"/>
  <c r="M79" i="69"/>
  <c r="M83" i="69"/>
  <c r="M95" i="69"/>
  <c r="B121" i="69"/>
  <c r="G121" i="69"/>
  <c r="B61" i="69"/>
  <c r="G61" i="69"/>
  <c r="AR16" i="69" s="1"/>
  <c r="AH128" i="69"/>
  <c r="AI128" i="69"/>
  <c r="AH127" i="69"/>
  <c r="AI127" i="69"/>
  <c r="AG255" i="69"/>
  <c r="C255" i="69"/>
  <c r="D254" i="69"/>
  <c r="J253" i="69"/>
  <c r="K253" i="69" s="1"/>
  <c r="L253" i="69" s="1"/>
  <c r="M253" i="69" s="1"/>
  <c r="N253" i="69" s="1"/>
  <c r="O253" i="69" s="1"/>
  <c r="P253" i="69" s="1"/>
  <c r="Q253" i="69" s="1"/>
  <c r="R253" i="69" s="1"/>
  <c r="S253" i="69" s="1"/>
  <c r="T253" i="69" s="1"/>
  <c r="U253" i="69" s="1"/>
  <c r="V253" i="69" s="1"/>
  <c r="W253" i="69" s="1"/>
  <c r="X253" i="69" s="1"/>
  <c r="Y253" i="69" s="1"/>
  <c r="Z253" i="69" s="1"/>
  <c r="AA253" i="69" s="1"/>
  <c r="AB253" i="69" s="1"/>
  <c r="AC253" i="69" s="1"/>
  <c r="AD253" i="69" s="1"/>
  <c r="AE253" i="69" s="1"/>
  <c r="AF253" i="69" s="1"/>
  <c r="B253" i="69" s="1"/>
  <c r="G253" i="69"/>
  <c r="H253" i="69" s="1"/>
  <c r="I253" i="69" s="1"/>
  <c r="E253" i="69"/>
  <c r="F253" i="69" s="1"/>
  <c r="D253" i="69"/>
  <c r="E252" i="69"/>
  <c r="F252" i="69" s="1"/>
  <c r="G252" i="69" s="1"/>
  <c r="H252" i="69" s="1"/>
  <c r="I252" i="69" s="1"/>
  <c r="J252" i="69" s="1"/>
  <c r="K252" i="69" s="1"/>
  <c r="L252" i="69" s="1"/>
  <c r="M252" i="69" s="1"/>
  <c r="N252" i="69" s="1"/>
  <c r="O252" i="69" s="1"/>
  <c r="P252" i="69" s="1"/>
  <c r="Q252" i="69" s="1"/>
  <c r="R252" i="69" s="1"/>
  <c r="S252" i="69" s="1"/>
  <c r="T252" i="69" s="1"/>
  <c r="U252" i="69" s="1"/>
  <c r="V252" i="69" s="1"/>
  <c r="W252" i="69" s="1"/>
  <c r="X252" i="69" s="1"/>
  <c r="Y252" i="69" s="1"/>
  <c r="Z252" i="69" s="1"/>
  <c r="AA252" i="69" s="1"/>
  <c r="AB252" i="69" s="1"/>
  <c r="AC252" i="69" s="1"/>
  <c r="AD252" i="69" s="1"/>
  <c r="AE252" i="69" s="1"/>
  <c r="AF252" i="69" s="1"/>
  <c r="B252" i="69" s="1"/>
  <c r="D252" i="69"/>
  <c r="D251" i="69"/>
  <c r="E251" i="69" s="1"/>
  <c r="F251" i="69" s="1"/>
  <c r="G251" i="69" s="1"/>
  <c r="H251" i="69" s="1"/>
  <c r="I251" i="69" s="1"/>
  <c r="J251" i="69" s="1"/>
  <c r="K251" i="69" s="1"/>
  <c r="L251" i="69" s="1"/>
  <c r="M251" i="69" s="1"/>
  <c r="N251" i="69" s="1"/>
  <c r="O251" i="69" s="1"/>
  <c r="P251" i="69" s="1"/>
  <c r="Q251" i="69" s="1"/>
  <c r="R251" i="69" s="1"/>
  <c r="S251" i="69" s="1"/>
  <c r="T251" i="69" s="1"/>
  <c r="U251" i="69" s="1"/>
  <c r="V251" i="69" s="1"/>
  <c r="W251" i="69" s="1"/>
  <c r="X251" i="69" s="1"/>
  <c r="Y251" i="69" s="1"/>
  <c r="Z251" i="69" s="1"/>
  <c r="AA251" i="69" s="1"/>
  <c r="AB251" i="69" s="1"/>
  <c r="AC251" i="69" s="1"/>
  <c r="AD251" i="69" s="1"/>
  <c r="AE251" i="69" s="1"/>
  <c r="AF251" i="69" s="1"/>
  <c r="B251" i="69" s="1"/>
  <c r="D250" i="69"/>
  <c r="E249" i="69"/>
  <c r="F249" i="69" s="1"/>
  <c r="D249" i="69"/>
  <c r="AG247" i="69"/>
  <c r="AF247" i="69"/>
  <c r="AE247" i="69"/>
  <c r="AD247" i="69"/>
  <c r="AC247" i="69"/>
  <c r="AB247" i="69"/>
  <c r="AA247" i="69"/>
  <c r="Z247" i="69"/>
  <c r="Y247" i="69"/>
  <c r="X247" i="69"/>
  <c r="W247" i="69"/>
  <c r="V247" i="69"/>
  <c r="U247" i="69"/>
  <c r="T247" i="69"/>
  <c r="S247" i="69"/>
  <c r="R247" i="69"/>
  <c r="Q247" i="69"/>
  <c r="P247" i="69"/>
  <c r="O247" i="69"/>
  <c r="N247" i="69"/>
  <c r="M247" i="69"/>
  <c r="L247" i="69"/>
  <c r="K247" i="69"/>
  <c r="J247" i="69"/>
  <c r="I247" i="69"/>
  <c r="H247" i="69"/>
  <c r="G247" i="69"/>
  <c r="F247" i="69"/>
  <c r="E247" i="69"/>
  <c r="D247" i="69"/>
  <c r="C247" i="69"/>
  <c r="B247" i="69"/>
  <c r="AI133" i="69"/>
  <c r="AH133" i="69"/>
  <c r="AI132" i="69"/>
  <c r="AH132" i="69"/>
  <c r="AI131" i="69"/>
  <c r="AH131" i="69"/>
  <c r="AI130" i="69"/>
  <c r="AH130" i="69"/>
  <c r="AI129" i="69"/>
  <c r="AH129" i="69"/>
  <c r="AI126" i="69"/>
  <c r="AH126" i="69"/>
  <c r="AI125" i="69"/>
  <c r="AH125" i="69"/>
  <c r="AI124" i="69"/>
  <c r="AH124" i="69"/>
  <c r="AI123" i="69"/>
  <c r="AH123" i="69"/>
  <c r="AI122" i="69"/>
  <c r="AH122" i="69"/>
  <c r="C121" i="69"/>
  <c r="AI120" i="69"/>
  <c r="AH120" i="69"/>
  <c r="AI119" i="69"/>
  <c r="AH119" i="69"/>
  <c r="AI118" i="69"/>
  <c r="AH118" i="69"/>
  <c r="AI117" i="69"/>
  <c r="AH117" i="69"/>
  <c r="AI116" i="69"/>
  <c r="AH116" i="69"/>
  <c r="AI115" i="69"/>
  <c r="AH115" i="69"/>
  <c r="AI114" i="69"/>
  <c r="AH114" i="69"/>
  <c r="AI113" i="69"/>
  <c r="AH113" i="69"/>
  <c r="AI112" i="69"/>
  <c r="AH112" i="69"/>
  <c r="AF109" i="69"/>
  <c r="AE109" i="69"/>
  <c r="AD109" i="69"/>
  <c r="AC109" i="69"/>
  <c r="AB109" i="69"/>
  <c r="X109" i="69"/>
  <c r="R109" i="69"/>
  <c r="Q109" i="69"/>
  <c r="P109" i="69"/>
  <c r="O109" i="69"/>
  <c r="N109" i="69"/>
  <c r="M109" i="69"/>
  <c r="L109" i="69"/>
  <c r="K109" i="69"/>
  <c r="J109" i="69"/>
  <c r="I109" i="69"/>
  <c r="H109" i="69"/>
  <c r="G109" i="69"/>
  <c r="F109" i="69"/>
  <c r="E109" i="69"/>
  <c r="D109" i="69"/>
  <c r="C109" i="69"/>
  <c r="B109" i="69"/>
  <c r="AF108" i="69"/>
  <c r="AE108" i="69"/>
  <c r="AD108" i="69"/>
  <c r="AC108" i="69"/>
  <c r="AB108" i="69"/>
  <c r="X108" i="69"/>
  <c r="R108" i="69"/>
  <c r="Q108" i="69"/>
  <c r="P108" i="69"/>
  <c r="O108" i="69"/>
  <c r="N108" i="69"/>
  <c r="M108" i="69"/>
  <c r="L108" i="69"/>
  <c r="K108" i="69"/>
  <c r="J108" i="69"/>
  <c r="I108" i="69"/>
  <c r="H108" i="69"/>
  <c r="G108" i="69"/>
  <c r="F108" i="69"/>
  <c r="E108" i="69"/>
  <c r="D108" i="69"/>
  <c r="C108" i="69"/>
  <c r="B108" i="69"/>
  <c r="AF107" i="69"/>
  <c r="AE107" i="69"/>
  <c r="AD107" i="69"/>
  <c r="AC107" i="69"/>
  <c r="AB107" i="69"/>
  <c r="X107" i="69"/>
  <c r="R107" i="69"/>
  <c r="Q107" i="69"/>
  <c r="P107" i="69"/>
  <c r="O107" i="69"/>
  <c r="N107" i="69"/>
  <c r="M107" i="69"/>
  <c r="L107" i="69"/>
  <c r="K107" i="69"/>
  <c r="J107" i="69"/>
  <c r="I107" i="69"/>
  <c r="H107" i="69"/>
  <c r="G107" i="69"/>
  <c r="F107" i="69"/>
  <c r="E107" i="69"/>
  <c r="D107" i="69"/>
  <c r="C107" i="69"/>
  <c r="B107" i="69"/>
  <c r="AI107" i="69" s="1"/>
  <c r="AF106" i="69"/>
  <c r="AE106" i="69"/>
  <c r="AD106" i="69"/>
  <c r="AC106" i="69"/>
  <c r="AB106" i="69"/>
  <c r="X106" i="69"/>
  <c r="R106" i="69"/>
  <c r="Q106" i="69"/>
  <c r="P106" i="69"/>
  <c r="O106" i="69"/>
  <c r="N106" i="69"/>
  <c r="M106" i="69"/>
  <c r="L106" i="69"/>
  <c r="K106" i="69"/>
  <c r="J106" i="69"/>
  <c r="I106" i="69"/>
  <c r="H106" i="69"/>
  <c r="H110" i="69" s="1"/>
  <c r="G106" i="69"/>
  <c r="F106" i="69"/>
  <c r="E106" i="69"/>
  <c r="E110" i="69" s="1"/>
  <c r="AP23" i="69" s="1"/>
  <c r="D106" i="69"/>
  <c r="C106" i="69"/>
  <c r="B106" i="69"/>
  <c r="AF105" i="69"/>
  <c r="AE105" i="69"/>
  <c r="AD105" i="69"/>
  <c r="AC105" i="69"/>
  <c r="AB105" i="69"/>
  <c r="X105" i="69"/>
  <c r="R105" i="69"/>
  <c r="Q105" i="69"/>
  <c r="P105" i="69"/>
  <c r="O105" i="69"/>
  <c r="N105" i="69"/>
  <c r="M105" i="69"/>
  <c r="L105" i="69"/>
  <c r="K105" i="69"/>
  <c r="J105" i="69"/>
  <c r="I105" i="69"/>
  <c r="H105" i="69"/>
  <c r="G105" i="69"/>
  <c r="F105" i="69"/>
  <c r="E105" i="69"/>
  <c r="D105" i="69"/>
  <c r="C105" i="69"/>
  <c r="B105" i="69"/>
  <c r="AI105" i="69" s="1"/>
  <c r="AF104" i="69"/>
  <c r="AE104" i="69"/>
  <c r="AD104" i="69"/>
  <c r="AC104" i="69"/>
  <c r="AB104" i="69"/>
  <c r="X104" i="69"/>
  <c r="BC23" i="69"/>
  <c r="R104" i="69"/>
  <c r="Q104" i="69"/>
  <c r="P104" i="69"/>
  <c r="O104" i="69"/>
  <c r="N104" i="69"/>
  <c r="M104" i="69"/>
  <c r="L104" i="69"/>
  <c r="K104" i="69"/>
  <c r="J104" i="69"/>
  <c r="I104" i="69"/>
  <c r="H104" i="69"/>
  <c r="G104" i="69"/>
  <c r="F104" i="69"/>
  <c r="E104" i="69"/>
  <c r="D104" i="69"/>
  <c r="C104" i="69"/>
  <c r="B104" i="69"/>
  <c r="AI101" i="69"/>
  <c r="AH101" i="69"/>
  <c r="AI99" i="69"/>
  <c r="AH99" i="69"/>
  <c r="AG99" i="69"/>
  <c r="AI98" i="69"/>
  <c r="AH98" i="69"/>
  <c r="AI97" i="69"/>
  <c r="AH97" i="69"/>
  <c r="AI96" i="69"/>
  <c r="AH96" i="69"/>
  <c r="AG95" i="69"/>
  <c r="AF95" i="69"/>
  <c r="AE5" i="69" s="1"/>
  <c r="AE95" i="69"/>
  <c r="BI19" i="69" s="1"/>
  <c r="AD95" i="69"/>
  <c r="BH19" i="69" s="1"/>
  <c r="AC95" i="69"/>
  <c r="AB95" i="69"/>
  <c r="BG19" i="69" s="1"/>
  <c r="X95" i="69"/>
  <c r="W5" i="69" s="1"/>
  <c r="R95" i="69"/>
  <c r="AZ19" i="69" s="1"/>
  <c r="Q95" i="69"/>
  <c r="AY19" i="69" s="1"/>
  <c r="P95" i="69"/>
  <c r="O5" i="69" s="1"/>
  <c r="O95" i="69"/>
  <c r="N5" i="69" s="1"/>
  <c r="N95" i="69"/>
  <c r="M5" i="69" s="1"/>
  <c r="L95" i="69"/>
  <c r="K5" i="69" s="1"/>
  <c r="K95" i="69"/>
  <c r="AT19" i="69" s="1"/>
  <c r="J95" i="69"/>
  <c r="I5" i="69" s="1"/>
  <c r="I95" i="69"/>
  <c r="AS19" i="69" s="1"/>
  <c r="H95" i="69"/>
  <c r="H111" i="69" s="1"/>
  <c r="G95" i="69"/>
  <c r="F5" i="69" s="1"/>
  <c r="F95" i="69"/>
  <c r="E5" i="69" s="1"/>
  <c r="E95" i="69"/>
  <c r="D5" i="69" s="1"/>
  <c r="D95" i="69"/>
  <c r="C5" i="69" s="1"/>
  <c r="C95" i="69"/>
  <c r="B95" i="69"/>
  <c r="AF5" i="69" s="1"/>
  <c r="AI94" i="69"/>
  <c r="AH94" i="69"/>
  <c r="AI93" i="69"/>
  <c r="AH93" i="69"/>
  <c r="AI92" i="69"/>
  <c r="AH92" i="69"/>
  <c r="AI91" i="69"/>
  <c r="AH91" i="69"/>
  <c r="AI90" i="69"/>
  <c r="AH90" i="69"/>
  <c r="AI89" i="69"/>
  <c r="AH89" i="69"/>
  <c r="AI88" i="69"/>
  <c r="AH88" i="69"/>
  <c r="AI87" i="69"/>
  <c r="AH87" i="69"/>
  <c r="AI86" i="69"/>
  <c r="AH86" i="69"/>
  <c r="AI85" i="69"/>
  <c r="AH85" i="69"/>
  <c r="AI84" i="69"/>
  <c r="AH84" i="69"/>
  <c r="AG83" i="69"/>
  <c r="AF83" i="69"/>
  <c r="AE83" i="69"/>
  <c r="AD83" i="69"/>
  <c r="AC83" i="69"/>
  <c r="AB83" i="69"/>
  <c r="X83" i="69"/>
  <c r="R83" i="69"/>
  <c r="Q83" i="69"/>
  <c r="AY20" i="69" s="1"/>
  <c r="P83" i="69"/>
  <c r="O83" i="69"/>
  <c r="N83" i="69"/>
  <c r="L83" i="69"/>
  <c r="K83" i="69"/>
  <c r="J83" i="69"/>
  <c r="I83" i="69"/>
  <c r="H83" i="69"/>
  <c r="G83" i="69"/>
  <c r="AR20" i="69" s="1"/>
  <c r="F83" i="69"/>
  <c r="E83" i="69"/>
  <c r="D83" i="69"/>
  <c r="AO20" i="69" s="1"/>
  <c r="C83" i="69"/>
  <c r="B83" i="69"/>
  <c r="AM20" i="69" s="1"/>
  <c r="AI82" i="69"/>
  <c r="AH82" i="69"/>
  <c r="AI81" i="69"/>
  <c r="AH81" i="69"/>
  <c r="AI80" i="69"/>
  <c r="AH80" i="69"/>
  <c r="AF79" i="69"/>
  <c r="BJ18" i="69" s="1"/>
  <c r="AE79" i="69"/>
  <c r="AD79" i="69"/>
  <c r="BH18" i="69" s="1"/>
  <c r="AC79" i="69"/>
  <c r="AB79" i="69"/>
  <c r="X79" i="69"/>
  <c r="BC18" i="69"/>
  <c r="R79" i="69"/>
  <c r="Q79" i="69"/>
  <c r="AY18" i="69" s="1"/>
  <c r="P79" i="69"/>
  <c r="O79" i="69"/>
  <c r="AW18" i="69" s="1"/>
  <c r="N79" i="69"/>
  <c r="AU18" i="69"/>
  <c r="L79" i="69"/>
  <c r="K79" i="69"/>
  <c r="AT18" i="69" s="1"/>
  <c r="J79" i="69"/>
  <c r="I79" i="69"/>
  <c r="AS18" i="69" s="1"/>
  <c r="H79" i="69"/>
  <c r="G79" i="69"/>
  <c r="AR18" i="69" s="1"/>
  <c r="F79" i="69"/>
  <c r="AQ18" i="69" s="1"/>
  <c r="E79" i="69"/>
  <c r="AP18" i="69" s="1"/>
  <c r="D79" i="69"/>
  <c r="C79" i="69"/>
  <c r="AN18" i="69" s="1"/>
  <c r="B79" i="69"/>
  <c r="AM18" i="69" s="1"/>
  <c r="BS78" i="69"/>
  <c r="BN78" i="69"/>
  <c r="BK78" i="69"/>
  <c r="BC78" i="69"/>
  <c r="AI78" i="69"/>
  <c r="AH78" i="69"/>
  <c r="AG78" i="69"/>
  <c r="AG79" i="69" s="1"/>
  <c r="AG3" i="69" s="1"/>
  <c r="BH77" i="69"/>
  <c r="BF77" i="69"/>
  <c r="BC77" i="69"/>
  <c r="AZ77" i="69"/>
  <c r="AI77" i="69"/>
  <c r="AH77" i="69"/>
  <c r="BJ76" i="69"/>
  <c r="BB76" i="69"/>
  <c r="AI76" i="69"/>
  <c r="AH76" i="69"/>
  <c r="BT75" i="69"/>
  <c r="BB75" i="69"/>
  <c r="AZ75" i="69"/>
  <c r="AI75" i="69"/>
  <c r="AH75" i="69"/>
  <c r="BV74" i="69"/>
  <c r="BQ74" i="69"/>
  <c r="BJ74" i="69"/>
  <c r="BF74" i="69"/>
  <c r="BB74" i="69"/>
  <c r="BA74" i="69"/>
  <c r="AI74" i="69"/>
  <c r="AH74" i="69"/>
  <c r="BL73" i="69"/>
  <c r="BK73" i="69"/>
  <c r="BA73" i="69"/>
  <c r="AI73" i="69"/>
  <c r="AH73" i="69"/>
  <c r="AI72" i="69"/>
  <c r="AH72" i="69"/>
  <c r="BW71" i="69"/>
  <c r="BW78" i="69" s="1"/>
  <c r="BV71" i="69"/>
  <c r="BV78" i="69" s="1"/>
  <c r="BU71" i="69"/>
  <c r="BU78" i="69" s="1"/>
  <c r="BT71" i="69"/>
  <c r="BT78" i="69" s="1"/>
  <c r="BS71" i="69"/>
  <c r="BR71" i="69"/>
  <c r="BR78" i="69" s="1"/>
  <c r="BQ71" i="69"/>
  <c r="BQ78" i="69" s="1"/>
  <c r="BP71" i="69"/>
  <c r="BP78" i="69" s="1"/>
  <c r="BO71" i="69"/>
  <c r="BO78" i="69" s="1"/>
  <c r="BN71" i="69"/>
  <c r="BM71" i="69"/>
  <c r="BM78" i="69" s="1"/>
  <c r="BL71" i="69"/>
  <c r="BL78" i="69" s="1"/>
  <c r="BK71" i="69"/>
  <c r="BJ71" i="69"/>
  <c r="BJ78" i="69" s="1"/>
  <c r="BI71" i="69"/>
  <c r="BI78" i="69" s="1"/>
  <c r="BH71" i="69"/>
  <c r="BH78" i="69" s="1"/>
  <c r="BG71" i="69"/>
  <c r="BG78" i="69" s="1"/>
  <c r="BF71" i="69"/>
  <c r="BF78" i="69" s="1"/>
  <c r="BE71" i="69"/>
  <c r="BE78" i="69" s="1"/>
  <c r="BD71" i="69"/>
  <c r="BD78" i="69" s="1"/>
  <c r="BC71" i="69"/>
  <c r="BB71" i="69"/>
  <c r="BB78" i="69" s="1"/>
  <c r="BA71" i="69"/>
  <c r="BA78" i="69" s="1"/>
  <c r="AZ71" i="69"/>
  <c r="AZ78" i="69" s="1"/>
  <c r="AI71" i="69"/>
  <c r="AH71" i="69"/>
  <c r="BW70" i="69"/>
  <c r="BW77" i="69" s="1"/>
  <c r="BV70" i="69"/>
  <c r="BV77" i="69" s="1"/>
  <c r="BU70" i="69"/>
  <c r="BU77" i="69" s="1"/>
  <c r="BT70" i="69"/>
  <c r="BT77" i="69" s="1"/>
  <c r="BS70" i="69"/>
  <c r="BS77" i="69" s="1"/>
  <c r="BR70" i="69"/>
  <c r="BR77" i="69" s="1"/>
  <c r="BQ70" i="69"/>
  <c r="BQ77" i="69" s="1"/>
  <c r="BP70" i="69"/>
  <c r="BP77" i="69" s="1"/>
  <c r="BO70" i="69"/>
  <c r="BO77" i="69" s="1"/>
  <c r="BN70" i="69"/>
  <c r="BN77" i="69" s="1"/>
  <c r="BM70" i="69"/>
  <c r="BM77" i="69" s="1"/>
  <c r="BL70" i="69"/>
  <c r="BL77" i="69" s="1"/>
  <c r="BK70" i="69"/>
  <c r="BK77" i="69" s="1"/>
  <c r="BJ70" i="69"/>
  <c r="BJ77" i="69" s="1"/>
  <c r="BI70" i="69"/>
  <c r="BI77" i="69" s="1"/>
  <c r="BH70" i="69"/>
  <c r="BG70" i="69"/>
  <c r="BG77" i="69" s="1"/>
  <c r="BF70" i="69"/>
  <c r="BE70" i="69"/>
  <c r="BE77" i="69" s="1"/>
  <c r="BD70" i="69"/>
  <c r="BD77" i="69" s="1"/>
  <c r="BC70" i="69"/>
  <c r="BB70" i="69"/>
  <c r="BB77" i="69" s="1"/>
  <c r="BA70" i="69"/>
  <c r="BA77" i="69" s="1"/>
  <c r="AZ70" i="69"/>
  <c r="AI70" i="69"/>
  <c r="AH70" i="69"/>
  <c r="BW69" i="69"/>
  <c r="BW76" i="69" s="1"/>
  <c r="BV69" i="69"/>
  <c r="BV76" i="69" s="1"/>
  <c r="BU69" i="69"/>
  <c r="BU76" i="69" s="1"/>
  <c r="BT69" i="69"/>
  <c r="BT76" i="69" s="1"/>
  <c r="BS69" i="69"/>
  <c r="BS76" i="69" s="1"/>
  <c r="BR69" i="69"/>
  <c r="BR76" i="69" s="1"/>
  <c r="BQ69" i="69"/>
  <c r="BQ76" i="69" s="1"/>
  <c r="BP69" i="69"/>
  <c r="BP76" i="69" s="1"/>
  <c r="BO69" i="69"/>
  <c r="BO76" i="69" s="1"/>
  <c r="BN69" i="69"/>
  <c r="BN76" i="69" s="1"/>
  <c r="BM69" i="69"/>
  <c r="BM76" i="69" s="1"/>
  <c r="BL69" i="69"/>
  <c r="BL76" i="69" s="1"/>
  <c r="BK69" i="69"/>
  <c r="BK76" i="69" s="1"/>
  <c r="BJ69" i="69"/>
  <c r="BI69" i="69"/>
  <c r="BI76" i="69" s="1"/>
  <c r="BH69" i="69"/>
  <c r="BH76" i="69" s="1"/>
  <c r="BG69" i="69"/>
  <c r="BG76" i="69" s="1"/>
  <c r="BF69" i="69"/>
  <c r="BF76" i="69" s="1"/>
  <c r="BE69" i="69"/>
  <c r="BE76" i="69" s="1"/>
  <c r="BD69" i="69"/>
  <c r="BD76" i="69" s="1"/>
  <c r="BC69" i="69"/>
  <c r="BC76" i="69" s="1"/>
  <c r="BB69" i="69"/>
  <c r="BA69" i="69"/>
  <c r="BA76" i="69" s="1"/>
  <c r="AZ69" i="69"/>
  <c r="AZ76" i="69" s="1"/>
  <c r="AI69" i="69"/>
  <c r="AH69" i="69"/>
  <c r="BW68" i="69"/>
  <c r="BW75" i="69" s="1"/>
  <c r="BV68" i="69"/>
  <c r="BV75" i="69" s="1"/>
  <c r="BU68" i="69"/>
  <c r="BU75" i="69" s="1"/>
  <c r="BT68" i="69"/>
  <c r="BS68" i="69"/>
  <c r="BS75" i="69" s="1"/>
  <c r="BR68" i="69"/>
  <c r="BR75" i="69" s="1"/>
  <c r="BQ68" i="69"/>
  <c r="BQ75" i="69" s="1"/>
  <c r="BP68" i="69"/>
  <c r="BP75" i="69" s="1"/>
  <c r="BO68" i="69"/>
  <c r="BO75" i="69" s="1"/>
  <c r="BN68" i="69"/>
  <c r="BN75" i="69" s="1"/>
  <c r="BM68" i="69"/>
  <c r="BM75" i="69" s="1"/>
  <c r="BL68" i="69"/>
  <c r="BL75" i="69" s="1"/>
  <c r="BK68" i="69"/>
  <c r="BK75" i="69" s="1"/>
  <c r="BJ68" i="69"/>
  <c r="BJ75" i="69" s="1"/>
  <c r="BI68" i="69"/>
  <c r="BI75" i="69" s="1"/>
  <c r="BH68" i="69"/>
  <c r="BH75" i="69" s="1"/>
  <c r="BG68" i="69"/>
  <c r="BG75" i="69" s="1"/>
  <c r="BF68" i="69"/>
  <c r="BF75" i="69" s="1"/>
  <c r="BE68" i="69"/>
  <c r="BE75" i="69" s="1"/>
  <c r="BD68" i="69"/>
  <c r="BD75" i="69" s="1"/>
  <c r="BC68" i="69"/>
  <c r="BC75" i="69" s="1"/>
  <c r="BB68" i="69"/>
  <c r="BA68" i="69"/>
  <c r="BA75" i="69" s="1"/>
  <c r="AZ68" i="69"/>
  <c r="AI68" i="69"/>
  <c r="AH68" i="69"/>
  <c r="BW67" i="69"/>
  <c r="BW74" i="69" s="1"/>
  <c r="BV67" i="69"/>
  <c r="BU67" i="69"/>
  <c r="BU74" i="69" s="1"/>
  <c r="BT67" i="69"/>
  <c r="BT74" i="69" s="1"/>
  <c r="BS67" i="69"/>
  <c r="BS74" i="69" s="1"/>
  <c r="BR67" i="69"/>
  <c r="BR74" i="69" s="1"/>
  <c r="BQ67" i="69"/>
  <c r="BP67" i="69"/>
  <c r="BP74" i="69" s="1"/>
  <c r="BO67" i="69"/>
  <c r="BO74" i="69" s="1"/>
  <c r="BN67" i="69"/>
  <c r="BN74" i="69" s="1"/>
  <c r="BM67" i="69"/>
  <c r="BM74" i="69" s="1"/>
  <c r="BL67" i="69"/>
  <c r="BL74" i="69" s="1"/>
  <c r="BK67" i="69"/>
  <c r="BK74" i="69" s="1"/>
  <c r="BJ67" i="69"/>
  <c r="BI67" i="69"/>
  <c r="BI74" i="69" s="1"/>
  <c r="BH67" i="69"/>
  <c r="BH74" i="69" s="1"/>
  <c r="BG67" i="69"/>
  <c r="BG74" i="69" s="1"/>
  <c r="BF67" i="69"/>
  <c r="BE67" i="69"/>
  <c r="BE74" i="69" s="1"/>
  <c r="BD67" i="69"/>
  <c r="BD74" i="69" s="1"/>
  <c r="BC67" i="69"/>
  <c r="BC74" i="69" s="1"/>
  <c r="BB67" i="69"/>
  <c r="BA67" i="69"/>
  <c r="AZ67" i="69"/>
  <c r="AI67" i="69"/>
  <c r="AH67" i="69"/>
  <c r="BW66" i="69"/>
  <c r="BW73" i="69" s="1"/>
  <c r="BV66" i="69"/>
  <c r="BV73" i="69" s="1"/>
  <c r="BU66" i="69"/>
  <c r="BU73" i="69" s="1"/>
  <c r="BT66" i="69"/>
  <c r="BT73" i="69" s="1"/>
  <c r="BS66" i="69"/>
  <c r="BS73" i="69" s="1"/>
  <c r="BR66" i="69"/>
  <c r="BR73" i="69" s="1"/>
  <c r="BQ66" i="69"/>
  <c r="BQ73" i="69" s="1"/>
  <c r="BP66" i="69"/>
  <c r="BP73" i="69" s="1"/>
  <c r="BO66" i="69"/>
  <c r="BO73" i="69" s="1"/>
  <c r="BN66" i="69"/>
  <c r="BN73" i="69" s="1"/>
  <c r="BM66" i="69"/>
  <c r="BM73" i="69" s="1"/>
  <c r="BL66" i="69"/>
  <c r="BK66" i="69"/>
  <c r="BJ66" i="69"/>
  <c r="BJ73" i="69" s="1"/>
  <c r="BI66" i="69"/>
  <c r="BI73" i="69" s="1"/>
  <c r="BH66" i="69"/>
  <c r="BH73" i="69" s="1"/>
  <c r="BG66" i="69"/>
  <c r="BG73" i="69" s="1"/>
  <c r="BF66" i="69"/>
  <c r="BF73" i="69" s="1"/>
  <c r="BE66" i="69"/>
  <c r="BE73" i="69" s="1"/>
  <c r="BD66" i="69"/>
  <c r="BD73" i="69" s="1"/>
  <c r="BC66" i="69"/>
  <c r="BC73" i="69" s="1"/>
  <c r="BB66" i="69"/>
  <c r="BB73" i="69" s="1"/>
  <c r="BA66" i="69"/>
  <c r="AZ66" i="69"/>
  <c r="AZ73" i="69" s="1"/>
  <c r="AI66" i="69"/>
  <c r="AH66" i="69"/>
  <c r="AG65" i="69"/>
  <c r="AF65" i="69"/>
  <c r="AE65" i="69"/>
  <c r="BI17" i="69" s="1"/>
  <c r="AD65" i="69"/>
  <c r="AC65" i="69"/>
  <c r="AB65" i="69"/>
  <c r="X65" i="69"/>
  <c r="BE17" i="69" s="1"/>
  <c r="BB17" i="69"/>
  <c r="BA17" i="69"/>
  <c r="R65" i="69"/>
  <c r="AZ17" i="69" s="1"/>
  <c r="AX17" i="69"/>
  <c r="O65" i="69"/>
  <c r="AW17" i="69" s="1"/>
  <c r="N65" i="69"/>
  <c r="L65" i="69"/>
  <c r="K65" i="69"/>
  <c r="J65" i="69"/>
  <c r="I65" i="69"/>
  <c r="AS17" i="69" s="1"/>
  <c r="H65" i="69"/>
  <c r="G65" i="69"/>
  <c r="AR17" i="69" s="1"/>
  <c r="F65" i="69"/>
  <c r="E65" i="69"/>
  <c r="AP17" i="69" s="1"/>
  <c r="D65" i="69"/>
  <c r="AO17" i="69" s="1"/>
  <c r="C65" i="69"/>
  <c r="B65" i="69"/>
  <c r="AI64" i="69"/>
  <c r="AH64" i="69"/>
  <c r="AI63" i="69"/>
  <c r="AH63" i="69"/>
  <c r="AI62" i="69"/>
  <c r="AH62" i="69"/>
  <c r="AG61" i="69"/>
  <c r="AG2" i="69" s="1"/>
  <c r="AF61" i="69"/>
  <c r="BJ16" i="69" s="1"/>
  <c r="AE61" i="69"/>
  <c r="AD61" i="69"/>
  <c r="BH16" i="69" s="1"/>
  <c r="AC61" i="69"/>
  <c r="AB61" i="69"/>
  <c r="Y7" i="69"/>
  <c r="X61" i="69"/>
  <c r="BE16" i="69" s="1"/>
  <c r="R61" i="69"/>
  <c r="AZ16" i="69" s="1"/>
  <c r="P61" i="69"/>
  <c r="AX16" i="69" s="1"/>
  <c r="O61" i="69"/>
  <c r="AW16" i="69" s="1"/>
  <c r="N61" i="69"/>
  <c r="AV16" i="69" s="1"/>
  <c r="L61" i="69"/>
  <c r="K61" i="69"/>
  <c r="K100" i="69" s="1"/>
  <c r="K102" i="69" s="1"/>
  <c r="J61" i="69"/>
  <c r="I61" i="69"/>
  <c r="H61" i="69"/>
  <c r="F61" i="69"/>
  <c r="AQ16" i="69" s="1"/>
  <c r="E61" i="69"/>
  <c r="AP16" i="69" s="1"/>
  <c r="D61" i="69"/>
  <c r="AO16" i="69" s="1"/>
  <c r="C61" i="69"/>
  <c r="AI60" i="69"/>
  <c r="AH60" i="69"/>
  <c r="AI59" i="69"/>
  <c r="AH59" i="69"/>
  <c r="AI58" i="69"/>
  <c r="AH58" i="69"/>
  <c r="AI57" i="69"/>
  <c r="AH57" i="69"/>
  <c r="AI56" i="69"/>
  <c r="AH56" i="69"/>
  <c r="AI55" i="69"/>
  <c r="AH55" i="69"/>
  <c r="AI54" i="69"/>
  <c r="AH54" i="69"/>
  <c r="AI53" i="69"/>
  <c r="AH53" i="69"/>
  <c r="AI52" i="69"/>
  <c r="AH52" i="69"/>
  <c r="AI51" i="69"/>
  <c r="AH51" i="69"/>
  <c r="AI50" i="69"/>
  <c r="AH50" i="69"/>
  <c r="AI49" i="69"/>
  <c r="AH49" i="69"/>
  <c r="AI48" i="69"/>
  <c r="AH48" i="69"/>
  <c r="AI47" i="69"/>
  <c r="AH47" i="69"/>
  <c r="AI46" i="69"/>
  <c r="AH46" i="69"/>
  <c r="AI45" i="69"/>
  <c r="AH45" i="69"/>
  <c r="AI44" i="69"/>
  <c r="AH44" i="69"/>
  <c r="AI43" i="69"/>
  <c r="AH43" i="69"/>
  <c r="AI42" i="69"/>
  <c r="AH42" i="69"/>
  <c r="AI41" i="69"/>
  <c r="AH41" i="69"/>
  <c r="AI40" i="69"/>
  <c r="AH40" i="69"/>
  <c r="AI39" i="69"/>
  <c r="AH39" i="69"/>
  <c r="AI38" i="69"/>
  <c r="AH38" i="69"/>
  <c r="AI37" i="69"/>
  <c r="AH37" i="69"/>
  <c r="AI36" i="69"/>
  <c r="AH36" i="69"/>
  <c r="AI35" i="69"/>
  <c r="AH35" i="69"/>
  <c r="AI34" i="69"/>
  <c r="AH34" i="69"/>
  <c r="AI33" i="69"/>
  <c r="AH33" i="69"/>
  <c r="AI32" i="69"/>
  <c r="AH32" i="69"/>
  <c r="AI31" i="69"/>
  <c r="AH31" i="69"/>
  <c r="AI30" i="69"/>
  <c r="AH30" i="69"/>
  <c r="AI29" i="69"/>
  <c r="AH29" i="69"/>
  <c r="AI28" i="69"/>
  <c r="AH28" i="69"/>
  <c r="AI27" i="69"/>
  <c r="AH27" i="69"/>
  <c r="AI26" i="69"/>
  <c r="AH26" i="69"/>
  <c r="AI25" i="69"/>
  <c r="AH25" i="69"/>
  <c r="AI24" i="69"/>
  <c r="AH24" i="69"/>
  <c r="AI23" i="69"/>
  <c r="AH23" i="69"/>
  <c r="AI22" i="69"/>
  <c r="AH22" i="69"/>
  <c r="BJ21" i="69"/>
  <c r="BI21" i="69"/>
  <c r="BH21" i="69"/>
  <c r="BG21" i="69"/>
  <c r="BF21" i="69"/>
  <c r="BE21" i="69"/>
  <c r="BD21" i="69"/>
  <c r="BC21" i="69"/>
  <c r="BB21" i="69"/>
  <c r="BA21" i="69"/>
  <c r="AZ21" i="69"/>
  <c r="AY21" i="69"/>
  <c r="AX21" i="69"/>
  <c r="AW21" i="69"/>
  <c r="AV21" i="69"/>
  <c r="AU21" i="69"/>
  <c r="AT21" i="69"/>
  <c r="AS21" i="69"/>
  <c r="AR21" i="69"/>
  <c r="AQ21" i="69"/>
  <c r="AP21" i="69"/>
  <c r="AO21" i="69"/>
  <c r="AN21" i="69"/>
  <c r="AM21" i="69"/>
  <c r="AI21" i="69"/>
  <c r="AH21" i="69"/>
  <c r="BJ20" i="69"/>
  <c r="BI20" i="69"/>
  <c r="BH20" i="69"/>
  <c r="BG20" i="69"/>
  <c r="BF20" i="69"/>
  <c r="BE20" i="69"/>
  <c r="BD20" i="69"/>
  <c r="BC20" i="69"/>
  <c r="BB20" i="69"/>
  <c r="BA20" i="69"/>
  <c r="AZ20" i="69"/>
  <c r="AX20" i="69"/>
  <c r="AW20" i="69"/>
  <c r="AV20" i="69"/>
  <c r="AU20" i="69"/>
  <c r="AT20" i="69"/>
  <c r="AS20" i="69"/>
  <c r="AQ20" i="69"/>
  <c r="AP20" i="69"/>
  <c r="AN20" i="69"/>
  <c r="AI20" i="69"/>
  <c r="AH20" i="69"/>
  <c r="BF19" i="69"/>
  <c r="BD19" i="69"/>
  <c r="BC19" i="69"/>
  <c r="BB19" i="69"/>
  <c r="BA19" i="69"/>
  <c r="AU19" i="69"/>
  <c r="AN19" i="69"/>
  <c r="AI19" i="69"/>
  <c r="AH19" i="69"/>
  <c r="BI18" i="69"/>
  <c r="BG18" i="69"/>
  <c r="BF18" i="69"/>
  <c r="BE18" i="69"/>
  <c r="BB18" i="69"/>
  <c r="BA18" i="69"/>
  <c r="AZ18" i="69"/>
  <c r="AX18" i="69"/>
  <c r="AV18" i="69"/>
  <c r="AO18" i="69"/>
  <c r="AI18" i="69"/>
  <c r="AH18" i="69"/>
  <c r="BJ17" i="69"/>
  <c r="BH17" i="69"/>
  <c r="BG17" i="69"/>
  <c r="BF17" i="69"/>
  <c r="BD17" i="69"/>
  <c r="BC17" i="69"/>
  <c r="AY17" i="69"/>
  <c r="AV17" i="69"/>
  <c r="AU17" i="69"/>
  <c r="AT17" i="69"/>
  <c r="AQ17" i="69"/>
  <c r="AN17" i="69"/>
  <c r="AM17" i="69"/>
  <c r="AI17" i="69"/>
  <c r="AH17" i="69"/>
  <c r="BF16" i="69"/>
  <c r="BD16" i="69"/>
  <c r="BB16" i="69"/>
  <c r="BA16" i="69"/>
  <c r="AM16" i="69"/>
  <c r="AI16" i="69"/>
  <c r="AH16" i="69"/>
  <c r="AI15" i="69"/>
  <c r="AH15" i="69"/>
  <c r="AI14" i="69"/>
  <c r="AH14" i="69"/>
  <c r="AI13" i="69"/>
  <c r="AH13" i="69"/>
  <c r="AL12" i="69"/>
  <c r="AI12" i="69"/>
  <c r="AH12" i="69"/>
  <c r="AI11" i="69"/>
  <c r="AH11" i="69"/>
  <c r="Z5" i="69"/>
  <c r="Y5" i="69"/>
  <c r="X5" i="69"/>
  <c r="V5" i="69"/>
  <c r="U5" i="69"/>
  <c r="T5" i="69"/>
  <c r="R5" i="69"/>
  <c r="L5" i="69"/>
  <c r="J5" i="69"/>
  <c r="B5" i="69"/>
  <c r="AG4" i="69"/>
  <c r="K4" i="69"/>
  <c r="E4" i="69"/>
  <c r="H4" i="69" s="1"/>
  <c r="B4" i="69"/>
  <c r="D261" i="69" s="1"/>
  <c r="AA124" i="68"/>
  <c r="AA60" i="68"/>
  <c r="Z124" i="68"/>
  <c r="Z60" i="68"/>
  <c r="Y124" i="68"/>
  <c r="Y60" i="68"/>
  <c r="X124" i="68"/>
  <c r="X60" i="68"/>
  <c r="W124" i="68"/>
  <c r="V124" i="68"/>
  <c r="V60" i="68"/>
  <c r="W60" i="68"/>
  <c r="V61" i="68"/>
  <c r="W61" i="68"/>
  <c r="V65" i="68"/>
  <c r="W65" i="68"/>
  <c r="U124" i="68"/>
  <c r="U60" i="68"/>
  <c r="BJ19" i="69" l="1"/>
  <c r="BJ22" i="69"/>
  <c r="AE110" i="69"/>
  <c r="BI23" i="69" s="1"/>
  <c r="AD5" i="69"/>
  <c r="AC5" i="69"/>
  <c r="AD110" i="69"/>
  <c r="AC110" i="69"/>
  <c r="BH22" i="69"/>
  <c r="BH24" i="69" s="1"/>
  <c r="BF22" i="69"/>
  <c r="BE19" i="69"/>
  <c r="BE22" i="69"/>
  <c r="BB22" i="69"/>
  <c r="BA22" i="69"/>
  <c r="Q5" i="69"/>
  <c r="AZ22" i="69"/>
  <c r="R100" i="69"/>
  <c r="R102" i="69" s="1"/>
  <c r="P5" i="69"/>
  <c r="Q110" i="69"/>
  <c r="AY23" i="69" s="1"/>
  <c r="P110" i="69"/>
  <c r="AX23" i="69" s="1"/>
  <c r="AX19" i="69"/>
  <c r="O110" i="69"/>
  <c r="AW23" i="69" s="1"/>
  <c r="AW19" i="69"/>
  <c r="AW22" i="69"/>
  <c r="AW24" i="69" s="1"/>
  <c r="AV19" i="69"/>
  <c r="AV22" i="69" s="1"/>
  <c r="N100" i="69"/>
  <c r="N102" i="69" s="1"/>
  <c r="M110" i="69"/>
  <c r="AU23" i="69" s="1"/>
  <c r="AH109" i="69"/>
  <c r="J100" i="69"/>
  <c r="J102" i="69" s="1"/>
  <c r="H5" i="69"/>
  <c r="I110" i="69"/>
  <c r="AS23" i="69" s="1"/>
  <c r="I100" i="69"/>
  <c r="I102" i="69" s="1"/>
  <c r="G5" i="69"/>
  <c r="F110" i="69"/>
  <c r="AQ23" i="69" s="1"/>
  <c r="AQ19" i="69"/>
  <c r="F100" i="69"/>
  <c r="F102" i="69" s="1"/>
  <c r="F103" i="69" s="1"/>
  <c r="F7" i="69" s="1"/>
  <c r="AQ22" i="69"/>
  <c r="AQ24" i="69" s="1"/>
  <c r="AI65" i="69"/>
  <c r="AM19" i="69"/>
  <c r="M111" i="69"/>
  <c r="AC111" i="69"/>
  <c r="AR19" i="69"/>
  <c r="AR22" i="69" s="1"/>
  <c r="G110" i="69"/>
  <c r="AR23" i="69" s="1"/>
  <c r="AI83" i="69"/>
  <c r="AH61" i="69"/>
  <c r="AI61" i="69"/>
  <c r="AD111" i="69"/>
  <c r="BH23" i="69"/>
  <c r="AX22" i="69"/>
  <c r="AX24" i="69" s="1"/>
  <c r="AG6" i="69"/>
  <c r="E111" i="69"/>
  <c r="M100" i="69"/>
  <c r="M102" i="69" s="1"/>
  <c r="M103" i="69" s="1"/>
  <c r="M7" i="69" s="1"/>
  <c r="AS16" i="69"/>
  <c r="AS22" i="69" s="1"/>
  <c r="AS24" i="69" s="1"/>
  <c r="BD18" i="69"/>
  <c r="BD22" i="69" s="1"/>
  <c r="L100" i="69"/>
  <c r="L102" i="69" s="1"/>
  <c r="AB100" i="69"/>
  <c r="AB102" i="69" s="1"/>
  <c r="BG16" i="69"/>
  <c r="BG22" i="69" s="1"/>
  <c r="F111" i="69"/>
  <c r="AI106" i="69"/>
  <c r="AH107" i="69"/>
  <c r="E100" i="69"/>
  <c r="E102" i="69" s="1"/>
  <c r="E103" i="69" s="1"/>
  <c r="E7" i="69" s="1"/>
  <c r="AU22" i="69"/>
  <c r="AU24" i="69" s="1"/>
  <c r="U7" i="69"/>
  <c r="BC16" i="69"/>
  <c r="BC22" i="69" s="1"/>
  <c r="BC24" i="69" s="1"/>
  <c r="AC100" i="69"/>
  <c r="AC102" i="69" s="1"/>
  <c r="AC103" i="69" s="1"/>
  <c r="AC7" i="69" s="1"/>
  <c r="BG82" i="69" a="1"/>
  <c r="AZ74" i="69"/>
  <c r="AD100" i="69"/>
  <c r="AD102" i="69" s="1"/>
  <c r="AD103" i="69" s="1"/>
  <c r="AD7" i="69" s="1"/>
  <c r="P111" i="69"/>
  <c r="AI104" i="69"/>
  <c r="AM22" i="69"/>
  <c r="G100" i="69"/>
  <c r="G102" i="69" s="1"/>
  <c r="AG102" i="69"/>
  <c r="AT16" i="69"/>
  <c r="AT22" i="69" s="1"/>
  <c r="AL13" i="69"/>
  <c r="AN16" i="69"/>
  <c r="AN22" i="69" s="1"/>
  <c r="AP19" i="69"/>
  <c r="AP22" i="69" s="1"/>
  <c r="AP24" i="69" s="1"/>
  <c r="O100" i="69"/>
  <c r="O102" i="69" s="1"/>
  <c r="O103" i="69" s="1"/>
  <c r="O7" i="69" s="1"/>
  <c r="W7" i="69"/>
  <c r="AE100" i="69"/>
  <c r="AE102" i="69" s="1"/>
  <c r="AE103" i="69" s="1"/>
  <c r="AE7" i="69" s="1"/>
  <c r="AB5" i="69"/>
  <c r="BI16" i="69"/>
  <c r="BI22" i="69" s="1"/>
  <c r="BI24" i="69" s="1"/>
  <c r="H100" i="69"/>
  <c r="H102" i="69" s="1"/>
  <c r="H103" i="69" s="1"/>
  <c r="H7" i="69" s="1"/>
  <c r="P100" i="69"/>
  <c r="P102" i="69" s="1"/>
  <c r="P103" i="69" s="1"/>
  <c r="P7" i="69" s="1"/>
  <c r="X100" i="69"/>
  <c r="X102" i="69" s="1"/>
  <c r="AF100" i="69"/>
  <c r="AF102" i="69" s="1"/>
  <c r="AI109" i="69"/>
  <c r="Q100" i="69"/>
  <c r="Q102" i="69" s="1"/>
  <c r="Q103" i="69" s="1"/>
  <c r="Q7" i="69" s="1"/>
  <c r="AY16" i="69"/>
  <c r="AY22" i="69" s="1"/>
  <c r="AY24" i="69" s="1"/>
  <c r="AG100" i="69"/>
  <c r="AH65" i="69"/>
  <c r="C100" i="69"/>
  <c r="C102" i="69" s="1"/>
  <c r="AO19" i="69"/>
  <c r="AO22" i="69" s="1"/>
  <c r="S5" i="69"/>
  <c r="AA5" i="69"/>
  <c r="D100" i="69"/>
  <c r="D102" i="69" s="1"/>
  <c r="N110" i="69"/>
  <c r="BD23" i="69"/>
  <c r="AH108" i="69"/>
  <c r="B100" i="69"/>
  <c r="AI108" i="69"/>
  <c r="O111" i="69"/>
  <c r="AE111" i="69"/>
  <c r="AH105" i="69"/>
  <c r="X110" i="69"/>
  <c r="BE23" i="69" s="1"/>
  <c r="BE24" i="69" s="1"/>
  <c r="AF110" i="69"/>
  <c r="BJ23" i="69" s="1"/>
  <c r="AI79" i="69"/>
  <c r="AH79" i="69"/>
  <c r="AH104" i="69"/>
  <c r="B110" i="69"/>
  <c r="B111" i="69" s="1"/>
  <c r="J110" i="69"/>
  <c r="J111" i="69" s="1"/>
  <c r="R110" i="69"/>
  <c r="AZ23" i="69" s="1"/>
  <c r="AZ24" i="69" s="1"/>
  <c r="BF23" i="69"/>
  <c r="BF24" i="69" s="1"/>
  <c r="AH106" i="69"/>
  <c r="D255" i="69"/>
  <c r="E250" i="69"/>
  <c r="I111" i="69"/>
  <c r="Q111" i="69"/>
  <c r="C110" i="69"/>
  <c r="K110" i="69"/>
  <c r="S7" i="69"/>
  <c r="G249" i="69"/>
  <c r="D121" i="69"/>
  <c r="E254" i="69"/>
  <c r="D110" i="69"/>
  <c r="AO23" i="69" s="1"/>
  <c r="L110" i="69"/>
  <c r="L111" i="69" s="1"/>
  <c r="BB23" i="69"/>
  <c r="BB24" i="69" s="1"/>
  <c r="AB110" i="69"/>
  <c r="BG23" i="69" s="1"/>
  <c r="AH83" i="69"/>
  <c r="AH95" i="69"/>
  <c r="AI95" i="69"/>
  <c r="T124" i="68"/>
  <c r="T65" i="68"/>
  <c r="T60" i="68"/>
  <c r="BJ24" i="69" l="1"/>
  <c r="R111" i="69"/>
  <c r="N103" i="69"/>
  <c r="N7" i="69" s="1"/>
  <c r="J103" i="69"/>
  <c r="J7" i="69" s="1"/>
  <c r="I103" i="69"/>
  <c r="I7" i="69" s="1"/>
  <c r="AR24" i="69"/>
  <c r="D111" i="69"/>
  <c r="AO24" i="69"/>
  <c r="D103" i="69"/>
  <c r="D7" i="69" s="1"/>
  <c r="G111" i="69"/>
  <c r="F254" i="69"/>
  <c r="E121" i="69"/>
  <c r="AT8" i="69"/>
  <c r="BL104" i="69"/>
  <c r="BJ103" i="69"/>
  <c r="BH102" i="69"/>
  <c r="BL100" i="69"/>
  <c r="BJ99" i="69"/>
  <c r="BH98" i="69"/>
  <c r="BL96" i="69"/>
  <c r="BJ95" i="69"/>
  <c r="BH94" i="69"/>
  <c r="BL92" i="69"/>
  <c r="BJ91" i="69"/>
  <c r="BH90" i="69"/>
  <c r="BL88" i="69"/>
  <c r="BJ87" i="69"/>
  <c r="BH86" i="69"/>
  <c r="BL84" i="69"/>
  <c r="BJ83" i="69"/>
  <c r="BH82" i="69"/>
  <c r="BK104" i="69"/>
  <c r="BI103" i="69"/>
  <c r="BG102" i="69"/>
  <c r="BK100" i="69"/>
  <c r="BI99" i="69"/>
  <c r="BG98" i="69"/>
  <c r="BK96" i="69"/>
  <c r="BI95" i="69"/>
  <c r="BG94" i="69"/>
  <c r="BK92" i="69"/>
  <c r="BI91" i="69"/>
  <c r="BG90" i="69"/>
  <c r="BK88" i="69"/>
  <c r="BI87" i="69"/>
  <c r="BG86" i="69"/>
  <c r="BK84" i="69"/>
  <c r="BI83" i="69"/>
  <c r="BG82" i="69"/>
  <c r="BK105" i="69"/>
  <c r="BG104" i="69"/>
  <c r="BI102" i="69"/>
  <c r="BI100" i="69"/>
  <c r="BK98" i="69"/>
  <c r="BG97" i="69"/>
  <c r="BG95" i="69"/>
  <c r="BI93" i="69"/>
  <c r="BK91" i="69"/>
  <c r="BK89" i="69"/>
  <c r="BG88" i="69"/>
  <c r="BI86" i="69"/>
  <c r="BI84" i="69"/>
  <c r="BK82" i="69"/>
  <c r="BI105" i="69"/>
  <c r="BK103" i="69"/>
  <c r="BK101" i="69"/>
  <c r="BG100" i="69"/>
  <c r="BI98" i="69"/>
  <c r="BI96" i="69"/>
  <c r="BK94" i="69"/>
  <c r="BG93" i="69"/>
  <c r="BG91" i="69"/>
  <c r="BI89" i="69"/>
  <c r="BK87" i="69"/>
  <c r="BK85" i="69"/>
  <c r="BG84" i="69"/>
  <c r="BI82" i="69"/>
  <c r="BH105" i="69"/>
  <c r="BH103" i="69"/>
  <c r="BJ101" i="69"/>
  <c r="BL99" i="69"/>
  <c r="BL97" i="69"/>
  <c r="BH96" i="69"/>
  <c r="BJ94" i="69"/>
  <c r="BJ92" i="69"/>
  <c r="BL90" i="69"/>
  <c r="BH89" i="69"/>
  <c r="BH87" i="69"/>
  <c r="BJ85" i="69"/>
  <c r="BL83" i="69"/>
  <c r="BG105" i="69"/>
  <c r="BG103" i="69"/>
  <c r="BI101" i="69"/>
  <c r="BK99" i="69"/>
  <c r="BK97" i="69"/>
  <c r="BG96" i="69"/>
  <c r="BI94" i="69"/>
  <c r="BI92" i="69"/>
  <c r="BK90" i="69"/>
  <c r="BG89" i="69"/>
  <c r="BG87" i="69"/>
  <c r="BI85" i="69"/>
  <c r="BK83" i="69"/>
  <c r="BL105" i="69"/>
  <c r="BH104" i="69"/>
  <c r="BJ102" i="69"/>
  <c r="BJ100" i="69"/>
  <c r="BH101" i="69"/>
  <c r="BI97" i="69"/>
  <c r="BK93" i="69"/>
  <c r="BI90" i="69"/>
  <c r="BK86" i="69"/>
  <c r="BG83" i="69"/>
  <c r="BJ105" i="69"/>
  <c r="BG101" i="69"/>
  <c r="BH97" i="69"/>
  <c r="BJ93" i="69"/>
  <c r="BL89" i="69"/>
  <c r="BJ86" i="69"/>
  <c r="BL82" i="69"/>
  <c r="BJ104" i="69"/>
  <c r="BH100" i="69"/>
  <c r="BJ96" i="69"/>
  <c r="BH93" i="69"/>
  <c r="BJ89" i="69"/>
  <c r="BL85" i="69"/>
  <c r="BJ82" i="69"/>
  <c r="BI104" i="69"/>
  <c r="BH99" i="69"/>
  <c r="BL95" i="69"/>
  <c r="BH92" i="69"/>
  <c r="BJ88" i="69"/>
  <c r="BH85" i="69"/>
  <c r="BL103" i="69"/>
  <c r="BG99" i="69"/>
  <c r="BK95" i="69"/>
  <c r="BG92" i="69"/>
  <c r="BI88" i="69"/>
  <c r="BG85" i="69"/>
  <c r="BL102" i="69"/>
  <c r="BL98" i="69"/>
  <c r="BH95" i="69"/>
  <c r="BL91" i="69"/>
  <c r="BH88" i="69"/>
  <c r="BJ84" i="69"/>
  <c r="BK102" i="69"/>
  <c r="BJ98" i="69"/>
  <c r="BL94" i="69"/>
  <c r="BH91" i="69"/>
  <c r="BL87" i="69"/>
  <c r="BH84" i="69"/>
  <c r="BL101" i="69"/>
  <c r="BJ97" i="69"/>
  <c r="BL93" i="69"/>
  <c r="BJ90" i="69"/>
  <c r="BL86" i="69"/>
  <c r="BH83" i="69"/>
  <c r="BG24" i="69"/>
  <c r="BD24" i="69"/>
  <c r="C259" i="69"/>
  <c r="B259" i="69"/>
  <c r="G103" i="69"/>
  <c r="G7" i="69" s="1"/>
  <c r="AF103" i="69"/>
  <c r="AF7" i="69" s="1"/>
  <c r="X103" i="69"/>
  <c r="X7" i="69" s="1"/>
  <c r="C103" i="69"/>
  <c r="C7" i="69" s="1"/>
  <c r="AB103" i="69"/>
  <c r="AB7" i="69" s="1"/>
  <c r="AA7" i="69"/>
  <c r="K111" i="69"/>
  <c r="AT23" i="69"/>
  <c r="AT24" i="69" s="1"/>
  <c r="N111" i="69"/>
  <c r="AV23" i="69"/>
  <c r="AV24" i="69" s="1"/>
  <c r="H249" i="69"/>
  <c r="F250" i="69"/>
  <c r="E255" i="69"/>
  <c r="AI110" i="69"/>
  <c r="AH110" i="69"/>
  <c r="AM23" i="69"/>
  <c r="AM24" i="69" s="1"/>
  <c r="R103" i="69"/>
  <c r="R7" i="69" s="1"/>
  <c r="Z7" i="69"/>
  <c r="AB111" i="69"/>
  <c r="AF111" i="69"/>
  <c r="BA23" i="69"/>
  <c r="BA24" i="69" s="1"/>
  <c r="X111" i="69"/>
  <c r="T7" i="69"/>
  <c r="K103" i="69"/>
  <c r="K7" i="69" s="1"/>
  <c r="L103" i="69"/>
  <c r="L7" i="69" s="1"/>
  <c r="C111" i="69"/>
  <c r="AN23" i="69"/>
  <c r="AN24" i="69" s="1"/>
  <c r="B102" i="69"/>
  <c r="AH100" i="69"/>
  <c r="AI100" i="69"/>
  <c r="V7" i="69"/>
  <c r="S124" i="68"/>
  <c r="S60" i="68"/>
  <c r="L61" i="68"/>
  <c r="L65" i="68"/>
  <c r="L79" i="68"/>
  <c r="L83" i="68"/>
  <c r="K60" i="68"/>
  <c r="K61" i="68"/>
  <c r="K65" i="68"/>
  <c r="K79" i="68"/>
  <c r="K83" i="68"/>
  <c r="AI111" i="69" l="1"/>
  <c r="AT9" i="69"/>
  <c r="I249" i="69"/>
  <c r="B103" i="69"/>
  <c r="AI102" i="69"/>
  <c r="AH102" i="69"/>
  <c r="K6" i="69"/>
  <c r="G254" i="69"/>
  <c r="F121" i="69"/>
  <c r="AH111" i="69"/>
  <c r="G250" i="69"/>
  <c r="F255" i="69"/>
  <c r="AI103" i="69" l="1"/>
  <c r="AH103" i="69"/>
  <c r="B7" i="69"/>
  <c r="A7" i="69" s="1"/>
  <c r="H250" i="69"/>
  <c r="G255" i="69"/>
  <c r="J249" i="69"/>
  <c r="H254" i="69"/>
  <c r="K249" i="69" l="1"/>
  <c r="I250" i="69"/>
  <c r="H255" i="69"/>
  <c r="I254" i="69"/>
  <c r="H121" i="69"/>
  <c r="J60" i="68"/>
  <c r="J61" i="68"/>
  <c r="J65" i="68"/>
  <c r="J79" i="68"/>
  <c r="J83" i="68"/>
  <c r="J254" i="69" l="1"/>
  <c r="I121" i="69"/>
  <c r="J250" i="69"/>
  <c r="I255" i="69"/>
  <c r="L249" i="69"/>
  <c r="I60" i="68"/>
  <c r="I61" i="68"/>
  <c r="I65" i="68"/>
  <c r="I79" i="68"/>
  <c r="I83" i="68"/>
  <c r="H60" i="68"/>
  <c r="H61" i="68"/>
  <c r="H65" i="68"/>
  <c r="H79" i="68"/>
  <c r="H83" i="68"/>
  <c r="F60" i="68"/>
  <c r="G60" i="68"/>
  <c r="F61" i="68"/>
  <c r="G61" i="68"/>
  <c r="F65" i="68"/>
  <c r="G65" i="68"/>
  <c r="F79" i="68"/>
  <c r="G79" i="68"/>
  <c r="F83" i="68"/>
  <c r="G83" i="68"/>
  <c r="E60" i="68"/>
  <c r="E61" i="68"/>
  <c r="E65" i="68"/>
  <c r="E79" i="68"/>
  <c r="E83" i="68"/>
  <c r="D60" i="68"/>
  <c r="D61" i="68"/>
  <c r="D65" i="68"/>
  <c r="D79" i="68"/>
  <c r="D83" i="68"/>
  <c r="D95" i="68"/>
  <c r="D104" i="68"/>
  <c r="D105" i="68"/>
  <c r="D106" i="68"/>
  <c r="D107" i="68"/>
  <c r="D108" i="68"/>
  <c r="D109" i="68"/>
  <c r="D121" i="68"/>
  <c r="M249" i="69" l="1"/>
  <c r="K250" i="69"/>
  <c r="J255" i="69"/>
  <c r="K254" i="69"/>
  <c r="J121" i="69"/>
  <c r="D110" i="68"/>
  <c r="D111" i="68" s="1"/>
  <c r="D100" i="68"/>
  <c r="D102" i="68" s="1"/>
  <c r="C60" i="68"/>
  <c r="AI60" i="68" s="1"/>
  <c r="C61" i="68"/>
  <c r="C65" i="68"/>
  <c r="AN17" i="68" s="1"/>
  <c r="C79" i="68"/>
  <c r="C83" i="68"/>
  <c r="C95" i="68"/>
  <c r="C100" i="68" s="1"/>
  <c r="C102" i="68" s="1"/>
  <c r="C103" i="68" s="1"/>
  <c r="C7" i="68" s="1"/>
  <c r="C104" i="68"/>
  <c r="C105" i="68"/>
  <c r="C106" i="68"/>
  <c r="C107" i="68"/>
  <c r="C108" i="68"/>
  <c r="C109" i="68"/>
  <c r="C110" i="68"/>
  <c r="C121" i="68"/>
  <c r="B121" i="68"/>
  <c r="B109" i="68"/>
  <c r="B108" i="68"/>
  <c r="B107" i="68"/>
  <c r="B106" i="68"/>
  <c r="B105" i="68"/>
  <c r="B104" i="68"/>
  <c r="B110" i="68" s="1"/>
  <c r="B95" i="68"/>
  <c r="B83" i="68"/>
  <c r="B79" i="68"/>
  <c r="AM18" i="68" s="1"/>
  <c r="B65" i="68"/>
  <c r="B61" i="68"/>
  <c r="B60" i="68"/>
  <c r="AH85" i="68"/>
  <c r="AI81" i="68"/>
  <c r="AG255" i="68"/>
  <c r="C255" i="68"/>
  <c r="D254" i="68"/>
  <c r="E254" i="68" s="1"/>
  <c r="F254" i="68" s="1"/>
  <c r="G254" i="68" s="1"/>
  <c r="H254" i="68" s="1"/>
  <c r="I254" i="68" s="1"/>
  <c r="J254" i="68" s="1"/>
  <c r="K254" i="68" s="1"/>
  <c r="L254" i="68" s="1"/>
  <c r="M254" i="68" s="1"/>
  <c r="N254" i="68" s="1"/>
  <c r="O254" i="68" s="1"/>
  <c r="P254" i="68" s="1"/>
  <c r="Q254" i="68" s="1"/>
  <c r="R254" i="68" s="1"/>
  <c r="S254" i="68" s="1"/>
  <c r="T254" i="68" s="1"/>
  <c r="U254" i="68" s="1"/>
  <c r="V254" i="68" s="1"/>
  <c r="W254" i="68" s="1"/>
  <c r="X254" i="68" s="1"/>
  <c r="Y254" i="68" s="1"/>
  <c r="Z254" i="68" s="1"/>
  <c r="AA254" i="68" s="1"/>
  <c r="AB254" i="68" s="1"/>
  <c r="AC254" i="68" s="1"/>
  <c r="AD254" i="68" s="1"/>
  <c r="AE254" i="68" s="1"/>
  <c r="AF254" i="68" s="1"/>
  <c r="B254" i="68" s="1"/>
  <c r="E253" i="68"/>
  <c r="F253" i="68" s="1"/>
  <c r="G253" i="68" s="1"/>
  <c r="H253" i="68" s="1"/>
  <c r="I253" i="68" s="1"/>
  <c r="J253" i="68" s="1"/>
  <c r="K253" i="68" s="1"/>
  <c r="L253" i="68" s="1"/>
  <c r="M253" i="68" s="1"/>
  <c r="N253" i="68" s="1"/>
  <c r="O253" i="68" s="1"/>
  <c r="P253" i="68" s="1"/>
  <c r="Q253" i="68" s="1"/>
  <c r="R253" i="68" s="1"/>
  <c r="S253" i="68" s="1"/>
  <c r="T253" i="68" s="1"/>
  <c r="U253" i="68" s="1"/>
  <c r="V253" i="68" s="1"/>
  <c r="W253" i="68" s="1"/>
  <c r="X253" i="68" s="1"/>
  <c r="Y253" i="68" s="1"/>
  <c r="Z253" i="68" s="1"/>
  <c r="AA253" i="68" s="1"/>
  <c r="AB253" i="68" s="1"/>
  <c r="AC253" i="68" s="1"/>
  <c r="AD253" i="68" s="1"/>
  <c r="AE253" i="68" s="1"/>
  <c r="AF253" i="68" s="1"/>
  <c r="B253" i="68" s="1"/>
  <c r="D253" i="68"/>
  <c r="D252" i="68"/>
  <c r="E252" i="68" s="1"/>
  <c r="F252" i="68" s="1"/>
  <c r="G252" i="68" s="1"/>
  <c r="H252" i="68" s="1"/>
  <c r="I252" i="68" s="1"/>
  <c r="J252" i="68" s="1"/>
  <c r="K252" i="68" s="1"/>
  <c r="L252" i="68" s="1"/>
  <c r="M252" i="68" s="1"/>
  <c r="N252" i="68" s="1"/>
  <c r="O252" i="68" s="1"/>
  <c r="P252" i="68" s="1"/>
  <c r="Q252" i="68" s="1"/>
  <c r="R252" i="68" s="1"/>
  <c r="S252" i="68" s="1"/>
  <c r="T252" i="68" s="1"/>
  <c r="U252" i="68" s="1"/>
  <c r="V252" i="68" s="1"/>
  <c r="W252" i="68" s="1"/>
  <c r="X252" i="68" s="1"/>
  <c r="Y252" i="68" s="1"/>
  <c r="Z252" i="68" s="1"/>
  <c r="AA252" i="68" s="1"/>
  <c r="AB252" i="68" s="1"/>
  <c r="AC252" i="68" s="1"/>
  <c r="AD252" i="68" s="1"/>
  <c r="AE252" i="68" s="1"/>
  <c r="AF252" i="68" s="1"/>
  <c r="B252" i="68" s="1"/>
  <c r="F251" i="68"/>
  <c r="G251" i="68" s="1"/>
  <c r="H251" i="68" s="1"/>
  <c r="I251" i="68" s="1"/>
  <c r="J251" i="68" s="1"/>
  <c r="K251" i="68" s="1"/>
  <c r="L251" i="68" s="1"/>
  <c r="M251" i="68" s="1"/>
  <c r="N251" i="68" s="1"/>
  <c r="O251" i="68" s="1"/>
  <c r="P251" i="68" s="1"/>
  <c r="Q251" i="68" s="1"/>
  <c r="R251" i="68" s="1"/>
  <c r="S251" i="68" s="1"/>
  <c r="T251" i="68" s="1"/>
  <c r="U251" i="68" s="1"/>
  <c r="V251" i="68" s="1"/>
  <c r="W251" i="68" s="1"/>
  <c r="X251" i="68" s="1"/>
  <c r="Y251" i="68" s="1"/>
  <c r="Z251" i="68" s="1"/>
  <c r="AA251" i="68" s="1"/>
  <c r="AB251" i="68" s="1"/>
  <c r="AC251" i="68" s="1"/>
  <c r="AD251" i="68" s="1"/>
  <c r="AE251" i="68" s="1"/>
  <c r="AF251" i="68" s="1"/>
  <c r="B251" i="68" s="1"/>
  <c r="E251" i="68"/>
  <c r="D251" i="68"/>
  <c r="D250" i="68"/>
  <c r="E250" i="68" s="1"/>
  <c r="F250" i="68" s="1"/>
  <c r="G250" i="68" s="1"/>
  <c r="H250" i="68" s="1"/>
  <c r="I250" i="68" s="1"/>
  <c r="J250" i="68" s="1"/>
  <c r="K250" i="68" s="1"/>
  <c r="L250" i="68" s="1"/>
  <c r="M250" i="68" s="1"/>
  <c r="N250" i="68" s="1"/>
  <c r="O250" i="68" s="1"/>
  <c r="P250" i="68" s="1"/>
  <c r="Q250" i="68" s="1"/>
  <c r="R250" i="68" s="1"/>
  <c r="S250" i="68" s="1"/>
  <c r="T250" i="68" s="1"/>
  <c r="U250" i="68" s="1"/>
  <c r="V250" i="68" s="1"/>
  <c r="W250" i="68" s="1"/>
  <c r="X250" i="68" s="1"/>
  <c r="Y250" i="68" s="1"/>
  <c r="Z250" i="68" s="1"/>
  <c r="AA250" i="68" s="1"/>
  <c r="AB250" i="68" s="1"/>
  <c r="AC250" i="68" s="1"/>
  <c r="AD250" i="68" s="1"/>
  <c r="AE250" i="68" s="1"/>
  <c r="AF250" i="68" s="1"/>
  <c r="B250" i="68" s="1"/>
  <c r="E249" i="68"/>
  <c r="D249" i="68"/>
  <c r="AG247" i="68"/>
  <c r="AF247" i="68"/>
  <c r="AE247" i="68"/>
  <c r="AD247" i="68"/>
  <c r="AC247" i="68"/>
  <c r="AB247" i="68"/>
  <c r="AA247" i="68"/>
  <c r="Z247" i="68"/>
  <c r="Y247" i="68"/>
  <c r="X247" i="68"/>
  <c r="W247" i="68"/>
  <c r="V247" i="68"/>
  <c r="U247" i="68"/>
  <c r="T247" i="68"/>
  <c r="S247" i="68"/>
  <c r="R247" i="68"/>
  <c r="Q247" i="68"/>
  <c r="P247" i="68"/>
  <c r="O247" i="68"/>
  <c r="N247" i="68"/>
  <c r="M247" i="68"/>
  <c r="L247" i="68"/>
  <c r="K247" i="68"/>
  <c r="J247" i="68"/>
  <c r="I247" i="68"/>
  <c r="H247" i="68"/>
  <c r="G247" i="68"/>
  <c r="F247" i="68"/>
  <c r="E247" i="68"/>
  <c r="D247" i="68"/>
  <c r="C247" i="68"/>
  <c r="B247" i="68"/>
  <c r="AI133" i="68"/>
  <c r="AH133" i="68"/>
  <c r="AI132" i="68"/>
  <c r="AH132" i="68"/>
  <c r="AI131" i="68"/>
  <c r="AH131" i="68"/>
  <c r="AI130" i="68"/>
  <c r="AH130" i="68"/>
  <c r="AI129" i="68"/>
  <c r="AH129" i="68"/>
  <c r="AI126" i="68"/>
  <c r="AH126" i="68"/>
  <c r="AI125" i="68"/>
  <c r="AH125" i="68"/>
  <c r="AI124" i="68"/>
  <c r="AH124" i="68"/>
  <c r="AI123" i="68"/>
  <c r="AH123" i="68"/>
  <c r="AI122" i="68"/>
  <c r="AH122" i="68"/>
  <c r="Z121" i="68"/>
  <c r="Y121" i="68"/>
  <c r="AI120" i="68"/>
  <c r="AH120" i="68"/>
  <c r="AI119" i="68"/>
  <c r="AH119" i="68"/>
  <c r="AI118" i="68"/>
  <c r="AH118" i="68"/>
  <c r="AI117" i="68"/>
  <c r="AH117" i="68"/>
  <c r="AI116" i="68"/>
  <c r="AH116" i="68"/>
  <c r="AI115" i="68"/>
  <c r="AH115" i="68"/>
  <c r="AI114" i="68"/>
  <c r="AH114" i="68"/>
  <c r="AB110" i="68"/>
  <c r="AF109" i="68"/>
  <c r="AE109" i="68"/>
  <c r="AD109" i="68"/>
  <c r="AC109" i="68"/>
  <c r="AC110" i="68" s="1"/>
  <c r="AB109" i="68"/>
  <c r="AA109" i="68"/>
  <c r="Z109" i="68"/>
  <c r="Y109" i="68"/>
  <c r="X109" i="68"/>
  <c r="W109" i="68"/>
  <c r="V109" i="68"/>
  <c r="U109" i="68"/>
  <c r="U110" i="68" s="1"/>
  <c r="BC23" i="68" s="1"/>
  <c r="T109" i="68"/>
  <c r="S109" i="68"/>
  <c r="R109" i="68"/>
  <c r="Q109" i="68"/>
  <c r="P109" i="68"/>
  <c r="O109" i="68"/>
  <c r="N109" i="68"/>
  <c r="M109" i="68"/>
  <c r="L109" i="68"/>
  <c r="K109" i="68"/>
  <c r="J109" i="68"/>
  <c r="I109" i="68"/>
  <c r="H109" i="68"/>
  <c r="G109" i="68"/>
  <c r="F109" i="68"/>
  <c r="E109" i="68"/>
  <c r="AF108" i="68"/>
  <c r="AE108" i="68"/>
  <c r="AD108" i="68"/>
  <c r="AC108" i="68"/>
  <c r="AB108" i="68"/>
  <c r="AA108" i="68"/>
  <c r="Z108" i="68"/>
  <c r="Y108" i="68"/>
  <c r="X108" i="68"/>
  <c r="W108" i="68"/>
  <c r="V108" i="68"/>
  <c r="U108" i="68"/>
  <c r="T108" i="68"/>
  <c r="S108" i="68"/>
  <c r="R108" i="68"/>
  <c r="Q108" i="68"/>
  <c r="P108" i="68"/>
  <c r="O108" i="68"/>
  <c r="N108" i="68"/>
  <c r="M108" i="68"/>
  <c r="L108" i="68"/>
  <c r="K108" i="68"/>
  <c r="J108" i="68"/>
  <c r="I108" i="68"/>
  <c r="H108" i="68"/>
  <c r="G108" i="68"/>
  <c r="F108" i="68"/>
  <c r="E108" i="68"/>
  <c r="AF107" i="68"/>
  <c r="AE107" i="68"/>
  <c r="AD107" i="68"/>
  <c r="AC107" i="68"/>
  <c r="AB107" i="68"/>
  <c r="AA107" i="68"/>
  <c r="Z107" i="68"/>
  <c r="Y107" i="68"/>
  <c r="X107" i="68"/>
  <c r="W107" i="68"/>
  <c r="V107" i="68"/>
  <c r="U107" i="68"/>
  <c r="T107" i="68"/>
  <c r="S107" i="68"/>
  <c r="R107" i="68"/>
  <c r="Q107" i="68"/>
  <c r="P107" i="68"/>
  <c r="O107" i="68"/>
  <c r="N107" i="68"/>
  <c r="M107" i="68"/>
  <c r="L107" i="68"/>
  <c r="K107" i="68"/>
  <c r="J107" i="68"/>
  <c r="I107" i="68"/>
  <c r="H107" i="68"/>
  <c r="G107" i="68"/>
  <c r="F107" i="68"/>
  <c r="E107" i="68"/>
  <c r="AF106" i="68"/>
  <c r="AE106" i="68"/>
  <c r="AD106" i="68"/>
  <c r="AC106" i="68"/>
  <c r="AB106" i="68"/>
  <c r="AA106" i="68"/>
  <c r="Z106" i="68"/>
  <c r="Y106" i="68"/>
  <c r="X106" i="68"/>
  <c r="W106" i="68"/>
  <c r="V106" i="68"/>
  <c r="U106" i="68"/>
  <c r="T106" i="68"/>
  <c r="S106" i="68"/>
  <c r="R106" i="68"/>
  <c r="Q106" i="68"/>
  <c r="P106" i="68"/>
  <c r="O106" i="68"/>
  <c r="N106" i="68"/>
  <c r="M106" i="68"/>
  <c r="L106" i="68"/>
  <c r="K106" i="68"/>
  <c r="J106" i="68"/>
  <c r="I106" i="68"/>
  <c r="H106" i="68"/>
  <c r="G106" i="68"/>
  <c r="F106" i="68"/>
  <c r="E106" i="68"/>
  <c r="AF105" i="68"/>
  <c r="AE105" i="68"/>
  <c r="AD105" i="68"/>
  <c r="AC105" i="68"/>
  <c r="AB105" i="68"/>
  <c r="AA105" i="68"/>
  <c r="Z105" i="68"/>
  <c r="Y105" i="68"/>
  <c r="X105" i="68"/>
  <c r="W105" i="68"/>
  <c r="V105" i="68"/>
  <c r="U105" i="68"/>
  <c r="T105" i="68"/>
  <c r="S105" i="68"/>
  <c r="R105" i="68"/>
  <c r="Q105" i="68"/>
  <c r="Q110" i="68" s="1"/>
  <c r="AY23" i="68" s="1"/>
  <c r="P105" i="68"/>
  <c r="O105" i="68"/>
  <c r="N105" i="68"/>
  <c r="M105" i="68"/>
  <c r="L105" i="68"/>
  <c r="K105" i="68"/>
  <c r="J105" i="68"/>
  <c r="I105" i="68"/>
  <c r="I110" i="68" s="1"/>
  <c r="AS23" i="68" s="1"/>
  <c r="H105" i="68"/>
  <c r="G105" i="68"/>
  <c r="F105" i="68"/>
  <c r="E105" i="68"/>
  <c r="AF104" i="68"/>
  <c r="AF110" i="68" s="1"/>
  <c r="AE104" i="68"/>
  <c r="AE110" i="68" s="1"/>
  <c r="BI23" i="68" s="1"/>
  <c r="AD104" i="68"/>
  <c r="AC104" i="68"/>
  <c r="AB104" i="68"/>
  <c r="AA104" i="68"/>
  <c r="AA110" i="68" s="1"/>
  <c r="Z104" i="68"/>
  <c r="Z110" i="68" s="1"/>
  <c r="BF23" i="68" s="1"/>
  <c r="Y104" i="68"/>
  <c r="X104" i="68"/>
  <c r="X110" i="68" s="1"/>
  <c r="BE23" i="68" s="1"/>
  <c r="W104" i="68"/>
  <c r="V104" i="68"/>
  <c r="U104" i="68"/>
  <c r="T104" i="68"/>
  <c r="T110" i="68" s="1"/>
  <c r="BB23" i="68" s="1"/>
  <c r="S104" i="68"/>
  <c r="R104" i="68"/>
  <c r="R110" i="68" s="1"/>
  <c r="AZ23" i="68" s="1"/>
  <c r="Q104" i="68"/>
  <c r="P104" i="68"/>
  <c r="P110" i="68" s="1"/>
  <c r="O104" i="68"/>
  <c r="O110" i="68" s="1"/>
  <c r="AW23" i="68" s="1"/>
  <c r="N104" i="68"/>
  <c r="M104" i="68"/>
  <c r="L104" i="68"/>
  <c r="L110" i="68" s="1"/>
  <c r="K104" i="68"/>
  <c r="K110" i="68" s="1"/>
  <c r="K111" i="68" s="1"/>
  <c r="J104" i="68"/>
  <c r="I104" i="68"/>
  <c r="H104" i="68"/>
  <c r="G104" i="68"/>
  <c r="F104" i="68"/>
  <c r="E104" i="68"/>
  <c r="AI101" i="68"/>
  <c r="AH101" i="68"/>
  <c r="AI99" i="68"/>
  <c r="AH99" i="68"/>
  <c r="AG99" i="68"/>
  <c r="AG102" i="68" s="1"/>
  <c r="AI98" i="68"/>
  <c r="AH98" i="68"/>
  <c r="AI96" i="68"/>
  <c r="AH96" i="68"/>
  <c r="AG95" i="68"/>
  <c r="AF95" i="68"/>
  <c r="AE5" i="68" s="1"/>
  <c r="AE95" i="68"/>
  <c r="BI19" i="68" s="1"/>
  <c r="AD95" i="68"/>
  <c r="BH19" i="68" s="1"/>
  <c r="AC95" i="68"/>
  <c r="AB5" i="68" s="1"/>
  <c r="AB95" i="68"/>
  <c r="AB111" i="68" s="1"/>
  <c r="AA95" i="68"/>
  <c r="AA111" i="68" s="1"/>
  <c r="Z95" i="68"/>
  <c r="Z111" i="68" s="1"/>
  <c r="Y95" i="68"/>
  <c r="X5" i="68" s="1"/>
  <c r="X95" i="68"/>
  <c r="W95" i="68"/>
  <c r="V5" i="68" s="1"/>
  <c r="V95" i="68"/>
  <c r="U95" i="68"/>
  <c r="BC19" i="68" s="1"/>
  <c r="T95" i="68"/>
  <c r="S5" i="68" s="1"/>
  <c r="S95" i="68"/>
  <c r="BA19" i="68" s="1"/>
  <c r="R95" i="68"/>
  <c r="Q5" i="68" s="1"/>
  <c r="Q95" i="68"/>
  <c r="P95" i="68"/>
  <c r="P111" i="68" s="1"/>
  <c r="O95" i="68"/>
  <c r="AW19" i="68" s="1"/>
  <c r="N95" i="68"/>
  <c r="AV19" i="68" s="1"/>
  <c r="M95" i="68"/>
  <c r="AU19" i="68" s="1"/>
  <c r="L95" i="68"/>
  <c r="K5" i="68" s="1"/>
  <c r="K95" i="68"/>
  <c r="J5" i="68" s="1"/>
  <c r="J95" i="68"/>
  <c r="J100" i="68" s="1"/>
  <c r="J102" i="68" s="1"/>
  <c r="I95" i="68"/>
  <c r="AS19" i="68" s="1"/>
  <c r="H95" i="68"/>
  <c r="G95" i="68"/>
  <c r="G100" i="68" s="1"/>
  <c r="G102" i="68" s="1"/>
  <c r="F95" i="68"/>
  <c r="AQ19" i="68" s="1"/>
  <c r="E95" i="68"/>
  <c r="D5" i="68" s="1"/>
  <c r="AI94" i="68"/>
  <c r="AH94" i="68"/>
  <c r="AI93" i="68"/>
  <c r="AH93" i="68"/>
  <c r="AI92" i="68"/>
  <c r="AH92" i="68"/>
  <c r="AI91" i="68"/>
  <c r="AH91" i="68"/>
  <c r="AI90" i="68"/>
  <c r="AH90" i="68"/>
  <c r="AI89" i="68"/>
  <c r="AH89" i="68"/>
  <c r="AI88" i="68"/>
  <c r="AH88" i="68"/>
  <c r="AI87" i="68"/>
  <c r="AH87" i="68"/>
  <c r="AI86" i="68"/>
  <c r="AH86" i="68"/>
  <c r="AI84" i="68"/>
  <c r="AH84" i="68"/>
  <c r="AG83" i="68"/>
  <c r="AF83" i="68"/>
  <c r="AE83" i="68"/>
  <c r="AD83" i="68"/>
  <c r="AC83" i="68"/>
  <c r="AB83" i="68"/>
  <c r="AA83" i="68"/>
  <c r="Z83" i="68"/>
  <c r="Y83" i="68"/>
  <c r="X83" i="68"/>
  <c r="W83" i="68"/>
  <c r="V83" i="68"/>
  <c r="U83" i="68"/>
  <c r="T83" i="68"/>
  <c r="S83" i="68"/>
  <c r="R83" i="68"/>
  <c r="Q83" i="68"/>
  <c r="AY20" i="68" s="1"/>
  <c r="P83" i="68"/>
  <c r="AW20" i="68"/>
  <c r="N83" i="68"/>
  <c r="M83" i="68"/>
  <c r="AU20" i="68" s="1"/>
  <c r="AI82" i="68"/>
  <c r="AH82" i="68"/>
  <c r="AH81" i="68"/>
  <c r="AI80" i="68"/>
  <c r="AH80" i="68"/>
  <c r="AG79" i="68"/>
  <c r="AF79" i="68"/>
  <c r="BJ18" i="68" s="1"/>
  <c r="AE79" i="68"/>
  <c r="BI18" i="68" s="1"/>
  <c r="AD79" i="68"/>
  <c r="AC79" i="68"/>
  <c r="AB79" i="68"/>
  <c r="AA79" i="68"/>
  <c r="Z79" i="68"/>
  <c r="BF18" i="68" s="1"/>
  <c r="Y79" i="68"/>
  <c r="X79" i="68"/>
  <c r="BE18" i="68" s="1"/>
  <c r="W79" i="68"/>
  <c r="V79" i="68"/>
  <c r="U79" i="68"/>
  <c r="BC18" i="68" s="1"/>
  <c r="T79" i="68"/>
  <c r="BB18" i="68" s="1"/>
  <c r="S79" i="68"/>
  <c r="R79" i="68"/>
  <c r="Q79" i="68"/>
  <c r="P79" i="68"/>
  <c r="O79" i="68"/>
  <c r="AW18" i="68" s="1"/>
  <c r="N79" i="68"/>
  <c r="M79" i="68"/>
  <c r="AU18" i="68" s="1"/>
  <c r="BO78" i="68"/>
  <c r="BG78" i="68"/>
  <c r="BA78" i="68"/>
  <c r="AI78" i="68"/>
  <c r="AH78" i="68"/>
  <c r="AG78" i="68"/>
  <c r="BT77" i="68"/>
  <c r="BS77" i="68"/>
  <c r="BO77" i="68"/>
  <c r="BL77" i="68"/>
  <c r="BK77" i="68"/>
  <c r="BG77" i="68"/>
  <c r="BF77" i="68"/>
  <c r="AI77" i="68"/>
  <c r="AH77" i="68"/>
  <c r="BH76" i="68"/>
  <c r="BF76" i="68"/>
  <c r="AI76" i="68"/>
  <c r="AH76" i="68"/>
  <c r="AI75" i="68"/>
  <c r="AH75" i="68"/>
  <c r="BU74" i="68"/>
  <c r="BR74" i="68"/>
  <c r="BN74" i="68"/>
  <c r="BL74" i="68"/>
  <c r="BK74" i="68"/>
  <c r="BE74" i="68"/>
  <c r="AI74" i="68"/>
  <c r="AH74" i="68"/>
  <c r="BT73" i="68"/>
  <c r="BL73" i="68"/>
  <c r="AI73" i="68"/>
  <c r="AH73" i="68"/>
  <c r="AI72" i="68"/>
  <c r="AH72" i="68"/>
  <c r="BW71" i="68"/>
  <c r="BW78" i="68" s="1"/>
  <c r="BV71" i="68"/>
  <c r="BV78" i="68" s="1"/>
  <c r="BU71" i="68"/>
  <c r="BU78" i="68" s="1"/>
  <c r="BT71" i="68"/>
  <c r="BT78" i="68" s="1"/>
  <c r="BS71" i="68"/>
  <c r="BS78" i="68" s="1"/>
  <c r="BR71" i="68"/>
  <c r="BR78" i="68" s="1"/>
  <c r="BQ71" i="68"/>
  <c r="BQ78" i="68" s="1"/>
  <c r="BP71" i="68"/>
  <c r="BP78" i="68" s="1"/>
  <c r="BO71" i="68"/>
  <c r="BN71" i="68"/>
  <c r="BN78" i="68" s="1"/>
  <c r="BM71" i="68"/>
  <c r="BM78" i="68" s="1"/>
  <c r="BL71" i="68"/>
  <c r="BL78" i="68" s="1"/>
  <c r="BK71" i="68"/>
  <c r="BK78" i="68" s="1"/>
  <c r="BJ71" i="68"/>
  <c r="BJ78" i="68" s="1"/>
  <c r="BI71" i="68"/>
  <c r="BI78" i="68" s="1"/>
  <c r="BH71" i="68"/>
  <c r="BH78" i="68" s="1"/>
  <c r="BG71" i="68"/>
  <c r="BF71" i="68"/>
  <c r="BF78" i="68" s="1"/>
  <c r="BE71" i="68"/>
  <c r="BE78" i="68" s="1"/>
  <c r="BD71" i="68"/>
  <c r="BD78" i="68" s="1"/>
  <c r="BC71" i="68"/>
  <c r="BC78" i="68" s="1"/>
  <c r="BB71" i="68"/>
  <c r="BB78" i="68" s="1"/>
  <c r="BA71" i="68"/>
  <c r="AZ71" i="68"/>
  <c r="AZ78" i="68" s="1"/>
  <c r="AI71" i="68"/>
  <c r="AH71" i="68"/>
  <c r="BW70" i="68"/>
  <c r="BW77" i="68" s="1"/>
  <c r="BV70" i="68"/>
  <c r="BV77" i="68" s="1"/>
  <c r="BU70" i="68"/>
  <c r="BU77" i="68" s="1"/>
  <c r="BT70" i="68"/>
  <c r="BS70" i="68"/>
  <c r="BR70" i="68"/>
  <c r="BR77" i="68" s="1"/>
  <c r="BQ70" i="68"/>
  <c r="BQ77" i="68" s="1"/>
  <c r="BP70" i="68"/>
  <c r="BP77" i="68" s="1"/>
  <c r="BO70" i="68"/>
  <c r="BN70" i="68"/>
  <c r="BN77" i="68" s="1"/>
  <c r="BM70" i="68"/>
  <c r="BM77" i="68" s="1"/>
  <c r="BL70" i="68"/>
  <c r="BK70" i="68"/>
  <c r="BJ70" i="68"/>
  <c r="BJ77" i="68" s="1"/>
  <c r="BI70" i="68"/>
  <c r="BI77" i="68" s="1"/>
  <c r="BH70" i="68"/>
  <c r="BH77" i="68" s="1"/>
  <c r="BG70" i="68"/>
  <c r="BF70" i="68"/>
  <c r="BE70" i="68"/>
  <c r="BE77" i="68" s="1"/>
  <c r="BD70" i="68"/>
  <c r="BD77" i="68" s="1"/>
  <c r="BC70" i="68"/>
  <c r="BC77" i="68" s="1"/>
  <c r="BB70" i="68"/>
  <c r="BB77" i="68" s="1"/>
  <c r="BA70" i="68"/>
  <c r="BA77" i="68" s="1"/>
  <c r="AZ70" i="68"/>
  <c r="AZ77" i="68" s="1"/>
  <c r="AI70" i="68"/>
  <c r="AH70" i="68"/>
  <c r="BW69" i="68"/>
  <c r="BW76" i="68" s="1"/>
  <c r="BV69" i="68"/>
  <c r="BV76" i="68" s="1"/>
  <c r="BU69" i="68"/>
  <c r="BU76" i="68" s="1"/>
  <c r="BT69" i="68"/>
  <c r="BT76" i="68" s="1"/>
  <c r="BS69" i="68"/>
  <c r="BS76" i="68" s="1"/>
  <c r="BR69" i="68"/>
  <c r="BR76" i="68" s="1"/>
  <c r="BQ69" i="68"/>
  <c r="BQ76" i="68" s="1"/>
  <c r="BP69" i="68"/>
  <c r="BP76" i="68" s="1"/>
  <c r="BO69" i="68"/>
  <c r="BO76" i="68" s="1"/>
  <c r="BN69" i="68"/>
  <c r="BN76" i="68" s="1"/>
  <c r="BM69" i="68"/>
  <c r="BM76" i="68" s="1"/>
  <c r="BL69" i="68"/>
  <c r="BL76" i="68" s="1"/>
  <c r="BK69" i="68"/>
  <c r="BK76" i="68" s="1"/>
  <c r="BJ69" i="68"/>
  <c r="BJ76" i="68" s="1"/>
  <c r="BI69" i="68"/>
  <c r="BI76" i="68" s="1"/>
  <c r="BH69" i="68"/>
  <c r="BG69" i="68"/>
  <c r="BG76" i="68" s="1"/>
  <c r="BF69" i="68"/>
  <c r="BE69" i="68"/>
  <c r="BE76" i="68" s="1"/>
  <c r="BD69" i="68"/>
  <c r="BD76" i="68" s="1"/>
  <c r="BC69" i="68"/>
  <c r="BC76" i="68" s="1"/>
  <c r="BB69" i="68"/>
  <c r="BB76" i="68" s="1"/>
  <c r="BA69" i="68"/>
  <c r="BA76" i="68" s="1"/>
  <c r="AZ69" i="68"/>
  <c r="AZ76" i="68" s="1"/>
  <c r="AI69" i="68"/>
  <c r="AH69" i="68"/>
  <c r="BW68" i="68"/>
  <c r="BW75" i="68" s="1"/>
  <c r="BV68" i="68"/>
  <c r="BV75" i="68" s="1"/>
  <c r="BU68" i="68"/>
  <c r="BU75" i="68" s="1"/>
  <c r="BT68" i="68"/>
  <c r="BT75" i="68" s="1"/>
  <c r="BS68" i="68"/>
  <c r="BS75" i="68" s="1"/>
  <c r="BR68" i="68"/>
  <c r="BR75" i="68" s="1"/>
  <c r="BQ68" i="68"/>
  <c r="BQ75" i="68" s="1"/>
  <c r="BP68" i="68"/>
  <c r="BP75" i="68" s="1"/>
  <c r="BO68" i="68"/>
  <c r="BO75" i="68" s="1"/>
  <c r="BN68" i="68"/>
  <c r="BN75" i="68" s="1"/>
  <c r="BM68" i="68"/>
  <c r="BM75" i="68" s="1"/>
  <c r="BL68" i="68"/>
  <c r="BL75" i="68" s="1"/>
  <c r="BK68" i="68"/>
  <c r="BK75" i="68" s="1"/>
  <c r="BJ68" i="68"/>
  <c r="BJ75" i="68" s="1"/>
  <c r="BI68" i="68"/>
  <c r="BI75" i="68" s="1"/>
  <c r="BH68" i="68"/>
  <c r="BH75" i="68" s="1"/>
  <c r="BG68" i="68"/>
  <c r="BG75" i="68" s="1"/>
  <c r="BF68" i="68"/>
  <c r="BF75" i="68" s="1"/>
  <c r="BE68" i="68"/>
  <c r="BE75" i="68" s="1"/>
  <c r="BD68" i="68"/>
  <c r="BD75" i="68" s="1"/>
  <c r="BC68" i="68"/>
  <c r="BC75" i="68" s="1"/>
  <c r="BB68" i="68"/>
  <c r="BB75" i="68" s="1"/>
  <c r="BA68" i="68"/>
  <c r="BA75" i="68" s="1"/>
  <c r="AZ68" i="68"/>
  <c r="AZ75" i="68" s="1"/>
  <c r="AI68" i="68"/>
  <c r="AH68" i="68"/>
  <c r="BW67" i="68"/>
  <c r="BW74" i="68" s="1"/>
  <c r="BV67" i="68"/>
  <c r="BV74" i="68" s="1"/>
  <c r="BU67" i="68"/>
  <c r="BT67" i="68"/>
  <c r="BT74" i="68" s="1"/>
  <c r="BS67" i="68"/>
  <c r="BS74" i="68" s="1"/>
  <c r="BR67" i="68"/>
  <c r="BQ67" i="68"/>
  <c r="BQ74" i="68" s="1"/>
  <c r="BP67" i="68"/>
  <c r="BP74" i="68" s="1"/>
  <c r="BO67" i="68"/>
  <c r="BO74" i="68" s="1"/>
  <c r="BN67" i="68"/>
  <c r="BM67" i="68"/>
  <c r="BM74" i="68" s="1"/>
  <c r="BL67" i="68"/>
  <c r="BK67" i="68"/>
  <c r="BJ67" i="68"/>
  <c r="BJ74" i="68" s="1"/>
  <c r="BI67" i="68"/>
  <c r="BI74" i="68" s="1"/>
  <c r="BH67" i="68"/>
  <c r="BH74" i="68" s="1"/>
  <c r="BG67" i="68"/>
  <c r="BG74" i="68" s="1"/>
  <c r="BF67" i="68"/>
  <c r="BF74" i="68" s="1"/>
  <c r="BE67" i="68"/>
  <c r="BD67" i="68"/>
  <c r="BD74" i="68" s="1"/>
  <c r="BC67" i="68"/>
  <c r="BC74" i="68" s="1"/>
  <c r="BB67" i="68"/>
  <c r="BB74" i="68" s="1"/>
  <c r="BA67" i="68"/>
  <c r="BA74" i="68" s="1"/>
  <c r="AZ67" i="68"/>
  <c r="AZ74" i="68" s="1"/>
  <c r="AI67" i="68"/>
  <c r="AH67" i="68"/>
  <c r="BW66" i="68"/>
  <c r="BW73" i="68" s="1"/>
  <c r="BV66" i="68"/>
  <c r="BV73" i="68" s="1"/>
  <c r="BU66" i="68"/>
  <c r="BU73" i="68" s="1"/>
  <c r="BT66" i="68"/>
  <c r="BS66" i="68"/>
  <c r="BS73" i="68" s="1"/>
  <c r="BR66" i="68"/>
  <c r="BR73" i="68" s="1"/>
  <c r="BQ66" i="68"/>
  <c r="BQ73" i="68" s="1"/>
  <c r="BP66" i="68"/>
  <c r="BP73" i="68" s="1"/>
  <c r="BO66" i="68"/>
  <c r="BO73" i="68" s="1"/>
  <c r="BN66" i="68"/>
  <c r="BN73" i="68" s="1"/>
  <c r="BM66" i="68"/>
  <c r="BM73" i="68" s="1"/>
  <c r="BL66" i="68"/>
  <c r="BK66" i="68"/>
  <c r="BK73" i="68" s="1"/>
  <c r="BJ66" i="68"/>
  <c r="BJ73" i="68" s="1"/>
  <c r="BI66" i="68"/>
  <c r="BI73" i="68" s="1"/>
  <c r="BH66" i="68"/>
  <c r="BH73" i="68" s="1"/>
  <c r="BG66" i="68"/>
  <c r="BG73" i="68" s="1"/>
  <c r="BF66" i="68"/>
  <c r="BF73" i="68" s="1"/>
  <c r="BE66" i="68"/>
  <c r="BE73" i="68" s="1"/>
  <c r="BD66" i="68"/>
  <c r="BD73" i="68" s="1"/>
  <c r="BC66" i="68"/>
  <c r="BC73" i="68" s="1"/>
  <c r="BB66" i="68"/>
  <c r="BB73" i="68" s="1"/>
  <c r="BA66" i="68"/>
  <c r="BA73" i="68" s="1"/>
  <c r="AZ66" i="68"/>
  <c r="AI66" i="68"/>
  <c r="AH66" i="68"/>
  <c r="AG65" i="68"/>
  <c r="AF65" i="68"/>
  <c r="BJ17" i="68" s="1"/>
  <c r="AE65" i="68"/>
  <c r="AD65" i="68"/>
  <c r="AC65" i="68"/>
  <c r="AB65" i="68"/>
  <c r="AA65" i="68"/>
  <c r="Z65" i="68"/>
  <c r="BF17" i="68" s="1"/>
  <c r="Y65" i="68"/>
  <c r="X65" i="68"/>
  <c r="BE17" i="68" s="1"/>
  <c r="U65" i="68"/>
  <c r="S65" i="68"/>
  <c r="BA17" i="68" s="1"/>
  <c r="R65" i="68"/>
  <c r="Q65" i="68"/>
  <c r="P65" i="68"/>
  <c r="AX17" i="68" s="1"/>
  <c r="O65" i="68"/>
  <c r="AW17" i="68" s="1"/>
  <c r="N65" i="68"/>
  <c r="AV17" i="68" s="1"/>
  <c r="M65" i="68"/>
  <c r="AI64" i="68"/>
  <c r="AH64" i="68"/>
  <c r="AI63" i="68"/>
  <c r="AH63" i="68"/>
  <c r="AI62" i="68"/>
  <c r="AH62" i="68"/>
  <c r="AG61" i="68"/>
  <c r="AG100" i="68" s="1"/>
  <c r="AF61" i="68"/>
  <c r="AE61" i="68"/>
  <c r="BI16" i="68" s="1"/>
  <c r="AD61" i="68"/>
  <c r="BH16" i="68" s="1"/>
  <c r="AC61" i="68"/>
  <c r="AB61" i="68"/>
  <c r="AA61" i="68"/>
  <c r="Z61" i="68"/>
  <c r="Y61" i="68"/>
  <c r="X61" i="68"/>
  <c r="V100" i="68"/>
  <c r="V102" i="68" s="1"/>
  <c r="U61" i="68"/>
  <c r="T61" i="68"/>
  <c r="S61" i="68"/>
  <c r="R61" i="68"/>
  <c r="Q61" i="68"/>
  <c r="P61" i="68"/>
  <c r="P100" i="68" s="1"/>
  <c r="P102" i="68" s="1"/>
  <c r="P103" i="68" s="1"/>
  <c r="P7" i="68" s="1"/>
  <c r="O61" i="68"/>
  <c r="N61" i="68"/>
  <c r="M61" i="68"/>
  <c r="I100" i="68"/>
  <c r="I102" i="68" s="1"/>
  <c r="H100" i="68"/>
  <c r="H102" i="68" s="1"/>
  <c r="AI59" i="68"/>
  <c r="AH59" i="68"/>
  <c r="AI58" i="68"/>
  <c r="AH58" i="68"/>
  <c r="AI57" i="68"/>
  <c r="AH57" i="68"/>
  <c r="AI56" i="68"/>
  <c r="AH56" i="68"/>
  <c r="AI55" i="68"/>
  <c r="AH55" i="68"/>
  <c r="AI54" i="68"/>
  <c r="AH54" i="68"/>
  <c r="AI53" i="68"/>
  <c r="AH53" i="68"/>
  <c r="AI52" i="68"/>
  <c r="AH52" i="68"/>
  <c r="AI51" i="68"/>
  <c r="AH51" i="68"/>
  <c r="AI50" i="68"/>
  <c r="AH50" i="68"/>
  <c r="AI49" i="68"/>
  <c r="AH49" i="68"/>
  <c r="AI48" i="68"/>
  <c r="AH48" i="68"/>
  <c r="AI47" i="68"/>
  <c r="AH47" i="68"/>
  <c r="AI46" i="68"/>
  <c r="AH46" i="68"/>
  <c r="AI45" i="68"/>
  <c r="AH45" i="68"/>
  <c r="AI44" i="68"/>
  <c r="AH44" i="68"/>
  <c r="AI43" i="68"/>
  <c r="AH43" i="68"/>
  <c r="AI42" i="68"/>
  <c r="AH42" i="68"/>
  <c r="AI41" i="68"/>
  <c r="AH41" i="68"/>
  <c r="AI40" i="68"/>
  <c r="AH40" i="68"/>
  <c r="AI39" i="68"/>
  <c r="AH39" i="68"/>
  <c r="AI38" i="68"/>
  <c r="AH38" i="68"/>
  <c r="AI37" i="68"/>
  <c r="AH37" i="68"/>
  <c r="AI36" i="68"/>
  <c r="AH36" i="68"/>
  <c r="AI35" i="68"/>
  <c r="AH35" i="68"/>
  <c r="AI34" i="68"/>
  <c r="AH34" i="68"/>
  <c r="AI33" i="68"/>
  <c r="AH33" i="68"/>
  <c r="AI32" i="68"/>
  <c r="AH32" i="68"/>
  <c r="AI31" i="68"/>
  <c r="AH31" i="68"/>
  <c r="AI30" i="68"/>
  <c r="AH30" i="68"/>
  <c r="AI29" i="68"/>
  <c r="AH29" i="68"/>
  <c r="AI28" i="68"/>
  <c r="AH28" i="68"/>
  <c r="AI27" i="68"/>
  <c r="AH27" i="68"/>
  <c r="AI26" i="68"/>
  <c r="AH26" i="68"/>
  <c r="AI25" i="68"/>
  <c r="AH25" i="68"/>
  <c r="AI24" i="68"/>
  <c r="AH24" i="68"/>
  <c r="BJ23" i="68"/>
  <c r="BG23" i="68"/>
  <c r="AX23" i="68"/>
  <c r="AT23" i="68"/>
  <c r="AO23" i="68"/>
  <c r="AI23" i="68"/>
  <c r="AH23" i="68"/>
  <c r="AI22" i="68"/>
  <c r="AH22" i="68"/>
  <c r="BJ21" i="68"/>
  <c r="BI21" i="68"/>
  <c r="BH21" i="68"/>
  <c r="BG21" i="68"/>
  <c r="BF21" i="68"/>
  <c r="BE21" i="68"/>
  <c r="BD21" i="68"/>
  <c r="BC21" i="68"/>
  <c r="BB21" i="68"/>
  <c r="BA21" i="68"/>
  <c r="AZ21" i="68"/>
  <c r="AY21" i="68"/>
  <c r="AX21" i="68"/>
  <c r="AW21" i="68"/>
  <c r="AV21" i="68"/>
  <c r="AU21" i="68"/>
  <c r="AT21" i="68"/>
  <c r="AS21" i="68"/>
  <c r="AR21" i="68"/>
  <c r="AQ21" i="68"/>
  <c r="AP21" i="68"/>
  <c r="AO21" i="68"/>
  <c r="AN21" i="68"/>
  <c r="AM21" i="68"/>
  <c r="AI21" i="68"/>
  <c r="AH21" i="68"/>
  <c r="BJ20" i="68"/>
  <c r="BI20" i="68"/>
  <c r="BH20" i="68"/>
  <c r="BG20" i="68"/>
  <c r="BF20" i="68"/>
  <c r="BE20" i="68"/>
  <c r="BD20" i="68"/>
  <c r="BC20" i="68"/>
  <c r="BB20" i="68"/>
  <c r="BA20" i="68"/>
  <c r="AZ20" i="68"/>
  <c r="AX20" i="68"/>
  <c r="AV20" i="68"/>
  <c r="AT20" i="68"/>
  <c r="AS20" i="68"/>
  <c r="AR20" i="68"/>
  <c r="AQ20" i="68"/>
  <c r="AP20" i="68"/>
  <c r="AO20" i="68"/>
  <c r="AN20" i="68"/>
  <c r="AI20" i="68"/>
  <c r="AH20" i="68"/>
  <c r="BD19" i="68"/>
  <c r="AY19" i="68"/>
  <c r="AX19" i="68"/>
  <c r="AT19" i="68"/>
  <c r="AR19" i="68"/>
  <c r="AO19" i="68"/>
  <c r="AI19" i="68"/>
  <c r="AH19" i="68"/>
  <c r="BH18" i="68"/>
  <c r="BG18" i="68"/>
  <c r="BD18" i="68"/>
  <c r="BA18" i="68"/>
  <c r="AZ18" i="68"/>
  <c r="AY18" i="68"/>
  <c r="AX18" i="68"/>
  <c r="AV18" i="68"/>
  <c r="AT18" i="68"/>
  <c r="AS18" i="68"/>
  <c r="AR18" i="68"/>
  <c r="AQ18" i="68"/>
  <c r="AP18" i="68"/>
  <c r="AO18" i="68"/>
  <c r="AN18" i="68"/>
  <c r="AI18" i="68"/>
  <c r="AH18" i="68"/>
  <c r="BI17" i="68"/>
  <c r="BH17" i="68"/>
  <c r="BG17" i="68"/>
  <c r="BD17" i="68"/>
  <c r="BC17" i="68"/>
  <c r="BB17" i="68"/>
  <c r="AZ17" i="68"/>
  <c r="AY17" i="68"/>
  <c r="AT17" i="68"/>
  <c r="AS17" i="68"/>
  <c r="AR17" i="68"/>
  <c r="AQ17" i="68"/>
  <c r="AP17" i="68"/>
  <c r="AO17" i="68"/>
  <c r="AM17" i="68"/>
  <c r="AI17" i="68"/>
  <c r="AH17" i="68"/>
  <c r="BD16" i="68"/>
  <c r="BC16" i="68"/>
  <c r="BA16" i="68"/>
  <c r="AZ16" i="68"/>
  <c r="AY16" i="68"/>
  <c r="AV16" i="68"/>
  <c r="AS16" i="68"/>
  <c r="AR16" i="68"/>
  <c r="AQ16" i="68"/>
  <c r="AP16" i="68"/>
  <c r="AO16" i="68"/>
  <c r="AN16" i="68"/>
  <c r="AM16" i="68"/>
  <c r="AI16" i="68"/>
  <c r="AH16" i="68"/>
  <c r="AI15" i="68"/>
  <c r="AH15" i="68"/>
  <c r="AI14" i="68"/>
  <c r="AH14" i="68"/>
  <c r="AI13" i="68"/>
  <c r="AH13" i="68"/>
  <c r="AL12" i="68"/>
  <c r="AI12" i="68"/>
  <c r="AH12" i="68"/>
  <c r="AI11" i="68"/>
  <c r="AH11" i="68"/>
  <c r="Z5" i="68"/>
  <c r="U5" i="68"/>
  <c r="P5" i="68"/>
  <c r="O5" i="68"/>
  <c r="I5" i="68"/>
  <c r="H5" i="68"/>
  <c r="C5" i="68"/>
  <c r="B5" i="68"/>
  <c r="AG4" i="68"/>
  <c r="K4" i="68"/>
  <c r="E4" i="68"/>
  <c r="H4" i="68" s="1"/>
  <c r="B4" i="68"/>
  <c r="D261" i="68" s="1"/>
  <c r="AG3" i="68"/>
  <c r="AG6" i="68" s="1"/>
  <c r="AG2" i="68"/>
  <c r="AF60" i="67"/>
  <c r="AF61" i="67"/>
  <c r="AF65" i="67"/>
  <c r="AF79" i="67"/>
  <c r="AF83" i="67"/>
  <c r="AF95" i="67"/>
  <c r="AF111" i="67" s="1"/>
  <c r="AF104" i="67"/>
  <c r="AF105" i="67"/>
  <c r="AF110" i="67" s="1"/>
  <c r="AF106" i="67"/>
  <c r="AF107" i="67"/>
  <c r="AF108" i="67"/>
  <c r="AF109" i="67"/>
  <c r="AF121" i="67"/>
  <c r="L254" i="69" l="1"/>
  <c r="K121" i="69"/>
  <c r="L250" i="69"/>
  <c r="K255" i="69"/>
  <c r="N249" i="69"/>
  <c r="AF111" i="68"/>
  <c r="BJ19" i="68"/>
  <c r="AF100" i="68"/>
  <c r="AF102" i="68" s="1"/>
  <c r="AF103" i="68" s="1"/>
  <c r="AF7" i="68" s="1"/>
  <c r="AD5" i="68"/>
  <c r="BI22" i="68"/>
  <c r="BI24" i="68" s="1"/>
  <c r="AE100" i="68"/>
  <c r="AE102" i="68" s="1"/>
  <c r="AE103" i="68" s="1"/>
  <c r="AE7" i="68" s="1"/>
  <c r="AC5" i="68"/>
  <c r="BH22" i="68"/>
  <c r="AD100" i="68"/>
  <c r="AD102" i="68" s="1"/>
  <c r="AC100" i="68"/>
  <c r="AC102" i="68" s="1"/>
  <c r="AC103" i="68" s="1"/>
  <c r="AC7" i="68" s="1"/>
  <c r="BG19" i="68"/>
  <c r="AB100" i="68"/>
  <c r="AB102" i="68" s="1"/>
  <c r="AB103" i="68" s="1"/>
  <c r="AB7" i="68" s="1"/>
  <c r="AA5" i="68"/>
  <c r="BG16" i="68"/>
  <c r="BG22" i="68" s="1"/>
  <c r="BG24" i="68" s="1"/>
  <c r="AA100" i="68"/>
  <c r="AA102" i="68" s="1"/>
  <c r="AA103" i="68" s="1"/>
  <c r="AA7" i="68" s="1"/>
  <c r="BF19" i="68"/>
  <c r="Y5" i="68"/>
  <c r="Z100" i="68"/>
  <c r="Z102" i="68" s="1"/>
  <c r="Z103" i="68" s="1"/>
  <c r="Z7" i="68" s="1"/>
  <c r="BF16" i="68"/>
  <c r="Y110" i="68"/>
  <c r="Y111" i="68" s="1"/>
  <c r="Y100" i="68"/>
  <c r="Y102" i="68" s="1"/>
  <c r="Y103" i="68" s="1"/>
  <c r="Y7" i="68" s="1"/>
  <c r="X111" i="68"/>
  <c r="X100" i="68"/>
  <c r="X102" i="68" s="1"/>
  <c r="X103" i="68" s="1"/>
  <c r="X7" i="68" s="1"/>
  <c r="BE19" i="68"/>
  <c r="W5" i="68"/>
  <c r="W100" i="68"/>
  <c r="W102" i="68" s="1"/>
  <c r="W103" i="68" s="1"/>
  <c r="W7" i="68" s="1"/>
  <c r="W110" i="68"/>
  <c r="BD22" i="68"/>
  <c r="T5" i="68"/>
  <c r="U100" i="68"/>
  <c r="U102" i="68" s="1"/>
  <c r="U103" i="68" s="1"/>
  <c r="U7" i="68" s="1"/>
  <c r="BC22" i="68"/>
  <c r="BC24" i="68" s="1"/>
  <c r="T111" i="68"/>
  <c r="BB19" i="68"/>
  <c r="T100" i="68"/>
  <c r="T102" i="68" s="1"/>
  <c r="T103" i="68" s="1"/>
  <c r="T7" i="68" s="1"/>
  <c r="BB16" i="68"/>
  <c r="BB22" i="68" s="1"/>
  <c r="BB24" i="68" s="1"/>
  <c r="S110" i="68"/>
  <c r="BA23" i="68" s="1"/>
  <c r="S111" i="68"/>
  <c r="R5" i="68"/>
  <c r="AH65" i="68"/>
  <c r="S100" i="68"/>
  <c r="S102" i="68" s="1"/>
  <c r="S103" i="68" s="1"/>
  <c r="S7" i="68" s="1"/>
  <c r="BA22" i="68"/>
  <c r="BA24" i="68" s="1"/>
  <c r="R100" i="68"/>
  <c r="R102" i="68" s="1"/>
  <c r="R103" i="68" s="1"/>
  <c r="R7" i="68" s="1"/>
  <c r="AZ19" i="68"/>
  <c r="AZ22" i="68" s="1"/>
  <c r="AZ24" i="68" s="1"/>
  <c r="R111" i="68"/>
  <c r="Q111" i="68"/>
  <c r="AY22" i="68"/>
  <c r="AY24" i="68" s="1"/>
  <c r="Q100" i="68"/>
  <c r="Q102" i="68" s="1"/>
  <c r="Q103" i="68" s="1"/>
  <c r="Q7" i="68" s="1"/>
  <c r="N5" i="68"/>
  <c r="O100" i="68"/>
  <c r="O102" i="68" s="1"/>
  <c r="O103" i="68" s="1"/>
  <c r="O7" i="68" s="1"/>
  <c r="AW16" i="68"/>
  <c r="AW22" i="68" s="1"/>
  <c r="AW24" i="68" s="1"/>
  <c r="M5" i="68"/>
  <c r="AV22" i="68"/>
  <c r="N100" i="68"/>
  <c r="N102" i="68" s="1"/>
  <c r="L5" i="68"/>
  <c r="M110" i="68"/>
  <c r="AU23" i="68" s="1"/>
  <c r="M100" i="68"/>
  <c r="M102" i="68" s="1"/>
  <c r="AU17" i="68"/>
  <c r="AH61" i="68"/>
  <c r="AU16" i="68"/>
  <c r="AU22" i="68" s="1"/>
  <c r="AU24" i="68" s="1"/>
  <c r="L100" i="68"/>
  <c r="L102" i="68" s="1"/>
  <c r="L111" i="68"/>
  <c r="L103" i="68"/>
  <c r="L7" i="68" s="1"/>
  <c r="K100" i="68"/>
  <c r="K102" i="68" s="1"/>
  <c r="K103" i="68"/>
  <c r="K7" i="68" s="1"/>
  <c r="J110" i="68"/>
  <c r="J103" i="68" s="1"/>
  <c r="J7" i="68" s="1"/>
  <c r="I103" i="68"/>
  <c r="I7" i="68" s="1"/>
  <c r="I111" i="68"/>
  <c r="AS22" i="68"/>
  <c r="AS24" i="68" s="1"/>
  <c r="H110" i="68"/>
  <c r="H111" i="68" s="1"/>
  <c r="G5" i="68"/>
  <c r="F5" i="68"/>
  <c r="F100" i="68"/>
  <c r="F102" i="68" s="1"/>
  <c r="E5" i="68"/>
  <c r="AR22" i="68"/>
  <c r="AQ22" i="68"/>
  <c r="E100" i="68"/>
  <c r="E102" i="68" s="1"/>
  <c r="AP19" i="68"/>
  <c r="AP22" i="68" s="1"/>
  <c r="E110" i="68"/>
  <c r="AP23" i="68" s="1"/>
  <c r="D103" i="68"/>
  <c r="D7" i="68" s="1"/>
  <c r="AO22" i="68"/>
  <c r="AO24" i="68" s="1"/>
  <c r="AN19" i="68"/>
  <c r="C111" i="68"/>
  <c r="AN23" i="68"/>
  <c r="AH60" i="68"/>
  <c r="AN22" i="68"/>
  <c r="AN24" i="68" s="1"/>
  <c r="AI83" i="68"/>
  <c r="B111" i="68"/>
  <c r="AF5" i="68"/>
  <c r="AM19" i="68"/>
  <c r="AM20" i="68"/>
  <c r="AI79" i="68"/>
  <c r="AH107" i="68"/>
  <c r="B100" i="68"/>
  <c r="AH106" i="68"/>
  <c r="AI105" i="68"/>
  <c r="AI104" i="68"/>
  <c r="AI112" i="68"/>
  <c r="AH112" i="68"/>
  <c r="AM22" i="68"/>
  <c r="BG82" i="68" a="1"/>
  <c r="BK101" i="68" s="1"/>
  <c r="AI85" i="68"/>
  <c r="AH97" i="68"/>
  <c r="AI97" i="68"/>
  <c r="AL13" i="68"/>
  <c r="AT16" i="68"/>
  <c r="AT22" i="68" s="1"/>
  <c r="AT24" i="68" s="1"/>
  <c r="BJ16" i="68"/>
  <c r="BJ22" i="68" s="1"/>
  <c r="BJ24" i="68" s="1"/>
  <c r="F110" i="68"/>
  <c r="AQ23" i="68" s="1"/>
  <c r="AQ24" i="68" s="1"/>
  <c r="N110" i="68"/>
  <c r="AV23" i="68" s="1"/>
  <c r="AV24" i="68" s="1"/>
  <c r="V110" i="68"/>
  <c r="BD23" i="68" s="1"/>
  <c r="AD110" i="68"/>
  <c r="BH23" i="68" s="1"/>
  <c r="AI65" i="68"/>
  <c r="BE16" i="68"/>
  <c r="BE22" i="68" s="1"/>
  <c r="BE24" i="68" s="1"/>
  <c r="AZ73" i="68"/>
  <c r="D255" i="68"/>
  <c r="AX16" i="68"/>
  <c r="AX22" i="68" s="1"/>
  <c r="AX24" i="68" s="1"/>
  <c r="E111" i="68"/>
  <c r="M111" i="68"/>
  <c r="U111" i="68"/>
  <c r="AC111" i="68"/>
  <c r="AH105" i="68"/>
  <c r="AH109" i="68"/>
  <c r="E255" i="68"/>
  <c r="E121" i="68"/>
  <c r="AH79" i="68"/>
  <c r="V111" i="68"/>
  <c r="AD111" i="68"/>
  <c r="AH104" i="68"/>
  <c r="AI108" i="68"/>
  <c r="F249" i="68"/>
  <c r="AI61" i="68"/>
  <c r="G110" i="68"/>
  <c r="AR23" i="68" s="1"/>
  <c r="G103" i="68"/>
  <c r="G7" i="68" s="1"/>
  <c r="O111" i="68"/>
  <c r="W111" i="68"/>
  <c r="AE111" i="68"/>
  <c r="AI106" i="68"/>
  <c r="AI107" i="68"/>
  <c r="AI109" i="68"/>
  <c r="AH83" i="68"/>
  <c r="AH95" i="68"/>
  <c r="AI95" i="68"/>
  <c r="AH108" i="68"/>
  <c r="AF100" i="67"/>
  <c r="AF102" i="67" s="1"/>
  <c r="AF103" i="67" s="1"/>
  <c r="AE60" i="67"/>
  <c r="AE61" i="67"/>
  <c r="AE65" i="67"/>
  <c r="AE79" i="67"/>
  <c r="AE83" i="67"/>
  <c r="AE95" i="67"/>
  <c r="AE104" i="67"/>
  <c r="AE105" i="67"/>
  <c r="AE106" i="67"/>
  <c r="AE107" i="67"/>
  <c r="AE108" i="67"/>
  <c r="AE109" i="67"/>
  <c r="AE121" i="67"/>
  <c r="AD60" i="67"/>
  <c r="AD61" i="67"/>
  <c r="AD65" i="67"/>
  <c r="AD79" i="67"/>
  <c r="AD83" i="67"/>
  <c r="AD95" i="67"/>
  <c r="AD104" i="67"/>
  <c r="AD105" i="67"/>
  <c r="AD106" i="67"/>
  <c r="AD107" i="67"/>
  <c r="AD108" i="67"/>
  <c r="AD109" i="67"/>
  <c r="AD121" i="67"/>
  <c r="O249" i="69" l="1"/>
  <c r="M250" i="69"/>
  <c r="L255" i="69"/>
  <c r="M254" i="69"/>
  <c r="L121" i="69"/>
  <c r="BH24" i="68"/>
  <c r="BD24" i="68"/>
  <c r="BF22" i="68"/>
  <c r="BF24" i="68" s="1"/>
  <c r="V103" i="68"/>
  <c r="V7" i="68" s="1"/>
  <c r="N103" i="68"/>
  <c r="N7" i="68" s="1"/>
  <c r="N111" i="68"/>
  <c r="C259" i="68"/>
  <c r="B259" i="68"/>
  <c r="M103" i="68"/>
  <c r="M7" i="68" s="1"/>
  <c r="J111" i="68"/>
  <c r="H103" i="68"/>
  <c r="H7" i="68" s="1"/>
  <c r="AR24" i="68"/>
  <c r="AI100" i="68"/>
  <c r="AP24" i="68"/>
  <c r="E103" i="68"/>
  <c r="E7" i="68" s="1"/>
  <c r="AH100" i="68"/>
  <c r="B102" i="68"/>
  <c r="B103" i="68" s="1"/>
  <c r="BH83" i="68"/>
  <c r="BJ104" i="68"/>
  <c r="BL88" i="68"/>
  <c r="BJ99" i="68"/>
  <c r="BK86" i="68"/>
  <c r="BI97" i="68"/>
  <c r="BH84" i="68"/>
  <c r="BL94" i="68"/>
  <c r="BJ105" i="68"/>
  <c r="BI92" i="68"/>
  <c r="BG103" i="68"/>
  <c r="BK99" i="68"/>
  <c r="BG105" i="68"/>
  <c r="BH96" i="68"/>
  <c r="BJ82" i="68"/>
  <c r="BL97" i="68"/>
  <c r="BI96" i="68"/>
  <c r="BG93" i="68"/>
  <c r="BG85" i="68"/>
  <c r="BH105" i="68"/>
  <c r="BJ96" i="68"/>
  <c r="BI83" i="68"/>
  <c r="BG94" i="68"/>
  <c r="BK104" i="68"/>
  <c r="BJ91" i="68"/>
  <c r="BH102" i="68"/>
  <c r="BI89" i="68"/>
  <c r="BG100" i="68"/>
  <c r="BL86" i="68"/>
  <c r="BJ97" i="68"/>
  <c r="BI84" i="68"/>
  <c r="BG95" i="68"/>
  <c r="BK105" i="68"/>
  <c r="BI98" i="68"/>
  <c r="BI90" i="68"/>
  <c r="BL99" i="68"/>
  <c r="BG82" i="68"/>
  <c r="BH87" i="68"/>
  <c r="BK84" i="68"/>
  <c r="BI95" i="68"/>
  <c r="BH82" i="68"/>
  <c r="BL92" i="68"/>
  <c r="BJ103" i="68"/>
  <c r="BK90" i="68"/>
  <c r="BI101" i="68"/>
  <c r="BH88" i="68"/>
  <c r="BL98" i="68"/>
  <c r="BK85" i="68"/>
  <c r="BL87" i="68"/>
  <c r="BK103" i="68"/>
  <c r="BK95" i="68"/>
  <c r="BI86" i="68"/>
  <c r="BJ86" i="68"/>
  <c r="BJ88" i="68"/>
  <c r="BH99" i="68"/>
  <c r="BG86" i="68"/>
  <c r="BK96" i="68"/>
  <c r="BJ83" i="68"/>
  <c r="BH94" i="68"/>
  <c r="BL104" i="68"/>
  <c r="BG92" i="68"/>
  <c r="BK102" i="68"/>
  <c r="BJ89" i="68"/>
  <c r="BH100" i="68"/>
  <c r="BG87" i="68"/>
  <c r="BK97" i="68"/>
  <c r="BK87" i="68"/>
  <c r="BG83" i="68"/>
  <c r="BL85" i="68"/>
  <c r="BH93" i="68"/>
  <c r="BK91" i="68"/>
  <c r="BJ100" i="68"/>
  <c r="BI87" i="68"/>
  <c r="BL84" i="68"/>
  <c r="BJ95" i="68"/>
  <c r="BK82" i="68"/>
  <c r="BI93" i="68"/>
  <c r="BG104" i="68"/>
  <c r="BL90" i="68"/>
  <c r="BI88" i="68"/>
  <c r="BG99" i="68"/>
  <c r="BL83" i="68"/>
  <c r="BG102" i="68"/>
  <c r="BI104" i="68"/>
  <c r="BL91" i="68"/>
  <c r="BH92" i="68"/>
  <c r="BI82" i="68"/>
  <c r="BL95" i="68"/>
  <c r="BL93" i="68"/>
  <c r="BI91" i="68"/>
  <c r="BH101" i="68"/>
  <c r="BJ94" i="68"/>
  <c r="BJ84" i="68"/>
  <c r="BH95" i="68"/>
  <c r="BL105" i="68"/>
  <c r="BK92" i="68"/>
  <c r="BI103" i="68"/>
  <c r="BH90" i="68"/>
  <c r="BL100" i="68"/>
  <c r="BG88" i="68"/>
  <c r="BK98" i="68"/>
  <c r="BJ85" i="68"/>
  <c r="BK93" i="68"/>
  <c r="BH89" i="68"/>
  <c r="BK83" i="68"/>
  <c r="BG101" i="68"/>
  <c r="BL89" i="68"/>
  <c r="BG98" i="68"/>
  <c r="BJ101" i="68"/>
  <c r="BJ98" i="68"/>
  <c r="BG89" i="68"/>
  <c r="BH85" i="68"/>
  <c r="BG97" i="68"/>
  <c r="BH97" i="68"/>
  <c r="BH91" i="68"/>
  <c r="BL101" i="68"/>
  <c r="BK88" i="68"/>
  <c r="BI99" i="68"/>
  <c r="BH86" i="68"/>
  <c r="BL96" i="68"/>
  <c r="BG84" i="68"/>
  <c r="BK94" i="68"/>
  <c r="BI105" i="68"/>
  <c r="BL102" i="68"/>
  <c r="BK89" i="68"/>
  <c r="BI100" i="68"/>
  <c r="BL103" i="68"/>
  <c r="BI94" i="68"/>
  <c r="BJ90" i="68"/>
  <c r="BI102" i="68"/>
  <c r="BJ102" i="68"/>
  <c r="BJ92" i="68"/>
  <c r="BH103" i="68"/>
  <c r="BG90" i="68"/>
  <c r="BK100" i="68"/>
  <c r="BJ87" i="68"/>
  <c r="BH98" i="68"/>
  <c r="BI85" i="68"/>
  <c r="BG96" i="68"/>
  <c r="BL82" i="68"/>
  <c r="BJ93" i="68"/>
  <c r="BH104" i="68"/>
  <c r="BG91" i="68"/>
  <c r="AH113" i="68"/>
  <c r="AI113" i="68"/>
  <c r="AI110" i="68"/>
  <c r="AH110" i="68"/>
  <c r="AM23" i="68"/>
  <c r="AM24" i="68" s="1"/>
  <c r="G111" i="68"/>
  <c r="AI102" i="68"/>
  <c r="F103" i="68"/>
  <c r="F7" i="68" s="1"/>
  <c r="F111" i="68"/>
  <c r="AT8" i="68"/>
  <c r="G249" i="68"/>
  <c r="F255" i="68"/>
  <c r="F121" i="68"/>
  <c r="AD103" i="68"/>
  <c r="AD7" i="68" s="1"/>
  <c r="AE110" i="67"/>
  <c r="AE111" i="67" s="1"/>
  <c r="AE100" i="67"/>
  <c r="AE102" i="67" s="1"/>
  <c r="AD110" i="67"/>
  <c r="AD111" i="67" s="1"/>
  <c r="AD100" i="67"/>
  <c r="AD102" i="67" s="1"/>
  <c r="AD103" i="67" s="1"/>
  <c r="AC60" i="67"/>
  <c r="AC61" i="67"/>
  <c r="AC65" i="67"/>
  <c r="AC79" i="67"/>
  <c r="AC83" i="67"/>
  <c r="AC95" i="67"/>
  <c r="AC104" i="67"/>
  <c r="AC105" i="67"/>
  <c r="AC106" i="67"/>
  <c r="AC107" i="67"/>
  <c r="AC108" i="67"/>
  <c r="AC109" i="67"/>
  <c r="AC121" i="67"/>
  <c r="AB60" i="67"/>
  <c r="AB61" i="67"/>
  <c r="AB65" i="67"/>
  <c r="AB79" i="67"/>
  <c r="AB83" i="67"/>
  <c r="AB95" i="67"/>
  <c r="AB104" i="67"/>
  <c r="AB105" i="67"/>
  <c r="AB106" i="67"/>
  <c r="AB107" i="67"/>
  <c r="AB108" i="67"/>
  <c r="AB109" i="67"/>
  <c r="AB121" i="67"/>
  <c r="AA60" i="67"/>
  <c r="Z60" i="67"/>
  <c r="Y60" i="67"/>
  <c r="X60" i="67"/>
  <c r="W60" i="67"/>
  <c r="V60" i="67"/>
  <c r="U60" i="67"/>
  <c r="T60" i="67"/>
  <c r="S60" i="67"/>
  <c r="R60" i="67"/>
  <c r="R61" i="67"/>
  <c r="R65" i="67"/>
  <c r="R79" i="67"/>
  <c r="R83" i="67"/>
  <c r="AT9" i="68" l="1"/>
  <c r="N254" i="69"/>
  <c r="M121" i="69"/>
  <c r="N250" i="69"/>
  <c r="M255" i="69"/>
  <c r="P249" i="69"/>
  <c r="K6" i="68"/>
  <c r="AH102" i="68"/>
  <c r="H249" i="68"/>
  <c r="G255" i="68"/>
  <c r="G121" i="68"/>
  <c r="AI103" i="68"/>
  <c r="AH103" i="68"/>
  <c r="B7" i="68"/>
  <c r="A7" i="68" s="1"/>
  <c r="AI111" i="68"/>
  <c r="AH111" i="68"/>
  <c r="AE103" i="67"/>
  <c r="AC110" i="67"/>
  <c r="AC111" i="67"/>
  <c r="AC100" i="67"/>
  <c r="AC102" i="67" s="1"/>
  <c r="AC103" i="67" s="1"/>
  <c r="AB110" i="67"/>
  <c r="AB111" i="67" s="1"/>
  <c r="AB100" i="67"/>
  <c r="AB102" i="67" s="1"/>
  <c r="Q60" i="67"/>
  <c r="P60" i="67"/>
  <c r="O60" i="67"/>
  <c r="O61" i="67"/>
  <c r="O65" i="67"/>
  <c r="O79" i="67"/>
  <c r="O83" i="67"/>
  <c r="N60" i="67"/>
  <c r="N61" i="67"/>
  <c r="N65" i="67"/>
  <c r="N79" i="67"/>
  <c r="N83" i="67"/>
  <c r="M60" i="67"/>
  <c r="L124" i="67"/>
  <c r="L60" i="67"/>
  <c r="K124" i="67"/>
  <c r="K60" i="67"/>
  <c r="J124" i="67"/>
  <c r="J60" i="67"/>
  <c r="Q249" i="69" l="1"/>
  <c r="O250" i="69"/>
  <c r="N255" i="69"/>
  <c r="O254" i="69"/>
  <c r="N121" i="69"/>
  <c r="I249" i="68"/>
  <c r="H255" i="68"/>
  <c r="H121" i="68"/>
  <c r="AB103" i="67"/>
  <c r="I124" i="67"/>
  <c r="I60" i="67"/>
  <c r="H124" i="67"/>
  <c r="H60" i="67"/>
  <c r="G124" i="67"/>
  <c r="G60" i="67"/>
  <c r="F124" i="67"/>
  <c r="F60" i="67"/>
  <c r="F61" i="67"/>
  <c r="F65" i="67"/>
  <c r="E124" i="67"/>
  <c r="P254" i="69" l="1"/>
  <c r="Q254" i="69" s="1"/>
  <c r="R254" i="69" s="1"/>
  <c r="S254" i="69" s="1"/>
  <c r="T254" i="69" s="1"/>
  <c r="U254" i="69" s="1"/>
  <c r="V254" i="69" s="1"/>
  <c r="W254" i="69" s="1"/>
  <c r="X254" i="69" s="1"/>
  <c r="Y254" i="69" s="1"/>
  <c r="Z254" i="69" s="1"/>
  <c r="AA254" i="69" s="1"/>
  <c r="AB254" i="69" s="1"/>
  <c r="AC254" i="69" s="1"/>
  <c r="AD254" i="69" s="1"/>
  <c r="AE254" i="69" s="1"/>
  <c r="AF254" i="69" s="1"/>
  <c r="B254" i="69" s="1"/>
  <c r="O121" i="69"/>
  <c r="P250" i="69"/>
  <c r="O255" i="69"/>
  <c r="Q121" i="69"/>
  <c r="R249" i="69"/>
  <c r="J249" i="68"/>
  <c r="I255" i="68"/>
  <c r="I121" i="68"/>
  <c r="D124" i="67"/>
  <c r="D60" i="67"/>
  <c r="D49" i="67"/>
  <c r="D61" i="67" s="1"/>
  <c r="D100" i="67" s="1"/>
  <c r="D65" i="67"/>
  <c r="D79" i="67"/>
  <c r="D83" i="67"/>
  <c r="AO20" i="67" s="1"/>
  <c r="AH128" i="67"/>
  <c r="AI128" i="67"/>
  <c r="AH127" i="67"/>
  <c r="AI127" i="67"/>
  <c r="C124" i="67"/>
  <c r="C60" i="67"/>
  <c r="C49" i="67"/>
  <c r="C61" i="67" s="1"/>
  <c r="C65" i="67"/>
  <c r="C79" i="67"/>
  <c r="C83" i="67"/>
  <c r="B124" i="67"/>
  <c r="B60" i="67"/>
  <c r="B121" i="67"/>
  <c r="B109" i="67"/>
  <c r="B108" i="67"/>
  <c r="B107" i="67"/>
  <c r="B106" i="67"/>
  <c r="B105" i="67"/>
  <c r="B104" i="67"/>
  <c r="B95" i="67"/>
  <c r="B83" i="67"/>
  <c r="B79" i="67"/>
  <c r="AM18" i="67" s="1"/>
  <c r="B65" i="67"/>
  <c r="B61" i="67"/>
  <c r="AM16" i="67" s="1"/>
  <c r="B49" i="67"/>
  <c r="AG255" i="67"/>
  <c r="C255" i="67"/>
  <c r="D254" i="67"/>
  <c r="D253" i="67"/>
  <c r="E253" i="67" s="1"/>
  <c r="F253" i="67" s="1"/>
  <c r="G253" i="67" s="1"/>
  <c r="H253" i="67" s="1"/>
  <c r="I253" i="67" s="1"/>
  <c r="J253" i="67" s="1"/>
  <c r="K253" i="67" s="1"/>
  <c r="L253" i="67" s="1"/>
  <c r="M253" i="67" s="1"/>
  <c r="N253" i="67" s="1"/>
  <c r="O253" i="67" s="1"/>
  <c r="P253" i="67" s="1"/>
  <c r="Q253" i="67" s="1"/>
  <c r="R253" i="67" s="1"/>
  <c r="S253" i="67" s="1"/>
  <c r="T253" i="67" s="1"/>
  <c r="U253" i="67" s="1"/>
  <c r="V253" i="67" s="1"/>
  <c r="W253" i="67" s="1"/>
  <c r="X253" i="67" s="1"/>
  <c r="Y253" i="67" s="1"/>
  <c r="Z253" i="67" s="1"/>
  <c r="AA253" i="67" s="1"/>
  <c r="AB253" i="67" s="1"/>
  <c r="AC253" i="67" s="1"/>
  <c r="AD253" i="67" s="1"/>
  <c r="AE253" i="67" s="1"/>
  <c r="AF253" i="67" s="1"/>
  <c r="B253" i="67" s="1"/>
  <c r="D252" i="67"/>
  <c r="E252" i="67" s="1"/>
  <c r="F252" i="67" s="1"/>
  <c r="G252" i="67" s="1"/>
  <c r="H252" i="67" s="1"/>
  <c r="I252" i="67" s="1"/>
  <c r="J252" i="67" s="1"/>
  <c r="K252" i="67" s="1"/>
  <c r="L252" i="67" s="1"/>
  <c r="M252" i="67" s="1"/>
  <c r="N252" i="67" s="1"/>
  <c r="O252" i="67" s="1"/>
  <c r="P252" i="67" s="1"/>
  <c r="Q252" i="67" s="1"/>
  <c r="R252" i="67" s="1"/>
  <c r="S252" i="67" s="1"/>
  <c r="T252" i="67" s="1"/>
  <c r="U252" i="67" s="1"/>
  <c r="V252" i="67" s="1"/>
  <c r="W252" i="67" s="1"/>
  <c r="X252" i="67" s="1"/>
  <c r="Y252" i="67" s="1"/>
  <c r="Z252" i="67" s="1"/>
  <c r="AA252" i="67" s="1"/>
  <c r="AB252" i="67" s="1"/>
  <c r="AC252" i="67" s="1"/>
  <c r="AD252" i="67" s="1"/>
  <c r="AE252" i="67" s="1"/>
  <c r="AF252" i="67" s="1"/>
  <c r="B252" i="67" s="1"/>
  <c r="D251" i="67"/>
  <c r="E251" i="67" s="1"/>
  <c r="F251" i="67" s="1"/>
  <c r="G251" i="67" s="1"/>
  <c r="H251" i="67" s="1"/>
  <c r="I251" i="67" s="1"/>
  <c r="J251" i="67" s="1"/>
  <c r="K251" i="67" s="1"/>
  <c r="L251" i="67" s="1"/>
  <c r="M251" i="67" s="1"/>
  <c r="N251" i="67" s="1"/>
  <c r="O251" i="67" s="1"/>
  <c r="P251" i="67" s="1"/>
  <c r="Q251" i="67" s="1"/>
  <c r="R251" i="67" s="1"/>
  <c r="S251" i="67" s="1"/>
  <c r="T251" i="67" s="1"/>
  <c r="U251" i="67" s="1"/>
  <c r="V251" i="67" s="1"/>
  <c r="W251" i="67" s="1"/>
  <c r="X251" i="67" s="1"/>
  <c r="Y251" i="67" s="1"/>
  <c r="Z251" i="67" s="1"/>
  <c r="AA251" i="67" s="1"/>
  <c r="AB251" i="67" s="1"/>
  <c r="AC251" i="67" s="1"/>
  <c r="AD251" i="67" s="1"/>
  <c r="AE251" i="67" s="1"/>
  <c r="AF251" i="67" s="1"/>
  <c r="B251" i="67" s="1"/>
  <c r="D250" i="67"/>
  <c r="E250" i="67" s="1"/>
  <c r="F250" i="67" s="1"/>
  <c r="G250" i="67" s="1"/>
  <c r="H250" i="67" s="1"/>
  <c r="I250" i="67" s="1"/>
  <c r="J250" i="67" s="1"/>
  <c r="K250" i="67" s="1"/>
  <c r="L250" i="67" s="1"/>
  <c r="M250" i="67" s="1"/>
  <c r="N250" i="67" s="1"/>
  <c r="O250" i="67" s="1"/>
  <c r="P250" i="67" s="1"/>
  <c r="Q250" i="67" s="1"/>
  <c r="R250" i="67" s="1"/>
  <c r="S250" i="67" s="1"/>
  <c r="T250" i="67" s="1"/>
  <c r="U250" i="67" s="1"/>
  <c r="V250" i="67" s="1"/>
  <c r="W250" i="67" s="1"/>
  <c r="X250" i="67" s="1"/>
  <c r="Y250" i="67" s="1"/>
  <c r="Z250" i="67" s="1"/>
  <c r="AA250" i="67" s="1"/>
  <c r="AB250" i="67" s="1"/>
  <c r="AC250" i="67" s="1"/>
  <c r="AD250" i="67" s="1"/>
  <c r="AE250" i="67" s="1"/>
  <c r="AF250" i="67" s="1"/>
  <c r="B250" i="67" s="1"/>
  <c r="D249" i="67"/>
  <c r="D255" i="67" s="1"/>
  <c r="AG247" i="67"/>
  <c r="AF247" i="67"/>
  <c r="AE247" i="67"/>
  <c r="AD247" i="67"/>
  <c r="AC247" i="67"/>
  <c r="AB247" i="67"/>
  <c r="AA247" i="67"/>
  <c r="Z247" i="67"/>
  <c r="Y247" i="67"/>
  <c r="Y121" i="67" s="1"/>
  <c r="X247" i="67"/>
  <c r="W247" i="67"/>
  <c r="V247" i="67"/>
  <c r="U247" i="67"/>
  <c r="T247" i="67"/>
  <c r="S247" i="67"/>
  <c r="R247" i="67"/>
  <c r="Q247" i="67"/>
  <c r="P247" i="67"/>
  <c r="O247" i="67"/>
  <c r="N247" i="67"/>
  <c r="M247" i="67"/>
  <c r="L247" i="67"/>
  <c r="K247" i="67"/>
  <c r="J247" i="67"/>
  <c r="I247" i="67"/>
  <c r="H247" i="67"/>
  <c r="G247" i="67"/>
  <c r="F247" i="67"/>
  <c r="E247" i="67"/>
  <c r="D247" i="67"/>
  <c r="C247" i="67"/>
  <c r="B247" i="67"/>
  <c r="AI133" i="67"/>
  <c r="AH133" i="67"/>
  <c r="AI132" i="67"/>
  <c r="AH132" i="67"/>
  <c r="AI131" i="67"/>
  <c r="AH131" i="67"/>
  <c r="AI130" i="67"/>
  <c r="AH130" i="67"/>
  <c r="AI129" i="67"/>
  <c r="AH129" i="67"/>
  <c r="AI126" i="67"/>
  <c r="AH126" i="67"/>
  <c r="AI125" i="67"/>
  <c r="AH125" i="67"/>
  <c r="AI124" i="67"/>
  <c r="AH124" i="67"/>
  <c r="AI123" i="67"/>
  <c r="AH123" i="67"/>
  <c r="AI122" i="67"/>
  <c r="AH122" i="67"/>
  <c r="Z121" i="67"/>
  <c r="C121" i="67"/>
  <c r="AI120" i="67"/>
  <c r="AH120" i="67"/>
  <c r="AI119" i="67"/>
  <c r="AH119" i="67"/>
  <c r="AI118" i="67"/>
  <c r="AH118" i="67"/>
  <c r="AI117" i="67"/>
  <c r="AH117" i="67"/>
  <c r="AI116" i="67"/>
  <c r="AH116" i="67"/>
  <c r="AI115" i="67"/>
  <c r="AH115" i="67"/>
  <c r="AI114" i="67"/>
  <c r="AH114" i="67"/>
  <c r="AI113" i="67"/>
  <c r="AH113" i="67"/>
  <c r="AI112" i="67"/>
  <c r="AH112" i="67"/>
  <c r="AI109" i="67"/>
  <c r="AA109" i="67"/>
  <c r="Z109" i="67"/>
  <c r="Y109" i="67"/>
  <c r="X109" i="67"/>
  <c r="W109" i="67"/>
  <c r="V109" i="67"/>
  <c r="U109" i="67"/>
  <c r="T109" i="67"/>
  <c r="S109" i="67"/>
  <c r="R109" i="67"/>
  <c r="Q109" i="67"/>
  <c r="P109" i="67"/>
  <c r="O109" i="67"/>
  <c r="N109" i="67"/>
  <c r="M109" i="67"/>
  <c r="L109" i="67"/>
  <c r="K109" i="67"/>
  <c r="J109" i="67"/>
  <c r="I109" i="67"/>
  <c r="H109" i="67"/>
  <c r="G109" i="67"/>
  <c r="F109" i="67"/>
  <c r="E109" i="67"/>
  <c r="D109" i="67"/>
  <c r="C109" i="67"/>
  <c r="AH109" i="67"/>
  <c r="AA108" i="67"/>
  <c r="Z108" i="67"/>
  <c r="Y108" i="67"/>
  <c r="X108" i="67"/>
  <c r="W108" i="67"/>
  <c r="V108" i="67"/>
  <c r="U108" i="67"/>
  <c r="T108" i="67"/>
  <c r="S108" i="67"/>
  <c r="R108" i="67"/>
  <c r="Q108" i="67"/>
  <c r="P108" i="67"/>
  <c r="O108" i="67"/>
  <c r="N108" i="67"/>
  <c r="M108" i="67"/>
  <c r="L108" i="67"/>
  <c r="K108" i="67"/>
  <c r="J108" i="67"/>
  <c r="I108" i="67"/>
  <c r="H108" i="67"/>
  <c r="G108" i="67"/>
  <c r="F108" i="67"/>
  <c r="E108" i="67"/>
  <c r="D108" i="67"/>
  <c r="C108" i="67"/>
  <c r="AA107" i="67"/>
  <c r="Z107" i="67"/>
  <c r="Y107" i="67"/>
  <c r="X107" i="67"/>
  <c r="W107" i="67"/>
  <c r="V107" i="67"/>
  <c r="U107" i="67"/>
  <c r="T107" i="67"/>
  <c r="S107" i="67"/>
  <c r="R107" i="67"/>
  <c r="Q107" i="67"/>
  <c r="P107" i="67"/>
  <c r="O107" i="67"/>
  <c r="N107" i="67"/>
  <c r="M107" i="67"/>
  <c r="L107" i="67"/>
  <c r="K107" i="67"/>
  <c r="J107" i="67"/>
  <c r="I107" i="67"/>
  <c r="H107" i="67"/>
  <c r="G107" i="67"/>
  <c r="F107" i="67"/>
  <c r="E107" i="67"/>
  <c r="D107" i="67"/>
  <c r="C107" i="67"/>
  <c r="AA106" i="67"/>
  <c r="Z106" i="67"/>
  <c r="Y106" i="67"/>
  <c r="X106" i="67"/>
  <c r="W106" i="67"/>
  <c r="V106" i="67"/>
  <c r="U106" i="67"/>
  <c r="T106" i="67"/>
  <c r="S106" i="67"/>
  <c r="R106" i="67"/>
  <c r="Q106" i="67"/>
  <c r="Q110" i="67" s="1"/>
  <c r="AY23" i="67" s="1"/>
  <c r="P106" i="67"/>
  <c r="O106" i="67"/>
  <c r="N106" i="67"/>
  <c r="M106" i="67"/>
  <c r="L106" i="67"/>
  <c r="K106" i="67"/>
  <c r="J106" i="67"/>
  <c r="I106" i="67"/>
  <c r="H106" i="67"/>
  <c r="G106" i="67"/>
  <c r="F106" i="67"/>
  <c r="E106" i="67"/>
  <c r="D106" i="67"/>
  <c r="C106" i="67"/>
  <c r="AA105" i="67"/>
  <c r="Z105" i="67"/>
  <c r="Y105" i="67"/>
  <c r="X105" i="67"/>
  <c r="W105" i="67"/>
  <c r="V105" i="67"/>
  <c r="U105" i="67"/>
  <c r="T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G105" i="67"/>
  <c r="F105" i="67"/>
  <c r="E105" i="67"/>
  <c r="D105" i="67"/>
  <c r="C105" i="67"/>
  <c r="AI105" i="67"/>
  <c r="AA104" i="67"/>
  <c r="AA110" i="67" s="1"/>
  <c r="Z104" i="67"/>
  <c r="Y104" i="67"/>
  <c r="Y110" i="67" s="1"/>
  <c r="X104" i="67"/>
  <c r="W104" i="67"/>
  <c r="V104" i="67"/>
  <c r="V110" i="67" s="1"/>
  <c r="U104" i="67"/>
  <c r="T104" i="67"/>
  <c r="S104" i="67"/>
  <c r="S110" i="67" s="1"/>
  <c r="R104" i="67"/>
  <c r="Q104" i="67"/>
  <c r="P104" i="67"/>
  <c r="O104" i="67"/>
  <c r="O110" i="67" s="1"/>
  <c r="AW23" i="67" s="1"/>
  <c r="N104" i="67"/>
  <c r="N110" i="67" s="1"/>
  <c r="M104" i="67"/>
  <c r="L104" i="67"/>
  <c r="K104" i="67"/>
  <c r="J104" i="67"/>
  <c r="I104" i="67"/>
  <c r="H104" i="67"/>
  <c r="G104" i="67"/>
  <c r="F104" i="67"/>
  <c r="F110" i="67" s="1"/>
  <c r="AQ23" i="67" s="1"/>
  <c r="E104" i="67"/>
  <c r="D104" i="67"/>
  <c r="C104" i="67"/>
  <c r="C110" i="67" s="1"/>
  <c r="AN23" i="67" s="1"/>
  <c r="AI101" i="67"/>
  <c r="AH101" i="67"/>
  <c r="AI99" i="67"/>
  <c r="AH99" i="67"/>
  <c r="AG99" i="67"/>
  <c r="AI98" i="67"/>
  <c r="AH98" i="67"/>
  <c r="AI97" i="67"/>
  <c r="AH97" i="67"/>
  <c r="AI96" i="67"/>
  <c r="AH96" i="67"/>
  <c r="AG95" i="67"/>
  <c r="AA95" i="67"/>
  <c r="Z95" i="67"/>
  <c r="Y95" i="67"/>
  <c r="X95" i="67"/>
  <c r="W95" i="67"/>
  <c r="V95" i="67"/>
  <c r="V111" i="67" s="1"/>
  <c r="U95" i="67"/>
  <c r="BC19" i="67" s="1"/>
  <c r="T95" i="67"/>
  <c r="S5" i="67" s="1"/>
  <c r="S95" i="67"/>
  <c r="S111" i="67" s="1"/>
  <c r="R95" i="67"/>
  <c r="R100" i="67" s="1"/>
  <c r="R102" i="67" s="1"/>
  <c r="Q95" i="67"/>
  <c r="P95" i="67"/>
  <c r="O95" i="67"/>
  <c r="O100" i="67" s="1"/>
  <c r="O102" i="67" s="1"/>
  <c r="N95" i="67"/>
  <c r="N111" i="67" s="1"/>
  <c r="M95" i="67"/>
  <c r="AU19" i="67" s="1"/>
  <c r="L95" i="67"/>
  <c r="K5" i="67" s="1"/>
  <c r="K95" i="67"/>
  <c r="J95" i="67"/>
  <c r="I95" i="67"/>
  <c r="H95" i="67"/>
  <c r="G95" i="67"/>
  <c r="F95" i="67"/>
  <c r="F100" i="67" s="1"/>
  <c r="F102" i="67" s="1"/>
  <c r="E95" i="67"/>
  <c r="D5" i="67" s="1"/>
  <c r="D95" i="67"/>
  <c r="AO19" i="67" s="1"/>
  <c r="C95" i="67"/>
  <c r="C100" i="67" s="1"/>
  <c r="AI94" i="67"/>
  <c r="AH94" i="67"/>
  <c r="AI93" i="67"/>
  <c r="AH93" i="67"/>
  <c r="AI92" i="67"/>
  <c r="AH92" i="67"/>
  <c r="AI91" i="67"/>
  <c r="AH91" i="67"/>
  <c r="AI90" i="67"/>
  <c r="AH90" i="67"/>
  <c r="AI89" i="67"/>
  <c r="AH89" i="67"/>
  <c r="AI88" i="67"/>
  <c r="AH88" i="67"/>
  <c r="AI87" i="67"/>
  <c r="AH87" i="67"/>
  <c r="AI86" i="67"/>
  <c r="AH86" i="67"/>
  <c r="AI85" i="67"/>
  <c r="AH85" i="67"/>
  <c r="AI84" i="67"/>
  <c r="AH84" i="67"/>
  <c r="AG83" i="67"/>
  <c r="AA83" i="67"/>
  <c r="Z83" i="67"/>
  <c r="BF20" i="67" s="1"/>
  <c r="Y83" i="67"/>
  <c r="X83" i="67"/>
  <c r="BE20" i="67" s="1"/>
  <c r="W83" i="67"/>
  <c r="V83" i="67"/>
  <c r="U83" i="67"/>
  <c r="T83" i="67"/>
  <c r="S83" i="67"/>
  <c r="BA20" i="67" s="1"/>
  <c r="Q83" i="67"/>
  <c r="P83" i="67"/>
  <c r="M83" i="67"/>
  <c r="L83" i="67"/>
  <c r="K83" i="67"/>
  <c r="J83" i="67"/>
  <c r="I83" i="67"/>
  <c r="H83" i="67"/>
  <c r="G83" i="67"/>
  <c r="F83" i="67"/>
  <c r="E83" i="67"/>
  <c r="AI82" i="67"/>
  <c r="AH82" i="67"/>
  <c r="AI81" i="67"/>
  <c r="AH81" i="67"/>
  <c r="AI80" i="67"/>
  <c r="AH80" i="67"/>
  <c r="AA79" i="67"/>
  <c r="Z79" i="67"/>
  <c r="Y79" i="67"/>
  <c r="X79" i="67"/>
  <c r="BE18" i="67" s="1"/>
  <c r="W79" i="67"/>
  <c r="V79" i="67"/>
  <c r="U79" i="67"/>
  <c r="T79" i="67"/>
  <c r="S79" i="67"/>
  <c r="BA18" i="67" s="1"/>
  <c r="Q79" i="67"/>
  <c r="AY18" i="67" s="1"/>
  <c r="P79" i="67"/>
  <c r="AX18" i="67" s="1"/>
  <c r="M79" i="67"/>
  <c r="L79" i="67"/>
  <c r="K79" i="67"/>
  <c r="J79" i="67"/>
  <c r="I79" i="67"/>
  <c r="H79" i="67"/>
  <c r="G79" i="67"/>
  <c r="AR18" i="67" s="1"/>
  <c r="F79" i="67"/>
  <c r="E79" i="67"/>
  <c r="BH78" i="67"/>
  <c r="BD78" i="67"/>
  <c r="AI78" i="67"/>
  <c r="AH78" i="67"/>
  <c r="AG78" i="67"/>
  <c r="AG79" i="67" s="1"/>
  <c r="BI77" i="67"/>
  <c r="AI77" i="67"/>
  <c r="AH77" i="67"/>
  <c r="AI76" i="67"/>
  <c r="AH76" i="67"/>
  <c r="AI75" i="67"/>
  <c r="AH75" i="67"/>
  <c r="BO74" i="67"/>
  <c r="BG74" i="67"/>
  <c r="AI74" i="67"/>
  <c r="AH74" i="67"/>
  <c r="AI73" i="67"/>
  <c r="AH73" i="67"/>
  <c r="AI72" i="67"/>
  <c r="AH72" i="67"/>
  <c r="BW71" i="67"/>
  <c r="BW78" i="67" s="1"/>
  <c r="BV71" i="67"/>
  <c r="BV78" i="67" s="1"/>
  <c r="BU71" i="67"/>
  <c r="BU78" i="67" s="1"/>
  <c r="BT71" i="67"/>
  <c r="BT78" i="67" s="1"/>
  <c r="BS71" i="67"/>
  <c r="BS78" i="67" s="1"/>
  <c r="BR71" i="67"/>
  <c r="BR78" i="67" s="1"/>
  <c r="BQ71" i="67"/>
  <c r="BQ78" i="67" s="1"/>
  <c r="BP71" i="67"/>
  <c r="BP78" i="67" s="1"/>
  <c r="BO71" i="67"/>
  <c r="BO78" i="67" s="1"/>
  <c r="BN71" i="67"/>
  <c r="BN78" i="67" s="1"/>
  <c r="BM71" i="67"/>
  <c r="BM78" i="67" s="1"/>
  <c r="BL71" i="67"/>
  <c r="BL78" i="67" s="1"/>
  <c r="BK71" i="67"/>
  <c r="BK78" i="67" s="1"/>
  <c r="BJ71" i="67"/>
  <c r="BJ78" i="67" s="1"/>
  <c r="BI71" i="67"/>
  <c r="BI78" i="67" s="1"/>
  <c r="BH71" i="67"/>
  <c r="BG71" i="67"/>
  <c r="BG78" i="67" s="1"/>
  <c r="BF71" i="67"/>
  <c r="BF78" i="67" s="1"/>
  <c r="BE71" i="67"/>
  <c r="BE78" i="67" s="1"/>
  <c r="BD71" i="67"/>
  <c r="BC71" i="67"/>
  <c r="BC78" i="67" s="1"/>
  <c r="BB71" i="67"/>
  <c r="BB78" i="67" s="1"/>
  <c r="BA71" i="67"/>
  <c r="BA78" i="67" s="1"/>
  <c r="AZ71" i="67"/>
  <c r="AZ78" i="67" s="1"/>
  <c r="AI71" i="67"/>
  <c r="AH71" i="67"/>
  <c r="BW70" i="67"/>
  <c r="BW77" i="67" s="1"/>
  <c r="BV70" i="67"/>
  <c r="BV77" i="67" s="1"/>
  <c r="BU70" i="67"/>
  <c r="BU77" i="67" s="1"/>
  <c r="BT70" i="67"/>
  <c r="BT77" i="67" s="1"/>
  <c r="BS70" i="67"/>
  <c r="BS77" i="67" s="1"/>
  <c r="BR70" i="67"/>
  <c r="BR77" i="67" s="1"/>
  <c r="BQ70" i="67"/>
  <c r="BQ77" i="67" s="1"/>
  <c r="BP70" i="67"/>
  <c r="BP77" i="67" s="1"/>
  <c r="BO70" i="67"/>
  <c r="BO77" i="67" s="1"/>
  <c r="BN70" i="67"/>
  <c r="BN77" i="67" s="1"/>
  <c r="BM70" i="67"/>
  <c r="BM77" i="67" s="1"/>
  <c r="BL70" i="67"/>
  <c r="BL77" i="67" s="1"/>
  <c r="BK70" i="67"/>
  <c r="BK77" i="67" s="1"/>
  <c r="BJ70" i="67"/>
  <c r="BJ77" i="67" s="1"/>
  <c r="BI70" i="67"/>
  <c r="BH70" i="67"/>
  <c r="BH77" i="67" s="1"/>
  <c r="BG70" i="67"/>
  <c r="BG77" i="67" s="1"/>
  <c r="BF70" i="67"/>
  <c r="BF77" i="67" s="1"/>
  <c r="BE70" i="67"/>
  <c r="BE77" i="67" s="1"/>
  <c r="BD70" i="67"/>
  <c r="BD77" i="67" s="1"/>
  <c r="BC70" i="67"/>
  <c r="BC77" i="67" s="1"/>
  <c r="BB70" i="67"/>
  <c r="BB77" i="67" s="1"/>
  <c r="BA70" i="67"/>
  <c r="BA77" i="67" s="1"/>
  <c r="AZ70" i="67"/>
  <c r="AZ77" i="67" s="1"/>
  <c r="AI70" i="67"/>
  <c r="AH70" i="67"/>
  <c r="BW69" i="67"/>
  <c r="BW76" i="67" s="1"/>
  <c r="BV69" i="67"/>
  <c r="BV76" i="67" s="1"/>
  <c r="BU69" i="67"/>
  <c r="BU76" i="67" s="1"/>
  <c r="BT69" i="67"/>
  <c r="BT76" i="67" s="1"/>
  <c r="BS69" i="67"/>
  <c r="BS76" i="67" s="1"/>
  <c r="BR69" i="67"/>
  <c r="BR76" i="67" s="1"/>
  <c r="BQ69" i="67"/>
  <c r="BQ76" i="67" s="1"/>
  <c r="BP69" i="67"/>
  <c r="BP76" i="67" s="1"/>
  <c r="BO69" i="67"/>
  <c r="BO76" i="67" s="1"/>
  <c r="BN69" i="67"/>
  <c r="BN76" i="67" s="1"/>
  <c r="BM69" i="67"/>
  <c r="BM76" i="67" s="1"/>
  <c r="BL69" i="67"/>
  <c r="BL76" i="67" s="1"/>
  <c r="BK69" i="67"/>
  <c r="BK76" i="67" s="1"/>
  <c r="BJ69" i="67"/>
  <c r="BJ76" i="67" s="1"/>
  <c r="BI69" i="67"/>
  <c r="BI76" i="67" s="1"/>
  <c r="BH69" i="67"/>
  <c r="BH76" i="67" s="1"/>
  <c r="BG69" i="67"/>
  <c r="BG76" i="67" s="1"/>
  <c r="BF69" i="67"/>
  <c r="BF76" i="67" s="1"/>
  <c r="BE69" i="67"/>
  <c r="BE76" i="67" s="1"/>
  <c r="BD69" i="67"/>
  <c r="BD76" i="67" s="1"/>
  <c r="BC69" i="67"/>
  <c r="BC76" i="67" s="1"/>
  <c r="BB69" i="67"/>
  <c r="BB76" i="67" s="1"/>
  <c r="BA69" i="67"/>
  <c r="BA76" i="67" s="1"/>
  <c r="AZ69" i="67"/>
  <c r="AZ76" i="67" s="1"/>
  <c r="AI69" i="67"/>
  <c r="AH69" i="67"/>
  <c r="BW68" i="67"/>
  <c r="BW75" i="67" s="1"/>
  <c r="BV68" i="67"/>
  <c r="BV75" i="67" s="1"/>
  <c r="BU68" i="67"/>
  <c r="BU75" i="67" s="1"/>
  <c r="BT68" i="67"/>
  <c r="BT75" i="67" s="1"/>
  <c r="BS68" i="67"/>
  <c r="BS75" i="67" s="1"/>
  <c r="BR68" i="67"/>
  <c r="BR75" i="67" s="1"/>
  <c r="BQ68" i="67"/>
  <c r="BQ75" i="67" s="1"/>
  <c r="BP68" i="67"/>
  <c r="BP75" i="67" s="1"/>
  <c r="BO68" i="67"/>
  <c r="BO75" i="67" s="1"/>
  <c r="BN68" i="67"/>
  <c r="BN75" i="67" s="1"/>
  <c r="BM68" i="67"/>
  <c r="BM75" i="67" s="1"/>
  <c r="BL68" i="67"/>
  <c r="BL75" i="67" s="1"/>
  <c r="BK68" i="67"/>
  <c r="BK75" i="67" s="1"/>
  <c r="BJ68" i="67"/>
  <c r="BJ75" i="67" s="1"/>
  <c r="BI68" i="67"/>
  <c r="BI75" i="67" s="1"/>
  <c r="BH68" i="67"/>
  <c r="BH75" i="67" s="1"/>
  <c r="BG68" i="67"/>
  <c r="BG75" i="67" s="1"/>
  <c r="BF68" i="67"/>
  <c r="BF75" i="67" s="1"/>
  <c r="BE68" i="67"/>
  <c r="BE75" i="67" s="1"/>
  <c r="BD68" i="67"/>
  <c r="BD75" i="67" s="1"/>
  <c r="BC68" i="67"/>
  <c r="BC75" i="67" s="1"/>
  <c r="BB68" i="67"/>
  <c r="BB75" i="67" s="1"/>
  <c r="BA68" i="67"/>
  <c r="BA75" i="67" s="1"/>
  <c r="AZ68" i="67"/>
  <c r="AZ75" i="67" s="1"/>
  <c r="AI68" i="67"/>
  <c r="AH68" i="67"/>
  <c r="BW67" i="67"/>
  <c r="BW74" i="67" s="1"/>
  <c r="BV67" i="67"/>
  <c r="BV74" i="67" s="1"/>
  <c r="BU67" i="67"/>
  <c r="BU74" i="67" s="1"/>
  <c r="BT67" i="67"/>
  <c r="BT74" i="67" s="1"/>
  <c r="BS67" i="67"/>
  <c r="BS74" i="67" s="1"/>
  <c r="BR67" i="67"/>
  <c r="BR74" i="67" s="1"/>
  <c r="BQ67" i="67"/>
  <c r="BQ74" i="67" s="1"/>
  <c r="BP67" i="67"/>
  <c r="BP74" i="67" s="1"/>
  <c r="BO67" i="67"/>
  <c r="BN67" i="67"/>
  <c r="BN74" i="67" s="1"/>
  <c r="BM67" i="67"/>
  <c r="BM74" i="67" s="1"/>
  <c r="BL67" i="67"/>
  <c r="BL74" i="67" s="1"/>
  <c r="BK67" i="67"/>
  <c r="BK74" i="67" s="1"/>
  <c r="BJ67" i="67"/>
  <c r="BJ74" i="67" s="1"/>
  <c r="BI67" i="67"/>
  <c r="BI74" i="67" s="1"/>
  <c r="BH67" i="67"/>
  <c r="BH74" i="67" s="1"/>
  <c r="BG67" i="67"/>
  <c r="BF67" i="67"/>
  <c r="BF74" i="67" s="1"/>
  <c r="BE67" i="67"/>
  <c r="BE74" i="67" s="1"/>
  <c r="BD67" i="67"/>
  <c r="BD74" i="67" s="1"/>
  <c r="BC67" i="67"/>
  <c r="BC74" i="67" s="1"/>
  <c r="BB67" i="67"/>
  <c r="BB74" i="67" s="1"/>
  <c r="BA67" i="67"/>
  <c r="BA74" i="67" s="1"/>
  <c r="AZ67" i="67"/>
  <c r="AZ74" i="67" s="1"/>
  <c r="AI67" i="67"/>
  <c r="AH67" i="67"/>
  <c r="BW66" i="67"/>
  <c r="BW73" i="67" s="1"/>
  <c r="BV66" i="67"/>
  <c r="BV73" i="67" s="1"/>
  <c r="BU66" i="67"/>
  <c r="BU73" i="67" s="1"/>
  <c r="BT66" i="67"/>
  <c r="BT73" i="67" s="1"/>
  <c r="BS66" i="67"/>
  <c r="BS73" i="67" s="1"/>
  <c r="BR66" i="67"/>
  <c r="BR73" i="67" s="1"/>
  <c r="BQ66" i="67"/>
  <c r="BQ73" i="67" s="1"/>
  <c r="BP66" i="67"/>
  <c r="BP73" i="67" s="1"/>
  <c r="BO66" i="67"/>
  <c r="BO73" i="67" s="1"/>
  <c r="BN66" i="67"/>
  <c r="BN73" i="67" s="1"/>
  <c r="BM66" i="67"/>
  <c r="BM73" i="67" s="1"/>
  <c r="BL66" i="67"/>
  <c r="BL73" i="67" s="1"/>
  <c r="BK66" i="67"/>
  <c r="BK73" i="67" s="1"/>
  <c r="BJ66" i="67"/>
  <c r="BJ73" i="67" s="1"/>
  <c r="BI66" i="67"/>
  <c r="BI73" i="67" s="1"/>
  <c r="BH66" i="67"/>
  <c r="BH73" i="67" s="1"/>
  <c r="BG66" i="67"/>
  <c r="BG73" i="67" s="1"/>
  <c r="BF66" i="67"/>
  <c r="BF73" i="67" s="1"/>
  <c r="BE66" i="67"/>
  <c r="BE73" i="67" s="1"/>
  <c r="BD66" i="67"/>
  <c r="BD73" i="67" s="1"/>
  <c r="BC66" i="67"/>
  <c r="BC73" i="67" s="1"/>
  <c r="BB66" i="67"/>
  <c r="BB73" i="67" s="1"/>
  <c r="BA66" i="67"/>
  <c r="BA73" i="67" s="1"/>
  <c r="AZ66" i="67"/>
  <c r="AZ73" i="67" s="1"/>
  <c r="AI66" i="67"/>
  <c r="AH66" i="67"/>
  <c r="AG65" i="67"/>
  <c r="AA65" i="67"/>
  <c r="Z65" i="67"/>
  <c r="BF17" i="67" s="1"/>
  <c r="Y65" i="67"/>
  <c r="X65" i="67"/>
  <c r="W65" i="67"/>
  <c r="V65" i="67"/>
  <c r="U65" i="67"/>
  <c r="BC17" i="67" s="1"/>
  <c r="T65" i="67"/>
  <c r="S65" i="67"/>
  <c r="BA17" i="67" s="1"/>
  <c r="Q65" i="67"/>
  <c r="P65" i="67"/>
  <c r="M65" i="67"/>
  <c r="AU17" i="67" s="1"/>
  <c r="L65" i="67"/>
  <c r="K65" i="67"/>
  <c r="J65" i="67"/>
  <c r="I65" i="67"/>
  <c r="H65" i="67"/>
  <c r="G65" i="67"/>
  <c r="E65" i="67"/>
  <c r="AP17" i="67" s="1"/>
  <c r="AI64" i="67"/>
  <c r="AH64" i="67"/>
  <c r="AI63" i="67"/>
  <c r="AH63" i="67"/>
  <c r="AI62" i="67"/>
  <c r="AH62" i="67"/>
  <c r="AG61" i="67"/>
  <c r="AE7" i="67"/>
  <c r="AD7" i="67"/>
  <c r="AA61" i="67"/>
  <c r="AA100" i="67" s="1"/>
  <c r="AA102" i="67" s="1"/>
  <c r="AA103" i="67" s="1"/>
  <c r="AA7" i="67" s="1"/>
  <c r="Z61" i="67"/>
  <c r="BF16" i="67" s="1"/>
  <c r="Y61" i="67"/>
  <c r="X61" i="67"/>
  <c r="BE16" i="67" s="1"/>
  <c r="W61" i="67"/>
  <c r="V61" i="67"/>
  <c r="U61" i="67"/>
  <c r="T61" i="67"/>
  <c r="BB16" i="67" s="1"/>
  <c r="S61" i="67"/>
  <c r="Q61" i="67"/>
  <c r="AY16" i="67" s="1"/>
  <c r="P61" i="67"/>
  <c r="AX16" i="67" s="1"/>
  <c r="M61" i="67"/>
  <c r="L61" i="67"/>
  <c r="K61" i="67"/>
  <c r="J61" i="67"/>
  <c r="I61" i="67"/>
  <c r="AS16" i="67" s="1"/>
  <c r="H61" i="67"/>
  <c r="G61" i="67"/>
  <c r="E61" i="67"/>
  <c r="AI60" i="67"/>
  <c r="AH60" i="67"/>
  <c r="AI59" i="67"/>
  <c r="AH59" i="67"/>
  <c r="AI58" i="67"/>
  <c r="AH58" i="67"/>
  <c r="AI57" i="67"/>
  <c r="AH57" i="67"/>
  <c r="AI56" i="67"/>
  <c r="AH56" i="67"/>
  <c r="AI55" i="67"/>
  <c r="AH55" i="67"/>
  <c r="AI54" i="67"/>
  <c r="AH54" i="67"/>
  <c r="AI53" i="67"/>
  <c r="AH53" i="67"/>
  <c r="AI52" i="67"/>
  <c r="AH52" i="67"/>
  <c r="AI51" i="67"/>
  <c r="AH51" i="67"/>
  <c r="AI50" i="67"/>
  <c r="AH50" i="67"/>
  <c r="AI49" i="67"/>
  <c r="AH49" i="67"/>
  <c r="AI48" i="67"/>
  <c r="AH48" i="67"/>
  <c r="AI47" i="67"/>
  <c r="AH47" i="67"/>
  <c r="AI46" i="67"/>
  <c r="AH46" i="67"/>
  <c r="AI45" i="67"/>
  <c r="AH45" i="67"/>
  <c r="AI44" i="67"/>
  <c r="AH44" i="67"/>
  <c r="AI43" i="67"/>
  <c r="AH43" i="67"/>
  <c r="AI42" i="67"/>
  <c r="AH42" i="67"/>
  <c r="AI41" i="67"/>
  <c r="AH41" i="67"/>
  <c r="AI40" i="67"/>
  <c r="AH40" i="67"/>
  <c r="AI39" i="67"/>
  <c r="AH39" i="67"/>
  <c r="AI38" i="67"/>
  <c r="AH38" i="67"/>
  <c r="AI37" i="67"/>
  <c r="AH37" i="67"/>
  <c r="AI36" i="67"/>
  <c r="AH36" i="67"/>
  <c r="AI35" i="67"/>
  <c r="AH35" i="67"/>
  <c r="AI34" i="67"/>
  <c r="AH34" i="67"/>
  <c r="AI33" i="67"/>
  <c r="AH33" i="67"/>
  <c r="AI32" i="67"/>
  <c r="AH32" i="67"/>
  <c r="AI31" i="67"/>
  <c r="AH31" i="67"/>
  <c r="AI30" i="67"/>
  <c r="AH30" i="67"/>
  <c r="AI29" i="67"/>
  <c r="AH29" i="67"/>
  <c r="AI28" i="67"/>
  <c r="AH28" i="67"/>
  <c r="AI27" i="67"/>
  <c r="AH27" i="67"/>
  <c r="AI26" i="67"/>
  <c r="AH26" i="67"/>
  <c r="AI25" i="67"/>
  <c r="AH25" i="67"/>
  <c r="AI24" i="67"/>
  <c r="AH24" i="67"/>
  <c r="BJ23" i="67"/>
  <c r="BI23" i="67"/>
  <c r="BH23" i="67"/>
  <c r="BD23" i="67"/>
  <c r="BA23" i="67"/>
  <c r="AV23" i="67"/>
  <c r="AI23" i="67"/>
  <c r="AH23" i="67"/>
  <c r="AI22" i="67"/>
  <c r="AH22" i="67"/>
  <c r="BJ21" i="67"/>
  <c r="BI21" i="67"/>
  <c r="BH21" i="67"/>
  <c r="BG21" i="67"/>
  <c r="BF21" i="67"/>
  <c r="BE21" i="67"/>
  <c r="BD21" i="67"/>
  <c r="BC21" i="67"/>
  <c r="BB21" i="67"/>
  <c r="BA21" i="67"/>
  <c r="AZ21" i="67"/>
  <c r="AY21" i="67"/>
  <c r="AX21" i="67"/>
  <c r="AW21" i="67"/>
  <c r="AV21" i="67"/>
  <c r="AU21" i="67"/>
  <c r="AT21" i="67"/>
  <c r="AS21" i="67"/>
  <c r="AR21" i="67"/>
  <c r="AQ21" i="67"/>
  <c r="AP21" i="67"/>
  <c r="AO21" i="67"/>
  <c r="AN21" i="67"/>
  <c r="AM21" i="67"/>
  <c r="AI21" i="67"/>
  <c r="AH21" i="67"/>
  <c r="BJ20" i="67"/>
  <c r="BI20" i="67"/>
  <c r="BH20" i="67"/>
  <c r="BG20" i="67"/>
  <c r="BD20" i="67"/>
  <c r="BC20" i="67"/>
  <c r="BB20" i="67"/>
  <c r="AZ20" i="67"/>
  <c r="AY20" i="67"/>
  <c r="AX20" i="67"/>
  <c r="AW20" i="67"/>
  <c r="AV20" i="67"/>
  <c r="AU20" i="67"/>
  <c r="AT20" i="67"/>
  <c r="AS20" i="67"/>
  <c r="AR20" i="67"/>
  <c r="AQ20" i="67"/>
  <c r="AP20" i="67"/>
  <c r="AN20" i="67"/>
  <c r="AM20" i="67"/>
  <c r="AI20" i="67"/>
  <c r="AH20" i="67"/>
  <c r="BJ19" i="67"/>
  <c r="BI19" i="67"/>
  <c r="BH19" i="67"/>
  <c r="BG19" i="67"/>
  <c r="BE19" i="67"/>
  <c r="BD19" i="67"/>
  <c r="AZ19" i="67"/>
  <c r="AW19" i="67"/>
  <c r="AV19" i="67"/>
  <c r="AR19" i="67"/>
  <c r="AP19" i="67"/>
  <c r="AN19" i="67"/>
  <c r="AM19" i="67"/>
  <c r="AI19" i="67"/>
  <c r="AH19" i="67"/>
  <c r="BJ18" i="67"/>
  <c r="BI18" i="67"/>
  <c r="BH18" i="67"/>
  <c r="BG18" i="67"/>
  <c r="BF18" i="67"/>
  <c r="BD18" i="67"/>
  <c r="BC18" i="67"/>
  <c r="BB18" i="67"/>
  <c r="AZ18" i="67"/>
  <c r="AW18" i="67"/>
  <c r="AV18" i="67"/>
  <c r="AU18" i="67"/>
  <c r="AT18" i="67"/>
  <c r="AS18" i="67"/>
  <c r="AQ18" i="67"/>
  <c r="AP18" i="67"/>
  <c r="AO18" i="67"/>
  <c r="AN18" i="67"/>
  <c r="AI18" i="67"/>
  <c r="AH18" i="67"/>
  <c r="BJ17" i="67"/>
  <c r="BI17" i="67"/>
  <c r="BH17" i="67"/>
  <c r="BG17" i="67"/>
  <c r="BE17" i="67"/>
  <c r="BD17" i="67"/>
  <c r="BB17" i="67"/>
  <c r="AZ17" i="67"/>
  <c r="AY17" i="67"/>
  <c r="AX17" i="67"/>
  <c r="AW17" i="67"/>
  <c r="AV17" i="67"/>
  <c r="AT17" i="67"/>
  <c r="AS17" i="67"/>
  <c r="AR17" i="67"/>
  <c r="AQ17" i="67"/>
  <c r="AO17" i="67"/>
  <c r="AN17" i="67"/>
  <c r="AM17" i="67"/>
  <c r="AI17" i="67"/>
  <c r="AH17" i="67"/>
  <c r="BJ16" i="67"/>
  <c r="BI16" i="67"/>
  <c r="AZ16" i="67"/>
  <c r="AV16" i="67"/>
  <c r="AV22" i="67" s="1"/>
  <c r="AV24" i="67" s="1"/>
  <c r="AI16" i="67"/>
  <c r="AH16" i="67"/>
  <c r="AI15" i="67"/>
  <c r="AH15" i="67"/>
  <c r="AI14" i="67"/>
  <c r="AH14" i="67"/>
  <c r="AI13" i="67"/>
  <c r="AH13" i="67"/>
  <c r="AL12" i="67"/>
  <c r="AI12" i="67"/>
  <c r="AH12" i="67"/>
  <c r="AI11" i="67"/>
  <c r="AH11" i="67"/>
  <c r="AF5" i="67"/>
  <c r="AE5" i="67"/>
  <c r="AD5" i="67"/>
  <c r="AC5" i="67"/>
  <c r="AB5" i="67"/>
  <c r="AA5" i="67"/>
  <c r="Z5" i="67"/>
  <c r="W5" i="67"/>
  <c r="Q5" i="67"/>
  <c r="O5" i="67"/>
  <c r="N5" i="67"/>
  <c r="M5" i="67"/>
  <c r="L5" i="67"/>
  <c r="I5" i="67"/>
  <c r="F5" i="67"/>
  <c r="E5" i="67"/>
  <c r="AG4" i="67"/>
  <c r="K4" i="67"/>
  <c r="E4" i="67"/>
  <c r="H4" i="67" s="1"/>
  <c r="B4" i="67"/>
  <c r="D261" i="67" s="1"/>
  <c r="AG3" i="67"/>
  <c r="AG2" i="67"/>
  <c r="AG6" i="67" s="1"/>
  <c r="AF60" i="66"/>
  <c r="AF124" i="66"/>
  <c r="AE124" i="66"/>
  <c r="AF49" i="66"/>
  <c r="AF61" i="66" s="1"/>
  <c r="AF65" i="66"/>
  <c r="AF79" i="66"/>
  <c r="AF83" i="66"/>
  <c r="AF95" i="66"/>
  <c r="AF104" i="66"/>
  <c r="AF105" i="66"/>
  <c r="AF106" i="66"/>
  <c r="AF107" i="66"/>
  <c r="AF108" i="66"/>
  <c r="AF109" i="66"/>
  <c r="AF121" i="66"/>
  <c r="AE60" i="66"/>
  <c r="AE49" i="66"/>
  <c r="AE61" i="66"/>
  <c r="AE65" i="66"/>
  <c r="AE79" i="66"/>
  <c r="AE83" i="66"/>
  <c r="AD124" i="66"/>
  <c r="AD60" i="66"/>
  <c r="AC124" i="66"/>
  <c r="AC60" i="66"/>
  <c r="AB124" i="66"/>
  <c r="AB60" i="66"/>
  <c r="AA60" i="66"/>
  <c r="AA61" i="66"/>
  <c r="AA65" i="66"/>
  <c r="AA79" i="66"/>
  <c r="AA83" i="66"/>
  <c r="Z60" i="66"/>
  <c r="Z61" i="66"/>
  <c r="Z65" i="66"/>
  <c r="Z79" i="66"/>
  <c r="Z83" i="66"/>
  <c r="Y60" i="66"/>
  <c r="Y61" i="66"/>
  <c r="Y65" i="66"/>
  <c r="Y79" i="66"/>
  <c r="Y83" i="66"/>
  <c r="R121" i="69" l="1"/>
  <c r="S249" i="69"/>
  <c r="Q250" i="69"/>
  <c r="P255" i="69"/>
  <c r="J255" i="68"/>
  <c r="J121" i="68"/>
  <c r="K249" i="68"/>
  <c r="BI22" i="67"/>
  <c r="BI24" i="67" s="1"/>
  <c r="AA111" i="67"/>
  <c r="BJ22" i="67"/>
  <c r="BJ24" i="67" s="1"/>
  <c r="BG16" i="67"/>
  <c r="BG22" i="67" s="1"/>
  <c r="BH16" i="67"/>
  <c r="BH22" i="67" s="1"/>
  <c r="BH24" i="67" s="1"/>
  <c r="Z110" i="67"/>
  <c r="BF23" i="67" s="1"/>
  <c r="Z111" i="67"/>
  <c r="Y5" i="67"/>
  <c r="BF19" i="67"/>
  <c r="BF22" i="67" s="1"/>
  <c r="BF24" i="67" s="1"/>
  <c r="Z100" i="67"/>
  <c r="Z102" i="67" s="1"/>
  <c r="Z103" i="67" s="1"/>
  <c r="Z7" i="67" s="1"/>
  <c r="Y111" i="67"/>
  <c r="X110" i="67"/>
  <c r="BE23" i="67" s="1"/>
  <c r="BE22" i="67"/>
  <c r="BE24" i="67" s="1"/>
  <c r="V5" i="67"/>
  <c r="W110" i="67"/>
  <c r="W111" i="67" s="1"/>
  <c r="W100" i="67"/>
  <c r="W102" i="67" s="1"/>
  <c r="W103" i="67" s="1"/>
  <c r="W7" i="67" s="1"/>
  <c r="V100" i="67"/>
  <c r="V102" i="67" s="1"/>
  <c r="V103" i="67" s="1"/>
  <c r="V7" i="67" s="1"/>
  <c r="U5" i="67"/>
  <c r="BD16" i="67"/>
  <c r="BD22" i="67" s="1"/>
  <c r="BD24" i="67" s="1"/>
  <c r="T5" i="67"/>
  <c r="U100" i="67"/>
  <c r="U102" i="67" s="1"/>
  <c r="U103" i="67" s="1"/>
  <c r="U7" i="67" s="1"/>
  <c r="BB19" i="67"/>
  <c r="T100" i="67"/>
  <c r="T102" i="67" s="1"/>
  <c r="R5" i="67"/>
  <c r="BA19" i="67"/>
  <c r="S100" i="67"/>
  <c r="S102" i="67" s="1"/>
  <c r="S103" i="67" s="1"/>
  <c r="S7" i="67" s="1"/>
  <c r="AI65" i="67"/>
  <c r="BA16" i="67"/>
  <c r="BA22" i="67" s="1"/>
  <c r="BA24" i="67" s="1"/>
  <c r="R110" i="67"/>
  <c r="AZ23" i="67" s="1"/>
  <c r="AZ22" i="67"/>
  <c r="AZ24" i="67" s="1"/>
  <c r="R111" i="67"/>
  <c r="Q111" i="67"/>
  <c r="P110" i="67"/>
  <c r="AX23" i="67" s="1"/>
  <c r="AX19" i="67"/>
  <c r="AX22" i="67"/>
  <c r="AX24" i="67" s="1"/>
  <c r="O103" i="67"/>
  <c r="O7" i="67" s="1"/>
  <c r="O111" i="67"/>
  <c r="N100" i="67"/>
  <c r="N102" i="67" s="1"/>
  <c r="N103" i="67" s="1"/>
  <c r="N7" i="67" s="1"/>
  <c r="M100" i="67"/>
  <c r="M102" i="67" s="1"/>
  <c r="L100" i="67"/>
  <c r="L102" i="67" s="1"/>
  <c r="K110" i="67"/>
  <c r="AT23" i="67" s="1"/>
  <c r="AT19" i="67"/>
  <c r="J5" i="67"/>
  <c r="K100" i="67"/>
  <c r="K102" i="67" s="1"/>
  <c r="K103" i="67" s="1"/>
  <c r="K7" i="67" s="1"/>
  <c r="AT16" i="67"/>
  <c r="AT22" i="67" s="1"/>
  <c r="AT24" i="67" s="1"/>
  <c r="J100" i="67"/>
  <c r="J102" i="67" s="1"/>
  <c r="J103" i="67" s="1"/>
  <c r="J7" i="67" s="1"/>
  <c r="J110" i="67"/>
  <c r="J111" i="67" s="1"/>
  <c r="I110" i="67"/>
  <c r="AS23" i="67" s="1"/>
  <c r="I111" i="67"/>
  <c r="H110" i="67"/>
  <c r="H111" i="67" s="1"/>
  <c r="G5" i="67"/>
  <c r="G110" i="67"/>
  <c r="AR23" i="67" s="1"/>
  <c r="G111" i="67"/>
  <c r="G100" i="67"/>
  <c r="G102" i="67" s="1"/>
  <c r="AQ19" i="67"/>
  <c r="F103" i="67"/>
  <c r="F7" i="67" s="1"/>
  <c r="AI104" i="67"/>
  <c r="F111" i="67"/>
  <c r="AQ16" i="67"/>
  <c r="AQ22" i="67" s="1"/>
  <c r="AQ24" i="67" s="1"/>
  <c r="E100" i="67"/>
  <c r="E102" i="67" s="1"/>
  <c r="AP16" i="67"/>
  <c r="AP22" i="67" s="1"/>
  <c r="AH65" i="67"/>
  <c r="AW16" i="67"/>
  <c r="AW22" i="67" s="1"/>
  <c r="AW24" i="67" s="1"/>
  <c r="BB22" i="67"/>
  <c r="AR16" i="67"/>
  <c r="AR22" i="67" s="1"/>
  <c r="AR24" i="67" s="1"/>
  <c r="D102" i="67"/>
  <c r="AO16" i="67"/>
  <c r="AO22" i="67" s="1"/>
  <c r="C5" i="67"/>
  <c r="C111" i="67"/>
  <c r="B5" i="67"/>
  <c r="AN16" i="67"/>
  <c r="AN22" i="67" s="1"/>
  <c r="AN24" i="67" s="1"/>
  <c r="C102" i="67"/>
  <c r="C103" i="67" s="1"/>
  <c r="C7" i="67" s="1"/>
  <c r="B110" i="67"/>
  <c r="B100" i="67"/>
  <c r="B102" i="67" s="1"/>
  <c r="B103" i="67" s="1"/>
  <c r="B111" i="67"/>
  <c r="AH79" i="67"/>
  <c r="AM22" i="67"/>
  <c r="BG82" i="67" a="1"/>
  <c r="BK101" i="67" s="1"/>
  <c r="AS19" i="67"/>
  <c r="AS22" i="67" s="1"/>
  <c r="H5" i="67"/>
  <c r="P5" i="67"/>
  <c r="X5" i="67"/>
  <c r="AI79" i="67"/>
  <c r="H100" i="67"/>
  <c r="H102" i="67" s="1"/>
  <c r="H103" i="67" s="1"/>
  <c r="H7" i="67" s="1"/>
  <c r="P100" i="67"/>
  <c r="P102" i="67" s="1"/>
  <c r="P103" i="67" s="1"/>
  <c r="P7" i="67" s="1"/>
  <c r="X100" i="67"/>
  <c r="X102" i="67" s="1"/>
  <c r="X103" i="67" s="1"/>
  <c r="X7" i="67" s="1"/>
  <c r="AF7" i="67"/>
  <c r="AI83" i="67"/>
  <c r="D110" i="67"/>
  <c r="AO23" i="67" s="1"/>
  <c r="AO24" i="67" s="1"/>
  <c r="L110" i="67"/>
  <c r="L103" i="67" s="1"/>
  <c r="L7" i="67" s="1"/>
  <c r="T110" i="67"/>
  <c r="BB23" i="67" s="1"/>
  <c r="BB24" i="67" s="1"/>
  <c r="BG23" i="67"/>
  <c r="BG24" i="67" s="1"/>
  <c r="I100" i="67"/>
  <c r="I102" i="67" s="1"/>
  <c r="I103" i="67" s="1"/>
  <c r="I7" i="67" s="1"/>
  <c r="Q100" i="67"/>
  <c r="Q102" i="67" s="1"/>
  <c r="Q103" i="67" s="1"/>
  <c r="Q7" i="67" s="1"/>
  <c r="Y100" i="67"/>
  <c r="Y102" i="67" s="1"/>
  <c r="Y103" i="67" s="1"/>
  <c r="Y7" i="67" s="1"/>
  <c r="AG100" i="67"/>
  <c r="E110" i="67"/>
  <c r="AP23" i="67" s="1"/>
  <c r="M110" i="67"/>
  <c r="AU23" i="67" s="1"/>
  <c r="U110" i="67"/>
  <c r="BC23" i="67" s="1"/>
  <c r="AU16" i="67"/>
  <c r="AU22" i="67" s="1"/>
  <c r="BC16" i="67"/>
  <c r="BC22" i="67" s="1"/>
  <c r="BC24" i="67" s="1"/>
  <c r="AH61" i="67"/>
  <c r="AI108" i="67"/>
  <c r="AL13" i="67"/>
  <c r="AI61" i="67"/>
  <c r="AI107" i="67"/>
  <c r="D121" i="67"/>
  <c r="E254" i="67"/>
  <c r="F254" i="67" s="1"/>
  <c r="G254" i="67" s="1"/>
  <c r="H254" i="67" s="1"/>
  <c r="I254" i="67" s="1"/>
  <c r="J254" i="67" s="1"/>
  <c r="K254" i="67" s="1"/>
  <c r="L254" i="67" s="1"/>
  <c r="M254" i="67" s="1"/>
  <c r="N254" i="67" s="1"/>
  <c r="O254" i="67" s="1"/>
  <c r="P254" i="67" s="1"/>
  <c r="Q254" i="67" s="1"/>
  <c r="R254" i="67" s="1"/>
  <c r="S254" i="67" s="1"/>
  <c r="T254" i="67" s="1"/>
  <c r="U254" i="67" s="1"/>
  <c r="V254" i="67" s="1"/>
  <c r="W254" i="67" s="1"/>
  <c r="X254" i="67" s="1"/>
  <c r="Y254" i="67" s="1"/>
  <c r="Z254" i="67" s="1"/>
  <c r="AA254" i="67" s="1"/>
  <c r="AB254" i="67" s="1"/>
  <c r="AC254" i="67" s="1"/>
  <c r="AD254" i="67" s="1"/>
  <c r="AE254" i="67" s="1"/>
  <c r="AF254" i="67" s="1"/>
  <c r="B254" i="67" s="1"/>
  <c r="AY19" i="67"/>
  <c r="AY22" i="67" s="1"/>
  <c r="AY24" i="67" s="1"/>
  <c r="AB7" i="67"/>
  <c r="AG102" i="67"/>
  <c r="AI106" i="67"/>
  <c r="AH83" i="67"/>
  <c r="AH95" i="67"/>
  <c r="AI95" i="67"/>
  <c r="AH104" i="67"/>
  <c r="AH105" i="67"/>
  <c r="E249" i="67"/>
  <c r="AH106" i="67"/>
  <c r="AH107" i="67"/>
  <c r="AH108" i="67"/>
  <c r="AF100" i="66"/>
  <c r="AF102" i="66" s="1"/>
  <c r="AF103" i="66" s="1"/>
  <c r="AF110" i="66"/>
  <c r="AF111" i="66" s="1"/>
  <c r="X60" i="66"/>
  <c r="X61" i="66"/>
  <c r="X65" i="66"/>
  <c r="X79" i="66"/>
  <c r="X83" i="66"/>
  <c r="W60" i="66"/>
  <c r="W61" i="66"/>
  <c r="W65" i="66"/>
  <c r="W79" i="66"/>
  <c r="W83" i="66"/>
  <c r="V60" i="66"/>
  <c r="V61" i="66"/>
  <c r="V65" i="66"/>
  <c r="V79" i="66"/>
  <c r="V83" i="66"/>
  <c r="U60" i="66"/>
  <c r="U61" i="66"/>
  <c r="U65" i="66"/>
  <c r="U79" i="66"/>
  <c r="U83" i="66"/>
  <c r="R250" i="69" l="1"/>
  <c r="Q255" i="69"/>
  <c r="T249" i="69"/>
  <c r="K255" i="68"/>
  <c r="K121" i="68"/>
  <c r="L249" i="68"/>
  <c r="X111" i="67"/>
  <c r="U111" i="67"/>
  <c r="T103" i="67"/>
  <c r="T7" i="67" s="1"/>
  <c r="T111" i="67"/>
  <c r="R103" i="67"/>
  <c r="R7" i="67" s="1"/>
  <c r="P111" i="67"/>
  <c r="M111" i="67"/>
  <c r="AU24" i="67"/>
  <c r="K111" i="67"/>
  <c r="C259" i="67"/>
  <c r="G103" i="67"/>
  <c r="G7" i="67" s="1"/>
  <c r="E111" i="67"/>
  <c r="AP24" i="67"/>
  <c r="AI100" i="67"/>
  <c r="BJ84" i="67"/>
  <c r="BL94" i="67"/>
  <c r="BH84" i="67"/>
  <c r="BL83" i="67"/>
  <c r="BL86" i="67"/>
  <c r="BH95" i="67"/>
  <c r="BI87" i="67"/>
  <c r="BG98" i="67"/>
  <c r="BL84" i="67"/>
  <c r="BJ95" i="67"/>
  <c r="BI82" i="67"/>
  <c r="BG93" i="67"/>
  <c r="BK103" i="67"/>
  <c r="BK90" i="67"/>
  <c r="BI101" i="67"/>
  <c r="BH96" i="67"/>
  <c r="BG83" i="67"/>
  <c r="BK93" i="67"/>
  <c r="BI104" i="67"/>
  <c r="BL87" i="67"/>
  <c r="BG100" i="67"/>
  <c r="BH83" i="67"/>
  <c r="BL89" i="67"/>
  <c r="BJ104" i="67"/>
  <c r="BK88" i="67"/>
  <c r="BI99" i="67"/>
  <c r="BH86" i="67"/>
  <c r="BL96" i="67"/>
  <c r="BK83" i="67"/>
  <c r="BI94" i="67"/>
  <c r="BG105" i="67"/>
  <c r="BG92" i="67"/>
  <c r="BK102" i="67"/>
  <c r="BJ97" i="67"/>
  <c r="BI84" i="67"/>
  <c r="BG95" i="67"/>
  <c r="BK105" i="67"/>
  <c r="BJ88" i="67"/>
  <c r="BG104" i="67"/>
  <c r="BL82" i="67"/>
  <c r="BL99" i="67"/>
  <c r="BJ85" i="67"/>
  <c r="BI91" i="67"/>
  <c r="BG102" i="67"/>
  <c r="BL88" i="67"/>
  <c r="BJ99" i="67"/>
  <c r="BI86" i="67"/>
  <c r="BG97" i="67"/>
  <c r="BG84" i="67"/>
  <c r="BK94" i="67"/>
  <c r="BI105" i="67"/>
  <c r="BH100" i="67"/>
  <c r="BG87" i="67"/>
  <c r="BK97" i="67"/>
  <c r="BJ90" i="67"/>
  <c r="BJ82" i="67"/>
  <c r="BJ83" i="67"/>
  <c r="BL104" i="67"/>
  <c r="BI102" i="67"/>
  <c r="BI92" i="67"/>
  <c r="BJ98" i="67"/>
  <c r="BL93" i="67"/>
  <c r="BL98" i="67"/>
  <c r="BL97" i="67"/>
  <c r="BJ94" i="67"/>
  <c r="BG82" i="67"/>
  <c r="BK92" i="67"/>
  <c r="BI103" i="67"/>
  <c r="BH90" i="67"/>
  <c r="BL100" i="67"/>
  <c r="BK87" i="67"/>
  <c r="BI98" i="67"/>
  <c r="BI85" i="67"/>
  <c r="BG96" i="67"/>
  <c r="BL90" i="67"/>
  <c r="BJ101" i="67"/>
  <c r="BI88" i="67"/>
  <c r="BG99" i="67"/>
  <c r="BH87" i="67"/>
  <c r="BJ100" i="67"/>
  <c r="BK96" i="67"/>
  <c r="BK91" i="67"/>
  <c r="BJ105" i="67"/>
  <c r="BJ86" i="67"/>
  <c r="BG90" i="67"/>
  <c r="BH98" i="67"/>
  <c r="BK95" i="67"/>
  <c r="BI93" i="67"/>
  <c r="BK85" i="67"/>
  <c r="BH103" i="67"/>
  <c r="BJ92" i="67"/>
  <c r="BH97" i="67"/>
  <c r="BJ96" i="67"/>
  <c r="BH89" i="67"/>
  <c r="BH101" i="67"/>
  <c r="BJ89" i="67"/>
  <c r="BI83" i="67"/>
  <c r="BG94" i="67"/>
  <c r="BK104" i="67"/>
  <c r="BJ91" i="67"/>
  <c r="BH102" i="67"/>
  <c r="BG89" i="67"/>
  <c r="BK99" i="67"/>
  <c r="BK86" i="67"/>
  <c r="BI97" i="67"/>
  <c r="BH92" i="67"/>
  <c r="BL102" i="67"/>
  <c r="BK89" i="67"/>
  <c r="BI100" i="67"/>
  <c r="BL103" i="67"/>
  <c r="BG86" i="67"/>
  <c r="BH94" i="67"/>
  <c r="BI89" i="67"/>
  <c r="BG103" i="67"/>
  <c r="BH93" i="67"/>
  <c r="BH99" i="67"/>
  <c r="BH105" i="67"/>
  <c r="BK100" i="67"/>
  <c r="BJ87" i="67"/>
  <c r="BG85" i="67"/>
  <c r="BK82" i="67"/>
  <c r="BI96" i="67"/>
  <c r="BH85" i="67"/>
  <c r="BJ102" i="67"/>
  <c r="BL101" i="67"/>
  <c r="BH88" i="67"/>
  <c r="BL91" i="67"/>
  <c r="BH91" i="67"/>
  <c r="BL95" i="67"/>
  <c r="BL105" i="67"/>
  <c r="BL85" i="67"/>
  <c r="BK84" i="67"/>
  <c r="BI95" i="67"/>
  <c r="BH82" i="67"/>
  <c r="BL92" i="67"/>
  <c r="BJ103" i="67"/>
  <c r="BI90" i="67"/>
  <c r="BG101" i="67"/>
  <c r="BG88" i="67"/>
  <c r="BK98" i="67"/>
  <c r="BJ93" i="67"/>
  <c r="BH104" i="67"/>
  <c r="BG91" i="67"/>
  <c r="AS24" i="67"/>
  <c r="AT8" i="67"/>
  <c r="AI102" i="67"/>
  <c r="L111" i="67"/>
  <c r="M103" i="67"/>
  <c r="M7" i="67" s="1"/>
  <c r="D111" i="67"/>
  <c r="AI111" i="67" s="1"/>
  <c r="AC7" i="67"/>
  <c r="F249" i="67"/>
  <c r="E121" i="67"/>
  <c r="E255" i="67"/>
  <c r="AI110" i="67"/>
  <c r="AH110" i="67"/>
  <c r="AM23" i="67"/>
  <c r="AM24" i="67" s="1"/>
  <c r="D103" i="67"/>
  <c r="D7" i="67" s="1"/>
  <c r="E103" i="67"/>
  <c r="E7" i="67" s="1"/>
  <c r="AH100" i="67"/>
  <c r="B259" i="67"/>
  <c r="K6" i="67" s="1"/>
  <c r="AH102" i="67"/>
  <c r="T60" i="66"/>
  <c r="T61" i="66"/>
  <c r="T65" i="66"/>
  <c r="T79" i="66"/>
  <c r="T83" i="66"/>
  <c r="U249" i="69" l="1"/>
  <c r="S250" i="69"/>
  <c r="R255" i="69"/>
  <c r="L255" i="68"/>
  <c r="L121" i="68"/>
  <c r="M249" i="68"/>
  <c r="AT9" i="67"/>
  <c r="AI103" i="67"/>
  <c r="AH103" i="67"/>
  <c r="B7" i="67"/>
  <c r="A7" i="67" s="1"/>
  <c r="G249" i="67"/>
  <c r="F255" i="67"/>
  <c r="F121" i="67"/>
  <c r="AH111" i="67"/>
  <c r="T250" i="69" l="1"/>
  <c r="S255" i="69"/>
  <c r="V249" i="69"/>
  <c r="M255" i="68"/>
  <c r="M121" i="68"/>
  <c r="N249" i="68"/>
  <c r="H249" i="67"/>
  <c r="G255" i="67"/>
  <c r="G121" i="67"/>
  <c r="W249" i="69" l="1"/>
  <c r="U250" i="69"/>
  <c r="T255" i="69"/>
  <c r="O249" i="68"/>
  <c r="N255" i="68"/>
  <c r="N121" i="68"/>
  <c r="I249" i="67"/>
  <c r="H255" i="67"/>
  <c r="H121" i="67"/>
  <c r="V250" i="69" l="1"/>
  <c r="U255" i="69"/>
  <c r="X249" i="69"/>
  <c r="P249" i="68"/>
  <c r="O255" i="68"/>
  <c r="O121" i="68"/>
  <c r="I255" i="67"/>
  <c r="I121" i="67"/>
  <c r="J249" i="67"/>
  <c r="S61" i="66"/>
  <c r="S65" i="66"/>
  <c r="S79" i="66"/>
  <c r="S83" i="66"/>
  <c r="Q60" i="66"/>
  <c r="P60" i="66"/>
  <c r="W250" i="69" l="1"/>
  <c r="V255" i="69"/>
  <c r="Y249" i="69"/>
  <c r="X121" i="69"/>
  <c r="Q249" i="68"/>
  <c r="P255" i="68"/>
  <c r="J255" i="67"/>
  <c r="J121" i="67"/>
  <c r="K249" i="67"/>
  <c r="L124" i="66"/>
  <c r="L60" i="66"/>
  <c r="K124" i="66"/>
  <c r="K60" i="66"/>
  <c r="J124" i="66"/>
  <c r="J60" i="66"/>
  <c r="I124" i="66"/>
  <c r="I60" i="66"/>
  <c r="H60" i="66"/>
  <c r="H124" i="66"/>
  <c r="G124" i="66"/>
  <c r="G60" i="66"/>
  <c r="F124" i="66"/>
  <c r="F60" i="66"/>
  <c r="E124" i="66"/>
  <c r="E60" i="66"/>
  <c r="D124" i="66"/>
  <c r="D60" i="66"/>
  <c r="C61" i="66"/>
  <c r="C65" i="66"/>
  <c r="C79" i="66"/>
  <c r="C83" i="66"/>
  <c r="C95" i="66"/>
  <c r="C104" i="66"/>
  <c r="C105" i="66"/>
  <c r="C106" i="66"/>
  <c r="C107" i="66"/>
  <c r="C108" i="66"/>
  <c r="C109" i="66"/>
  <c r="C121" i="66"/>
  <c r="B121" i="66"/>
  <c r="B109" i="66"/>
  <c r="B108" i="66"/>
  <c r="B107" i="66"/>
  <c r="B106" i="66"/>
  <c r="B105" i="66"/>
  <c r="B104" i="66"/>
  <c r="B110" i="66" s="1"/>
  <c r="B95" i="66"/>
  <c r="AM19" i="66" s="1"/>
  <c r="B83" i="66"/>
  <c r="B79" i="66"/>
  <c r="B65" i="66"/>
  <c r="AM17" i="66" s="1"/>
  <c r="B61" i="66"/>
  <c r="AG255" i="66"/>
  <c r="C255" i="66"/>
  <c r="D254" i="66"/>
  <c r="R253" i="66"/>
  <c r="S253" i="66" s="1"/>
  <c r="T253" i="66" s="1"/>
  <c r="U253" i="66" s="1"/>
  <c r="V253" i="66" s="1"/>
  <c r="W253" i="66" s="1"/>
  <c r="X253" i="66" s="1"/>
  <c r="Y253" i="66" s="1"/>
  <c r="Z253" i="66" s="1"/>
  <c r="AA253" i="66" s="1"/>
  <c r="AB253" i="66" s="1"/>
  <c r="AC253" i="66" s="1"/>
  <c r="AD253" i="66" s="1"/>
  <c r="AE253" i="66" s="1"/>
  <c r="AF253" i="66" s="1"/>
  <c r="B253" i="66" s="1"/>
  <c r="K253" i="66"/>
  <c r="L253" i="66" s="1"/>
  <c r="M253" i="66" s="1"/>
  <c r="N253" i="66" s="1"/>
  <c r="O253" i="66" s="1"/>
  <c r="P253" i="66" s="1"/>
  <c r="Q253" i="66" s="1"/>
  <c r="J253" i="66"/>
  <c r="E253" i="66"/>
  <c r="F253" i="66" s="1"/>
  <c r="G253" i="66" s="1"/>
  <c r="H253" i="66" s="1"/>
  <c r="I253" i="66" s="1"/>
  <c r="D253" i="66"/>
  <c r="H252" i="66"/>
  <c r="I252" i="66" s="1"/>
  <c r="J252" i="66" s="1"/>
  <c r="K252" i="66" s="1"/>
  <c r="L252" i="66" s="1"/>
  <c r="M252" i="66" s="1"/>
  <c r="N252" i="66" s="1"/>
  <c r="O252" i="66" s="1"/>
  <c r="P252" i="66" s="1"/>
  <c r="Q252" i="66" s="1"/>
  <c r="R252" i="66" s="1"/>
  <c r="S252" i="66" s="1"/>
  <c r="T252" i="66" s="1"/>
  <c r="U252" i="66" s="1"/>
  <c r="V252" i="66" s="1"/>
  <c r="W252" i="66" s="1"/>
  <c r="X252" i="66" s="1"/>
  <c r="Y252" i="66" s="1"/>
  <c r="Z252" i="66" s="1"/>
  <c r="AA252" i="66" s="1"/>
  <c r="AB252" i="66" s="1"/>
  <c r="AC252" i="66" s="1"/>
  <c r="AD252" i="66" s="1"/>
  <c r="AE252" i="66" s="1"/>
  <c r="AF252" i="66" s="1"/>
  <c r="B252" i="66" s="1"/>
  <c r="D252" i="66"/>
  <c r="E252" i="66" s="1"/>
  <c r="F252" i="66" s="1"/>
  <c r="G252" i="66" s="1"/>
  <c r="W251" i="66"/>
  <c r="X251" i="66" s="1"/>
  <c r="Y251" i="66" s="1"/>
  <c r="Z251" i="66" s="1"/>
  <c r="AA251" i="66" s="1"/>
  <c r="AB251" i="66" s="1"/>
  <c r="AC251" i="66" s="1"/>
  <c r="AD251" i="66" s="1"/>
  <c r="AE251" i="66" s="1"/>
  <c r="AF251" i="66" s="1"/>
  <c r="B251" i="66" s="1"/>
  <c r="V251" i="66"/>
  <c r="G251" i="66"/>
  <c r="H251" i="66" s="1"/>
  <c r="I251" i="66" s="1"/>
  <c r="J251" i="66" s="1"/>
  <c r="K251" i="66" s="1"/>
  <c r="L251" i="66" s="1"/>
  <c r="M251" i="66" s="1"/>
  <c r="N251" i="66" s="1"/>
  <c r="O251" i="66" s="1"/>
  <c r="P251" i="66" s="1"/>
  <c r="Q251" i="66" s="1"/>
  <c r="R251" i="66" s="1"/>
  <c r="S251" i="66" s="1"/>
  <c r="T251" i="66" s="1"/>
  <c r="U251" i="66" s="1"/>
  <c r="F251" i="66"/>
  <c r="E251" i="66"/>
  <c r="D251" i="66"/>
  <c r="D250" i="66"/>
  <c r="D255" i="66" s="1"/>
  <c r="E249" i="66"/>
  <c r="F249" i="66" s="1"/>
  <c r="G249" i="66" s="1"/>
  <c r="D249" i="66"/>
  <c r="AG247" i="66"/>
  <c r="AF247" i="66"/>
  <c r="AE247" i="66"/>
  <c r="AD247" i="66"/>
  <c r="AC247" i="66"/>
  <c r="AB247" i="66"/>
  <c r="AA247" i="66"/>
  <c r="Z247" i="66"/>
  <c r="Z121" i="66" s="1"/>
  <c r="Y247" i="66"/>
  <c r="Y121" i="66" s="1"/>
  <c r="X247" i="66"/>
  <c r="W247" i="66"/>
  <c r="V247" i="66"/>
  <c r="U247" i="66"/>
  <c r="T247" i="66"/>
  <c r="S247" i="66"/>
  <c r="R247" i="66"/>
  <c r="Q247" i="66"/>
  <c r="P247" i="66"/>
  <c r="O247" i="66"/>
  <c r="N247" i="66"/>
  <c r="M247" i="66"/>
  <c r="L247" i="66"/>
  <c r="K247" i="66"/>
  <c r="J247" i="66"/>
  <c r="I247" i="66"/>
  <c r="H247" i="66"/>
  <c r="G247" i="66"/>
  <c r="F247" i="66"/>
  <c r="E247" i="66"/>
  <c r="D247" i="66"/>
  <c r="C247" i="66"/>
  <c r="B247" i="66"/>
  <c r="AI133" i="66"/>
  <c r="AH133" i="66"/>
  <c r="AI132" i="66"/>
  <c r="AH132" i="66"/>
  <c r="AI131" i="66"/>
  <c r="AH131" i="66"/>
  <c r="AI130" i="66"/>
  <c r="AH130" i="66"/>
  <c r="AI129" i="66"/>
  <c r="AH129" i="66"/>
  <c r="AI126" i="66"/>
  <c r="AH126" i="66"/>
  <c r="AI125" i="66"/>
  <c r="AH125" i="66"/>
  <c r="AI123" i="66"/>
  <c r="AH123" i="66"/>
  <c r="AI122" i="66"/>
  <c r="AH122" i="66"/>
  <c r="AI120" i="66"/>
  <c r="AH120" i="66"/>
  <c r="AI119" i="66"/>
  <c r="AH119" i="66"/>
  <c r="AI118" i="66"/>
  <c r="AH118" i="66"/>
  <c r="AI117" i="66"/>
  <c r="AH117" i="66"/>
  <c r="AI116" i="66"/>
  <c r="AH116" i="66"/>
  <c r="AI115" i="66"/>
  <c r="AH115" i="66"/>
  <c r="AI114" i="66"/>
  <c r="AH114" i="66"/>
  <c r="AI113" i="66"/>
  <c r="AH113" i="66"/>
  <c r="AI112" i="66"/>
  <c r="AH112" i="66"/>
  <c r="AE109" i="66"/>
  <c r="AH109" i="66" s="1"/>
  <c r="AD109" i="66"/>
  <c r="AC109" i="66"/>
  <c r="AB109" i="66"/>
  <c r="AA109" i="66"/>
  <c r="Z109" i="66"/>
  <c r="Y109" i="66"/>
  <c r="X109" i="66"/>
  <c r="W109" i="66"/>
  <c r="V109" i="66"/>
  <c r="U109" i="66"/>
  <c r="T109" i="66"/>
  <c r="S109" i="66"/>
  <c r="R109" i="66"/>
  <c r="Q109" i="66"/>
  <c r="P109" i="66"/>
  <c r="O109" i="66"/>
  <c r="N109" i="66"/>
  <c r="M109" i="66"/>
  <c r="L109" i="66"/>
  <c r="K109" i="66"/>
  <c r="J109" i="66"/>
  <c r="I109" i="66"/>
  <c r="H109" i="66"/>
  <c r="G109" i="66"/>
  <c r="F109" i="66"/>
  <c r="E109" i="66"/>
  <c r="D109" i="66"/>
  <c r="AE108" i="66"/>
  <c r="AD108" i="66"/>
  <c r="AC108" i="66"/>
  <c r="AB108" i="66"/>
  <c r="AA108" i="66"/>
  <c r="Z108" i="66"/>
  <c r="Y108" i="66"/>
  <c r="X108" i="66"/>
  <c r="W108" i="66"/>
  <c r="V108" i="66"/>
  <c r="U108" i="66"/>
  <c r="T108" i="66"/>
  <c r="S108" i="66"/>
  <c r="R108" i="66"/>
  <c r="Q108" i="66"/>
  <c r="P108" i="66"/>
  <c r="O108" i="66"/>
  <c r="N108" i="66"/>
  <c r="M108" i="66"/>
  <c r="L108" i="66"/>
  <c r="K108" i="66"/>
  <c r="J108" i="66"/>
  <c r="I108" i="66"/>
  <c r="H108" i="66"/>
  <c r="G108" i="66"/>
  <c r="F108" i="66"/>
  <c r="E108" i="66"/>
  <c r="D108" i="66"/>
  <c r="AE107" i="66"/>
  <c r="AD107" i="66"/>
  <c r="AC107" i="66"/>
  <c r="AB107" i="66"/>
  <c r="AA107" i="66"/>
  <c r="Z107" i="66"/>
  <c r="Y107" i="66"/>
  <c r="X107" i="66"/>
  <c r="W107" i="66"/>
  <c r="V107" i="66"/>
  <c r="U107" i="66"/>
  <c r="T107" i="66"/>
  <c r="S107" i="66"/>
  <c r="R107" i="66"/>
  <c r="Q107" i="66"/>
  <c r="P107" i="66"/>
  <c r="O107" i="66"/>
  <c r="N107" i="66"/>
  <c r="M107" i="66"/>
  <c r="L107" i="66"/>
  <c r="K107" i="66"/>
  <c r="J107" i="66"/>
  <c r="I107" i="66"/>
  <c r="H107" i="66"/>
  <c r="G107" i="66"/>
  <c r="F107" i="66"/>
  <c r="E107" i="66"/>
  <c r="D107" i="66"/>
  <c r="AI107" i="66"/>
  <c r="AE106" i="66"/>
  <c r="AD106" i="66"/>
  <c r="AC106" i="66"/>
  <c r="AB106" i="66"/>
  <c r="AA106" i="66"/>
  <c r="Z106" i="66"/>
  <c r="Y106" i="66"/>
  <c r="X106" i="66"/>
  <c r="W106" i="66"/>
  <c r="V106" i="66"/>
  <c r="U106" i="66"/>
  <c r="T106" i="66"/>
  <c r="S106" i="66"/>
  <c r="R106" i="66"/>
  <c r="Q106" i="66"/>
  <c r="P106" i="66"/>
  <c r="O106" i="66"/>
  <c r="N106" i="66"/>
  <c r="M106" i="66"/>
  <c r="L106" i="66"/>
  <c r="K106" i="66"/>
  <c r="J106" i="66"/>
  <c r="I106" i="66"/>
  <c r="H106" i="66"/>
  <c r="G106" i="66"/>
  <c r="F106" i="66"/>
  <c r="E106" i="66"/>
  <c r="D106" i="66"/>
  <c r="AE105" i="66"/>
  <c r="AD105" i="66"/>
  <c r="AC105" i="66"/>
  <c r="AB105" i="66"/>
  <c r="AA105" i="66"/>
  <c r="Z105" i="66"/>
  <c r="Y105" i="66"/>
  <c r="X105" i="66"/>
  <c r="W105" i="66"/>
  <c r="V105" i="66"/>
  <c r="U105" i="66"/>
  <c r="T105" i="66"/>
  <c r="S105" i="66"/>
  <c r="R105" i="66"/>
  <c r="Q105" i="66"/>
  <c r="P105" i="66"/>
  <c r="O105" i="66"/>
  <c r="N105" i="66"/>
  <c r="M105" i="66"/>
  <c r="L105" i="66"/>
  <c r="K105" i="66"/>
  <c r="J105" i="66"/>
  <c r="I105" i="66"/>
  <c r="H105" i="66"/>
  <c r="G105" i="66"/>
  <c r="F105" i="66"/>
  <c r="E105" i="66"/>
  <c r="D105" i="66"/>
  <c r="AE104" i="66"/>
  <c r="AD104" i="66"/>
  <c r="AC104" i="66"/>
  <c r="AB104" i="66"/>
  <c r="AA104" i="66"/>
  <c r="Z104" i="66"/>
  <c r="Y104" i="66"/>
  <c r="X104" i="66"/>
  <c r="X110" i="66" s="1"/>
  <c r="BE23" i="66" s="1"/>
  <c r="W104" i="66"/>
  <c r="W110" i="66" s="1"/>
  <c r="V104" i="66"/>
  <c r="U104" i="66"/>
  <c r="T104" i="66"/>
  <c r="S104" i="66"/>
  <c r="R104" i="66"/>
  <c r="R110" i="66" s="1"/>
  <c r="Q104" i="66"/>
  <c r="P104" i="66"/>
  <c r="P110" i="66" s="1"/>
  <c r="AX23" i="66" s="1"/>
  <c r="O104" i="66"/>
  <c r="N104" i="66"/>
  <c r="M104" i="66"/>
  <c r="L104" i="66"/>
  <c r="K104" i="66"/>
  <c r="J104" i="66"/>
  <c r="J110" i="66" s="1"/>
  <c r="I104" i="66"/>
  <c r="H104" i="66"/>
  <c r="H110" i="66" s="1"/>
  <c r="G104" i="66"/>
  <c r="F104" i="66"/>
  <c r="E104" i="66"/>
  <c r="D104" i="66"/>
  <c r="AI101" i="66"/>
  <c r="AH101" i="66"/>
  <c r="AI99" i="66"/>
  <c r="AH99" i="66"/>
  <c r="AG99" i="66"/>
  <c r="AI98" i="66"/>
  <c r="AH98" i="66"/>
  <c r="AI97" i="66"/>
  <c r="AH97" i="66"/>
  <c r="AI96" i="66"/>
  <c r="AH96" i="66"/>
  <c r="AG95" i="66"/>
  <c r="AE95" i="66"/>
  <c r="AD95" i="66"/>
  <c r="AC95" i="66"/>
  <c r="AB95" i="66"/>
  <c r="AA95" i="66"/>
  <c r="Z95" i="66"/>
  <c r="BF19" i="66" s="1"/>
  <c r="Y95" i="66"/>
  <c r="Y100" i="66" s="1"/>
  <c r="Y102" i="66" s="1"/>
  <c r="X95" i="66"/>
  <c r="BE19" i="66" s="1"/>
  <c r="W95" i="66"/>
  <c r="W100" i="66" s="1"/>
  <c r="W102" i="66" s="1"/>
  <c r="V95" i="66"/>
  <c r="U95" i="66"/>
  <c r="BC19" i="66" s="1"/>
  <c r="T95" i="66"/>
  <c r="BB19" i="66" s="1"/>
  <c r="S95" i="66"/>
  <c r="R5" i="66" s="1"/>
  <c r="R95" i="66"/>
  <c r="AZ19" i="66" s="1"/>
  <c r="Q95" i="66"/>
  <c r="AY19" i="66" s="1"/>
  <c r="P95" i="66"/>
  <c r="O5" i="66" s="1"/>
  <c r="O95" i="66"/>
  <c r="N95" i="66"/>
  <c r="M95" i="66"/>
  <c r="AU19" i="66" s="1"/>
  <c r="L95" i="66"/>
  <c r="K95" i="66"/>
  <c r="AT19" i="66" s="1"/>
  <c r="J95" i="66"/>
  <c r="I5" i="66" s="1"/>
  <c r="I95" i="66"/>
  <c r="H5" i="66" s="1"/>
  <c r="H95" i="66"/>
  <c r="H111" i="66" s="1"/>
  <c r="G95" i="66"/>
  <c r="AR19" i="66" s="1"/>
  <c r="F95" i="66"/>
  <c r="E95" i="66"/>
  <c r="D95" i="66"/>
  <c r="AO19" i="66" s="1"/>
  <c r="AI94" i="66"/>
  <c r="AH94" i="66"/>
  <c r="AI93" i="66"/>
  <c r="AH93" i="66"/>
  <c r="AI92" i="66"/>
  <c r="AH92" i="66"/>
  <c r="AI91" i="66"/>
  <c r="AH91" i="66"/>
  <c r="AI90" i="66"/>
  <c r="AH90" i="66"/>
  <c r="AI89" i="66"/>
  <c r="AH89" i="66"/>
  <c r="AI88" i="66"/>
  <c r="AH88" i="66"/>
  <c r="AI87" i="66"/>
  <c r="AH87" i="66"/>
  <c r="AI86" i="66"/>
  <c r="AH86" i="66"/>
  <c r="AI85" i="66"/>
  <c r="AH85" i="66"/>
  <c r="AI84" i="66"/>
  <c r="AH84" i="66"/>
  <c r="AG83" i="66"/>
  <c r="BJ20" i="66"/>
  <c r="AD83" i="66"/>
  <c r="AC83" i="66"/>
  <c r="AB83" i="66"/>
  <c r="BG20" i="66" s="1"/>
  <c r="BB20" i="66"/>
  <c r="R83" i="66"/>
  <c r="Q83" i="66"/>
  <c r="P83" i="66"/>
  <c r="O83" i="66"/>
  <c r="N83" i="66"/>
  <c r="M83" i="66"/>
  <c r="L83" i="66"/>
  <c r="K83" i="66"/>
  <c r="J83" i="66"/>
  <c r="I83" i="66"/>
  <c r="H83" i="66"/>
  <c r="G83" i="66"/>
  <c r="F83" i="66"/>
  <c r="AQ20" i="66" s="1"/>
  <c r="E83" i="66"/>
  <c r="AP20" i="66" s="1"/>
  <c r="D83" i="66"/>
  <c r="AO20" i="66" s="1"/>
  <c r="AI82" i="66"/>
  <c r="AH82" i="66"/>
  <c r="AI81" i="66"/>
  <c r="AH81" i="66"/>
  <c r="AI80" i="66"/>
  <c r="AH80" i="66"/>
  <c r="AG79" i="66"/>
  <c r="AD79" i="66"/>
  <c r="BH18" i="66" s="1"/>
  <c r="AC79" i="66"/>
  <c r="AB79" i="66"/>
  <c r="BF18" i="66"/>
  <c r="R79" i="66"/>
  <c r="AZ18" i="66" s="1"/>
  <c r="Q79" i="66"/>
  <c r="P79" i="66"/>
  <c r="AX18" i="66" s="1"/>
  <c r="O79" i="66"/>
  <c r="N79" i="66"/>
  <c r="AV18" i="66" s="1"/>
  <c r="M79" i="66"/>
  <c r="L79" i="66"/>
  <c r="K79" i="66"/>
  <c r="AT18" i="66" s="1"/>
  <c r="J79" i="66"/>
  <c r="I79" i="66"/>
  <c r="AS18" i="66" s="1"/>
  <c r="H79" i="66"/>
  <c r="G79" i="66"/>
  <c r="F79" i="66"/>
  <c r="E79" i="66"/>
  <c r="AP18" i="66" s="1"/>
  <c r="D79" i="66"/>
  <c r="BQ78" i="66"/>
  <c r="BL78" i="66"/>
  <c r="BI78" i="66"/>
  <c r="BD78" i="66"/>
  <c r="BC78" i="66"/>
  <c r="BA78" i="66"/>
  <c r="AI78" i="66"/>
  <c r="AH78" i="66"/>
  <c r="AG78" i="66"/>
  <c r="BT77" i="66"/>
  <c r="BS77" i="66"/>
  <c r="BK77" i="66"/>
  <c r="BC77" i="66"/>
  <c r="AI77" i="66"/>
  <c r="AH77" i="66"/>
  <c r="BP76" i="66"/>
  <c r="BN76" i="66"/>
  <c r="BM76" i="66"/>
  <c r="BH76" i="66"/>
  <c r="BE76" i="66"/>
  <c r="AI76" i="66"/>
  <c r="AH76" i="66"/>
  <c r="BB75" i="66"/>
  <c r="AI75" i="66"/>
  <c r="AH75" i="66"/>
  <c r="BL74" i="66"/>
  <c r="BJ74" i="66"/>
  <c r="BI74" i="66"/>
  <c r="BD74" i="66"/>
  <c r="BA74" i="66"/>
  <c r="AI74" i="66"/>
  <c r="AH74" i="66"/>
  <c r="AI73" i="66"/>
  <c r="AH73" i="66"/>
  <c r="AI72" i="66"/>
  <c r="AH72" i="66"/>
  <c r="BW71" i="66"/>
  <c r="BW78" i="66" s="1"/>
  <c r="BV71" i="66"/>
  <c r="BV78" i="66" s="1"/>
  <c r="BU71" i="66"/>
  <c r="BU78" i="66" s="1"/>
  <c r="BT71" i="66"/>
  <c r="BT78" i="66" s="1"/>
  <c r="BS71" i="66"/>
  <c r="BS78" i="66" s="1"/>
  <c r="BR71" i="66"/>
  <c r="BR78" i="66" s="1"/>
  <c r="BQ71" i="66"/>
  <c r="BP71" i="66"/>
  <c r="BP78" i="66" s="1"/>
  <c r="BO71" i="66"/>
  <c r="BO78" i="66" s="1"/>
  <c r="BN71" i="66"/>
  <c r="BN78" i="66" s="1"/>
  <c r="BM71" i="66"/>
  <c r="BM78" i="66" s="1"/>
  <c r="BL71" i="66"/>
  <c r="BK71" i="66"/>
  <c r="BK78" i="66" s="1"/>
  <c r="BJ71" i="66"/>
  <c r="BJ78" i="66" s="1"/>
  <c r="BI71" i="66"/>
  <c r="BH71" i="66"/>
  <c r="BH78" i="66" s="1"/>
  <c r="BG71" i="66"/>
  <c r="BG78" i="66" s="1"/>
  <c r="BF71" i="66"/>
  <c r="BF78" i="66" s="1"/>
  <c r="BE71" i="66"/>
  <c r="BE78" i="66" s="1"/>
  <c r="BD71" i="66"/>
  <c r="BC71" i="66"/>
  <c r="BB71" i="66"/>
  <c r="BB78" i="66" s="1"/>
  <c r="BA71" i="66"/>
  <c r="AZ71" i="66"/>
  <c r="AZ78" i="66" s="1"/>
  <c r="AI71" i="66"/>
  <c r="AH71" i="66"/>
  <c r="BW70" i="66"/>
  <c r="BW77" i="66" s="1"/>
  <c r="BV70" i="66"/>
  <c r="BV77" i="66" s="1"/>
  <c r="BU70" i="66"/>
  <c r="BU77" i="66" s="1"/>
  <c r="BT70" i="66"/>
  <c r="BS70" i="66"/>
  <c r="BR70" i="66"/>
  <c r="BR77" i="66" s="1"/>
  <c r="BQ70" i="66"/>
  <c r="BQ77" i="66" s="1"/>
  <c r="BP70" i="66"/>
  <c r="BP77" i="66" s="1"/>
  <c r="BO70" i="66"/>
  <c r="BO77" i="66" s="1"/>
  <c r="BN70" i="66"/>
  <c r="BN77" i="66" s="1"/>
  <c r="BM70" i="66"/>
  <c r="BM77" i="66" s="1"/>
  <c r="BL70" i="66"/>
  <c r="BL77" i="66" s="1"/>
  <c r="BK70" i="66"/>
  <c r="BJ70" i="66"/>
  <c r="BJ77" i="66" s="1"/>
  <c r="BI70" i="66"/>
  <c r="BI77" i="66" s="1"/>
  <c r="BH70" i="66"/>
  <c r="BH77" i="66" s="1"/>
  <c r="BG70" i="66"/>
  <c r="BG77" i="66" s="1"/>
  <c r="BF70" i="66"/>
  <c r="BF77" i="66" s="1"/>
  <c r="BE70" i="66"/>
  <c r="BE77" i="66" s="1"/>
  <c r="BD70" i="66"/>
  <c r="BD77" i="66" s="1"/>
  <c r="BC70" i="66"/>
  <c r="BB70" i="66"/>
  <c r="BB77" i="66" s="1"/>
  <c r="BA70" i="66"/>
  <c r="BA77" i="66" s="1"/>
  <c r="AZ70" i="66"/>
  <c r="AZ77" i="66" s="1"/>
  <c r="AI70" i="66"/>
  <c r="AH70" i="66"/>
  <c r="BW69" i="66"/>
  <c r="BW76" i="66" s="1"/>
  <c r="BV69" i="66"/>
  <c r="BV76" i="66" s="1"/>
  <c r="BU69" i="66"/>
  <c r="BU76" i="66" s="1"/>
  <c r="BT69" i="66"/>
  <c r="BT76" i="66" s="1"/>
  <c r="BS69" i="66"/>
  <c r="BS76" i="66" s="1"/>
  <c r="BR69" i="66"/>
  <c r="BR76" i="66" s="1"/>
  <c r="BQ69" i="66"/>
  <c r="BQ76" i="66" s="1"/>
  <c r="BP69" i="66"/>
  <c r="BO69" i="66"/>
  <c r="BO76" i="66" s="1"/>
  <c r="BN69" i="66"/>
  <c r="BM69" i="66"/>
  <c r="BL69" i="66"/>
  <c r="BL76" i="66" s="1"/>
  <c r="BK69" i="66"/>
  <c r="BK76" i="66" s="1"/>
  <c r="BJ69" i="66"/>
  <c r="BJ76" i="66" s="1"/>
  <c r="BI69" i="66"/>
  <c r="BI76" i="66" s="1"/>
  <c r="BH69" i="66"/>
  <c r="BG69" i="66"/>
  <c r="BG76" i="66" s="1"/>
  <c r="BF69" i="66"/>
  <c r="BF76" i="66" s="1"/>
  <c r="BE69" i="66"/>
  <c r="BD69" i="66"/>
  <c r="BD76" i="66" s="1"/>
  <c r="BC69" i="66"/>
  <c r="BC76" i="66" s="1"/>
  <c r="BB69" i="66"/>
  <c r="BB76" i="66" s="1"/>
  <c r="BA69" i="66"/>
  <c r="BA76" i="66" s="1"/>
  <c r="AZ69" i="66"/>
  <c r="AZ76" i="66" s="1"/>
  <c r="AI69" i="66"/>
  <c r="AH69" i="66"/>
  <c r="BW68" i="66"/>
  <c r="BW75" i="66" s="1"/>
  <c r="BV68" i="66"/>
  <c r="BV75" i="66" s="1"/>
  <c r="BU68" i="66"/>
  <c r="BU75" i="66" s="1"/>
  <c r="BT68" i="66"/>
  <c r="BT75" i="66" s="1"/>
  <c r="BS68" i="66"/>
  <c r="BS75" i="66" s="1"/>
  <c r="BR68" i="66"/>
  <c r="BR75" i="66" s="1"/>
  <c r="BQ68" i="66"/>
  <c r="BQ75" i="66" s="1"/>
  <c r="BP68" i="66"/>
  <c r="BP75" i="66" s="1"/>
  <c r="BO68" i="66"/>
  <c r="BO75" i="66" s="1"/>
  <c r="BN68" i="66"/>
  <c r="BN75" i="66" s="1"/>
  <c r="BM68" i="66"/>
  <c r="BM75" i="66" s="1"/>
  <c r="BL68" i="66"/>
  <c r="BL75" i="66" s="1"/>
  <c r="BK68" i="66"/>
  <c r="BK75" i="66" s="1"/>
  <c r="BJ68" i="66"/>
  <c r="BJ75" i="66" s="1"/>
  <c r="BI68" i="66"/>
  <c r="BI75" i="66" s="1"/>
  <c r="BH68" i="66"/>
  <c r="BH75" i="66" s="1"/>
  <c r="BG68" i="66"/>
  <c r="BG75" i="66" s="1"/>
  <c r="BF68" i="66"/>
  <c r="BF75" i="66" s="1"/>
  <c r="BE68" i="66"/>
  <c r="BE75" i="66" s="1"/>
  <c r="BD68" i="66"/>
  <c r="BD75" i="66" s="1"/>
  <c r="BC68" i="66"/>
  <c r="BC75" i="66" s="1"/>
  <c r="BB68" i="66"/>
  <c r="BA68" i="66"/>
  <c r="BA75" i="66" s="1"/>
  <c r="AZ68" i="66"/>
  <c r="AZ75" i="66" s="1"/>
  <c r="AI68" i="66"/>
  <c r="AH68" i="66"/>
  <c r="BW67" i="66"/>
  <c r="BW74" i="66" s="1"/>
  <c r="BV67" i="66"/>
  <c r="BV74" i="66" s="1"/>
  <c r="BU67" i="66"/>
  <c r="BU74" i="66" s="1"/>
  <c r="BT67" i="66"/>
  <c r="BT74" i="66" s="1"/>
  <c r="BS67" i="66"/>
  <c r="BS74" i="66" s="1"/>
  <c r="BR67" i="66"/>
  <c r="BR74" i="66" s="1"/>
  <c r="BQ67" i="66"/>
  <c r="BQ74" i="66" s="1"/>
  <c r="BP67" i="66"/>
  <c r="BP74" i="66" s="1"/>
  <c r="BO67" i="66"/>
  <c r="BO74" i="66" s="1"/>
  <c r="BN67" i="66"/>
  <c r="BN74" i="66" s="1"/>
  <c r="BM67" i="66"/>
  <c r="BM74" i="66" s="1"/>
  <c r="BL67" i="66"/>
  <c r="BK67" i="66"/>
  <c r="BK74" i="66" s="1"/>
  <c r="BJ67" i="66"/>
  <c r="BI67" i="66"/>
  <c r="BH67" i="66"/>
  <c r="BH74" i="66" s="1"/>
  <c r="BG67" i="66"/>
  <c r="BG74" i="66" s="1"/>
  <c r="BF67" i="66"/>
  <c r="BF74" i="66" s="1"/>
  <c r="BE67" i="66"/>
  <c r="BE74" i="66" s="1"/>
  <c r="BD67" i="66"/>
  <c r="BC67" i="66"/>
  <c r="BC74" i="66" s="1"/>
  <c r="BB67" i="66"/>
  <c r="BB74" i="66" s="1"/>
  <c r="BA67" i="66"/>
  <c r="AZ67" i="66"/>
  <c r="AZ74" i="66" s="1"/>
  <c r="AI67" i="66"/>
  <c r="AH67" i="66"/>
  <c r="BW66" i="66"/>
  <c r="BW73" i="66" s="1"/>
  <c r="BV66" i="66"/>
  <c r="BV73" i="66" s="1"/>
  <c r="BU66" i="66"/>
  <c r="BU73" i="66" s="1"/>
  <c r="BT66" i="66"/>
  <c r="BT73" i="66" s="1"/>
  <c r="BS66" i="66"/>
  <c r="BS73" i="66" s="1"/>
  <c r="BR66" i="66"/>
  <c r="BR73" i="66" s="1"/>
  <c r="BQ66" i="66"/>
  <c r="BQ73" i="66" s="1"/>
  <c r="BP66" i="66"/>
  <c r="BP73" i="66" s="1"/>
  <c r="BO66" i="66"/>
  <c r="BO73" i="66" s="1"/>
  <c r="BN66" i="66"/>
  <c r="BN73" i="66" s="1"/>
  <c r="BM66" i="66"/>
  <c r="BM73" i="66" s="1"/>
  <c r="BL66" i="66"/>
  <c r="BL73" i="66" s="1"/>
  <c r="BK66" i="66"/>
  <c r="BK73" i="66" s="1"/>
  <c r="BJ66" i="66"/>
  <c r="BJ73" i="66" s="1"/>
  <c r="BI66" i="66"/>
  <c r="BI73" i="66" s="1"/>
  <c r="BH66" i="66"/>
  <c r="BH73" i="66" s="1"/>
  <c r="BG66" i="66"/>
  <c r="BG73" i="66" s="1"/>
  <c r="BF66" i="66"/>
  <c r="BF73" i="66" s="1"/>
  <c r="BE66" i="66"/>
  <c r="BE73" i="66" s="1"/>
  <c r="BD66" i="66"/>
  <c r="BD73" i="66" s="1"/>
  <c r="BC66" i="66"/>
  <c r="BC73" i="66" s="1"/>
  <c r="BB66" i="66"/>
  <c r="BB73" i="66" s="1"/>
  <c r="BA66" i="66"/>
  <c r="BA73" i="66" s="1"/>
  <c r="AZ66" i="66"/>
  <c r="AZ73" i="66" s="1"/>
  <c r="AI66" i="66"/>
  <c r="AH66" i="66"/>
  <c r="AG65" i="66"/>
  <c r="BJ17" i="66"/>
  <c r="BI17" i="66"/>
  <c r="AD65" i="66"/>
  <c r="BH17" i="66" s="1"/>
  <c r="AC65" i="66"/>
  <c r="AB65" i="66"/>
  <c r="BG17" i="66" s="1"/>
  <c r="BD17" i="66"/>
  <c r="BC17" i="66"/>
  <c r="BB17" i="66"/>
  <c r="R65" i="66"/>
  <c r="AZ17" i="66" s="1"/>
  <c r="Q65" i="66"/>
  <c r="P65" i="66"/>
  <c r="O65" i="66"/>
  <c r="AW17" i="66" s="1"/>
  <c r="N65" i="66"/>
  <c r="AV17" i="66" s="1"/>
  <c r="M65" i="66"/>
  <c r="AU17" i="66" s="1"/>
  <c r="L65" i="66"/>
  <c r="K65" i="66"/>
  <c r="J65" i="66"/>
  <c r="I65" i="66"/>
  <c r="H65" i="66"/>
  <c r="G65" i="66"/>
  <c r="AR17" i="66" s="1"/>
  <c r="F65" i="66"/>
  <c r="E65" i="66"/>
  <c r="AP17" i="66" s="1"/>
  <c r="D65" i="66"/>
  <c r="AO17" i="66" s="1"/>
  <c r="AI64" i="66"/>
  <c r="AH64" i="66"/>
  <c r="AI63" i="66"/>
  <c r="AH63" i="66"/>
  <c r="AI62" i="66"/>
  <c r="AH62" i="66"/>
  <c r="AG61" i="66"/>
  <c r="AD61" i="66"/>
  <c r="BH16" i="66" s="1"/>
  <c r="AC61" i="66"/>
  <c r="AB61" i="66"/>
  <c r="R61" i="66"/>
  <c r="AZ16" i="66" s="1"/>
  <c r="Q61" i="66"/>
  <c r="AY16" i="66" s="1"/>
  <c r="P61" i="66"/>
  <c r="AX16" i="66" s="1"/>
  <c r="O61" i="66"/>
  <c r="AW16" i="66" s="1"/>
  <c r="N61" i="66"/>
  <c r="M61" i="66"/>
  <c r="L61" i="66"/>
  <c r="K61" i="66"/>
  <c r="AT16" i="66" s="1"/>
  <c r="J61" i="66"/>
  <c r="I61" i="66"/>
  <c r="H61" i="66"/>
  <c r="G61" i="66"/>
  <c r="F61" i="66"/>
  <c r="E61" i="66"/>
  <c r="AP16" i="66" s="1"/>
  <c r="D61" i="66"/>
  <c r="AI60" i="66"/>
  <c r="AH60" i="66"/>
  <c r="AI59" i="66"/>
  <c r="AH59" i="66"/>
  <c r="AI58" i="66"/>
  <c r="AH58" i="66"/>
  <c r="AI57" i="66"/>
  <c r="AH57" i="66"/>
  <c r="AI56" i="66"/>
  <c r="AH56" i="66"/>
  <c r="AI55" i="66"/>
  <c r="AH55" i="66"/>
  <c r="AI54" i="66"/>
  <c r="AH54" i="66"/>
  <c r="AI53" i="66"/>
  <c r="AH53" i="66"/>
  <c r="AI52" i="66"/>
  <c r="AH52" i="66"/>
  <c r="AI51" i="66"/>
  <c r="AH51" i="66"/>
  <c r="AI50" i="66"/>
  <c r="AH50" i="66"/>
  <c r="AI49" i="66"/>
  <c r="AH49" i="66"/>
  <c r="AI48" i="66"/>
  <c r="AH48" i="66"/>
  <c r="AI47" i="66"/>
  <c r="AH47" i="66"/>
  <c r="AI46" i="66"/>
  <c r="AH46" i="66"/>
  <c r="AI45" i="66"/>
  <c r="AH45" i="66"/>
  <c r="AI44" i="66"/>
  <c r="AH44" i="66"/>
  <c r="AI43" i="66"/>
  <c r="AH43" i="66"/>
  <c r="AI42" i="66"/>
  <c r="AH42" i="66"/>
  <c r="AI41" i="66"/>
  <c r="AH41" i="66"/>
  <c r="AI40" i="66"/>
  <c r="AH40" i="66"/>
  <c r="AI39" i="66"/>
  <c r="AH39" i="66"/>
  <c r="AI38" i="66"/>
  <c r="AH38" i="66"/>
  <c r="AI37" i="66"/>
  <c r="AH37" i="66"/>
  <c r="AI36" i="66"/>
  <c r="AH36" i="66"/>
  <c r="AI35" i="66"/>
  <c r="AH35" i="66"/>
  <c r="AI34" i="66"/>
  <c r="AH34" i="66"/>
  <c r="AI33" i="66"/>
  <c r="AH33" i="66"/>
  <c r="AI32" i="66"/>
  <c r="AH32" i="66"/>
  <c r="AI31" i="66"/>
  <c r="AH31" i="66"/>
  <c r="AI30" i="66"/>
  <c r="AH30" i="66"/>
  <c r="AI29" i="66"/>
  <c r="AH29" i="66"/>
  <c r="AI28" i="66"/>
  <c r="AH28" i="66"/>
  <c r="AI27" i="66"/>
  <c r="AH27" i="66"/>
  <c r="AI26" i="66"/>
  <c r="AH26" i="66"/>
  <c r="AI25" i="66"/>
  <c r="AH25" i="66"/>
  <c r="AI24" i="66"/>
  <c r="AH24" i="66"/>
  <c r="BJ23" i="66"/>
  <c r="AZ23" i="66"/>
  <c r="AI23" i="66"/>
  <c r="AH23" i="66"/>
  <c r="AI22" i="66"/>
  <c r="AH22" i="66"/>
  <c r="BJ21" i="66"/>
  <c r="BI21" i="66"/>
  <c r="BH21" i="66"/>
  <c r="BG21" i="66"/>
  <c r="BF21" i="66"/>
  <c r="BE21" i="66"/>
  <c r="BD21" i="66"/>
  <c r="BC21" i="66"/>
  <c r="BB21" i="66"/>
  <c r="BA21" i="66"/>
  <c r="AZ21" i="66"/>
  <c r="AY21" i="66"/>
  <c r="AX21" i="66"/>
  <c r="AW21" i="66"/>
  <c r="AV21" i="66"/>
  <c r="AU21" i="66"/>
  <c r="AT21" i="66"/>
  <c r="AS21" i="66"/>
  <c r="AR21" i="66"/>
  <c r="AQ21" i="66"/>
  <c r="AP21" i="66"/>
  <c r="AO21" i="66"/>
  <c r="AN21" i="66"/>
  <c r="AM21" i="66"/>
  <c r="AI21" i="66"/>
  <c r="AH21" i="66"/>
  <c r="BI20" i="66"/>
  <c r="BH20" i="66"/>
  <c r="BF20" i="66"/>
  <c r="BE20" i="66"/>
  <c r="BD20" i="66"/>
  <c r="BC20" i="66"/>
  <c r="BA20" i="66"/>
  <c r="AZ20" i="66"/>
  <c r="AY20" i="66"/>
  <c r="AX20" i="66"/>
  <c r="AW20" i="66"/>
  <c r="AV20" i="66"/>
  <c r="AU20" i="66"/>
  <c r="AT20" i="66"/>
  <c r="AS20" i="66"/>
  <c r="AR20" i="66"/>
  <c r="AN20" i="66"/>
  <c r="AM20" i="66"/>
  <c r="AI20" i="66"/>
  <c r="AH20" i="66"/>
  <c r="BJ19" i="66"/>
  <c r="BI19" i="66"/>
  <c r="BH19" i="66"/>
  <c r="BG19" i="66"/>
  <c r="BD19" i="66"/>
  <c r="AW19" i="66"/>
  <c r="AV19" i="66"/>
  <c r="AS19" i="66"/>
  <c r="AQ19" i="66"/>
  <c r="AN19" i="66"/>
  <c r="AI19" i="66"/>
  <c r="AH19" i="66"/>
  <c r="BJ18" i="66"/>
  <c r="BI18" i="66"/>
  <c r="BG18" i="66"/>
  <c r="BE18" i="66"/>
  <c r="BD18" i="66"/>
  <c r="BC18" i="66"/>
  <c r="BB18" i="66"/>
  <c r="BA18" i="66"/>
  <c r="AW18" i="66"/>
  <c r="AU18" i="66"/>
  <c r="AR18" i="66"/>
  <c r="AQ18" i="66"/>
  <c r="AN18" i="66"/>
  <c r="AM18" i="66"/>
  <c r="AI18" i="66"/>
  <c r="AH18" i="66"/>
  <c r="BF17" i="66"/>
  <c r="BE17" i="66"/>
  <c r="BA17" i="66"/>
  <c r="AY17" i="66"/>
  <c r="AX17" i="66"/>
  <c r="AT17" i="66"/>
  <c r="AS17" i="66"/>
  <c r="AQ17" i="66"/>
  <c r="AN17" i="66"/>
  <c r="AI17" i="66"/>
  <c r="AH17" i="66"/>
  <c r="BI16" i="66"/>
  <c r="BF16" i="66"/>
  <c r="BA16" i="66"/>
  <c r="AS16" i="66"/>
  <c r="AR16" i="66"/>
  <c r="AQ16" i="66"/>
  <c r="AN16" i="66"/>
  <c r="AM16" i="66"/>
  <c r="AI16" i="66"/>
  <c r="AH16" i="66"/>
  <c r="AI15" i="66"/>
  <c r="AH15" i="66"/>
  <c r="AI14" i="66"/>
  <c r="AH14" i="66"/>
  <c r="AI13" i="66"/>
  <c r="AH13" i="66"/>
  <c r="AL12" i="66"/>
  <c r="AI12" i="66"/>
  <c r="AH12" i="66"/>
  <c r="AI11" i="66"/>
  <c r="AH11" i="66"/>
  <c r="AE5" i="66"/>
  <c r="AC5" i="66"/>
  <c r="AB5" i="66"/>
  <c r="AA5" i="66"/>
  <c r="Z5" i="66"/>
  <c r="Y5" i="66"/>
  <c r="V5" i="66"/>
  <c r="U5" i="66"/>
  <c r="S5" i="66"/>
  <c r="Q5" i="66"/>
  <c r="N5" i="66"/>
  <c r="M5" i="66"/>
  <c r="K5" i="66"/>
  <c r="J5" i="66"/>
  <c r="G5" i="66"/>
  <c r="C5" i="66"/>
  <c r="B5" i="66"/>
  <c r="AG4" i="66"/>
  <c r="K4" i="66"/>
  <c r="E4" i="66"/>
  <c r="H4" i="66" s="1"/>
  <c r="B4" i="66"/>
  <c r="AG2" i="66"/>
  <c r="AF61" i="65"/>
  <c r="AF65" i="65"/>
  <c r="AF79" i="65"/>
  <c r="AF83" i="65"/>
  <c r="AF95" i="65"/>
  <c r="AF104" i="65"/>
  <c r="AF105" i="65"/>
  <c r="AF106" i="65"/>
  <c r="AF107" i="65"/>
  <c r="AF108" i="65"/>
  <c r="AF109" i="65"/>
  <c r="AF121" i="65"/>
  <c r="AE61" i="65"/>
  <c r="AE65" i="65"/>
  <c r="AE79" i="65"/>
  <c r="AE83" i="65"/>
  <c r="AE95" i="65"/>
  <c r="AE104" i="65"/>
  <c r="AE105" i="65"/>
  <c r="AE106" i="65"/>
  <c r="AE107" i="65"/>
  <c r="AE108" i="65"/>
  <c r="AE109" i="65"/>
  <c r="AE121" i="65"/>
  <c r="Z249" i="69" l="1"/>
  <c r="X250" i="69"/>
  <c r="W255" i="69"/>
  <c r="R249" i="68"/>
  <c r="Q255" i="68"/>
  <c r="Q121" i="68"/>
  <c r="K255" i="67"/>
  <c r="K121" i="67"/>
  <c r="L249" i="67"/>
  <c r="AE110" i="66"/>
  <c r="BI23" i="66" s="1"/>
  <c r="BI22" i="66"/>
  <c r="BI24" i="66" s="1"/>
  <c r="AD5" i="66"/>
  <c r="BH22" i="66"/>
  <c r="AC110" i="66"/>
  <c r="AC111" i="66"/>
  <c r="AB100" i="66"/>
  <c r="AB102" i="66" s="1"/>
  <c r="Z110" i="66"/>
  <c r="BF23" i="66" s="1"/>
  <c r="X5" i="66"/>
  <c r="Y110" i="66"/>
  <c r="Y103" i="66" s="1"/>
  <c r="Y7" i="66" s="1"/>
  <c r="W5" i="66"/>
  <c r="X111" i="66"/>
  <c r="X100" i="66"/>
  <c r="X102" i="66" s="1"/>
  <c r="X103" i="66" s="1"/>
  <c r="X7" i="66" s="1"/>
  <c r="W103" i="66"/>
  <c r="W7" i="66" s="1"/>
  <c r="W111" i="66"/>
  <c r="U110" i="66"/>
  <c r="BC23" i="66" s="1"/>
  <c r="BA19" i="66"/>
  <c r="BA22" i="66" s="1"/>
  <c r="AZ22" i="66"/>
  <c r="AZ24" i="66" s="1"/>
  <c r="P5" i="66"/>
  <c r="Q100" i="66"/>
  <c r="Q102" i="66" s="1"/>
  <c r="Q103" i="66" s="1"/>
  <c r="Q7" i="66" s="1"/>
  <c r="Q110" i="66"/>
  <c r="AY23" i="66" s="1"/>
  <c r="O110" i="66"/>
  <c r="AW23" i="66" s="1"/>
  <c r="P100" i="66"/>
  <c r="P102" i="66" s="1"/>
  <c r="P103" i="66" s="1"/>
  <c r="P7" i="66" s="1"/>
  <c r="AW22" i="66"/>
  <c r="AW24" i="66" s="1"/>
  <c r="N111" i="66"/>
  <c r="N110" i="66"/>
  <c r="AV23" i="66" s="1"/>
  <c r="M110" i="66"/>
  <c r="AU23" i="66" s="1"/>
  <c r="L100" i="66"/>
  <c r="L102" i="66" s="1"/>
  <c r="AT22" i="66"/>
  <c r="I110" i="66"/>
  <c r="AS23" i="66" s="1"/>
  <c r="AS22" i="66"/>
  <c r="AS24" i="66" s="1"/>
  <c r="H100" i="66"/>
  <c r="H102" i="66" s="1"/>
  <c r="H103" i="66" s="1"/>
  <c r="H7" i="66" s="1"/>
  <c r="G110" i="66"/>
  <c r="AR23" i="66" s="1"/>
  <c r="AI124" i="66"/>
  <c r="F111" i="66"/>
  <c r="F110" i="66"/>
  <c r="AQ23" i="66" s="1"/>
  <c r="E5" i="66"/>
  <c r="AQ22" i="66"/>
  <c r="AQ24" i="66" s="1"/>
  <c r="AH124" i="66"/>
  <c r="E110" i="66"/>
  <c r="AP23" i="66" s="1"/>
  <c r="AI79" i="66"/>
  <c r="D121" i="66"/>
  <c r="AO18" i="66"/>
  <c r="D100" i="66"/>
  <c r="D102" i="66" s="1"/>
  <c r="AO16" i="66"/>
  <c r="C110" i="66"/>
  <c r="C111" i="66"/>
  <c r="C100" i="66"/>
  <c r="C102" i="66" s="1"/>
  <c r="C103" i="66" s="1"/>
  <c r="C7" i="66" s="1"/>
  <c r="AN22" i="66"/>
  <c r="AF5" i="66"/>
  <c r="AI104" i="66"/>
  <c r="B100" i="66"/>
  <c r="B102" i="66" s="1"/>
  <c r="B111" i="66"/>
  <c r="B103" i="66"/>
  <c r="AM22" i="66"/>
  <c r="T100" i="66"/>
  <c r="T102" i="66" s="1"/>
  <c r="BB16" i="66"/>
  <c r="BB22" i="66" s="1"/>
  <c r="M100" i="66"/>
  <c r="M102" i="66" s="1"/>
  <c r="M103" i="66" s="1"/>
  <c r="M7" i="66" s="1"/>
  <c r="AC100" i="66"/>
  <c r="AC102" i="66" s="1"/>
  <c r="AC103" i="66" s="1"/>
  <c r="AC7" i="66" s="1"/>
  <c r="F100" i="66"/>
  <c r="F102" i="66" s="1"/>
  <c r="F103" i="66" s="1"/>
  <c r="F7" i="66" s="1"/>
  <c r="AV16" i="66"/>
  <c r="AV22" i="66" s="1"/>
  <c r="AV24" i="66" s="1"/>
  <c r="N100" i="66"/>
  <c r="N102" i="66" s="1"/>
  <c r="N103" i="66" s="1"/>
  <c r="N7" i="66" s="1"/>
  <c r="BD16" i="66"/>
  <c r="BD22" i="66" s="1"/>
  <c r="V100" i="66"/>
  <c r="V102" i="66" s="1"/>
  <c r="AD100" i="66"/>
  <c r="AD102" i="66" s="1"/>
  <c r="AH79" i="66"/>
  <c r="BG82" i="66" a="1"/>
  <c r="E111" i="66"/>
  <c r="AP19" i="66"/>
  <c r="AP22" i="66" s="1"/>
  <c r="AP24" i="66" s="1"/>
  <c r="D5" i="66"/>
  <c r="M111" i="66"/>
  <c r="L5" i="66"/>
  <c r="AR22" i="66"/>
  <c r="AR24" i="66" s="1"/>
  <c r="O100" i="66"/>
  <c r="O102" i="66" s="1"/>
  <c r="O103" i="66" s="1"/>
  <c r="O7" i="66" s="1"/>
  <c r="AE100" i="66"/>
  <c r="AE102" i="66" s="1"/>
  <c r="AE103" i="66" s="1"/>
  <c r="AE7" i="66" s="1"/>
  <c r="AF7" i="66"/>
  <c r="BJ16" i="66"/>
  <c r="BJ22" i="66" s="1"/>
  <c r="BJ24" i="66" s="1"/>
  <c r="AI109" i="66"/>
  <c r="AX19" i="66"/>
  <c r="AX22" i="66" s="1"/>
  <c r="AX24" i="66" s="1"/>
  <c r="P111" i="66"/>
  <c r="E100" i="66"/>
  <c r="E102" i="66" s="1"/>
  <c r="E103" i="66" s="1"/>
  <c r="E7" i="66" s="1"/>
  <c r="U100" i="66"/>
  <c r="U102" i="66" s="1"/>
  <c r="U103" i="66" s="1"/>
  <c r="U7" i="66" s="1"/>
  <c r="AG3" i="66"/>
  <c r="AG100" i="66"/>
  <c r="AG102" i="66"/>
  <c r="I100" i="66"/>
  <c r="I102" i="66" s="1"/>
  <c r="I103" i="66" s="1"/>
  <c r="I7" i="66" s="1"/>
  <c r="BC16" i="66"/>
  <c r="BC22" i="66" s="1"/>
  <c r="BC24" i="66" s="1"/>
  <c r="AY18" i="66"/>
  <c r="AY22" i="66" s="1"/>
  <c r="AY24" i="66" s="1"/>
  <c r="AG6" i="66"/>
  <c r="BE16" i="66"/>
  <c r="BE22" i="66" s="1"/>
  <c r="BE24" i="66" s="1"/>
  <c r="AI65" i="66"/>
  <c r="AH65" i="66"/>
  <c r="D261" i="66"/>
  <c r="AL13" i="66"/>
  <c r="F5" i="66"/>
  <c r="AU16" i="66"/>
  <c r="AU22" i="66" s="1"/>
  <c r="AU24" i="66" s="1"/>
  <c r="BF22" i="66"/>
  <c r="BF24" i="66" s="1"/>
  <c r="AI61" i="66"/>
  <c r="J100" i="66"/>
  <c r="J102" i="66" s="1"/>
  <c r="J103" i="66" s="1"/>
  <c r="J7" i="66" s="1"/>
  <c r="R100" i="66"/>
  <c r="R102" i="66" s="1"/>
  <c r="R103" i="66" s="1"/>
  <c r="R7" i="66" s="1"/>
  <c r="Z100" i="66"/>
  <c r="Z102" i="66" s="1"/>
  <c r="Z103" i="66" s="1"/>
  <c r="Z7" i="66" s="1"/>
  <c r="AH61" i="66"/>
  <c r="I111" i="66"/>
  <c r="Q111" i="66"/>
  <c r="Y111" i="66"/>
  <c r="AH108" i="66"/>
  <c r="AI108" i="66"/>
  <c r="BG16" i="66"/>
  <c r="BG22" i="66" s="1"/>
  <c r="AH105" i="66"/>
  <c r="G100" i="66"/>
  <c r="G102" i="66" s="1"/>
  <c r="AH104" i="66"/>
  <c r="AI105" i="66"/>
  <c r="AI106" i="66"/>
  <c r="K110" i="66"/>
  <c r="S110" i="66"/>
  <c r="AA110" i="66"/>
  <c r="AA111" i="66" s="1"/>
  <c r="AH106" i="66"/>
  <c r="H249" i="66"/>
  <c r="E250" i="66"/>
  <c r="AI95" i="66"/>
  <c r="J111" i="66"/>
  <c r="R111" i="66"/>
  <c r="Z111" i="66"/>
  <c r="AH95" i="66"/>
  <c r="D110" i="66"/>
  <c r="AO23" i="66" s="1"/>
  <c r="L110" i="66"/>
  <c r="L103" i="66" s="1"/>
  <c r="L7" i="66" s="1"/>
  <c r="T110" i="66"/>
  <c r="BB23" i="66" s="1"/>
  <c r="AB110" i="66"/>
  <c r="BG23" i="66" s="1"/>
  <c r="AI83" i="66"/>
  <c r="AH83" i="66"/>
  <c r="T5" i="66"/>
  <c r="K100" i="66"/>
  <c r="K102" i="66" s="1"/>
  <c r="S100" i="66"/>
  <c r="S102" i="66" s="1"/>
  <c r="AA100" i="66"/>
  <c r="AA102" i="66" s="1"/>
  <c r="L111" i="66"/>
  <c r="V110" i="66"/>
  <c r="BD23" i="66" s="1"/>
  <c r="AD110" i="66"/>
  <c r="BH23" i="66" s="1"/>
  <c r="BH24" i="66" s="1"/>
  <c r="E254" i="66"/>
  <c r="AH107" i="66"/>
  <c r="AF110" i="65"/>
  <c r="AF111" i="65"/>
  <c r="AF100" i="65"/>
  <c r="AF102" i="65" s="1"/>
  <c r="AF103" i="65" s="1"/>
  <c r="AE110" i="65"/>
  <c r="AE111" i="65" s="1"/>
  <c r="AE100" i="65"/>
  <c r="AE102" i="65" s="1"/>
  <c r="AE103" i="65" s="1"/>
  <c r="AD61" i="65"/>
  <c r="AD65" i="65"/>
  <c r="AD79" i="65"/>
  <c r="AD83" i="65"/>
  <c r="AD104" i="65"/>
  <c r="AD110" i="65" s="1"/>
  <c r="AD105" i="65"/>
  <c r="AD106" i="65"/>
  <c r="AD107" i="65"/>
  <c r="AD108" i="65"/>
  <c r="AD109" i="65"/>
  <c r="AD121" i="65"/>
  <c r="Y250" i="69" l="1"/>
  <c r="X255" i="69"/>
  <c r="AA249" i="69"/>
  <c r="R255" i="68"/>
  <c r="S249" i="68"/>
  <c r="R121" i="68"/>
  <c r="L255" i="67"/>
  <c r="L121" i="67"/>
  <c r="M249" i="67"/>
  <c r="AE111" i="66"/>
  <c r="AD103" i="66"/>
  <c r="AD7" i="66" s="1"/>
  <c r="AD111" i="66"/>
  <c r="V111" i="66"/>
  <c r="U111" i="66"/>
  <c r="T111" i="66"/>
  <c r="O111" i="66"/>
  <c r="G111" i="66"/>
  <c r="D103" i="66"/>
  <c r="D7" i="66" s="1"/>
  <c r="D111" i="66"/>
  <c r="AO22" i="66"/>
  <c r="AO24" i="66" s="1"/>
  <c r="C259" i="66"/>
  <c r="B259" i="66"/>
  <c r="G103" i="66"/>
  <c r="G7" i="66" s="1"/>
  <c r="AB103" i="66"/>
  <c r="AB7" i="66" s="1"/>
  <c r="AN23" i="66"/>
  <c r="AN24" i="66" s="1"/>
  <c r="S111" i="66"/>
  <c r="BA23" i="66"/>
  <c r="BA24" i="66" s="1"/>
  <c r="F254" i="66"/>
  <c r="E121" i="66"/>
  <c r="K111" i="66"/>
  <c r="AT23" i="66"/>
  <c r="AT24" i="66" s="1"/>
  <c r="BG24" i="66"/>
  <c r="S103" i="66"/>
  <c r="S7" i="66" s="1"/>
  <c r="F250" i="66"/>
  <c r="E255" i="66"/>
  <c r="K103" i="66"/>
  <c r="K7" i="66" s="1"/>
  <c r="V103" i="66"/>
  <c r="V7" i="66" s="1"/>
  <c r="BB24" i="66"/>
  <c r="AI110" i="66"/>
  <c r="AH110" i="66"/>
  <c r="AM23" i="66"/>
  <c r="AM24" i="66" s="1"/>
  <c r="AA103" i="66"/>
  <c r="AA7" i="66" s="1"/>
  <c r="BD24" i="66"/>
  <c r="T103" i="66"/>
  <c r="T7" i="66" s="1"/>
  <c r="AT8" i="66"/>
  <c r="BI105" i="66"/>
  <c r="BG104" i="66"/>
  <c r="BK102" i="66"/>
  <c r="BI101" i="66"/>
  <c r="BG100" i="66"/>
  <c r="BK98" i="66"/>
  <c r="BI97" i="66"/>
  <c r="BG96" i="66"/>
  <c r="BK94" i="66"/>
  <c r="BI93" i="66"/>
  <c r="BG92" i="66"/>
  <c r="BK90" i="66"/>
  <c r="BI89" i="66"/>
  <c r="BG88" i="66"/>
  <c r="BK86" i="66"/>
  <c r="BI85" i="66"/>
  <c r="BG84" i="66"/>
  <c r="BK82" i="66"/>
  <c r="BL104" i="66"/>
  <c r="BJ103" i="66"/>
  <c r="BH102" i="66"/>
  <c r="BL100" i="66"/>
  <c r="BJ99" i="66"/>
  <c r="BH98" i="66"/>
  <c r="BL96" i="66"/>
  <c r="BJ95" i="66"/>
  <c r="BH94" i="66"/>
  <c r="BL92" i="66"/>
  <c r="BJ91" i="66"/>
  <c r="BH90" i="66"/>
  <c r="BL88" i="66"/>
  <c r="BJ87" i="66"/>
  <c r="BH86" i="66"/>
  <c r="BL84" i="66"/>
  <c r="BJ83" i="66"/>
  <c r="BH82" i="66"/>
  <c r="BJ104" i="66"/>
  <c r="BL102" i="66"/>
  <c r="BG101" i="66"/>
  <c r="BH99" i="66"/>
  <c r="BJ97" i="66"/>
  <c r="BK95" i="66"/>
  <c r="BL93" i="66"/>
  <c r="BH92" i="66"/>
  <c r="BI90" i="66"/>
  <c r="BJ88" i="66"/>
  <c r="BL86" i="66"/>
  <c r="BG85" i="66"/>
  <c r="BH83" i="66"/>
  <c r="BI104" i="66"/>
  <c r="BJ102" i="66"/>
  <c r="BK100" i="66"/>
  <c r="BG99" i="66"/>
  <c r="BH97" i="66"/>
  <c r="BI95" i="66"/>
  <c r="BK93" i="66"/>
  <c r="BL91" i="66"/>
  <c r="BG90" i="66"/>
  <c r="BI88" i="66"/>
  <c r="BJ86" i="66"/>
  <c r="BK84" i="66"/>
  <c r="BG83" i="66"/>
  <c r="BL105" i="66"/>
  <c r="BH104" i="66"/>
  <c r="BI102" i="66"/>
  <c r="BJ100" i="66"/>
  <c r="BL98" i="66"/>
  <c r="BG97" i="66"/>
  <c r="BH95" i="66"/>
  <c r="BJ93" i="66"/>
  <c r="BK91" i="66"/>
  <c r="BL89" i="66"/>
  <c r="BH88" i="66"/>
  <c r="BI86" i="66"/>
  <c r="BJ84" i="66"/>
  <c r="BL82" i="66"/>
  <c r="BK105" i="66"/>
  <c r="BL103" i="66"/>
  <c r="BG102" i="66"/>
  <c r="BI100" i="66"/>
  <c r="BJ98" i="66"/>
  <c r="BK96" i="66"/>
  <c r="BG95" i="66"/>
  <c r="BH93" i="66"/>
  <c r="BI91" i="66"/>
  <c r="BK89" i="66"/>
  <c r="BL87" i="66"/>
  <c r="BG86" i="66"/>
  <c r="BI84" i="66"/>
  <c r="BJ82" i="66"/>
  <c r="BJ105" i="66"/>
  <c r="BL101" i="66"/>
  <c r="BI98" i="66"/>
  <c r="BL94" i="66"/>
  <c r="BH91" i="66"/>
  <c r="BK87" i="66"/>
  <c r="BH84" i="66"/>
  <c r="BH105" i="66"/>
  <c r="BK101" i="66"/>
  <c r="BG98" i="66"/>
  <c r="BJ94" i="66"/>
  <c r="BG91" i="66"/>
  <c r="BI87" i="66"/>
  <c r="BL83" i="66"/>
  <c r="BG105" i="66"/>
  <c r="BJ101" i="66"/>
  <c r="BL97" i="66"/>
  <c r="BI94" i="66"/>
  <c r="BL90" i="66"/>
  <c r="BH87" i="66"/>
  <c r="BK83" i="66"/>
  <c r="BI92" i="66"/>
  <c r="BK104" i="66"/>
  <c r="BH101" i="66"/>
  <c r="BK97" i="66"/>
  <c r="BG94" i="66"/>
  <c r="BJ90" i="66"/>
  <c r="BG87" i="66"/>
  <c r="BI83" i="66"/>
  <c r="BK103" i="66"/>
  <c r="BH100" i="66"/>
  <c r="BJ96" i="66"/>
  <c r="BG93" i="66"/>
  <c r="BJ89" i="66"/>
  <c r="BL85" i="66"/>
  <c r="BI82" i="66"/>
  <c r="BI103" i="66"/>
  <c r="BL99" i="66"/>
  <c r="BI96" i="66"/>
  <c r="BK92" i="66"/>
  <c r="BH89" i="66"/>
  <c r="BK85" i="66"/>
  <c r="BG82" i="66"/>
  <c r="BH103" i="66"/>
  <c r="BK99" i="66"/>
  <c r="BH96" i="66"/>
  <c r="BJ92" i="66"/>
  <c r="BG89" i="66"/>
  <c r="BJ85" i="66"/>
  <c r="BG103" i="66"/>
  <c r="BI99" i="66"/>
  <c r="BL95" i="66"/>
  <c r="BK88" i="66"/>
  <c r="BH85" i="66"/>
  <c r="AI100" i="66"/>
  <c r="AH100" i="66"/>
  <c r="AB111" i="66"/>
  <c r="I249" i="66"/>
  <c r="AD95" i="65"/>
  <c r="AD111" i="65" s="1"/>
  <c r="AK53" i="65"/>
  <c r="AK52" i="65"/>
  <c r="AC61" i="65"/>
  <c r="AC65" i="65"/>
  <c r="AC79" i="65"/>
  <c r="AC83" i="65"/>
  <c r="AC95" i="65"/>
  <c r="AC104" i="65"/>
  <c r="AC110" i="65" s="1"/>
  <c r="AC105" i="65"/>
  <c r="AC106" i="65"/>
  <c r="AC107" i="65"/>
  <c r="AC108" i="65"/>
  <c r="AC109" i="65"/>
  <c r="AC121" i="65"/>
  <c r="AB60" i="65"/>
  <c r="AB61" i="65"/>
  <c r="AB65" i="65"/>
  <c r="AB79" i="65"/>
  <c r="AB83" i="65"/>
  <c r="AB95" i="65"/>
  <c r="AB104" i="65"/>
  <c r="AB105" i="65"/>
  <c r="AB106" i="65"/>
  <c r="AB107" i="65"/>
  <c r="AB108" i="65"/>
  <c r="AB109" i="65"/>
  <c r="AB121" i="65"/>
  <c r="AA124" i="65"/>
  <c r="AA60" i="65"/>
  <c r="Z124" i="65"/>
  <c r="Z60" i="65"/>
  <c r="Y124" i="65"/>
  <c r="Y60" i="65"/>
  <c r="AB249" i="69" l="1"/>
  <c r="Z250" i="69"/>
  <c r="Y255" i="69"/>
  <c r="S255" i="68"/>
  <c r="S121" i="68"/>
  <c r="T249" i="68"/>
  <c r="N249" i="67"/>
  <c r="M255" i="67"/>
  <c r="M121" i="67"/>
  <c r="AT9" i="66"/>
  <c r="J249" i="66"/>
  <c r="AI111" i="66"/>
  <c r="AH111" i="66"/>
  <c r="G250" i="66"/>
  <c r="F255" i="66"/>
  <c r="AI102" i="66"/>
  <c r="AH102" i="66"/>
  <c r="K6" i="66"/>
  <c r="G254" i="66"/>
  <c r="F121" i="66"/>
  <c r="AD100" i="65"/>
  <c r="AD102" i="65" s="1"/>
  <c r="AD103" i="65" s="1"/>
  <c r="AC100" i="65"/>
  <c r="AC102" i="65" s="1"/>
  <c r="AC103" i="65" s="1"/>
  <c r="AC111" i="65"/>
  <c r="AB110" i="65"/>
  <c r="AB100" i="65"/>
  <c r="AB102" i="65" s="1"/>
  <c r="AB103" i="65" s="1"/>
  <c r="AB111" i="65"/>
  <c r="X124" i="65"/>
  <c r="X60" i="65"/>
  <c r="W60" i="65"/>
  <c r="W61" i="65"/>
  <c r="W65" i="65"/>
  <c r="W79" i="65"/>
  <c r="W83" i="65"/>
  <c r="W95" i="65"/>
  <c r="W104" i="65"/>
  <c r="W110" i="65" s="1"/>
  <c r="W105" i="65"/>
  <c r="W106" i="65"/>
  <c r="W107" i="65"/>
  <c r="W108" i="65"/>
  <c r="W109" i="65"/>
  <c r="W121" i="65"/>
  <c r="V60" i="65"/>
  <c r="V61" i="65"/>
  <c r="V65" i="65"/>
  <c r="V79" i="65"/>
  <c r="V83" i="65"/>
  <c r="V95" i="65"/>
  <c r="V104" i="65"/>
  <c r="V110" i="65" s="1"/>
  <c r="V105" i="65"/>
  <c r="V106" i="65"/>
  <c r="V107" i="65"/>
  <c r="V108" i="65"/>
  <c r="V109" i="65"/>
  <c r="V121" i="65"/>
  <c r="U60" i="65"/>
  <c r="U61" i="65"/>
  <c r="U65" i="65"/>
  <c r="U79" i="65"/>
  <c r="U83" i="65"/>
  <c r="U95" i="65"/>
  <c r="U104" i="65"/>
  <c r="U110" i="65" s="1"/>
  <c r="U105" i="65"/>
  <c r="U106" i="65"/>
  <c r="U107" i="65"/>
  <c r="U108" i="65"/>
  <c r="U109" i="65"/>
  <c r="U121" i="65"/>
  <c r="U124" i="65"/>
  <c r="T124" i="65"/>
  <c r="T60" i="65"/>
  <c r="AA250" i="69" l="1"/>
  <c r="Z255" i="69"/>
  <c r="AB121" i="69"/>
  <c r="AC249" i="69"/>
  <c r="T255" i="68"/>
  <c r="T121" i="68"/>
  <c r="U249" i="68"/>
  <c r="O249" i="67"/>
  <c r="N255" i="67"/>
  <c r="N121" i="67"/>
  <c r="H250" i="66"/>
  <c r="G255" i="66"/>
  <c r="H254" i="66"/>
  <c r="G121" i="66"/>
  <c r="K249" i="66"/>
  <c r="AI103" i="66"/>
  <c r="B7" i="66"/>
  <c r="A7" i="66" s="1"/>
  <c r="AH103" i="66"/>
  <c r="W111" i="65"/>
  <c r="W100" i="65"/>
  <c r="W102" i="65" s="1"/>
  <c r="W103" i="65" s="1"/>
  <c r="V111" i="65"/>
  <c r="V100" i="65"/>
  <c r="V102" i="65" s="1"/>
  <c r="V103" i="65" s="1"/>
  <c r="U100" i="65"/>
  <c r="U102" i="65" s="1"/>
  <c r="U103" i="65" s="1"/>
  <c r="U111" i="65"/>
  <c r="AC121" i="69" l="1"/>
  <c r="AD249" i="69"/>
  <c r="AB250" i="69"/>
  <c r="AA255" i="69"/>
  <c r="U121" i="68"/>
  <c r="U255" i="68"/>
  <c r="V249" i="68"/>
  <c r="P249" i="67"/>
  <c r="O255" i="67"/>
  <c r="O121" i="67"/>
  <c r="I250" i="66"/>
  <c r="H255" i="66"/>
  <c r="L249" i="66"/>
  <c r="I254" i="66"/>
  <c r="H121" i="66"/>
  <c r="S60" i="65"/>
  <c r="S61" i="65"/>
  <c r="S65" i="65"/>
  <c r="S79" i="65"/>
  <c r="S83" i="65"/>
  <c r="S95" i="65"/>
  <c r="S104" i="65"/>
  <c r="S110" i="65" s="1"/>
  <c r="S105" i="65"/>
  <c r="S106" i="65"/>
  <c r="S107" i="65"/>
  <c r="S108" i="65"/>
  <c r="S109" i="65"/>
  <c r="S121" i="65"/>
  <c r="AC250" i="69" l="1"/>
  <c r="AB255" i="69"/>
  <c r="AD121" i="69"/>
  <c r="AE249" i="69"/>
  <c r="W249" i="68"/>
  <c r="V255" i="68"/>
  <c r="V121" i="68"/>
  <c r="Q249" i="67"/>
  <c r="P255" i="67"/>
  <c r="J254" i="66"/>
  <c r="I121" i="66"/>
  <c r="M249" i="66"/>
  <c r="J250" i="66"/>
  <c r="I255" i="66"/>
  <c r="S111" i="65"/>
  <c r="S100" i="65"/>
  <c r="S102" i="65" s="1"/>
  <c r="S103" i="65" s="1"/>
  <c r="R60" i="65"/>
  <c r="R61" i="65"/>
  <c r="R65" i="65"/>
  <c r="R79" i="65"/>
  <c r="R83" i="65"/>
  <c r="Q60" i="65"/>
  <c r="Q61" i="65"/>
  <c r="Q65" i="65"/>
  <c r="Q79" i="65"/>
  <c r="Q83" i="65"/>
  <c r="P60" i="65"/>
  <c r="P61" i="65"/>
  <c r="P65" i="65"/>
  <c r="P79" i="65"/>
  <c r="P83" i="65"/>
  <c r="O60" i="65"/>
  <c r="O61" i="65"/>
  <c r="O65" i="65"/>
  <c r="O79" i="65"/>
  <c r="O83" i="65"/>
  <c r="N60" i="65"/>
  <c r="N61" i="65"/>
  <c r="N65" i="65"/>
  <c r="N79" i="65"/>
  <c r="N83" i="65"/>
  <c r="AF249" i="69" l="1"/>
  <c r="AE121" i="69"/>
  <c r="AD250" i="69"/>
  <c r="AC255" i="69"/>
  <c r="X249" i="68"/>
  <c r="W255" i="68"/>
  <c r="W121" i="68"/>
  <c r="Q255" i="67"/>
  <c r="Q121" i="67"/>
  <c r="R249" i="67"/>
  <c r="K250" i="66"/>
  <c r="J255" i="66"/>
  <c r="N249" i="66"/>
  <c r="K254" i="66"/>
  <c r="J121" i="66"/>
  <c r="I61" i="65"/>
  <c r="J61" i="65"/>
  <c r="K61" i="65"/>
  <c r="L61" i="65"/>
  <c r="M61" i="65"/>
  <c r="M60" i="65"/>
  <c r="M65" i="65"/>
  <c r="M79" i="65"/>
  <c r="M83" i="65"/>
  <c r="AE250" i="69" l="1"/>
  <c r="AD255" i="69"/>
  <c r="AF121" i="69"/>
  <c r="B249" i="69"/>
  <c r="Y249" i="68"/>
  <c r="X121" i="68"/>
  <c r="X255" i="68"/>
  <c r="R255" i="67"/>
  <c r="R121" i="67"/>
  <c r="S249" i="67"/>
  <c r="L254" i="66"/>
  <c r="K121" i="66"/>
  <c r="O249" i="66"/>
  <c r="L250" i="66"/>
  <c r="K255" i="66"/>
  <c r="AF250" i="69" l="1"/>
  <c r="AE255" i="69"/>
  <c r="Y255" i="68"/>
  <c r="Z249" i="68"/>
  <c r="S255" i="67"/>
  <c r="S121" i="67"/>
  <c r="T249" i="67"/>
  <c r="M250" i="66"/>
  <c r="L255" i="66"/>
  <c r="P249" i="66"/>
  <c r="M254" i="66"/>
  <c r="L121" i="66"/>
  <c r="B250" i="69" l="1"/>
  <c r="B255" i="69" s="1"/>
  <c r="AF255" i="69"/>
  <c r="AI121" i="69"/>
  <c r="AH121" i="69"/>
  <c r="Z255" i="68"/>
  <c r="AA249" i="68"/>
  <c r="T255" i="67"/>
  <c r="T121" i="67"/>
  <c r="U249" i="67"/>
  <c r="N254" i="66"/>
  <c r="M121" i="66"/>
  <c r="Q249" i="66"/>
  <c r="N250" i="66"/>
  <c r="M255" i="66"/>
  <c r="AA255" i="68" l="1"/>
  <c r="AA121" i="68"/>
  <c r="AB249" i="68"/>
  <c r="U121" i="67"/>
  <c r="V249" i="67"/>
  <c r="U255" i="67"/>
  <c r="O250" i="66"/>
  <c r="N255" i="66"/>
  <c r="R249" i="66"/>
  <c r="O254" i="66"/>
  <c r="N121" i="66"/>
  <c r="AB255" i="68" l="1"/>
  <c r="AB121" i="68"/>
  <c r="AC249" i="68"/>
  <c r="W249" i="67"/>
  <c r="V255" i="67"/>
  <c r="V121" i="67"/>
  <c r="P254" i="66"/>
  <c r="Q254" i="66" s="1"/>
  <c r="O121" i="66"/>
  <c r="S249" i="66"/>
  <c r="P250" i="66"/>
  <c r="O255" i="66"/>
  <c r="AC121" i="68" l="1"/>
  <c r="AC255" i="68"/>
  <c r="AD249" i="68"/>
  <c r="X249" i="67"/>
  <c r="W255" i="67"/>
  <c r="W121" i="67"/>
  <c r="Q250" i="66"/>
  <c r="P255" i="66"/>
  <c r="T249" i="66"/>
  <c r="R254" i="66"/>
  <c r="Q121" i="66"/>
  <c r="AE249" i="68" l="1"/>
  <c r="AD255" i="68"/>
  <c r="AD121" i="68"/>
  <c r="Y249" i="67"/>
  <c r="X255" i="67"/>
  <c r="X121" i="67"/>
  <c r="S254" i="66"/>
  <c r="R121" i="66"/>
  <c r="U249" i="66"/>
  <c r="R250" i="66"/>
  <c r="Q255" i="66"/>
  <c r="AF249" i="68" l="1"/>
  <c r="AE255" i="68"/>
  <c r="AE121" i="68"/>
  <c r="Y255" i="67"/>
  <c r="Z249" i="67"/>
  <c r="S250" i="66"/>
  <c r="R255" i="66"/>
  <c r="V249" i="66"/>
  <c r="T254" i="66"/>
  <c r="S121" i="66"/>
  <c r="L65" i="65"/>
  <c r="L79" i="65"/>
  <c r="L83" i="65"/>
  <c r="K65" i="65"/>
  <c r="J65" i="65"/>
  <c r="H61" i="65"/>
  <c r="H65" i="65"/>
  <c r="H79" i="65"/>
  <c r="H83" i="65"/>
  <c r="AF255" i="68" l="1"/>
  <c r="AF121" i="68"/>
  <c r="B249" i="68"/>
  <c r="Z255" i="67"/>
  <c r="AA249" i="67"/>
  <c r="U254" i="66"/>
  <c r="T121" i="66"/>
  <c r="W249" i="66"/>
  <c r="T250" i="66"/>
  <c r="S255" i="66"/>
  <c r="B255" i="68" l="1"/>
  <c r="AA255" i="67"/>
  <c r="AA121" i="67"/>
  <c r="AB249" i="67"/>
  <c r="U250" i="66"/>
  <c r="T255" i="66"/>
  <c r="X249" i="66"/>
  <c r="V254" i="66"/>
  <c r="U121" i="66"/>
  <c r="AI121" i="68" l="1"/>
  <c r="AH121" i="68"/>
  <c r="AB255" i="67"/>
  <c r="AC249" i="67"/>
  <c r="W254" i="66"/>
  <c r="V121" i="66"/>
  <c r="Y249" i="66"/>
  <c r="V250" i="66"/>
  <c r="U255" i="66"/>
  <c r="AD249" i="67" l="1"/>
  <c r="AC255" i="67"/>
  <c r="X254" i="66"/>
  <c r="W121" i="66"/>
  <c r="W250" i="66"/>
  <c r="V255" i="66"/>
  <c r="Z249" i="66"/>
  <c r="AE249" i="67" l="1"/>
  <c r="AD255" i="67"/>
  <c r="Y254" i="66"/>
  <c r="Z254" i="66" s="1"/>
  <c r="AA254" i="66" s="1"/>
  <c r="AB254" i="66" s="1"/>
  <c r="AC254" i="66" s="1"/>
  <c r="AD254" i="66" s="1"/>
  <c r="AE254" i="66" s="1"/>
  <c r="AF254" i="66" s="1"/>
  <c r="B254" i="66" s="1"/>
  <c r="X121" i="66"/>
  <c r="AA249" i="66"/>
  <c r="X250" i="66"/>
  <c r="W255" i="66"/>
  <c r="AF249" i="67" l="1"/>
  <c r="AE255" i="67"/>
  <c r="Y250" i="66"/>
  <c r="X255" i="66"/>
  <c r="AA121" i="66"/>
  <c r="AB249" i="66"/>
  <c r="AF255" i="67" l="1"/>
  <c r="B249" i="67"/>
  <c r="Z250" i="66"/>
  <c r="Y255" i="66"/>
  <c r="AB121" i="66"/>
  <c r="AC249" i="66"/>
  <c r="B255" i="67" l="1"/>
  <c r="AA250" i="66"/>
  <c r="Z255" i="66"/>
  <c r="AC121" i="66"/>
  <c r="AD249" i="66"/>
  <c r="AI121" i="67" l="1"/>
  <c r="AH121" i="67"/>
  <c r="AB250" i="66"/>
  <c r="AA255" i="66"/>
  <c r="AE249" i="66"/>
  <c r="AD121" i="66"/>
  <c r="AF249" i="66" l="1"/>
  <c r="AE121" i="66"/>
  <c r="AC250" i="66"/>
  <c r="AB255" i="66"/>
  <c r="B249" i="66" l="1"/>
  <c r="AD250" i="66"/>
  <c r="AC255" i="66"/>
  <c r="AE250" i="66" l="1"/>
  <c r="AD255" i="66"/>
  <c r="AI121" i="66" l="1"/>
  <c r="AH121" i="66"/>
  <c r="AF250" i="66"/>
  <c r="AE255" i="66"/>
  <c r="B250" i="66" l="1"/>
  <c r="B255" i="66" s="1"/>
  <c r="AF255" i="66"/>
  <c r="G61" i="65" l="1"/>
  <c r="G65" i="65"/>
  <c r="F61" i="65"/>
  <c r="F65" i="65"/>
  <c r="AG255" i="65" l="1"/>
  <c r="C255" i="65"/>
  <c r="L254" i="65"/>
  <c r="M254" i="65" s="1"/>
  <c r="N254" i="65" s="1"/>
  <c r="O254" i="65" s="1"/>
  <c r="P254" i="65" s="1"/>
  <c r="Q254" i="65" s="1"/>
  <c r="R254" i="65" s="1"/>
  <c r="S254" i="65" s="1"/>
  <c r="T254" i="65" s="1"/>
  <c r="U254" i="65" s="1"/>
  <c r="V254" i="65" s="1"/>
  <c r="W254" i="65" s="1"/>
  <c r="X254" i="65" s="1"/>
  <c r="Y254" i="65" s="1"/>
  <c r="Z254" i="65" s="1"/>
  <c r="AA254" i="65" s="1"/>
  <c r="AB254" i="65" s="1"/>
  <c r="AC254" i="65" s="1"/>
  <c r="AD254" i="65" s="1"/>
  <c r="AE254" i="65" s="1"/>
  <c r="AF254" i="65" s="1"/>
  <c r="B254" i="65" s="1"/>
  <c r="E254" i="65"/>
  <c r="F254" i="65" s="1"/>
  <c r="G254" i="65" s="1"/>
  <c r="H254" i="65" s="1"/>
  <c r="I254" i="65" s="1"/>
  <c r="J254" i="65" s="1"/>
  <c r="K254" i="65" s="1"/>
  <c r="D254" i="65"/>
  <c r="J253" i="65"/>
  <c r="K253" i="65" s="1"/>
  <c r="L253" i="65" s="1"/>
  <c r="M253" i="65" s="1"/>
  <c r="N253" i="65" s="1"/>
  <c r="O253" i="65" s="1"/>
  <c r="P253" i="65" s="1"/>
  <c r="Q253" i="65" s="1"/>
  <c r="R253" i="65" s="1"/>
  <c r="S253" i="65" s="1"/>
  <c r="T253" i="65" s="1"/>
  <c r="U253" i="65" s="1"/>
  <c r="V253" i="65" s="1"/>
  <c r="W253" i="65" s="1"/>
  <c r="X253" i="65" s="1"/>
  <c r="Y253" i="65" s="1"/>
  <c r="Z253" i="65" s="1"/>
  <c r="AA253" i="65" s="1"/>
  <c r="AB253" i="65" s="1"/>
  <c r="AC253" i="65" s="1"/>
  <c r="AD253" i="65" s="1"/>
  <c r="AE253" i="65" s="1"/>
  <c r="AF253" i="65" s="1"/>
  <c r="B253" i="65" s="1"/>
  <c r="F253" i="65"/>
  <c r="G253" i="65" s="1"/>
  <c r="H253" i="65" s="1"/>
  <c r="I253" i="65" s="1"/>
  <c r="E253" i="65"/>
  <c r="D253" i="65"/>
  <c r="H252" i="65"/>
  <c r="I252" i="65" s="1"/>
  <c r="J252" i="65" s="1"/>
  <c r="K252" i="65" s="1"/>
  <c r="L252" i="65" s="1"/>
  <c r="M252" i="65" s="1"/>
  <c r="N252" i="65" s="1"/>
  <c r="O252" i="65" s="1"/>
  <c r="P252" i="65" s="1"/>
  <c r="Q252" i="65" s="1"/>
  <c r="R252" i="65" s="1"/>
  <c r="S252" i="65" s="1"/>
  <c r="T252" i="65" s="1"/>
  <c r="U252" i="65" s="1"/>
  <c r="V252" i="65" s="1"/>
  <c r="W252" i="65" s="1"/>
  <c r="X252" i="65" s="1"/>
  <c r="Y252" i="65" s="1"/>
  <c r="Z252" i="65" s="1"/>
  <c r="AA252" i="65" s="1"/>
  <c r="AB252" i="65" s="1"/>
  <c r="AC252" i="65" s="1"/>
  <c r="AD252" i="65" s="1"/>
  <c r="AE252" i="65" s="1"/>
  <c r="AF252" i="65" s="1"/>
  <c r="B252" i="65" s="1"/>
  <c r="D252" i="65"/>
  <c r="E252" i="65" s="1"/>
  <c r="F252" i="65" s="1"/>
  <c r="G252" i="65" s="1"/>
  <c r="D251" i="65"/>
  <c r="E251" i="65" s="1"/>
  <c r="F251" i="65" s="1"/>
  <c r="G251" i="65" s="1"/>
  <c r="H251" i="65" s="1"/>
  <c r="I251" i="65" s="1"/>
  <c r="J251" i="65" s="1"/>
  <c r="K251" i="65" s="1"/>
  <c r="L251" i="65" s="1"/>
  <c r="M251" i="65" s="1"/>
  <c r="N251" i="65" s="1"/>
  <c r="O251" i="65" s="1"/>
  <c r="P251" i="65" s="1"/>
  <c r="Q251" i="65" s="1"/>
  <c r="R251" i="65" s="1"/>
  <c r="S251" i="65" s="1"/>
  <c r="T251" i="65" s="1"/>
  <c r="U251" i="65" s="1"/>
  <c r="V251" i="65" s="1"/>
  <c r="W251" i="65" s="1"/>
  <c r="X251" i="65" s="1"/>
  <c r="Y251" i="65" s="1"/>
  <c r="Z251" i="65" s="1"/>
  <c r="AA251" i="65" s="1"/>
  <c r="AB251" i="65" s="1"/>
  <c r="AC251" i="65" s="1"/>
  <c r="AD251" i="65" s="1"/>
  <c r="AE251" i="65" s="1"/>
  <c r="AF251" i="65" s="1"/>
  <c r="B251" i="65" s="1"/>
  <c r="D250" i="65"/>
  <c r="E250" i="65" s="1"/>
  <c r="E249" i="65"/>
  <c r="F249" i="65" s="1"/>
  <c r="D249" i="65"/>
  <c r="D255" i="65" s="1"/>
  <c r="AG247" i="65"/>
  <c r="AF247" i="65"/>
  <c r="AE247" i="65"/>
  <c r="AD247" i="65"/>
  <c r="AC247" i="65"/>
  <c r="AB247" i="65"/>
  <c r="AA247" i="65"/>
  <c r="Z247" i="65"/>
  <c r="Z121" i="65" s="1"/>
  <c r="Y247" i="65"/>
  <c r="X247" i="65"/>
  <c r="W247" i="65"/>
  <c r="V247" i="65"/>
  <c r="U247" i="65"/>
  <c r="T247" i="65"/>
  <c r="S247" i="65"/>
  <c r="R247" i="65"/>
  <c r="Q247" i="65"/>
  <c r="P247" i="65"/>
  <c r="O247" i="65"/>
  <c r="N247" i="65"/>
  <c r="M247" i="65"/>
  <c r="L247" i="65"/>
  <c r="K247" i="65"/>
  <c r="J247" i="65"/>
  <c r="I247" i="65"/>
  <c r="H247" i="65"/>
  <c r="G247" i="65"/>
  <c r="F247" i="65"/>
  <c r="E247" i="65"/>
  <c r="D247" i="65"/>
  <c r="C247" i="65"/>
  <c r="B247" i="65"/>
  <c r="AI133" i="65"/>
  <c r="AH133" i="65"/>
  <c r="AI132" i="65"/>
  <c r="AH132" i="65"/>
  <c r="AI131" i="65"/>
  <c r="AH131" i="65"/>
  <c r="AI130" i="65"/>
  <c r="AH130" i="65"/>
  <c r="AI129" i="65"/>
  <c r="AH129" i="65"/>
  <c r="AI126" i="65"/>
  <c r="AH126" i="65"/>
  <c r="AI125" i="65"/>
  <c r="AH125" i="65"/>
  <c r="AI123" i="65"/>
  <c r="AH123" i="65"/>
  <c r="AI122" i="65"/>
  <c r="AH122" i="65"/>
  <c r="E121" i="65"/>
  <c r="D121" i="65"/>
  <c r="C121" i="65"/>
  <c r="AI120" i="65"/>
  <c r="AH120" i="65"/>
  <c r="AI119" i="65"/>
  <c r="AH119" i="65"/>
  <c r="AI118" i="65"/>
  <c r="AH118" i="65"/>
  <c r="AI117" i="65"/>
  <c r="AH117" i="65"/>
  <c r="AI116" i="65"/>
  <c r="AH116" i="65"/>
  <c r="AI115" i="65"/>
  <c r="AH115" i="65"/>
  <c r="AI114" i="65"/>
  <c r="AH114" i="65"/>
  <c r="AI113" i="65"/>
  <c r="AH113" i="65"/>
  <c r="AI112" i="65"/>
  <c r="AH112" i="65"/>
  <c r="BJ23" i="65"/>
  <c r="AA109" i="65"/>
  <c r="Z109" i="65"/>
  <c r="Y109" i="65"/>
  <c r="X109" i="65"/>
  <c r="T109" i="65"/>
  <c r="R109" i="65"/>
  <c r="Q109" i="65"/>
  <c r="P109" i="65"/>
  <c r="O109" i="65"/>
  <c r="N109" i="65"/>
  <c r="M109" i="65"/>
  <c r="L109" i="65"/>
  <c r="K109" i="65"/>
  <c r="J109" i="65"/>
  <c r="I109" i="65"/>
  <c r="H109" i="65"/>
  <c r="G109" i="65"/>
  <c r="F109" i="65"/>
  <c r="E109" i="65"/>
  <c r="D109" i="65"/>
  <c r="C109" i="65"/>
  <c r="B109" i="65"/>
  <c r="AA108" i="65"/>
  <c r="Z108" i="65"/>
  <c r="Y108" i="65"/>
  <c r="X108" i="65"/>
  <c r="T108" i="65"/>
  <c r="R108" i="65"/>
  <c r="Q108" i="65"/>
  <c r="P108" i="65"/>
  <c r="O108" i="65"/>
  <c r="N108" i="65"/>
  <c r="M108" i="65"/>
  <c r="L108" i="65"/>
  <c r="K108" i="65"/>
  <c r="J108" i="65"/>
  <c r="I108" i="65"/>
  <c r="H108" i="65"/>
  <c r="G108" i="65"/>
  <c r="F108" i="65"/>
  <c r="E108" i="65"/>
  <c r="D108" i="65"/>
  <c r="C108" i="65"/>
  <c r="B108" i="65"/>
  <c r="AA107" i="65"/>
  <c r="Z107" i="65"/>
  <c r="Y107" i="65"/>
  <c r="X107" i="65"/>
  <c r="T107" i="65"/>
  <c r="R107" i="65"/>
  <c r="Q107" i="65"/>
  <c r="P107" i="65"/>
  <c r="O107" i="65"/>
  <c r="N107" i="65"/>
  <c r="M107" i="65"/>
  <c r="L107" i="65"/>
  <c r="K107" i="65"/>
  <c r="J107" i="65"/>
  <c r="I107" i="65"/>
  <c r="H107" i="65"/>
  <c r="G107" i="65"/>
  <c r="F107" i="65"/>
  <c r="E107" i="65"/>
  <c r="D107" i="65"/>
  <c r="C107" i="65"/>
  <c r="B107" i="65"/>
  <c r="AA106" i="65"/>
  <c r="Z106" i="65"/>
  <c r="Y106" i="65"/>
  <c r="X106" i="65"/>
  <c r="T106" i="65"/>
  <c r="R106" i="65"/>
  <c r="Q106" i="65"/>
  <c r="P106" i="65"/>
  <c r="O106" i="65"/>
  <c r="N106" i="65"/>
  <c r="M106" i="65"/>
  <c r="L106" i="65"/>
  <c r="K106" i="65"/>
  <c r="J106" i="65"/>
  <c r="I106" i="65"/>
  <c r="H106" i="65"/>
  <c r="G106" i="65"/>
  <c r="F106" i="65"/>
  <c r="E106" i="65"/>
  <c r="D106" i="65"/>
  <c r="C106" i="65"/>
  <c r="B106" i="65"/>
  <c r="AA105" i="65"/>
  <c r="Z105" i="65"/>
  <c r="Y105" i="65"/>
  <c r="X105" i="65"/>
  <c r="T105" i="65"/>
  <c r="R105" i="65"/>
  <c r="Q105" i="65"/>
  <c r="P105" i="65"/>
  <c r="O105" i="65"/>
  <c r="N105" i="65"/>
  <c r="M105" i="65"/>
  <c r="L105" i="65"/>
  <c r="K105" i="65"/>
  <c r="J105" i="65"/>
  <c r="I105" i="65"/>
  <c r="H105" i="65"/>
  <c r="G105" i="65"/>
  <c r="F105" i="65"/>
  <c r="E105" i="65"/>
  <c r="D105" i="65"/>
  <c r="C105" i="65"/>
  <c r="B105" i="65"/>
  <c r="AA104" i="65"/>
  <c r="Z104" i="65"/>
  <c r="Y104" i="65"/>
  <c r="Y110" i="65" s="1"/>
  <c r="X104" i="65"/>
  <c r="X110" i="65" s="1"/>
  <c r="BE23" i="65" s="1"/>
  <c r="T104" i="65"/>
  <c r="R104" i="65"/>
  <c r="Q104" i="65"/>
  <c r="P104" i="65"/>
  <c r="P110" i="65" s="1"/>
  <c r="O104" i="65"/>
  <c r="N104" i="65"/>
  <c r="M104" i="65"/>
  <c r="L104" i="65"/>
  <c r="K104" i="65"/>
  <c r="J104" i="65"/>
  <c r="I104" i="65"/>
  <c r="H104" i="65"/>
  <c r="G104" i="65"/>
  <c r="F104" i="65"/>
  <c r="E104" i="65"/>
  <c r="D104" i="65"/>
  <c r="C104" i="65"/>
  <c r="B104" i="65"/>
  <c r="AI101" i="65"/>
  <c r="AH101" i="65"/>
  <c r="AI99" i="65"/>
  <c r="AH99" i="65"/>
  <c r="AG99" i="65"/>
  <c r="AI98" i="65"/>
  <c r="AH98" i="65"/>
  <c r="AI97" i="65"/>
  <c r="AH97" i="65"/>
  <c r="AI96" i="65"/>
  <c r="AH96" i="65"/>
  <c r="AG95" i="65"/>
  <c r="AG102" i="65" s="1"/>
  <c r="AA5" i="65"/>
  <c r="AA95" i="65"/>
  <c r="Z5" i="65" s="1"/>
  <c r="Z95" i="65"/>
  <c r="Y5" i="65" s="1"/>
  <c r="Y95" i="65"/>
  <c r="X5" i="65" s="1"/>
  <c r="X95" i="65"/>
  <c r="BE19" i="65" s="1"/>
  <c r="BC19" i="65"/>
  <c r="T95" i="65"/>
  <c r="BB19" i="65" s="1"/>
  <c r="R95" i="65"/>
  <c r="AZ19" i="65" s="1"/>
  <c r="Q95" i="65"/>
  <c r="AY19" i="65" s="1"/>
  <c r="P95" i="65"/>
  <c r="O5" i="65" s="1"/>
  <c r="O95" i="65"/>
  <c r="AW19" i="65" s="1"/>
  <c r="N95" i="65"/>
  <c r="AV19" i="65" s="1"/>
  <c r="M95" i="65"/>
  <c r="AU19" i="65" s="1"/>
  <c r="L95" i="65"/>
  <c r="K5" i="65" s="1"/>
  <c r="K95" i="65"/>
  <c r="J5" i="65" s="1"/>
  <c r="J95" i="65"/>
  <c r="I5" i="65" s="1"/>
  <c r="I95" i="65"/>
  <c r="H5" i="65" s="1"/>
  <c r="H95" i="65"/>
  <c r="G5" i="65" s="1"/>
  <c r="G95" i="65"/>
  <c r="F5" i="65" s="1"/>
  <c r="F95" i="65"/>
  <c r="E95" i="65"/>
  <c r="D5" i="65" s="1"/>
  <c r="D95" i="65"/>
  <c r="AO19" i="65" s="1"/>
  <c r="C95" i="65"/>
  <c r="AN19" i="65" s="1"/>
  <c r="B95" i="65"/>
  <c r="AF5" i="65" s="1"/>
  <c r="AI94" i="65"/>
  <c r="AH94" i="65"/>
  <c r="AI93" i="65"/>
  <c r="AH93" i="65"/>
  <c r="AI92" i="65"/>
  <c r="AH92" i="65"/>
  <c r="AI91" i="65"/>
  <c r="AH91" i="65"/>
  <c r="AI90" i="65"/>
  <c r="AH90" i="65"/>
  <c r="AI89" i="65"/>
  <c r="AH89" i="65"/>
  <c r="AI88" i="65"/>
  <c r="AH88" i="65"/>
  <c r="AI87" i="65"/>
  <c r="AH87" i="65"/>
  <c r="AI86" i="65"/>
  <c r="AH86" i="65"/>
  <c r="AI85" i="65"/>
  <c r="AH85" i="65"/>
  <c r="AI84" i="65"/>
  <c r="AH84" i="65"/>
  <c r="AG83" i="65"/>
  <c r="AA83" i="65"/>
  <c r="Z83" i="65"/>
  <c r="Y83" i="65"/>
  <c r="X83" i="65"/>
  <c r="BE20" i="65" s="1"/>
  <c r="T83" i="65"/>
  <c r="BB20" i="65" s="1"/>
  <c r="BA20" i="65"/>
  <c r="K83" i="65"/>
  <c r="AT20" i="65" s="1"/>
  <c r="J83" i="65"/>
  <c r="I83" i="65"/>
  <c r="G83" i="65"/>
  <c r="AR20" i="65" s="1"/>
  <c r="F83" i="65"/>
  <c r="AQ20" i="65" s="1"/>
  <c r="E83" i="65"/>
  <c r="D83" i="65"/>
  <c r="C83" i="65"/>
  <c r="B83" i="65"/>
  <c r="AI82" i="65"/>
  <c r="AH82" i="65"/>
  <c r="AI81" i="65"/>
  <c r="AH81" i="65"/>
  <c r="AI80" i="65"/>
  <c r="AH80" i="65"/>
  <c r="AG79" i="65"/>
  <c r="AG3" i="65" s="1"/>
  <c r="BJ18" i="65"/>
  <c r="AA79" i="65"/>
  <c r="Z79" i="65"/>
  <c r="BF18" i="65" s="1"/>
  <c r="Y79" i="65"/>
  <c r="X79" i="65"/>
  <c r="BE18" i="65" s="1"/>
  <c r="T79" i="65"/>
  <c r="BB18" i="65" s="1"/>
  <c r="AY18" i="65"/>
  <c r="AX18" i="65"/>
  <c r="AU18" i="65"/>
  <c r="K79" i="65"/>
  <c r="J79" i="65"/>
  <c r="J100" i="65" s="1"/>
  <c r="J102" i="65" s="1"/>
  <c r="I79" i="65"/>
  <c r="AS18" i="65" s="1"/>
  <c r="G79" i="65"/>
  <c r="F79" i="65"/>
  <c r="E79" i="65"/>
  <c r="AP18" i="65" s="1"/>
  <c r="D79" i="65"/>
  <c r="C79" i="65"/>
  <c r="B79" i="65"/>
  <c r="AM18" i="65" s="1"/>
  <c r="BW78" i="65"/>
  <c r="BG78" i="65"/>
  <c r="AI78" i="65"/>
  <c r="AH78" i="65"/>
  <c r="AG78" i="65"/>
  <c r="AI77" i="65"/>
  <c r="AH77" i="65"/>
  <c r="BL76" i="65"/>
  <c r="AI76" i="65"/>
  <c r="AH76" i="65"/>
  <c r="AI75" i="65"/>
  <c r="AH75" i="65"/>
  <c r="BM74" i="65"/>
  <c r="AI74" i="65"/>
  <c r="AH74" i="65"/>
  <c r="AI73" i="65"/>
  <c r="AH73" i="65"/>
  <c r="AI72" i="65"/>
  <c r="AH72" i="65"/>
  <c r="BW71" i="65"/>
  <c r="BV71" i="65"/>
  <c r="BV78" i="65" s="1"/>
  <c r="BU71" i="65"/>
  <c r="BU78" i="65" s="1"/>
  <c r="BT71" i="65"/>
  <c r="BT78" i="65" s="1"/>
  <c r="BS71" i="65"/>
  <c r="BS78" i="65" s="1"/>
  <c r="BR71" i="65"/>
  <c r="BR78" i="65" s="1"/>
  <c r="BQ71" i="65"/>
  <c r="BQ78" i="65" s="1"/>
  <c r="BP71" i="65"/>
  <c r="BP78" i="65" s="1"/>
  <c r="BO71" i="65"/>
  <c r="BO78" i="65" s="1"/>
  <c r="BN71" i="65"/>
  <c r="BN78" i="65" s="1"/>
  <c r="BM71" i="65"/>
  <c r="BM78" i="65" s="1"/>
  <c r="BL71" i="65"/>
  <c r="BL78" i="65" s="1"/>
  <c r="BK71" i="65"/>
  <c r="BK78" i="65" s="1"/>
  <c r="BJ71" i="65"/>
  <c r="BJ78" i="65" s="1"/>
  <c r="BI71" i="65"/>
  <c r="BI78" i="65" s="1"/>
  <c r="BH71" i="65"/>
  <c r="BH78" i="65" s="1"/>
  <c r="BG71" i="65"/>
  <c r="BF71" i="65"/>
  <c r="BF78" i="65" s="1"/>
  <c r="BE71" i="65"/>
  <c r="BE78" i="65" s="1"/>
  <c r="BD71" i="65"/>
  <c r="BD78" i="65" s="1"/>
  <c r="BC71" i="65"/>
  <c r="BC78" i="65" s="1"/>
  <c r="BB71" i="65"/>
  <c r="BB78" i="65" s="1"/>
  <c r="BA71" i="65"/>
  <c r="BA78" i="65" s="1"/>
  <c r="AZ71" i="65"/>
  <c r="AZ78" i="65" s="1"/>
  <c r="AI71" i="65"/>
  <c r="AH71" i="65"/>
  <c r="BW70" i="65"/>
  <c r="BW77" i="65" s="1"/>
  <c r="BV70" i="65"/>
  <c r="BV77" i="65" s="1"/>
  <c r="BU70" i="65"/>
  <c r="BU77" i="65" s="1"/>
  <c r="BT70" i="65"/>
  <c r="BT77" i="65" s="1"/>
  <c r="BS70" i="65"/>
  <c r="BS77" i="65" s="1"/>
  <c r="BR70" i="65"/>
  <c r="BR77" i="65" s="1"/>
  <c r="BQ70" i="65"/>
  <c r="BQ77" i="65" s="1"/>
  <c r="BP70" i="65"/>
  <c r="BP77" i="65" s="1"/>
  <c r="BO70" i="65"/>
  <c r="BO77" i="65" s="1"/>
  <c r="BN70" i="65"/>
  <c r="BN77" i="65" s="1"/>
  <c r="BM70" i="65"/>
  <c r="BM77" i="65" s="1"/>
  <c r="BL70" i="65"/>
  <c r="BL77" i="65" s="1"/>
  <c r="BK70" i="65"/>
  <c r="BK77" i="65" s="1"/>
  <c r="BJ70" i="65"/>
  <c r="BJ77" i="65" s="1"/>
  <c r="BI70" i="65"/>
  <c r="BI77" i="65" s="1"/>
  <c r="BH70" i="65"/>
  <c r="BH77" i="65" s="1"/>
  <c r="BG70" i="65"/>
  <c r="BG77" i="65" s="1"/>
  <c r="BF70" i="65"/>
  <c r="BF77" i="65" s="1"/>
  <c r="BE70" i="65"/>
  <c r="BE77" i="65" s="1"/>
  <c r="BD70" i="65"/>
  <c r="BD77" i="65" s="1"/>
  <c r="BC70" i="65"/>
  <c r="BC77" i="65" s="1"/>
  <c r="BB70" i="65"/>
  <c r="BB77" i="65" s="1"/>
  <c r="BA70" i="65"/>
  <c r="BA77" i="65" s="1"/>
  <c r="AZ70" i="65"/>
  <c r="AZ77" i="65" s="1"/>
  <c r="AI70" i="65"/>
  <c r="AH70" i="65"/>
  <c r="BW69" i="65"/>
  <c r="BW76" i="65" s="1"/>
  <c r="BV69" i="65"/>
  <c r="BV76" i="65" s="1"/>
  <c r="BU69" i="65"/>
  <c r="BU76" i="65" s="1"/>
  <c r="BT69" i="65"/>
  <c r="BT76" i="65" s="1"/>
  <c r="BS69" i="65"/>
  <c r="BS76" i="65" s="1"/>
  <c r="BR69" i="65"/>
  <c r="BR76" i="65" s="1"/>
  <c r="BQ69" i="65"/>
  <c r="BQ76" i="65" s="1"/>
  <c r="BP69" i="65"/>
  <c r="BP76" i="65" s="1"/>
  <c r="BO69" i="65"/>
  <c r="BO76" i="65" s="1"/>
  <c r="BN69" i="65"/>
  <c r="BN76" i="65" s="1"/>
  <c r="BM69" i="65"/>
  <c r="BM76" i="65" s="1"/>
  <c r="BL69" i="65"/>
  <c r="BK69" i="65"/>
  <c r="BK76" i="65" s="1"/>
  <c r="BJ69" i="65"/>
  <c r="BJ76" i="65" s="1"/>
  <c r="BI69" i="65"/>
  <c r="BI76" i="65" s="1"/>
  <c r="BH69" i="65"/>
  <c r="BH76" i="65" s="1"/>
  <c r="BG69" i="65"/>
  <c r="BG76" i="65" s="1"/>
  <c r="BF69" i="65"/>
  <c r="BF76" i="65" s="1"/>
  <c r="BE69" i="65"/>
  <c r="BE76" i="65" s="1"/>
  <c r="BD69" i="65"/>
  <c r="BD76" i="65" s="1"/>
  <c r="BC69" i="65"/>
  <c r="BC76" i="65" s="1"/>
  <c r="BB69" i="65"/>
  <c r="BB76" i="65" s="1"/>
  <c r="BA69" i="65"/>
  <c r="BA76" i="65" s="1"/>
  <c r="AZ69" i="65"/>
  <c r="AZ76" i="65" s="1"/>
  <c r="AI69" i="65"/>
  <c r="AH69" i="65"/>
  <c r="BW68" i="65"/>
  <c r="BW75" i="65" s="1"/>
  <c r="BV68" i="65"/>
  <c r="BV75" i="65" s="1"/>
  <c r="BU68" i="65"/>
  <c r="BU75" i="65" s="1"/>
  <c r="BT68" i="65"/>
  <c r="BT75" i="65" s="1"/>
  <c r="BS68" i="65"/>
  <c r="BS75" i="65" s="1"/>
  <c r="BR68" i="65"/>
  <c r="BR75" i="65" s="1"/>
  <c r="BQ68" i="65"/>
  <c r="BQ75" i="65" s="1"/>
  <c r="BP68" i="65"/>
  <c r="BP75" i="65" s="1"/>
  <c r="BO68" i="65"/>
  <c r="BO75" i="65" s="1"/>
  <c r="BN68" i="65"/>
  <c r="BN75" i="65" s="1"/>
  <c r="BM68" i="65"/>
  <c r="BM75" i="65" s="1"/>
  <c r="BL68" i="65"/>
  <c r="BL75" i="65" s="1"/>
  <c r="BK68" i="65"/>
  <c r="BK75" i="65" s="1"/>
  <c r="BJ68" i="65"/>
  <c r="BJ75" i="65" s="1"/>
  <c r="BI68" i="65"/>
  <c r="BI75" i="65" s="1"/>
  <c r="BH68" i="65"/>
  <c r="BH75" i="65" s="1"/>
  <c r="BG68" i="65"/>
  <c r="BG75" i="65" s="1"/>
  <c r="BF68" i="65"/>
  <c r="BF75" i="65" s="1"/>
  <c r="BE68" i="65"/>
  <c r="BE75" i="65" s="1"/>
  <c r="BD68" i="65"/>
  <c r="BD75" i="65" s="1"/>
  <c r="BC68" i="65"/>
  <c r="BC75" i="65" s="1"/>
  <c r="BB68" i="65"/>
  <c r="BB75" i="65" s="1"/>
  <c r="BA68" i="65"/>
  <c r="BA75" i="65" s="1"/>
  <c r="AZ68" i="65"/>
  <c r="AZ75" i="65" s="1"/>
  <c r="AI68" i="65"/>
  <c r="AH68" i="65"/>
  <c r="BW67" i="65"/>
  <c r="BW74" i="65" s="1"/>
  <c r="BV67" i="65"/>
  <c r="BV74" i="65" s="1"/>
  <c r="BU67" i="65"/>
  <c r="BU74" i="65" s="1"/>
  <c r="BT67" i="65"/>
  <c r="BT74" i="65" s="1"/>
  <c r="BS67" i="65"/>
  <c r="BS74" i="65" s="1"/>
  <c r="BR67" i="65"/>
  <c r="BR74" i="65" s="1"/>
  <c r="BQ67" i="65"/>
  <c r="BQ74" i="65" s="1"/>
  <c r="BP67" i="65"/>
  <c r="BP74" i="65" s="1"/>
  <c r="BO67" i="65"/>
  <c r="BO74" i="65" s="1"/>
  <c r="BN67" i="65"/>
  <c r="BN74" i="65" s="1"/>
  <c r="BM67" i="65"/>
  <c r="BL67" i="65"/>
  <c r="BL74" i="65" s="1"/>
  <c r="BK67" i="65"/>
  <c r="BK74" i="65" s="1"/>
  <c r="BJ67" i="65"/>
  <c r="BJ74" i="65" s="1"/>
  <c r="BI67" i="65"/>
  <c r="BI74" i="65" s="1"/>
  <c r="BH67" i="65"/>
  <c r="BH74" i="65" s="1"/>
  <c r="BG67" i="65"/>
  <c r="BG74" i="65" s="1"/>
  <c r="BF67" i="65"/>
  <c r="BF74" i="65" s="1"/>
  <c r="BE67" i="65"/>
  <c r="BE74" i="65" s="1"/>
  <c r="BD67" i="65"/>
  <c r="BD74" i="65" s="1"/>
  <c r="BC67" i="65"/>
  <c r="BC74" i="65" s="1"/>
  <c r="BB67" i="65"/>
  <c r="BB74" i="65" s="1"/>
  <c r="BA67" i="65"/>
  <c r="BA74" i="65" s="1"/>
  <c r="AZ67" i="65"/>
  <c r="AZ74" i="65" s="1"/>
  <c r="AI67" i="65"/>
  <c r="AH67" i="65"/>
  <c r="BW66" i="65"/>
  <c r="BW73" i="65" s="1"/>
  <c r="BV66" i="65"/>
  <c r="BV73" i="65" s="1"/>
  <c r="BU66" i="65"/>
  <c r="BU73" i="65" s="1"/>
  <c r="BT66" i="65"/>
  <c r="BT73" i="65" s="1"/>
  <c r="BS66" i="65"/>
  <c r="BS73" i="65" s="1"/>
  <c r="BR66" i="65"/>
  <c r="BR73" i="65" s="1"/>
  <c r="BQ66" i="65"/>
  <c r="BQ73" i="65" s="1"/>
  <c r="BP66" i="65"/>
  <c r="BP73" i="65" s="1"/>
  <c r="BO66" i="65"/>
  <c r="BO73" i="65" s="1"/>
  <c r="BN66" i="65"/>
  <c r="BN73" i="65" s="1"/>
  <c r="BM66" i="65"/>
  <c r="BM73" i="65" s="1"/>
  <c r="BL66" i="65"/>
  <c r="BL73" i="65" s="1"/>
  <c r="BK66" i="65"/>
  <c r="BK73" i="65" s="1"/>
  <c r="BJ66" i="65"/>
  <c r="BJ73" i="65" s="1"/>
  <c r="BI66" i="65"/>
  <c r="BI73" i="65" s="1"/>
  <c r="BH66" i="65"/>
  <c r="BH73" i="65" s="1"/>
  <c r="BG66" i="65"/>
  <c r="BG73" i="65" s="1"/>
  <c r="BF66" i="65"/>
  <c r="BF73" i="65" s="1"/>
  <c r="BE66" i="65"/>
  <c r="BE73" i="65" s="1"/>
  <c r="BD66" i="65"/>
  <c r="BD73" i="65" s="1"/>
  <c r="BC66" i="65"/>
  <c r="BC73" i="65" s="1"/>
  <c r="BB66" i="65"/>
  <c r="BB73" i="65" s="1"/>
  <c r="BA66" i="65"/>
  <c r="BA73" i="65" s="1"/>
  <c r="AZ66" i="65"/>
  <c r="AZ73" i="65" s="1"/>
  <c r="AI66" i="65"/>
  <c r="AH66" i="65"/>
  <c r="AG65" i="65"/>
  <c r="BJ17" i="65"/>
  <c r="AA65" i="65"/>
  <c r="Z65" i="65"/>
  <c r="BF17" i="65" s="1"/>
  <c r="Y65" i="65"/>
  <c r="X65" i="65"/>
  <c r="BE17" i="65" s="1"/>
  <c r="BD17" i="65"/>
  <c r="T65" i="65"/>
  <c r="AY17" i="65"/>
  <c r="AX17" i="65"/>
  <c r="AV17" i="65"/>
  <c r="I65" i="65"/>
  <c r="AS17" i="65" s="1"/>
  <c r="AQ17" i="65"/>
  <c r="E65" i="65"/>
  <c r="AP17" i="65" s="1"/>
  <c r="D65" i="65"/>
  <c r="C65" i="65"/>
  <c r="AN17" i="65" s="1"/>
  <c r="B65" i="65"/>
  <c r="AM17" i="65" s="1"/>
  <c r="AI64" i="65"/>
  <c r="AH64" i="65"/>
  <c r="AI63" i="65"/>
  <c r="AH63" i="65"/>
  <c r="AI62" i="65"/>
  <c r="AH62" i="65"/>
  <c r="AG61" i="65"/>
  <c r="AG100" i="65" s="1"/>
  <c r="BH16" i="65"/>
  <c r="AA61" i="65"/>
  <c r="Z61" i="65"/>
  <c r="Y61" i="65"/>
  <c r="X61" i="65"/>
  <c r="BE16" i="65" s="1"/>
  <c r="T61" i="65"/>
  <c r="R100" i="65"/>
  <c r="R102" i="65" s="1"/>
  <c r="AV16" i="65"/>
  <c r="E61" i="65"/>
  <c r="D61" i="65"/>
  <c r="AO16" i="65" s="1"/>
  <c r="C61" i="65"/>
  <c r="AN16" i="65" s="1"/>
  <c r="B61" i="65"/>
  <c r="AM16" i="65" s="1"/>
  <c r="AI60" i="65"/>
  <c r="AH60" i="65"/>
  <c r="AI59" i="65"/>
  <c r="AH59" i="65"/>
  <c r="AI58" i="65"/>
  <c r="AH58" i="65"/>
  <c r="AI57" i="65"/>
  <c r="AH57" i="65"/>
  <c r="AI56" i="65"/>
  <c r="AH56" i="65"/>
  <c r="AI55" i="65"/>
  <c r="AH55" i="65"/>
  <c r="AI54" i="65"/>
  <c r="AH54" i="65"/>
  <c r="AI53" i="65"/>
  <c r="AH53" i="65"/>
  <c r="AI52" i="65"/>
  <c r="AH52" i="65"/>
  <c r="AI51" i="65"/>
  <c r="AH51" i="65"/>
  <c r="AI50" i="65"/>
  <c r="AH50" i="65"/>
  <c r="AI49" i="65"/>
  <c r="AH49" i="65"/>
  <c r="AI48" i="65"/>
  <c r="AH48" i="65"/>
  <c r="AI47" i="65"/>
  <c r="AH47" i="65"/>
  <c r="AI46" i="65"/>
  <c r="AH46" i="65"/>
  <c r="AI45" i="65"/>
  <c r="AH45" i="65"/>
  <c r="AI44" i="65"/>
  <c r="AH44" i="65"/>
  <c r="AI43" i="65"/>
  <c r="AH43" i="65"/>
  <c r="AI42" i="65"/>
  <c r="AH42" i="65"/>
  <c r="AI41" i="65"/>
  <c r="AH41" i="65"/>
  <c r="AI40" i="65"/>
  <c r="AH40" i="65"/>
  <c r="AI39" i="65"/>
  <c r="AH39" i="65"/>
  <c r="AI38" i="65"/>
  <c r="AH38" i="65"/>
  <c r="AI37" i="65"/>
  <c r="AH37" i="65"/>
  <c r="AI36" i="65"/>
  <c r="AH36" i="65"/>
  <c r="AI35" i="65"/>
  <c r="AH35" i="65"/>
  <c r="AI34" i="65"/>
  <c r="AH34" i="65"/>
  <c r="AI33" i="65"/>
  <c r="AH33" i="65"/>
  <c r="AI32" i="65"/>
  <c r="AH32" i="65"/>
  <c r="AI31" i="65"/>
  <c r="AH31" i="65"/>
  <c r="AI30" i="65"/>
  <c r="AH30" i="65"/>
  <c r="AI29" i="65"/>
  <c r="AH29" i="65"/>
  <c r="AI28" i="65"/>
  <c r="AH28" i="65"/>
  <c r="AI27" i="65"/>
  <c r="AH27" i="65"/>
  <c r="AI26" i="65"/>
  <c r="AH26" i="65"/>
  <c r="AI25" i="65"/>
  <c r="AH25" i="65"/>
  <c r="AI24" i="65"/>
  <c r="AH24" i="65"/>
  <c r="AI23" i="65"/>
  <c r="AH23" i="65"/>
  <c r="AI22" i="65"/>
  <c r="AH22" i="65"/>
  <c r="BJ21" i="65"/>
  <c r="BI21" i="65"/>
  <c r="BH21" i="65"/>
  <c r="BG21" i="65"/>
  <c r="BF21" i="65"/>
  <c r="BE21" i="65"/>
  <c r="BD21" i="65"/>
  <c r="BC21" i="65"/>
  <c r="BB21" i="65"/>
  <c r="BA21" i="65"/>
  <c r="AZ21" i="65"/>
  <c r="AY21" i="65"/>
  <c r="AX21" i="65"/>
  <c r="AW21" i="65"/>
  <c r="AV21" i="65"/>
  <c r="AU21" i="65"/>
  <c r="AT21" i="65"/>
  <c r="AS21" i="65"/>
  <c r="AR21" i="65"/>
  <c r="AQ21" i="65"/>
  <c r="AP21" i="65"/>
  <c r="AO21" i="65"/>
  <c r="AN21" i="65"/>
  <c r="AM21" i="65"/>
  <c r="AI21" i="65"/>
  <c r="AH21" i="65"/>
  <c r="BJ20" i="65"/>
  <c r="BI20" i="65"/>
  <c r="BH20" i="65"/>
  <c r="BG20" i="65"/>
  <c r="BF20" i="65"/>
  <c r="BD20" i="65"/>
  <c r="BC20" i="65"/>
  <c r="AZ20" i="65"/>
  <c r="AY20" i="65"/>
  <c r="AX20" i="65"/>
  <c r="AW20" i="65"/>
  <c r="AV20" i="65"/>
  <c r="AU20" i="65"/>
  <c r="AS20" i="65"/>
  <c r="AP20" i="65"/>
  <c r="AO20" i="65"/>
  <c r="AN20" i="65"/>
  <c r="AM20" i="65"/>
  <c r="AI20" i="65"/>
  <c r="AH20" i="65"/>
  <c r="BJ19" i="65"/>
  <c r="BI19" i="65"/>
  <c r="BH19" i="65"/>
  <c r="BD19" i="65"/>
  <c r="BA19" i="65"/>
  <c r="AQ19" i="65"/>
  <c r="AI19" i="65"/>
  <c r="AH19" i="65"/>
  <c r="BI18" i="65"/>
  <c r="BH18" i="65"/>
  <c r="BG18" i="65"/>
  <c r="BD18" i="65"/>
  <c r="BC18" i="65"/>
  <c r="BA18" i="65"/>
  <c r="AZ18" i="65"/>
  <c r="AW18" i="65"/>
  <c r="AV18" i="65"/>
  <c r="AT18" i="65"/>
  <c r="AR18" i="65"/>
  <c r="AQ18" i="65"/>
  <c r="AO18" i="65"/>
  <c r="AN18" i="65"/>
  <c r="AI18" i="65"/>
  <c r="AH18" i="65"/>
  <c r="BI17" i="65"/>
  <c r="BH17" i="65"/>
  <c r="BG17" i="65"/>
  <c r="BC17" i="65"/>
  <c r="BB17" i="65"/>
  <c r="BA17" i="65"/>
  <c r="AZ17" i="65"/>
  <c r="AW17" i="65"/>
  <c r="AU17" i="65"/>
  <c r="AT17" i="65"/>
  <c r="AR17" i="65"/>
  <c r="AO17" i="65"/>
  <c r="AI17" i="65"/>
  <c r="AH17" i="65"/>
  <c r="BJ16" i="65"/>
  <c r="BI16" i="65"/>
  <c r="BG16" i="65"/>
  <c r="BC16" i="65"/>
  <c r="BB16" i="65"/>
  <c r="BA16" i="65"/>
  <c r="AX16" i="65"/>
  <c r="AW16" i="65"/>
  <c r="AU16" i="65"/>
  <c r="AT16" i="65"/>
  <c r="AR16" i="65"/>
  <c r="AQ16" i="65"/>
  <c r="AI16" i="65"/>
  <c r="AH16" i="65"/>
  <c r="AI15" i="65"/>
  <c r="AH15" i="65"/>
  <c r="AI14" i="65"/>
  <c r="AH14" i="65"/>
  <c r="AI13" i="65"/>
  <c r="AH13" i="65"/>
  <c r="AL12" i="65"/>
  <c r="AI12" i="65"/>
  <c r="AH12" i="65"/>
  <c r="AI11" i="65"/>
  <c r="AH11" i="65"/>
  <c r="AE5" i="65"/>
  <c r="AD5" i="65"/>
  <c r="AC5" i="65"/>
  <c r="AB5" i="65"/>
  <c r="V5" i="65"/>
  <c r="U5" i="65"/>
  <c r="T5" i="65"/>
  <c r="R5" i="65"/>
  <c r="Q5" i="65"/>
  <c r="E5" i="65"/>
  <c r="C5" i="65"/>
  <c r="AG4" i="65"/>
  <c r="K4" i="65"/>
  <c r="E4" i="65"/>
  <c r="H4" i="65" s="1"/>
  <c r="B4" i="65"/>
  <c r="D261" i="65" s="1"/>
  <c r="BH22" i="65" l="1"/>
  <c r="BF19" i="65"/>
  <c r="Z100" i="65"/>
  <c r="Z102" i="65" s="1"/>
  <c r="W5" i="65"/>
  <c r="P5" i="65"/>
  <c r="Q110" i="65"/>
  <c r="AY23" i="65" s="1"/>
  <c r="AX19" i="65"/>
  <c r="O100" i="65"/>
  <c r="O102" i="65" s="1"/>
  <c r="N5" i="65"/>
  <c r="M5" i="65"/>
  <c r="L5" i="65"/>
  <c r="M100" i="65"/>
  <c r="M102" i="65" s="1"/>
  <c r="AT19" i="65"/>
  <c r="AS19" i="65"/>
  <c r="H110" i="65"/>
  <c r="AR19" i="65"/>
  <c r="G100" i="65"/>
  <c r="G102" i="65" s="1"/>
  <c r="F100" i="65"/>
  <c r="F102" i="65" s="1"/>
  <c r="AP19" i="65"/>
  <c r="E100" i="65"/>
  <c r="E102" i="65" s="1"/>
  <c r="AP16" i="65"/>
  <c r="AM19" i="65"/>
  <c r="C110" i="65"/>
  <c r="AN23" i="65" s="1"/>
  <c r="B5" i="65"/>
  <c r="D100" i="65"/>
  <c r="D102" i="65" s="1"/>
  <c r="AN22" i="65"/>
  <c r="AN24" i="65" s="1"/>
  <c r="C100" i="65"/>
  <c r="C102" i="65" s="1"/>
  <c r="C103" i="65" s="1"/>
  <c r="C7" i="65" s="1"/>
  <c r="AM22" i="65"/>
  <c r="B100" i="65"/>
  <c r="B102" i="65" s="1"/>
  <c r="AX23" i="65"/>
  <c r="P111" i="65"/>
  <c r="AI104" i="65"/>
  <c r="J110" i="65"/>
  <c r="J111" i="65" s="1"/>
  <c r="R110" i="65"/>
  <c r="AZ23" i="65" s="1"/>
  <c r="Z110" i="65"/>
  <c r="BF23" i="65" s="1"/>
  <c r="BC22" i="65"/>
  <c r="BG19" i="65"/>
  <c r="BG22" i="65" s="1"/>
  <c r="K110" i="65"/>
  <c r="AT23" i="65" s="1"/>
  <c r="BA23" i="65"/>
  <c r="AA110" i="65"/>
  <c r="AA111" i="65" s="1"/>
  <c r="S5" i="65"/>
  <c r="I110" i="65"/>
  <c r="AS23" i="65" s="1"/>
  <c r="H111" i="65"/>
  <c r="X111" i="65"/>
  <c r="AI109" i="65"/>
  <c r="G110" i="65"/>
  <c r="O110" i="65"/>
  <c r="AI107" i="65"/>
  <c r="AI108" i="65"/>
  <c r="L100" i="65"/>
  <c r="L102" i="65" s="1"/>
  <c r="L103" i="65" s="1"/>
  <c r="L7" i="65" s="1"/>
  <c r="T100" i="65"/>
  <c r="T102" i="65" s="1"/>
  <c r="AB7" i="65"/>
  <c r="AU22" i="65"/>
  <c r="K100" i="65"/>
  <c r="K102" i="65" s="1"/>
  <c r="K103" i="65" s="1"/>
  <c r="K7" i="65" s="1"/>
  <c r="AA100" i="65"/>
  <c r="AA102" i="65" s="1"/>
  <c r="BB22" i="65"/>
  <c r="I100" i="65"/>
  <c r="I102" i="65" s="1"/>
  <c r="Q100" i="65"/>
  <c r="Q102" i="65" s="1"/>
  <c r="Q103" i="65" s="1"/>
  <c r="Q7" i="65" s="1"/>
  <c r="Y100" i="65"/>
  <c r="Y102" i="65" s="1"/>
  <c r="Y103" i="65" s="1"/>
  <c r="Y7" i="65" s="1"/>
  <c r="BE22" i="65"/>
  <c r="BE24" i="65" s="1"/>
  <c r="BI22" i="65"/>
  <c r="AT22" i="65"/>
  <c r="H100" i="65"/>
  <c r="H102" i="65" s="1"/>
  <c r="H103" i="65" s="1"/>
  <c r="H7" i="65" s="1"/>
  <c r="P100" i="65"/>
  <c r="P102" i="65" s="1"/>
  <c r="P103" i="65" s="1"/>
  <c r="P7" i="65" s="1"/>
  <c r="X100" i="65"/>
  <c r="X102" i="65" s="1"/>
  <c r="X103" i="65" s="1"/>
  <c r="X7" i="65" s="1"/>
  <c r="AF7" i="65"/>
  <c r="AX22" i="65"/>
  <c r="AP22" i="65"/>
  <c r="BA22" i="65"/>
  <c r="BJ22" i="65"/>
  <c r="BJ24" i="65" s="1"/>
  <c r="AW22" i="65"/>
  <c r="AQ22" i="65"/>
  <c r="N100" i="65"/>
  <c r="N102" i="65" s="1"/>
  <c r="AO22" i="65"/>
  <c r="AR22" i="65"/>
  <c r="F250" i="65"/>
  <c r="E255" i="65"/>
  <c r="AC7" i="65"/>
  <c r="AV22" i="65"/>
  <c r="AH61" i="65"/>
  <c r="AH65" i="65"/>
  <c r="AL13" i="65"/>
  <c r="BD16" i="65"/>
  <c r="BD22" i="65" s="1"/>
  <c r="S7" i="65"/>
  <c r="AI61" i="65"/>
  <c r="AI65" i="65"/>
  <c r="AI79" i="65"/>
  <c r="AH79" i="65"/>
  <c r="D110" i="65"/>
  <c r="AO23" i="65" s="1"/>
  <c r="AO24" i="65" s="1"/>
  <c r="L110" i="65"/>
  <c r="L111" i="65" s="1"/>
  <c r="T110" i="65"/>
  <c r="BB23" i="65" s="1"/>
  <c r="BG23" i="65"/>
  <c r="Y121" i="65"/>
  <c r="BG82" i="65" a="1"/>
  <c r="Q111" i="65"/>
  <c r="Y111" i="65"/>
  <c r="E110" i="65"/>
  <c r="AP23" i="65" s="1"/>
  <c r="M110" i="65"/>
  <c r="AU23" i="65" s="1"/>
  <c r="BC23" i="65"/>
  <c r="AH109" i="65"/>
  <c r="AH124" i="65"/>
  <c r="AG2" i="65"/>
  <c r="AG6" i="65" s="1"/>
  <c r="BF16" i="65"/>
  <c r="BF22" i="65" s="1"/>
  <c r="BF24" i="65" s="1"/>
  <c r="F110" i="65"/>
  <c r="AQ23" i="65" s="1"/>
  <c r="N110" i="65"/>
  <c r="AV23" i="65" s="1"/>
  <c r="BD23" i="65"/>
  <c r="BH23" i="65"/>
  <c r="BH24" i="65" s="1"/>
  <c r="AH108" i="65"/>
  <c r="AI124" i="65"/>
  <c r="G249" i="65"/>
  <c r="F121" i="65"/>
  <c r="C111" i="65"/>
  <c r="AY16" i="65"/>
  <c r="AY22" i="65" s="1"/>
  <c r="AY24" i="65" s="1"/>
  <c r="AZ16" i="65"/>
  <c r="AZ22" i="65" s="1"/>
  <c r="AI83" i="65"/>
  <c r="D111" i="65"/>
  <c r="AI106" i="65"/>
  <c r="AS16" i="65"/>
  <c r="AS22" i="65" s="1"/>
  <c r="AI105" i="65"/>
  <c r="AH83" i="65"/>
  <c r="AH95" i="65"/>
  <c r="B110" i="65"/>
  <c r="B111" i="65" s="1"/>
  <c r="AI95" i="65"/>
  <c r="AH104" i="65"/>
  <c r="AH105" i="65"/>
  <c r="AH106" i="65"/>
  <c r="AH107" i="65"/>
  <c r="AA60" i="63"/>
  <c r="Z61" i="63"/>
  <c r="Z65" i="63"/>
  <c r="Z79" i="63"/>
  <c r="Z83" i="63"/>
  <c r="Z95" i="63"/>
  <c r="Z104" i="63"/>
  <c r="Z105" i="63"/>
  <c r="Z106" i="63"/>
  <c r="Z107" i="63"/>
  <c r="Z108" i="63"/>
  <c r="Z109" i="63"/>
  <c r="Z121" i="63"/>
  <c r="Y124" i="63"/>
  <c r="Y60" i="63"/>
  <c r="Z111" i="65" l="1"/>
  <c r="T111" i="65"/>
  <c r="BB24" i="65"/>
  <c r="R111" i="65"/>
  <c r="R103" i="65"/>
  <c r="R7" i="65" s="1"/>
  <c r="AZ24" i="65"/>
  <c r="AX24" i="65"/>
  <c r="M111" i="65"/>
  <c r="AU24" i="65"/>
  <c r="K111" i="65"/>
  <c r="AT24" i="65"/>
  <c r="J103" i="65"/>
  <c r="J7" i="65" s="1"/>
  <c r="I111" i="65"/>
  <c r="I103" i="65"/>
  <c r="I7" i="65" s="1"/>
  <c r="E111" i="65"/>
  <c r="AD7" i="65"/>
  <c r="M103" i="65"/>
  <c r="M7" i="65" s="1"/>
  <c r="AA103" i="65"/>
  <c r="AA7" i="65" s="1"/>
  <c r="U7" i="65"/>
  <c r="BA24" i="65"/>
  <c r="BI23" i="65"/>
  <c r="AE7" i="65"/>
  <c r="N111" i="65"/>
  <c r="BI24" i="65"/>
  <c r="W7" i="65"/>
  <c r="BC24" i="65"/>
  <c r="AS24" i="65"/>
  <c r="O111" i="65"/>
  <c r="AW23" i="65"/>
  <c r="AW24" i="65" s="1"/>
  <c r="O103" i="65"/>
  <c r="O7" i="65" s="1"/>
  <c r="G111" i="65"/>
  <c r="AR23" i="65"/>
  <c r="AR24" i="65" s="1"/>
  <c r="G103" i="65"/>
  <c r="G7" i="65" s="1"/>
  <c r="Z103" i="65"/>
  <c r="Z7" i="65" s="1"/>
  <c r="BG24" i="65"/>
  <c r="AH100" i="65"/>
  <c r="AQ24" i="65"/>
  <c r="C259" i="65"/>
  <c r="B259" i="65"/>
  <c r="AP24" i="65"/>
  <c r="B103" i="65"/>
  <c r="AI102" i="65"/>
  <c r="AH102" i="65"/>
  <c r="H249" i="65"/>
  <c r="G121" i="65"/>
  <c r="G255" i="65"/>
  <c r="E103" i="65"/>
  <c r="E7" i="65" s="1"/>
  <c r="AV24" i="65"/>
  <c r="AI100" i="65"/>
  <c r="T103" i="65"/>
  <c r="T7" i="65" s="1"/>
  <c r="F111" i="65"/>
  <c r="AT8" i="65"/>
  <c r="G250" i="65"/>
  <c r="H250" i="65" s="1"/>
  <c r="I250" i="65" s="1"/>
  <c r="J250" i="65" s="1"/>
  <c r="K250" i="65" s="1"/>
  <c r="L250" i="65" s="1"/>
  <c r="M250" i="65" s="1"/>
  <c r="N250" i="65" s="1"/>
  <c r="O250" i="65" s="1"/>
  <c r="P250" i="65" s="1"/>
  <c r="Q250" i="65" s="1"/>
  <c r="R250" i="65" s="1"/>
  <c r="S250" i="65" s="1"/>
  <c r="T250" i="65" s="1"/>
  <c r="U250" i="65" s="1"/>
  <c r="V250" i="65" s="1"/>
  <c r="W250" i="65" s="1"/>
  <c r="X250" i="65" s="1"/>
  <c r="Y250" i="65" s="1"/>
  <c r="Z250" i="65" s="1"/>
  <c r="AA250" i="65" s="1"/>
  <c r="AB250" i="65" s="1"/>
  <c r="AC250" i="65" s="1"/>
  <c r="AD250" i="65" s="1"/>
  <c r="AE250" i="65" s="1"/>
  <c r="AF250" i="65" s="1"/>
  <c r="B250" i="65" s="1"/>
  <c r="F255" i="65"/>
  <c r="N103" i="65"/>
  <c r="N7" i="65" s="1"/>
  <c r="D103" i="65"/>
  <c r="D7" i="65" s="1"/>
  <c r="BD24" i="65"/>
  <c r="V7" i="65"/>
  <c r="AI110" i="65"/>
  <c r="AM23" i="65"/>
  <c r="AM24" i="65" s="1"/>
  <c r="AH110" i="65"/>
  <c r="BJ105" i="65"/>
  <c r="BH104" i="65"/>
  <c r="BL102" i="65"/>
  <c r="BJ101" i="65"/>
  <c r="BH100" i="65"/>
  <c r="BL98" i="65"/>
  <c r="BJ97" i="65"/>
  <c r="BH96" i="65"/>
  <c r="BL94" i="65"/>
  <c r="BJ93" i="65"/>
  <c r="BH92" i="65"/>
  <c r="BL90" i="65"/>
  <c r="BJ89" i="65"/>
  <c r="BH88" i="65"/>
  <c r="BL86" i="65"/>
  <c r="BJ85" i="65"/>
  <c r="BH84" i="65"/>
  <c r="BL82" i="65"/>
  <c r="BI105" i="65"/>
  <c r="BG104" i="65"/>
  <c r="BK102" i="65"/>
  <c r="BI101" i="65"/>
  <c r="BG100" i="65"/>
  <c r="BK98" i="65"/>
  <c r="BI97" i="65"/>
  <c r="BG96" i="65"/>
  <c r="BK94" i="65"/>
  <c r="BI93" i="65"/>
  <c r="BG92" i="65"/>
  <c r="BK90" i="65"/>
  <c r="BI89" i="65"/>
  <c r="BG88" i="65"/>
  <c r="BK86" i="65"/>
  <c r="BI85" i="65"/>
  <c r="BG84" i="65"/>
  <c r="BK82" i="65"/>
  <c r="BH105" i="65"/>
  <c r="BL103" i="65"/>
  <c r="BJ102" i="65"/>
  <c r="BH101" i="65"/>
  <c r="BL99" i="65"/>
  <c r="BJ98" i="65"/>
  <c r="BH97" i="65"/>
  <c r="BL95" i="65"/>
  <c r="BJ94" i="65"/>
  <c r="BH93" i="65"/>
  <c r="BL91" i="65"/>
  <c r="BJ90" i="65"/>
  <c r="BH89" i="65"/>
  <c r="BL87" i="65"/>
  <c r="BJ86" i="65"/>
  <c r="BH85" i="65"/>
  <c r="BL83" i="65"/>
  <c r="BJ82" i="65"/>
  <c r="BG105" i="65"/>
  <c r="BK103" i="65"/>
  <c r="BI102" i="65"/>
  <c r="BG101" i="65"/>
  <c r="BK99" i="65"/>
  <c r="BI98" i="65"/>
  <c r="BG97" i="65"/>
  <c r="BK95" i="65"/>
  <c r="BI94" i="65"/>
  <c r="BG93" i="65"/>
  <c r="BK91" i="65"/>
  <c r="BI90" i="65"/>
  <c r="BG89" i="65"/>
  <c r="BK87" i="65"/>
  <c r="BI86" i="65"/>
  <c r="BG85" i="65"/>
  <c r="BK83" i="65"/>
  <c r="BI82" i="65"/>
  <c r="BL104" i="65"/>
  <c r="BJ103" i="65"/>
  <c r="BH102" i="65"/>
  <c r="BL100" i="65"/>
  <c r="BJ99" i="65"/>
  <c r="BH98" i="65"/>
  <c r="BL96" i="65"/>
  <c r="BJ95" i="65"/>
  <c r="BH94" i="65"/>
  <c r="BL92" i="65"/>
  <c r="BJ91" i="65"/>
  <c r="BH90" i="65"/>
  <c r="BL88" i="65"/>
  <c r="BJ87" i="65"/>
  <c r="BH86" i="65"/>
  <c r="BL84" i="65"/>
  <c r="BJ83" i="65"/>
  <c r="BH82" i="65"/>
  <c r="BK104" i="65"/>
  <c r="BI103" i="65"/>
  <c r="BG102" i="65"/>
  <c r="BK100" i="65"/>
  <c r="BI99" i="65"/>
  <c r="BG98" i="65"/>
  <c r="BK96" i="65"/>
  <c r="BI95" i="65"/>
  <c r="BG94" i="65"/>
  <c r="BK92" i="65"/>
  <c r="BI91" i="65"/>
  <c r="BG90" i="65"/>
  <c r="BK88" i="65"/>
  <c r="BI87" i="65"/>
  <c r="BG86" i="65"/>
  <c r="BK84" i="65"/>
  <c r="BI83" i="65"/>
  <c r="BG82" i="65"/>
  <c r="BL101" i="65"/>
  <c r="BJ96" i="65"/>
  <c r="BH91" i="65"/>
  <c r="BL85" i="65"/>
  <c r="BK101" i="65"/>
  <c r="BI96" i="65"/>
  <c r="BG91" i="65"/>
  <c r="BK85" i="65"/>
  <c r="BG103" i="65"/>
  <c r="BL105" i="65"/>
  <c r="BJ100" i="65"/>
  <c r="BH95" i="65"/>
  <c r="BL89" i="65"/>
  <c r="BJ84" i="65"/>
  <c r="BJ92" i="65"/>
  <c r="BK105" i="65"/>
  <c r="BI100" i="65"/>
  <c r="BG95" i="65"/>
  <c r="BK89" i="65"/>
  <c r="BI84" i="65"/>
  <c r="BH103" i="65"/>
  <c r="BH87" i="65"/>
  <c r="BK97" i="65"/>
  <c r="BJ104" i="65"/>
  <c r="BH99" i="65"/>
  <c r="BL93" i="65"/>
  <c r="BJ88" i="65"/>
  <c r="BH83" i="65"/>
  <c r="BL97" i="65"/>
  <c r="BG87" i="65"/>
  <c r="BI104" i="65"/>
  <c r="BG99" i="65"/>
  <c r="BK93" i="65"/>
  <c r="BI88" i="65"/>
  <c r="BG83" i="65"/>
  <c r="BI92" i="65"/>
  <c r="F103" i="65"/>
  <c r="F7" i="65" s="1"/>
  <c r="Z110" i="63"/>
  <c r="Z111" i="63" s="1"/>
  <c r="Z100" i="63"/>
  <c r="Z102" i="63" s="1"/>
  <c r="Z103" i="63" s="1"/>
  <c r="X61" i="63"/>
  <c r="X65" i="63"/>
  <c r="X79" i="63"/>
  <c r="X83" i="63"/>
  <c r="X95" i="63"/>
  <c r="X104" i="63"/>
  <c r="X105" i="63"/>
  <c r="X106" i="63"/>
  <c r="X107" i="63"/>
  <c r="X108" i="63"/>
  <c r="X109" i="63"/>
  <c r="X121" i="63"/>
  <c r="W61" i="63"/>
  <c r="W65" i="63"/>
  <c r="W79" i="63"/>
  <c r="W83" i="63"/>
  <c r="W95" i="63"/>
  <c r="W104" i="63"/>
  <c r="W105" i="63"/>
  <c r="W106" i="63"/>
  <c r="W107" i="63"/>
  <c r="W108" i="63"/>
  <c r="W109" i="63"/>
  <c r="W121" i="63"/>
  <c r="V61" i="63"/>
  <c r="V65" i="63"/>
  <c r="V79" i="63"/>
  <c r="V83" i="63"/>
  <c r="V95" i="63"/>
  <c r="V104" i="63"/>
  <c r="V105" i="63"/>
  <c r="V106" i="63"/>
  <c r="V110" i="63" s="1"/>
  <c r="V107" i="63"/>
  <c r="V108" i="63"/>
  <c r="V109" i="63"/>
  <c r="V121" i="63"/>
  <c r="U61" i="63"/>
  <c r="U65" i="63"/>
  <c r="U79" i="63"/>
  <c r="U83" i="63"/>
  <c r="U95" i="63"/>
  <c r="U104" i="63"/>
  <c r="U105" i="63"/>
  <c r="U106" i="63"/>
  <c r="U107" i="63"/>
  <c r="U108" i="63"/>
  <c r="U109" i="63"/>
  <c r="U121" i="63"/>
  <c r="T61" i="63"/>
  <c r="T65" i="63"/>
  <c r="T79" i="63"/>
  <c r="T83" i="63"/>
  <c r="T95" i="63"/>
  <c r="T104" i="63"/>
  <c r="T105" i="63"/>
  <c r="T106" i="63"/>
  <c r="T107" i="63"/>
  <c r="T108" i="63"/>
  <c r="T109" i="63"/>
  <c r="T121" i="63"/>
  <c r="E35" i="64"/>
  <c r="E33" i="64"/>
  <c r="E28" i="64"/>
  <c r="E22" i="64"/>
  <c r="S60" i="63"/>
  <c r="S61" i="63"/>
  <c r="S65" i="63"/>
  <c r="S79" i="63"/>
  <c r="S83" i="63"/>
  <c r="S95" i="63"/>
  <c r="S104" i="63"/>
  <c r="S110" i="63" s="1"/>
  <c r="S105" i="63"/>
  <c r="S106" i="63"/>
  <c r="S107" i="63"/>
  <c r="S108" i="63"/>
  <c r="S109" i="63"/>
  <c r="S121" i="63"/>
  <c r="R124" i="63"/>
  <c r="R60" i="63"/>
  <c r="R61" i="63"/>
  <c r="R65" i="63"/>
  <c r="R79" i="63"/>
  <c r="R83" i="63"/>
  <c r="R95" i="63"/>
  <c r="R104" i="63"/>
  <c r="R105" i="63"/>
  <c r="R106" i="63"/>
  <c r="R107" i="63"/>
  <c r="R108" i="63"/>
  <c r="R109" i="63"/>
  <c r="R121" i="63"/>
  <c r="Q124" i="63"/>
  <c r="Q60" i="63"/>
  <c r="P124" i="63"/>
  <c r="P60" i="63"/>
  <c r="O124" i="63"/>
  <c r="O65" i="63"/>
  <c r="O60" i="63"/>
  <c r="K6" i="65" l="1"/>
  <c r="AI111" i="65"/>
  <c r="AT9" i="65"/>
  <c r="I249" i="65"/>
  <c r="H121" i="65"/>
  <c r="H255" i="65"/>
  <c r="AI103" i="65"/>
  <c r="AH103" i="65"/>
  <c r="B7" i="65"/>
  <c r="A7" i="65" s="1"/>
  <c r="AH111" i="65"/>
  <c r="X110" i="63"/>
  <c r="X111" i="63" s="1"/>
  <c r="X100" i="63"/>
  <c r="X102" i="63" s="1"/>
  <c r="X103" i="63" s="1"/>
  <c r="W110" i="63"/>
  <c r="W111" i="63"/>
  <c r="W100" i="63"/>
  <c r="W102" i="63" s="1"/>
  <c r="W103" i="63" s="1"/>
  <c r="V111" i="63"/>
  <c r="V100" i="63"/>
  <c r="V102" i="63" s="1"/>
  <c r="V103" i="63" s="1"/>
  <c r="U110" i="63"/>
  <c r="U100" i="63"/>
  <c r="U102" i="63" s="1"/>
  <c r="U103" i="63" s="1"/>
  <c r="U111" i="63"/>
  <c r="T110" i="63"/>
  <c r="T111" i="63" s="1"/>
  <c r="T100" i="63"/>
  <c r="T102" i="63" s="1"/>
  <c r="S111" i="63"/>
  <c r="S100" i="63"/>
  <c r="S102" i="63" s="1"/>
  <c r="S103" i="63" s="1"/>
  <c r="R110" i="63"/>
  <c r="R111" i="63" s="1"/>
  <c r="R100" i="63"/>
  <c r="R102" i="63" s="1"/>
  <c r="R103" i="63" s="1"/>
  <c r="I121" i="65" l="1"/>
  <c r="I255" i="65"/>
  <c r="J249" i="65"/>
  <c r="T103" i="63"/>
  <c r="J121" i="65" l="1"/>
  <c r="J255" i="65"/>
  <c r="K249" i="65"/>
  <c r="K121" i="65" l="1"/>
  <c r="K255" i="65"/>
  <c r="L249" i="65"/>
  <c r="N124" i="63"/>
  <c r="N60" i="63"/>
  <c r="M124" i="63"/>
  <c r="M61" i="63"/>
  <c r="M65" i="63"/>
  <c r="AU17" i="63" s="1"/>
  <c r="M79" i="63"/>
  <c r="M83" i="63"/>
  <c r="AG255" i="63"/>
  <c r="C255" i="63"/>
  <c r="D254" i="63"/>
  <c r="E254" i="63" s="1"/>
  <c r="F254" i="63" s="1"/>
  <c r="G254" i="63" s="1"/>
  <c r="H254" i="63" s="1"/>
  <c r="I254" i="63" s="1"/>
  <c r="J254" i="63" s="1"/>
  <c r="K254" i="63" s="1"/>
  <c r="L254" i="63" s="1"/>
  <c r="M254" i="63" s="1"/>
  <c r="N254" i="63" s="1"/>
  <c r="O254" i="63" s="1"/>
  <c r="P254" i="63" s="1"/>
  <c r="Q254" i="63" s="1"/>
  <c r="R254" i="63" s="1"/>
  <c r="S254" i="63" s="1"/>
  <c r="T254" i="63" s="1"/>
  <c r="U254" i="63" s="1"/>
  <c r="V254" i="63" s="1"/>
  <c r="W254" i="63" s="1"/>
  <c r="X254" i="63" s="1"/>
  <c r="Y254" i="63" s="1"/>
  <c r="Z254" i="63" s="1"/>
  <c r="AA254" i="63" s="1"/>
  <c r="AB254" i="63" s="1"/>
  <c r="AC254" i="63" s="1"/>
  <c r="AD254" i="63" s="1"/>
  <c r="AE254" i="63" s="1"/>
  <c r="AF254" i="63" s="1"/>
  <c r="B254" i="63" s="1"/>
  <c r="D253" i="63"/>
  <c r="E253" i="63" s="1"/>
  <c r="F253" i="63" s="1"/>
  <c r="G253" i="63" s="1"/>
  <c r="H253" i="63" s="1"/>
  <c r="I253" i="63" s="1"/>
  <c r="J253" i="63" s="1"/>
  <c r="K253" i="63" s="1"/>
  <c r="L253" i="63" s="1"/>
  <c r="M253" i="63" s="1"/>
  <c r="N253" i="63" s="1"/>
  <c r="O253" i="63" s="1"/>
  <c r="P253" i="63" s="1"/>
  <c r="Q253" i="63" s="1"/>
  <c r="R253" i="63" s="1"/>
  <c r="S253" i="63" s="1"/>
  <c r="T253" i="63" s="1"/>
  <c r="U253" i="63" s="1"/>
  <c r="V253" i="63" s="1"/>
  <c r="W253" i="63" s="1"/>
  <c r="X253" i="63" s="1"/>
  <c r="Y253" i="63" s="1"/>
  <c r="Z253" i="63" s="1"/>
  <c r="AA253" i="63" s="1"/>
  <c r="AB253" i="63" s="1"/>
  <c r="AC253" i="63" s="1"/>
  <c r="AD253" i="63" s="1"/>
  <c r="AE253" i="63" s="1"/>
  <c r="AF253" i="63" s="1"/>
  <c r="B253" i="63" s="1"/>
  <c r="H252" i="63"/>
  <c r="I252" i="63" s="1"/>
  <c r="J252" i="63" s="1"/>
  <c r="K252" i="63" s="1"/>
  <c r="L252" i="63" s="1"/>
  <c r="M252" i="63" s="1"/>
  <c r="N252" i="63" s="1"/>
  <c r="O252" i="63" s="1"/>
  <c r="P252" i="63" s="1"/>
  <c r="Q252" i="63" s="1"/>
  <c r="R252" i="63" s="1"/>
  <c r="S252" i="63" s="1"/>
  <c r="T252" i="63" s="1"/>
  <c r="U252" i="63" s="1"/>
  <c r="V252" i="63" s="1"/>
  <c r="W252" i="63" s="1"/>
  <c r="X252" i="63" s="1"/>
  <c r="Y252" i="63" s="1"/>
  <c r="Z252" i="63" s="1"/>
  <c r="AA252" i="63" s="1"/>
  <c r="AB252" i="63" s="1"/>
  <c r="AC252" i="63" s="1"/>
  <c r="AD252" i="63" s="1"/>
  <c r="AE252" i="63" s="1"/>
  <c r="AF252" i="63" s="1"/>
  <c r="B252" i="63" s="1"/>
  <c r="D252" i="63"/>
  <c r="E252" i="63" s="1"/>
  <c r="F252" i="63" s="1"/>
  <c r="G252" i="63" s="1"/>
  <c r="D251" i="63"/>
  <c r="E251" i="63" s="1"/>
  <c r="F251" i="63" s="1"/>
  <c r="G251" i="63" s="1"/>
  <c r="H251" i="63" s="1"/>
  <c r="I251" i="63" s="1"/>
  <c r="J251" i="63" s="1"/>
  <c r="K251" i="63" s="1"/>
  <c r="L251" i="63" s="1"/>
  <c r="M251" i="63" s="1"/>
  <c r="N251" i="63" s="1"/>
  <c r="O251" i="63" s="1"/>
  <c r="P251" i="63" s="1"/>
  <c r="Q251" i="63" s="1"/>
  <c r="R251" i="63" s="1"/>
  <c r="S251" i="63" s="1"/>
  <c r="T251" i="63" s="1"/>
  <c r="U251" i="63" s="1"/>
  <c r="V251" i="63" s="1"/>
  <c r="W251" i="63" s="1"/>
  <c r="X251" i="63" s="1"/>
  <c r="Y251" i="63" s="1"/>
  <c r="Z251" i="63" s="1"/>
  <c r="AA251" i="63" s="1"/>
  <c r="AB251" i="63" s="1"/>
  <c r="AC251" i="63" s="1"/>
  <c r="AD251" i="63" s="1"/>
  <c r="AE251" i="63" s="1"/>
  <c r="AF251" i="63" s="1"/>
  <c r="B251" i="63" s="1"/>
  <c r="D250" i="63"/>
  <c r="E250" i="63" s="1"/>
  <c r="F250" i="63" s="1"/>
  <c r="G250" i="63" s="1"/>
  <c r="H250" i="63" s="1"/>
  <c r="I250" i="63" s="1"/>
  <c r="J250" i="63" s="1"/>
  <c r="K250" i="63" s="1"/>
  <c r="L250" i="63" s="1"/>
  <c r="M250" i="63" s="1"/>
  <c r="N250" i="63" s="1"/>
  <c r="O250" i="63" s="1"/>
  <c r="P250" i="63" s="1"/>
  <c r="Q250" i="63" s="1"/>
  <c r="R250" i="63" s="1"/>
  <c r="S250" i="63" s="1"/>
  <c r="T250" i="63" s="1"/>
  <c r="U250" i="63" s="1"/>
  <c r="V250" i="63" s="1"/>
  <c r="W250" i="63" s="1"/>
  <c r="X250" i="63" s="1"/>
  <c r="Y250" i="63" s="1"/>
  <c r="Z250" i="63" s="1"/>
  <c r="AA250" i="63" s="1"/>
  <c r="AB250" i="63" s="1"/>
  <c r="AC250" i="63" s="1"/>
  <c r="AD250" i="63" s="1"/>
  <c r="AE250" i="63" s="1"/>
  <c r="AF250" i="63" s="1"/>
  <c r="B250" i="63" s="1"/>
  <c r="D249" i="63"/>
  <c r="D255" i="63" s="1"/>
  <c r="AG247" i="63"/>
  <c r="AF247" i="63"/>
  <c r="AE247" i="63"/>
  <c r="AD247" i="63"/>
  <c r="AC247" i="63"/>
  <c r="AB247" i="63"/>
  <c r="AA247" i="63"/>
  <c r="Z247" i="63"/>
  <c r="Y247" i="63"/>
  <c r="Y121" i="63" s="1"/>
  <c r="X247" i="63"/>
  <c r="W247" i="63"/>
  <c r="V247" i="63"/>
  <c r="U247" i="63"/>
  <c r="T247" i="63"/>
  <c r="S247" i="63"/>
  <c r="R247" i="63"/>
  <c r="Q247" i="63"/>
  <c r="P247" i="63"/>
  <c r="O247" i="63"/>
  <c r="N247" i="63"/>
  <c r="M247" i="63"/>
  <c r="L247" i="63"/>
  <c r="K247" i="63"/>
  <c r="J247" i="63"/>
  <c r="I247" i="63"/>
  <c r="H247" i="63"/>
  <c r="G247" i="63"/>
  <c r="F247" i="63"/>
  <c r="E247" i="63"/>
  <c r="D247" i="63"/>
  <c r="C247" i="63"/>
  <c r="B247" i="63"/>
  <c r="AI133" i="63"/>
  <c r="AH133" i="63"/>
  <c r="AI132" i="63"/>
  <c r="AH132" i="63"/>
  <c r="AI131" i="63"/>
  <c r="AH131" i="63"/>
  <c r="AI130" i="63"/>
  <c r="AH130" i="63"/>
  <c r="AI129" i="63"/>
  <c r="AH129" i="63"/>
  <c r="AI126" i="63"/>
  <c r="AH126" i="63"/>
  <c r="AI125" i="63"/>
  <c r="AH125" i="63"/>
  <c r="AI124" i="63"/>
  <c r="AH124" i="63"/>
  <c r="AI123" i="63"/>
  <c r="AH123" i="63"/>
  <c r="AI122" i="63"/>
  <c r="AH122" i="63"/>
  <c r="C121" i="63"/>
  <c r="AI120" i="63"/>
  <c r="AH120" i="63"/>
  <c r="AI119" i="63"/>
  <c r="AH119" i="63"/>
  <c r="AI118" i="63"/>
  <c r="AH118" i="63"/>
  <c r="AI117" i="63"/>
  <c r="AH117" i="63"/>
  <c r="AI116" i="63"/>
  <c r="AH116" i="63"/>
  <c r="AI115" i="63"/>
  <c r="AH115" i="63"/>
  <c r="AI114" i="63"/>
  <c r="AH114" i="63"/>
  <c r="AI113" i="63"/>
  <c r="AH113" i="63"/>
  <c r="AI112" i="63"/>
  <c r="AH112" i="63"/>
  <c r="AF109" i="63"/>
  <c r="AE109" i="63"/>
  <c r="AD109" i="63"/>
  <c r="AC109" i="63"/>
  <c r="AB109" i="63"/>
  <c r="AA109" i="63"/>
  <c r="Y109" i="63"/>
  <c r="Q109" i="63"/>
  <c r="P109" i="63"/>
  <c r="O109" i="63"/>
  <c r="N109" i="63"/>
  <c r="M109" i="63"/>
  <c r="AI109" i="63" s="1"/>
  <c r="L109" i="63"/>
  <c r="K109" i="63"/>
  <c r="J109" i="63"/>
  <c r="I109" i="63"/>
  <c r="H109" i="63"/>
  <c r="G109" i="63"/>
  <c r="F109" i="63"/>
  <c r="E109" i="63"/>
  <c r="D109" i="63"/>
  <c r="C109" i="63"/>
  <c r="B109" i="63"/>
  <c r="AF108" i="63"/>
  <c r="AE108" i="63"/>
  <c r="AD108" i="63"/>
  <c r="AC108" i="63"/>
  <c r="AB108" i="63"/>
  <c r="AA108" i="63"/>
  <c r="Y108" i="63"/>
  <c r="Q108" i="63"/>
  <c r="P108" i="63"/>
  <c r="O108" i="63"/>
  <c r="N108" i="63"/>
  <c r="M108" i="63"/>
  <c r="L108" i="63"/>
  <c r="K108" i="63"/>
  <c r="J108" i="63"/>
  <c r="I108" i="63"/>
  <c r="AH108" i="63" s="1"/>
  <c r="H108" i="63"/>
  <c r="G108" i="63"/>
  <c r="F108" i="63"/>
  <c r="E108" i="63"/>
  <c r="D108" i="63"/>
  <c r="C108" i="63"/>
  <c r="B108" i="63"/>
  <c r="AI107" i="63"/>
  <c r="AF107" i="63"/>
  <c r="AE107" i="63"/>
  <c r="AD107" i="63"/>
  <c r="AC107" i="63"/>
  <c r="AB107" i="63"/>
  <c r="AA107" i="63"/>
  <c r="Y107" i="63"/>
  <c r="Q107" i="63"/>
  <c r="P107" i="63"/>
  <c r="O107" i="63"/>
  <c r="N107" i="63"/>
  <c r="M107" i="63"/>
  <c r="L107" i="63"/>
  <c r="K107" i="63"/>
  <c r="J107" i="63"/>
  <c r="I107" i="63"/>
  <c r="H107" i="63"/>
  <c r="G107" i="63"/>
  <c r="F107" i="63"/>
  <c r="E107" i="63"/>
  <c r="D107" i="63"/>
  <c r="C107" i="63"/>
  <c r="B107" i="63"/>
  <c r="AF106" i="63"/>
  <c r="AE106" i="63"/>
  <c r="AD106" i="63"/>
  <c r="AC106" i="63"/>
  <c r="AB106" i="63"/>
  <c r="AA106" i="63"/>
  <c r="Y106" i="63"/>
  <c r="Q106" i="63"/>
  <c r="P106" i="63"/>
  <c r="O106" i="63"/>
  <c r="N106" i="63"/>
  <c r="M106" i="63"/>
  <c r="L106" i="63"/>
  <c r="K106" i="63"/>
  <c r="J106" i="63"/>
  <c r="I106" i="63"/>
  <c r="H106" i="63"/>
  <c r="G106" i="63"/>
  <c r="F106" i="63"/>
  <c r="E106" i="63"/>
  <c r="D106" i="63"/>
  <c r="C106" i="63"/>
  <c r="B106" i="63"/>
  <c r="AF105" i="63"/>
  <c r="AE105" i="63"/>
  <c r="AD105" i="63"/>
  <c r="AC105" i="63"/>
  <c r="AB105" i="63"/>
  <c r="AA105" i="63"/>
  <c r="Y105" i="63"/>
  <c r="Q105" i="63"/>
  <c r="P105" i="63"/>
  <c r="O105" i="63"/>
  <c r="N105" i="63"/>
  <c r="M105" i="63"/>
  <c r="AI105" i="63" s="1"/>
  <c r="L105" i="63"/>
  <c r="K105" i="63"/>
  <c r="J105" i="63"/>
  <c r="I105" i="63"/>
  <c r="H105" i="63"/>
  <c r="G105" i="63"/>
  <c r="F105" i="63"/>
  <c r="E105" i="63"/>
  <c r="D105" i="63"/>
  <c r="C105" i="63"/>
  <c r="B105" i="63"/>
  <c r="AF104" i="63"/>
  <c r="AE104" i="63"/>
  <c r="AE110" i="63" s="1"/>
  <c r="BI23" i="63" s="1"/>
  <c r="AD104" i="63"/>
  <c r="AC104" i="63"/>
  <c r="AB104" i="63"/>
  <c r="AB110" i="63" s="1"/>
  <c r="AB111" i="63" s="1"/>
  <c r="AA104" i="63"/>
  <c r="AA110" i="63" s="1"/>
  <c r="Y104" i="63"/>
  <c r="Y110" i="63" s="1"/>
  <c r="Q104" i="63"/>
  <c r="P104" i="63"/>
  <c r="P110" i="63" s="1"/>
  <c r="O104" i="63"/>
  <c r="O110" i="63" s="1"/>
  <c r="AW23" i="63" s="1"/>
  <c r="N104" i="63"/>
  <c r="N110" i="63" s="1"/>
  <c r="M104" i="63"/>
  <c r="L104" i="63"/>
  <c r="K104" i="63"/>
  <c r="K110" i="63" s="1"/>
  <c r="J104" i="63"/>
  <c r="J110" i="63" s="1"/>
  <c r="I104" i="63"/>
  <c r="H104" i="63"/>
  <c r="H110" i="63" s="1"/>
  <c r="G104" i="63"/>
  <c r="G110" i="63" s="1"/>
  <c r="AR23" i="63" s="1"/>
  <c r="F104" i="63"/>
  <c r="E104" i="63"/>
  <c r="D104" i="63"/>
  <c r="C104" i="63"/>
  <c r="C110" i="63" s="1"/>
  <c r="AN23" i="63" s="1"/>
  <c r="B104" i="63"/>
  <c r="AI101" i="63"/>
  <c r="AH101" i="63"/>
  <c r="Z7" i="63"/>
  <c r="AI99" i="63"/>
  <c r="AH99" i="63"/>
  <c r="AG99" i="63"/>
  <c r="AI98" i="63"/>
  <c r="AH98" i="63"/>
  <c r="AI97" i="63"/>
  <c r="AH97" i="63"/>
  <c r="AI96" i="63"/>
  <c r="AH96" i="63"/>
  <c r="AG95" i="63"/>
  <c r="AF95" i="63"/>
  <c r="BJ19" i="63" s="1"/>
  <c r="AE95" i="63"/>
  <c r="BI19" i="63" s="1"/>
  <c r="AD95" i="63"/>
  <c r="AC5" i="63" s="1"/>
  <c r="AC95" i="63"/>
  <c r="AB95" i="63"/>
  <c r="AA5" i="63" s="1"/>
  <c r="AA95" i="63"/>
  <c r="Y95" i="63"/>
  <c r="Q95" i="63"/>
  <c r="P95" i="63"/>
  <c r="AX19" i="63" s="1"/>
  <c r="O95" i="63"/>
  <c r="N5" i="63" s="1"/>
  <c r="N95" i="63"/>
  <c r="M5" i="63" s="1"/>
  <c r="M95" i="63"/>
  <c r="AU19" i="63" s="1"/>
  <c r="L95" i="63"/>
  <c r="K5" i="63" s="1"/>
  <c r="K95" i="63"/>
  <c r="J95" i="63"/>
  <c r="I5" i="63" s="1"/>
  <c r="I95" i="63"/>
  <c r="H5" i="63" s="1"/>
  <c r="H95" i="63"/>
  <c r="H111" i="63" s="1"/>
  <c r="G95" i="63"/>
  <c r="AR19" i="63" s="1"/>
  <c r="F95" i="63"/>
  <c r="AQ19" i="63" s="1"/>
  <c r="E95" i="63"/>
  <c r="D5" i="63" s="1"/>
  <c r="D95" i="63"/>
  <c r="AO19" i="63" s="1"/>
  <c r="C95" i="63"/>
  <c r="B95" i="63"/>
  <c r="AI94" i="63"/>
  <c r="AH94" i="63"/>
  <c r="AI93" i="63"/>
  <c r="AH93" i="63"/>
  <c r="AI92" i="63"/>
  <c r="AH92" i="63"/>
  <c r="AI91" i="63"/>
  <c r="AH91" i="63"/>
  <c r="AI90" i="63"/>
  <c r="AH90" i="63"/>
  <c r="AI89" i="63"/>
  <c r="AH89" i="63"/>
  <c r="AI88" i="63"/>
  <c r="AH88" i="63"/>
  <c r="AI87" i="63"/>
  <c r="AH87" i="63"/>
  <c r="AI86" i="63"/>
  <c r="AH86" i="63"/>
  <c r="AI85" i="63"/>
  <c r="AH85" i="63"/>
  <c r="AI84" i="63"/>
  <c r="AH84" i="63"/>
  <c r="AG83" i="63"/>
  <c r="AF83" i="63"/>
  <c r="AE83" i="63"/>
  <c r="AD83" i="63"/>
  <c r="BH20" i="63" s="1"/>
  <c r="AC83" i="63"/>
  <c r="AB83" i="63"/>
  <c r="BG20" i="63" s="1"/>
  <c r="AA83" i="63"/>
  <c r="Y83" i="63"/>
  <c r="Q83" i="63"/>
  <c r="P83" i="63"/>
  <c r="O83" i="63"/>
  <c r="N83" i="63"/>
  <c r="AV20" i="63" s="1"/>
  <c r="L83" i="63"/>
  <c r="K83" i="63"/>
  <c r="AT20" i="63" s="1"/>
  <c r="J83" i="63"/>
  <c r="I83" i="63"/>
  <c r="H83" i="63"/>
  <c r="G83" i="63"/>
  <c r="AR20" i="63" s="1"/>
  <c r="F83" i="63"/>
  <c r="E83" i="63"/>
  <c r="AP20" i="63" s="1"/>
  <c r="D83" i="63"/>
  <c r="C83" i="63"/>
  <c r="B83" i="63"/>
  <c r="AM20" i="63" s="1"/>
  <c r="AI82" i="63"/>
  <c r="AH82" i="63"/>
  <c r="AI81" i="63"/>
  <c r="AH81" i="63"/>
  <c r="AI80" i="63"/>
  <c r="AH80" i="63"/>
  <c r="AF79" i="63"/>
  <c r="BJ18" i="63" s="1"/>
  <c r="AE79" i="63"/>
  <c r="BI18" i="63" s="1"/>
  <c r="AD79" i="63"/>
  <c r="BH18" i="63" s="1"/>
  <c r="AC79" i="63"/>
  <c r="AB79" i="63"/>
  <c r="AA79" i="63"/>
  <c r="BF18" i="63"/>
  <c r="Y79" i="63"/>
  <c r="BD18" i="63"/>
  <c r="BB18" i="63"/>
  <c r="AZ18" i="63"/>
  <c r="Q79" i="63"/>
  <c r="P79" i="63"/>
  <c r="AX18" i="63" s="1"/>
  <c r="O79" i="63"/>
  <c r="AW18" i="63" s="1"/>
  <c r="N79" i="63"/>
  <c r="AV18" i="63" s="1"/>
  <c r="L79" i="63"/>
  <c r="K79" i="63"/>
  <c r="AT18" i="63" s="1"/>
  <c r="J79" i="63"/>
  <c r="I79" i="63"/>
  <c r="H79" i="63"/>
  <c r="G79" i="63"/>
  <c r="AR18" i="63" s="1"/>
  <c r="F79" i="63"/>
  <c r="AQ18" i="63" s="1"/>
  <c r="E79" i="63"/>
  <c r="AP18" i="63" s="1"/>
  <c r="D79" i="63"/>
  <c r="C79" i="63"/>
  <c r="B79" i="63"/>
  <c r="AZ78" i="63"/>
  <c r="AI78" i="63"/>
  <c r="AH78" i="63"/>
  <c r="AG78" i="63"/>
  <c r="AG79" i="63" s="1"/>
  <c r="BW77" i="63"/>
  <c r="BS77" i="63"/>
  <c r="BK77" i="63"/>
  <c r="BC77" i="63"/>
  <c r="AI77" i="63"/>
  <c r="AH77" i="63"/>
  <c r="BW76" i="63"/>
  <c r="BS76" i="63"/>
  <c r="BK76" i="63"/>
  <c r="BI76" i="63"/>
  <c r="BC76" i="63"/>
  <c r="BA76" i="63"/>
  <c r="AI76" i="63"/>
  <c r="AH76" i="63"/>
  <c r="BW75" i="63"/>
  <c r="AI75" i="63"/>
  <c r="AH75" i="63"/>
  <c r="BV74" i="63"/>
  <c r="BU74" i="63"/>
  <c r="BP74" i="63"/>
  <c r="BM74" i="63"/>
  <c r="BI74" i="63"/>
  <c r="BH74" i="63"/>
  <c r="BF74" i="63"/>
  <c r="BE74" i="63"/>
  <c r="BA74" i="63"/>
  <c r="AZ74" i="63"/>
  <c r="AI74" i="63"/>
  <c r="AH74" i="63"/>
  <c r="BJ73" i="63"/>
  <c r="AZ73" i="63"/>
  <c r="AI73" i="63"/>
  <c r="AH73" i="63"/>
  <c r="AI72" i="63"/>
  <c r="AH72" i="63"/>
  <c r="BW71" i="63"/>
  <c r="BW78" i="63" s="1"/>
  <c r="BV71" i="63"/>
  <c r="BV78" i="63" s="1"/>
  <c r="BU71" i="63"/>
  <c r="BU78" i="63" s="1"/>
  <c r="BT71" i="63"/>
  <c r="BT78" i="63" s="1"/>
  <c r="BS71" i="63"/>
  <c r="BS78" i="63" s="1"/>
  <c r="BR71" i="63"/>
  <c r="BR78" i="63" s="1"/>
  <c r="BQ71" i="63"/>
  <c r="BQ78" i="63" s="1"/>
  <c r="BP71" i="63"/>
  <c r="BP78" i="63" s="1"/>
  <c r="BO71" i="63"/>
  <c r="BO78" i="63" s="1"/>
  <c r="BN71" i="63"/>
  <c r="BN78" i="63" s="1"/>
  <c r="BM71" i="63"/>
  <c r="BM78" i="63" s="1"/>
  <c r="BL71" i="63"/>
  <c r="BL78" i="63" s="1"/>
  <c r="BK71" i="63"/>
  <c r="BK78" i="63" s="1"/>
  <c r="BJ71" i="63"/>
  <c r="BJ78" i="63" s="1"/>
  <c r="BI71" i="63"/>
  <c r="BI78" i="63" s="1"/>
  <c r="BH71" i="63"/>
  <c r="BH78" i="63" s="1"/>
  <c r="BG71" i="63"/>
  <c r="BG78" i="63" s="1"/>
  <c r="BF71" i="63"/>
  <c r="BF78" i="63" s="1"/>
  <c r="BE71" i="63"/>
  <c r="BE78" i="63" s="1"/>
  <c r="BD71" i="63"/>
  <c r="BD78" i="63" s="1"/>
  <c r="BC71" i="63"/>
  <c r="BC78" i="63" s="1"/>
  <c r="BB71" i="63"/>
  <c r="BB78" i="63" s="1"/>
  <c r="BA71" i="63"/>
  <c r="BA78" i="63" s="1"/>
  <c r="AZ71" i="63"/>
  <c r="AI71" i="63"/>
  <c r="AH71" i="63"/>
  <c r="BW70" i="63"/>
  <c r="BV70" i="63"/>
  <c r="BV77" i="63" s="1"/>
  <c r="BU70" i="63"/>
  <c r="BU77" i="63" s="1"/>
  <c r="BT70" i="63"/>
  <c r="BT77" i="63" s="1"/>
  <c r="BS70" i="63"/>
  <c r="BR70" i="63"/>
  <c r="BR77" i="63" s="1"/>
  <c r="BQ70" i="63"/>
  <c r="BQ77" i="63" s="1"/>
  <c r="BP70" i="63"/>
  <c r="BP77" i="63" s="1"/>
  <c r="BO70" i="63"/>
  <c r="BO77" i="63" s="1"/>
  <c r="BN70" i="63"/>
  <c r="BN77" i="63" s="1"/>
  <c r="BM70" i="63"/>
  <c r="BM77" i="63" s="1"/>
  <c r="BL70" i="63"/>
  <c r="BL77" i="63" s="1"/>
  <c r="BK70" i="63"/>
  <c r="BJ70" i="63"/>
  <c r="BJ77" i="63" s="1"/>
  <c r="BI70" i="63"/>
  <c r="BI77" i="63" s="1"/>
  <c r="BH70" i="63"/>
  <c r="BH77" i="63" s="1"/>
  <c r="BG70" i="63"/>
  <c r="BG77" i="63" s="1"/>
  <c r="BF70" i="63"/>
  <c r="BF77" i="63" s="1"/>
  <c r="BE70" i="63"/>
  <c r="BE77" i="63" s="1"/>
  <c r="BD70" i="63"/>
  <c r="BD77" i="63" s="1"/>
  <c r="BC70" i="63"/>
  <c r="BB70" i="63"/>
  <c r="BB77" i="63" s="1"/>
  <c r="BA70" i="63"/>
  <c r="BA77" i="63" s="1"/>
  <c r="AZ70" i="63"/>
  <c r="AZ77" i="63" s="1"/>
  <c r="AI70" i="63"/>
  <c r="AH70" i="63"/>
  <c r="BW69" i="63"/>
  <c r="BV69" i="63"/>
  <c r="BV76" i="63" s="1"/>
  <c r="BU69" i="63"/>
  <c r="BU76" i="63" s="1"/>
  <c r="BT69" i="63"/>
  <c r="BT76" i="63" s="1"/>
  <c r="BS69" i="63"/>
  <c r="BR69" i="63"/>
  <c r="BR76" i="63" s="1"/>
  <c r="BQ69" i="63"/>
  <c r="BQ76" i="63" s="1"/>
  <c r="BP69" i="63"/>
  <c r="BP76" i="63" s="1"/>
  <c r="BO69" i="63"/>
  <c r="BO76" i="63" s="1"/>
  <c r="BN69" i="63"/>
  <c r="BN76" i="63" s="1"/>
  <c r="BM69" i="63"/>
  <c r="BM76" i="63" s="1"/>
  <c r="BL69" i="63"/>
  <c r="BL76" i="63" s="1"/>
  <c r="BK69" i="63"/>
  <c r="BJ69" i="63"/>
  <c r="BJ76" i="63" s="1"/>
  <c r="BI69" i="63"/>
  <c r="BH69" i="63"/>
  <c r="BH76" i="63" s="1"/>
  <c r="BG69" i="63"/>
  <c r="BG76" i="63" s="1"/>
  <c r="BF69" i="63"/>
  <c r="BF76" i="63" s="1"/>
  <c r="BE69" i="63"/>
  <c r="BE76" i="63" s="1"/>
  <c r="BD69" i="63"/>
  <c r="BD76" i="63" s="1"/>
  <c r="BC69" i="63"/>
  <c r="BB69" i="63"/>
  <c r="BB76" i="63" s="1"/>
  <c r="BA69" i="63"/>
  <c r="AZ69" i="63"/>
  <c r="AZ76" i="63" s="1"/>
  <c r="AI69" i="63"/>
  <c r="AH69" i="63"/>
  <c r="BW68" i="63"/>
  <c r="BV68" i="63"/>
  <c r="BV75" i="63" s="1"/>
  <c r="BU68" i="63"/>
  <c r="BU75" i="63" s="1"/>
  <c r="BT68" i="63"/>
  <c r="BT75" i="63" s="1"/>
  <c r="BS68" i="63"/>
  <c r="BS75" i="63" s="1"/>
  <c r="BR68" i="63"/>
  <c r="BR75" i="63" s="1"/>
  <c r="BQ68" i="63"/>
  <c r="BQ75" i="63" s="1"/>
  <c r="BP68" i="63"/>
  <c r="BP75" i="63" s="1"/>
  <c r="BO68" i="63"/>
  <c r="BO75" i="63" s="1"/>
  <c r="BN68" i="63"/>
  <c r="BN75" i="63" s="1"/>
  <c r="BM68" i="63"/>
  <c r="BM75" i="63" s="1"/>
  <c r="BL68" i="63"/>
  <c r="BL75" i="63" s="1"/>
  <c r="BK68" i="63"/>
  <c r="BK75" i="63" s="1"/>
  <c r="BJ68" i="63"/>
  <c r="BJ75" i="63" s="1"/>
  <c r="BI68" i="63"/>
  <c r="BI75" i="63" s="1"/>
  <c r="BH68" i="63"/>
  <c r="BH75" i="63" s="1"/>
  <c r="BG68" i="63"/>
  <c r="BG75" i="63" s="1"/>
  <c r="BF68" i="63"/>
  <c r="BF75" i="63" s="1"/>
  <c r="BE68" i="63"/>
  <c r="BE75" i="63" s="1"/>
  <c r="BD68" i="63"/>
  <c r="BD75" i="63" s="1"/>
  <c r="BC68" i="63"/>
  <c r="BC75" i="63" s="1"/>
  <c r="BB68" i="63"/>
  <c r="BB75" i="63" s="1"/>
  <c r="BA68" i="63"/>
  <c r="BA75" i="63" s="1"/>
  <c r="AZ68" i="63"/>
  <c r="AZ75" i="63" s="1"/>
  <c r="AI68" i="63"/>
  <c r="AH68" i="63"/>
  <c r="BW67" i="63"/>
  <c r="BW74" i="63" s="1"/>
  <c r="BV67" i="63"/>
  <c r="BU67" i="63"/>
  <c r="BT67" i="63"/>
  <c r="BT74" i="63" s="1"/>
  <c r="BS67" i="63"/>
  <c r="BS74" i="63" s="1"/>
  <c r="BR67" i="63"/>
  <c r="BR74" i="63" s="1"/>
  <c r="BQ67" i="63"/>
  <c r="BQ74" i="63" s="1"/>
  <c r="BP67" i="63"/>
  <c r="BO67" i="63"/>
  <c r="BO74" i="63" s="1"/>
  <c r="BN67" i="63"/>
  <c r="BN74" i="63" s="1"/>
  <c r="BM67" i="63"/>
  <c r="BL67" i="63"/>
  <c r="BL74" i="63" s="1"/>
  <c r="BK67" i="63"/>
  <c r="BK74" i="63" s="1"/>
  <c r="BJ67" i="63"/>
  <c r="BJ74" i="63" s="1"/>
  <c r="BI67" i="63"/>
  <c r="BH67" i="63"/>
  <c r="BG67" i="63"/>
  <c r="BG74" i="63" s="1"/>
  <c r="BF67" i="63"/>
  <c r="BE67" i="63"/>
  <c r="BD67" i="63"/>
  <c r="BD74" i="63" s="1"/>
  <c r="BC67" i="63"/>
  <c r="BC74" i="63" s="1"/>
  <c r="BB67" i="63"/>
  <c r="BB74" i="63" s="1"/>
  <c r="BA67" i="63"/>
  <c r="AZ67" i="63"/>
  <c r="AI67" i="63"/>
  <c r="AH67" i="63"/>
  <c r="BW66" i="63"/>
  <c r="BW73" i="63" s="1"/>
  <c r="BV66" i="63"/>
  <c r="BV73" i="63" s="1"/>
  <c r="BU66" i="63"/>
  <c r="BU73" i="63" s="1"/>
  <c r="BT66" i="63"/>
  <c r="BT73" i="63" s="1"/>
  <c r="BS66" i="63"/>
  <c r="BS73" i="63" s="1"/>
  <c r="BR66" i="63"/>
  <c r="BR73" i="63" s="1"/>
  <c r="BQ66" i="63"/>
  <c r="BQ73" i="63" s="1"/>
  <c r="BP66" i="63"/>
  <c r="BP73" i="63" s="1"/>
  <c r="BO66" i="63"/>
  <c r="BO73" i="63" s="1"/>
  <c r="BN66" i="63"/>
  <c r="BN73" i="63" s="1"/>
  <c r="BM66" i="63"/>
  <c r="BM73" i="63" s="1"/>
  <c r="BL66" i="63"/>
  <c r="BL73" i="63" s="1"/>
  <c r="BK66" i="63"/>
  <c r="BK73" i="63" s="1"/>
  <c r="BJ66" i="63"/>
  <c r="BI66" i="63"/>
  <c r="BI73" i="63" s="1"/>
  <c r="BH66" i="63"/>
  <c r="BH73" i="63" s="1"/>
  <c r="BG66" i="63"/>
  <c r="BG73" i="63" s="1"/>
  <c r="BF66" i="63"/>
  <c r="BF73" i="63" s="1"/>
  <c r="BE66" i="63"/>
  <c r="BE73" i="63" s="1"/>
  <c r="BD66" i="63"/>
  <c r="BD73" i="63" s="1"/>
  <c r="BC66" i="63"/>
  <c r="BC73" i="63" s="1"/>
  <c r="BB66" i="63"/>
  <c r="BB73" i="63" s="1"/>
  <c r="BA66" i="63"/>
  <c r="BA73" i="63" s="1"/>
  <c r="AZ66" i="63"/>
  <c r="AI66" i="63"/>
  <c r="AH66" i="63"/>
  <c r="AG65" i="63"/>
  <c r="AF65" i="63"/>
  <c r="BJ17" i="63" s="1"/>
  <c r="AE65" i="63"/>
  <c r="BI17" i="63" s="1"/>
  <c r="AD65" i="63"/>
  <c r="BH17" i="63" s="1"/>
  <c r="AC65" i="63"/>
  <c r="AB65" i="63"/>
  <c r="BG17" i="63" s="1"/>
  <c r="AA65" i="63"/>
  <c r="BF17" i="63"/>
  <c r="Y65" i="63"/>
  <c r="BD17" i="63"/>
  <c r="BB17" i="63"/>
  <c r="BA17" i="63"/>
  <c r="AZ17" i="63"/>
  <c r="Q65" i="63"/>
  <c r="P65" i="63"/>
  <c r="AX17" i="63" s="1"/>
  <c r="N65" i="63"/>
  <c r="AV17" i="63" s="1"/>
  <c r="L65" i="63"/>
  <c r="K65" i="63"/>
  <c r="AT17" i="63" s="1"/>
  <c r="J65" i="63"/>
  <c r="I65" i="63"/>
  <c r="H65" i="63"/>
  <c r="G65" i="63"/>
  <c r="AR17" i="63" s="1"/>
  <c r="F65" i="63"/>
  <c r="AQ17" i="63" s="1"/>
  <c r="E65" i="63"/>
  <c r="D65" i="63"/>
  <c r="C65" i="63"/>
  <c r="B65" i="63"/>
  <c r="AI64" i="63"/>
  <c r="AH64" i="63"/>
  <c r="AI63" i="63"/>
  <c r="AH63" i="63"/>
  <c r="AI62" i="63"/>
  <c r="AH62" i="63"/>
  <c r="AG61" i="63"/>
  <c r="AF61" i="63"/>
  <c r="BJ16" i="63" s="1"/>
  <c r="AE61" i="63"/>
  <c r="BI16" i="63" s="1"/>
  <c r="AD61" i="63"/>
  <c r="BH16" i="63" s="1"/>
  <c r="AC61" i="63"/>
  <c r="AB61" i="63"/>
  <c r="BG16" i="63" s="1"/>
  <c r="AA61" i="63"/>
  <c r="BF16" i="63"/>
  <c r="Y61" i="63"/>
  <c r="X7" i="63"/>
  <c r="BD16" i="63"/>
  <c r="T7" i="63"/>
  <c r="R7" i="63"/>
  <c r="Q61" i="63"/>
  <c r="AY16" i="63" s="1"/>
  <c r="P61" i="63"/>
  <c r="O61" i="63"/>
  <c r="AW16" i="63" s="1"/>
  <c r="N61" i="63"/>
  <c r="AV16" i="63" s="1"/>
  <c r="L61" i="63"/>
  <c r="K61" i="63"/>
  <c r="AT16" i="63" s="1"/>
  <c r="J61" i="63"/>
  <c r="I61" i="63"/>
  <c r="AS16" i="63" s="1"/>
  <c r="H61" i="63"/>
  <c r="G61" i="63"/>
  <c r="AR16" i="63" s="1"/>
  <c r="F61" i="63"/>
  <c r="E61" i="63"/>
  <c r="AP16" i="63" s="1"/>
  <c r="D61" i="63"/>
  <c r="AO16" i="63" s="1"/>
  <c r="C61" i="63"/>
  <c r="AN16" i="63" s="1"/>
  <c r="B61" i="63"/>
  <c r="AM16" i="63" s="1"/>
  <c r="AI60" i="63"/>
  <c r="AH60" i="63"/>
  <c r="AI59" i="63"/>
  <c r="AH59" i="63"/>
  <c r="AI58" i="63"/>
  <c r="AH58" i="63"/>
  <c r="AI57" i="63"/>
  <c r="AH57" i="63"/>
  <c r="AI56" i="63"/>
  <c r="AH56" i="63"/>
  <c r="AI55" i="63"/>
  <c r="AH55" i="63"/>
  <c r="AI54" i="63"/>
  <c r="AH54" i="63"/>
  <c r="AI53" i="63"/>
  <c r="AH53" i="63"/>
  <c r="AI52" i="63"/>
  <c r="AH52" i="63"/>
  <c r="AI51" i="63"/>
  <c r="AH51" i="63"/>
  <c r="AI50" i="63"/>
  <c r="AH50" i="63"/>
  <c r="AI49" i="63"/>
  <c r="AH49" i="63"/>
  <c r="AI48" i="63"/>
  <c r="AH48" i="63"/>
  <c r="AI47" i="63"/>
  <c r="AH47" i="63"/>
  <c r="AI46" i="63"/>
  <c r="AH46" i="63"/>
  <c r="AI45" i="63"/>
  <c r="AH45" i="63"/>
  <c r="AI44" i="63"/>
  <c r="AH44" i="63"/>
  <c r="AI43" i="63"/>
  <c r="AH43" i="63"/>
  <c r="AI42" i="63"/>
  <c r="AH42" i="63"/>
  <c r="AI41" i="63"/>
  <c r="AH41" i="63"/>
  <c r="AI40" i="63"/>
  <c r="AH40" i="63"/>
  <c r="AI39" i="63"/>
  <c r="AH39" i="63"/>
  <c r="AI38" i="63"/>
  <c r="AH38" i="63"/>
  <c r="AI37" i="63"/>
  <c r="AH37" i="63"/>
  <c r="AI36" i="63"/>
  <c r="AH36" i="63"/>
  <c r="AI35" i="63"/>
  <c r="AH35" i="63"/>
  <c r="AI34" i="63"/>
  <c r="AH34" i="63"/>
  <c r="AI33" i="63"/>
  <c r="AH33" i="63"/>
  <c r="AI32" i="63"/>
  <c r="AH32" i="63"/>
  <c r="AI31" i="63"/>
  <c r="AH31" i="63"/>
  <c r="AI30" i="63"/>
  <c r="AH30" i="63"/>
  <c r="AI29" i="63"/>
  <c r="AH29" i="63"/>
  <c r="AI28" i="63"/>
  <c r="AH28" i="63"/>
  <c r="AI27" i="63"/>
  <c r="AH27" i="63"/>
  <c r="AI26" i="63"/>
  <c r="AH26" i="63"/>
  <c r="AI25" i="63"/>
  <c r="AH25" i="63"/>
  <c r="AI24" i="63"/>
  <c r="AH24" i="63"/>
  <c r="BG23" i="63"/>
  <c r="BF23" i="63"/>
  <c r="BE23" i="63"/>
  <c r="BD23" i="63"/>
  <c r="BC23" i="63"/>
  <c r="BB23" i="63"/>
  <c r="BA23" i="63"/>
  <c r="AZ23" i="63"/>
  <c r="AX23" i="63"/>
  <c r="AV23" i="63"/>
  <c r="AT23" i="63"/>
  <c r="AI23" i="63"/>
  <c r="AH23" i="63"/>
  <c r="AI22" i="63"/>
  <c r="AH22" i="63"/>
  <c r="BJ21" i="63"/>
  <c r="BI21" i="63"/>
  <c r="BH21" i="63"/>
  <c r="BG21" i="63"/>
  <c r="BF21" i="63"/>
  <c r="BE21" i="63"/>
  <c r="BD21" i="63"/>
  <c r="BC21" i="63"/>
  <c r="BB21" i="63"/>
  <c r="BA21" i="63"/>
  <c r="AZ21" i="63"/>
  <c r="AY21" i="63"/>
  <c r="AX21" i="63"/>
  <c r="AW21" i="63"/>
  <c r="AV21" i="63"/>
  <c r="AU21" i="63"/>
  <c r="AT21" i="63"/>
  <c r="AS21" i="63"/>
  <c r="AR21" i="63"/>
  <c r="AQ21" i="63"/>
  <c r="AP21" i="63"/>
  <c r="AO21" i="63"/>
  <c r="AN21" i="63"/>
  <c r="AM21" i="63"/>
  <c r="AI21" i="63"/>
  <c r="AH21" i="63"/>
  <c r="BJ20" i="63"/>
  <c r="BI20" i="63"/>
  <c r="BF20" i="63"/>
  <c r="BE20" i="63"/>
  <c r="BD20" i="63"/>
  <c r="BC20" i="63"/>
  <c r="BB20" i="63"/>
  <c r="BA20" i="63"/>
  <c r="AZ20" i="63"/>
  <c r="AY20" i="63"/>
  <c r="AX20" i="63"/>
  <c r="AW20" i="63"/>
  <c r="AU20" i="63"/>
  <c r="AS20" i="63"/>
  <c r="AQ20" i="63"/>
  <c r="AO20" i="63"/>
  <c r="AN20" i="63"/>
  <c r="AI20" i="63"/>
  <c r="AH20" i="63"/>
  <c r="BG19" i="63"/>
  <c r="BF19" i="63"/>
  <c r="BE19" i="63"/>
  <c r="BD19" i="63"/>
  <c r="BC19" i="63"/>
  <c r="BB19" i="63"/>
  <c r="BA19" i="63"/>
  <c r="AZ19" i="63"/>
  <c r="AY19" i="63"/>
  <c r="AW19" i="63"/>
  <c r="AT19" i="63"/>
  <c r="AN19" i="63"/>
  <c r="AI19" i="63"/>
  <c r="AH19" i="63"/>
  <c r="BG18" i="63"/>
  <c r="BE18" i="63"/>
  <c r="BC18" i="63"/>
  <c r="BA18" i="63"/>
  <c r="AY18" i="63"/>
  <c r="AU18" i="63"/>
  <c r="AS18" i="63"/>
  <c r="AO18" i="63"/>
  <c r="AN18" i="63"/>
  <c r="AI18" i="63"/>
  <c r="AH18" i="63"/>
  <c r="BE17" i="63"/>
  <c r="BC17" i="63"/>
  <c r="AY17" i="63"/>
  <c r="AW17" i="63"/>
  <c r="AS17" i="63"/>
  <c r="AP17" i="63"/>
  <c r="AO17" i="63"/>
  <c r="AN17" i="63"/>
  <c r="AM17" i="63"/>
  <c r="AI17" i="63"/>
  <c r="AH17" i="63"/>
  <c r="BE16" i="63"/>
  <c r="BE22" i="63" s="1"/>
  <c r="BE24" i="63" s="1"/>
  <c r="BC16" i="63"/>
  <c r="BA16" i="63"/>
  <c r="AU16" i="63"/>
  <c r="AI16" i="63"/>
  <c r="AH16" i="63"/>
  <c r="AI15" i="63"/>
  <c r="AH15" i="63"/>
  <c r="AI14" i="63"/>
  <c r="AH14" i="63"/>
  <c r="AI13" i="63"/>
  <c r="AH13" i="63"/>
  <c r="AL12" i="63"/>
  <c r="AI12" i="63"/>
  <c r="AH12" i="63"/>
  <c r="AI11" i="63"/>
  <c r="AH11" i="63"/>
  <c r="AB5" i="63"/>
  <c r="Z5" i="63"/>
  <c r="Y5" i="63"/>
  <c r="X5" i="63"/>
  <c r="W5" i="63"/>
  <c r="V5" i="63"/>
  <c r="U5" i="63"/>
  <c r="T5" i="63"/>
  <c r="S5" i="63"/>
  <c r="R5" i="63"/>
  <c r="Q5" i="63"/>
  <c r="P5" i="63"/>
  <c r="L5" i="63"/>
  <c r="J5" i="63"/>
  <c r="G5" i="63"/>
  <c r="B5" i="63"/>
  <c r="AG4" i="63"/>
  <c r="K4" i="63"/>
  <c r="E4" i="63"/>
  <c r="H4" i="63" s="1"/>
  <c r="B4" i="63"/>
  <c r="D261" i="63" s="1"/>
  <c r="AG3" i="63"/>
  <c r="AG2" i="63"/>
  <c r="AG6" i="63" s="1"/>
  <c r="AA61" i="62"/>
  <c r="AA65" i="62"/>
  <c r="AA79" i="62"/>
  <c r="AA83" i="62"/>
  <c r="AA95" i="62"/>
  <c r="AA104" i="62"/>
  <c r="AA105" i="62"/>
  <c r="AA106" i="62"/>
  <c r="AA107" i="62"/>
  <c r="AA108" i="62"/>
  <c r="AA109" i="62"/>
  <c r="AA121" i="62"/>
  <c r="Z61" i="62"/>
  <c r="Z65" i="62"/>
  <c r="Z79" i="62"/>
  <c r="Z83" i="62"/>
  <c r="Z95" i="62"/>
  <c r="Z104" i="62"/>
  <c r="Z105" i="62"/>
  <c r="Z106" i="62"/>
  <c r="Z107" i="62"/>
  <c r="Z108" i="62"/>
  <c r="Z109" i="62"/>
  <c r="Z121" i="62"/>
  <c r="Y61" i="62"/>
  <c r="Y65" i="62"/>
  <c r="Y79" i="62"/>
  <c r="Y83" i="62"/>
  <c r="Y95" i="62"/>
  <c r="Y104" i="62"/>
  <c r="Y110" i="62" s="1"/>
  <c r="Y105" i="62"/>
  <c r="Y106" i="62"/>
  <c r="Y107" i="62"/>
  <c r="Y108" i="62"/>
  <c r="Y109" i="62"/>
  <c r="Y121" i="62"/>
  <c r="X124" i="62"/>
  <c r="X60" i="62"/>
  <c r="W65" i="62"/>
  <c r="W79" i="62"/>
  <c r="W83" i="62"/>
  <c r="W95" i="62"/>
  <c r="W104" i="62"/>
  <c r="W105" i="62"/>
  <c r="W106" i="62"/>
  <c r="W107" i="62"/>
  <c r="W108" i="62"/>
  <c r="W109" i="62"/>
  <c r="W121" i="62"/>
  <c r="V65" i="62"/>
  <c r="V79" i="62"/>
  <c r="V83" i="62"/>
  <c r="V95" i="62"/>
  <c r="V104" i="62"/>
  <c r="V105" i="62"/>
  <c r="V106" i="62"/>
  <c r="V107" i="62"/>
  <c r="V108" i="62"/>
  <c r="V109" i="62"/>
  <c r="V121" i="62"/>
  <c r="L255" i="65" l="1"/>
  <c r="M249" i="65"/>
  <c r="L121" i="65"/>
  <c r="AE5" i="63"/>
  <c r="AF110" i="63"/>
  <c r="BJ23" i="63" s="1"/>
  <c r="BJ22" i="63"/>
  <c r="BJ24" i="63" s="1"/>
  <c r="AD5" i="63"/>
  <c r="BI22" i="63"/>
  <c r="BI24" i="63" s="1"/>
  <c r="AD110" i="63"/>
  <c r="BH23" i="63" s="1"/>
  <c r="BH19" i="63"/>
  <c r="AD111" i="63"/>
  <c r="AC110" i="63"/>
  <c r="AB100" i="63"/>
  <c r="AB102" i="63" s="1"/>
  <c r="AB103" i="63" s="1"/>
  <c r="AB7" i="63" s="1"/>
  <c r="BF22" i="63"/>
  <c r="BF24" i="63" s="1"/>
  <c r="BC22" i="63"/>
  <c r="BC24" i="63" s="1"/>
  <c r="BA22" i="63"/>
  <c r="BA24" i="63" s="1"/>
  <c r="Q110" i="63"/>
  <c r="AY23" i="63" s="1"/>
  <c r="AY22" i="63"/>
  <c r="O5" i="63"/>
  <c r="P111" i="63"/>
  <c r="P100" i="63"/>
  <c r="P102" i="63" s="1"/>
  <c r="P103" i="63" s="1"/>
  <c r="P7" i="63" s="1"/>
  <c r="AW22" i="63"/>
  <c r="AW24" i="63" s="1"/>
  <c r="AV19" i="63"/>
  <c r="N111" i="63"/>
  <c r="AU22" i="63"/>
  <c r="M110" i="63"/>
  <c r="AU23" i="63" s="1"/>
  <c r="L110" i="63"/>
  <c r="L111" i="63"/>
  <c r="L100" i="63"/>
  <c r="L102" i="63" s="1"/>
  <c r="J111" i="63"/>
  <c r="J100" i="63"/>
  <c r="J102" i="63" s="1"/>
  <c r="J103" i="63" s="1"/>
  <c r="J7" i="63" s="1"/>
  <c r="AS19" i="63"/>
  <c r="I110" i="63"/>
  <c r="AS23" i="63" s="1"/>
  <c r="AT22" i="63"/>
  <c r="AT24" i="63" s="1"/>
  <c r="AS22" i="63"/>
  <c r="AS24" i="63" s="1"/>
  <c r="H100" i="63"/>
  <c r="H102" i="63" s="1"/>
  <c r="H103" i="63" s="1"/>
  <c r="H7" i="63" s="1"/>
  <c r="F5" i="63"/>
  <c r="AR22" i="63"/>
  <c r="AR24" i="63" s="1"/>
  <c r="F110" i="63"/>
  <c r="E5" i="63"/>
  <c r="F100" i="63"/>
  <c r="F102" i="63" s="1"/>
  <c r="F103" i="63" s="1"/>
  <c r="F7" i="63" s="1"/>
  <c r="E110" i="63"/>
  <c r="AP23" i="63" s="1"/>
  <c r="AP19" i="63"/>
  <c r="AH79" i="63"/>
  <c r="AP22" i="63"/>
  <c r="AP24" i="63" s="1"/>
  <c r="D110" i="63"/>
  <c r="AO23" i="63" s="1"/>
  <c r="C5" i="63"/>
  <c r="AH95" i="63"/>
  <c r="AO22" i="63"/>
  <c r="AO24" i="63" s="1"/>
  <c r="AI65" i="63"/>
  <c r="AN22" i="63"/>
  <c r="AN24" i="63" s="1"/>
  <c r="D100" i="63"/>
  <c r="D102" i="63" s="1"/>
  <c r="D103" i="63" s="1"/>
  <c r="D7" i="63" s="1"/>
  <c r="AI61" i="63"/>
  <c r="AM18" i="63"/>
  <c r="AM22" i="63" s="1"/>
  <c r="AH106" i="63"/>
  <c r="BG82" i="63" a="1"/>
  <c r="BK101" i="63" s="1"/>
  <c r="AF5" i="63"/>
  <c r="AM19" i="63"/>
  <c r="AI95" i="63"/>
  <c r="AI83" i="63"/>
  <c r="BG22" i="63"/>
  <c r="BG24" i="63" s="1"/>
  <c r="AV22" i="63"/>
  <c r="AV24" i="63" s="1"/>
  <c r="BD22" i="63"/>
  <c r="BD24" i="63" s="1"/>
  <c r="BH22" i="63"/>
  <c r="BH24" i="63" s="1"/>
  <c r="AH104" i="63"/>
  <c r="AX16" i="63"/>
  <c r="AX22" i="63" s="1"/>
  <c r="AX24" i="63" s="1"/>
  <c r="E100" i="63"/>
  <c r="E102" i="63" s="1"/>
  <c r="M100" i="63"/>
  <c r="M102" i="63" s="1"/>
  <c r="M103" i="63" s="1"/>
  <c r="M7" i="63" s="1"/>
  <c r="U7" i="63"/>
  <c r="AC100" i="63"/>
  <c r="AC102" i="63" s="1"/>
  <c r="AC103" i="63" s="1"/>
  <c r="AC7" i="63" s="1"/>
  <c r="I111" i="63"/>
  <c r="Q111" i="63"/>
  <c r="Y111" i="63"/>
  <c r="AG102" i="63"/>
  <c r="AI104" i="63"/>
  <c r="AH105" i="63"/>
  <c r="AI106" i="63"/>
  <c r="AH107" i="63"/>
  <c r="AI108" i="63"/>
  <c r="AH109" i="63"/>
  <c r="N100" i="63"/>
  <c r="N102" i="63" s="1"/>
  <c r="N103" i="63" s="1"/>
  <c r="N7" i="63" s="1"/>
  <c r="AD100" i="63"/>
  <c r="AD102" i="63" s="1"/>
  <c r="AD103" i="63" s="1"/>
  <c r="AD7" i="63" s="1"/>
  <c r="AQ16" i="63"/>
  <c r="AQ22" i="63" s="1"/>
  <c r="AZ16" i="63"/>
  <c r="AZ22" i="63" s="1"/>
  <c r="AZ24" i="63" s="1"/>
  <c r="G100" i="63"/>
  <c r="G102" i="63" s="1"/>
  <c r="O100" i="63"/>
  <c r="O102" i="63" s="1"/>
  <c r="O103" i="63" s="1"/>
  <c r="O7" i="63" s="1"/>
  <c r="W7" i="63"/>
  <c r="AE100" i="63"/>
  <c r="AE102" i="63" s="1"/>
  <c r="AE103" i="63" s="1"/>
  <c r="AE7" i="63" s="1"/>
  <c r="AH83" i="63"/>
  <c r="C111" i="63"/>
  <c r="K111" i="63"/>
  <c r="AA111" i="63"/>
  <c r="AF100" i="63"/>
  <c r="AF102" i="63" s="1"/>
  <c r="AF103" i="63" s="1"/>
  <c r="AF7" i="63" s="1"/>
  <c r="AI79" i="63"/>
  <c r="B100" i="63"/>
  <c r="BB16" i="63"/>
  <c r="BB22" i="63" s="1"/>
  <c r="BB24" i="63" s="1"/>
  <c r="I100" i="63"/>
  <c r="I102" i="63" s="1"/>
  <c r="I103" i="63" s="1"/>
  <c r="I7" i="63" s="1"/>
  <c r="Q100" i="63"/>
  <c r="Q102" i="63" s="1"/>
  <c r="Q103" i="63" s="1"/>
  <c r="Q7" i="63" s="1"/>
  <c r="Y100" i="63"/>
  <c r="Y102" i="63" s="1"/>
  <c r="Y103" i="63" s="1"/>
  <c r="Y7" i="63" s="1"/>
  <c r="AG100" i="63"/>
  <c r="E111" i="63"/>
  <c r="M111" i="63"/>
  <c r="AC111" i="63"/>
  <c r="V7" i="63"/>
  <c r="AH61" i="63"/>
  <c r="AH65" i="63"/>
  <c r="AL13" i="63"/>
  <c r="C100" i="63"/>
  <c r="C102" i="63" s="1"/>
  <c r="C103" i="63" s="1"/>
  <c r="C7" i="63" s="1"/>
  <c r="K100" i="63"/>
  <c r="K102" i="63" s="1"/>
  <c r="K103" i="63" s="1"/>
  <c r="K7" i="63" s="1"/>
  <c r="S7" i="63"/>
  <c r="AA100" i="63"/>
  <c r="AA102" i="63" s="1"/>
  <c r="AA103" i="63" s="1"/>
  <c r="AA7" i="63" s="1"/>
  <c r="G111" i="63"/>
  <c r="O111" i="63"/>
  <c r="AE111" i="63"/>
  <c r="B110" i="63"/>
  <c r="E249" i="63"/>
  <c r="D121" i="63"/>
  <c r="AA110" i="62"/>
  <c r="AA100" i="62"/>
  <c r="AA102" i="62" s="1"/>
  <c r="AA103" i="62" s="1"/>
  <c r="AA111" i="62"/>
  <c r="Z110" i="62"/>
  <c r="Z100" i="62"/>
  <c r="Z102" i="62" s="1"/>
  <c r="Z103" i="62" s="1"/>
  <c r="Z111" i="62"/>
  <c r="Y111" i="62"/>
  <c r="Y100" i="62"/>
  <c r="Y102" i="62" s="1"/>
  <c r="Y103" i="62" s="1"/>
  <c r="W110" i="62"/>
  <c r="W111" i="62" s="1"/>
  <c r="W100" i="62"/>
  <c r="W102" i="62" s="1"/>
  <c r="V110" i="62"/>
  <c r="V111" i="62" s="1"/>
  <c r="V100" i="62"/>
  <c r="V102" i="62" s="1"/>
  <c r="V103" i="62" s="1"/>
  <c r="U65" i="62"/>
  <c r="U79" i="62"/>
  <c r="U83" i="62"/>
  <c r="U95" i="62"/>
  <c r="U104" i="62"/>
  <c r="U105" i="62"/>
  <c r="U106" i="62"/>
  <c r="U107" i="62"/>
  <c r="U108" i="62"/>
  <c r="U109" i="62"/>
  <c r="U121" i="62"/>
  <c r="T65" i="62"/>
  <c r="T79" i="62"/>
  <c r="T83" i="62"/>
  <c r="T95" i="62"/>
  <c r="T104" i="62"/>
  <c r="T105" i="62"/>
  <c r="T106" i="62"/>
  <c r="T107" i="62"/>
  <c r="T108" i="62"/>
  <c r="T109" i="62"/>
  <c r="T121" i="62"/>
  <c r="N249" i="65" l="1"/>
  <c r="M121" i="65"/>
  <c r="M255" i="65"/>
  <c r="AF111" i="63"/>
  <c r="AY24" i="63"/>
  <c r="AU24" i="63"/>
  <c r="L103" i="63"/>
  <c r="L7" i="63" s="1"/>
  <c r="AQ23" i="63"/>
  <c r="AQ24" i="63" s="1"/>
  <c r="F111" i="63"/>
  <c r="E103" i="63"/>
  <c r="E7" i="63" s="1"/>
  <c r="D111" i="63"/>
  <c r="BH97" i="63"/>
  <c r="BJ92" i="63"/>
  <c r="BH85" i="63"/>
  <c r="BH104" i="63"/>
  <c r="BK88" i="63"/>
  <c r="BI86" i="63"/>
  <c r="BK94" i="63"/>
  <c r="BL99" i="63"/>
  <c r="BL87" i="63"/>
  <c r="BJ104" i="63"/>
  <c r="BG90" i="63"/>
  <c r="BK100" i="63"/>
  <c r="BI85" i="63"/>
  <c r="BI104" i="63"/>
  <c r="BJ102" i="63"/>
  <c r="BH88" i="63"/>
  <c r="BL104" i="63"/>
  <c r="BG89" i="63"/>
  <c r="BG95" i="63"/>
  <c r="BL102" i="63"/>
  <c r="BL90" i="63"/>
  <c r="BH86" i="63"/>
  <c r="BG82" i="63"/>
  <c r="BK92" i="63"/>
  <c r="BI103" i="63"/>
  <c r="BI90" i="63"/>
  <c r="BG101" i="63"/>
  <c r="BG88" i="63"/>
  <c r="BK98" i="63"/>
  <c r="BK85" i="63"/>
  <c r="BI96" i="63"/>
  <c r="BL94" i="63"/>
  <c r="BJ87" i="63"/>
  <c r="BL82" i="63"/>
  <c r="BL101" i="63"/>
  <c r="BJ99" i="63"/>
  <c r="BI99" i="63"/>
  <c r="BG97" i="63"/>
  <c r="BG103" i="63"/>
  <c r="BH90" i="63"/>
  <c r="BH83" i="63"/>
  <c r="BH102" i="63"/>
  <c r="BK87" i="63"/>
  <c r="BI98" i="63"/>
  <c r="BK93" i="63"/>
  <c r="BJ90" i="63"/>
  <c r="BI91" i="63"/>
  <c r="BK99" i="63"/>
  <c r="BI84" i="63"/>
  <c r="BL83" i="63"/>
  <c r="BH93" i="63"/>
  <c r="BJ86" i="63"/>
  <c r="BH84" i="63"/>
  <c r="BJ105" i="63"/>
  <c r="BH103" i="63"/>
  <c r="BH98" i="63"/>
  <c r="BL95" i="63"/>
  <c r="BJ93" i="63"/>
  <c r="BH91" i="63"/>
  <c r="BL88" i="63"/>
  <c r="BI83" i="63"/>
  <c r="BG94" i="63"/>
  <c r="BK104" i="63"/>
  <c r="BK91" i="63"/>
  <c r="BI102" i="63"/>
  <c r="BI89" i="63"/>
  <c r="BG100" i="63"/>
  <c r="BG87" i="63"/>
  <c r="BK97" i="63"/>
  <c r="BI92" i="63"/>
  <c r="BH95" i="63"/>
  <c r="BJ85" i="63"/>
  <c r="BG96" i="63"/>
  <c r="BL92" i="63"/>
  <c r="BJ83" i="63"/>
  <c r="BI97" i="63"/>
  <c r="BJ88" i="63"/>
  <c r="BH89" i="63"/>
  <c r="BL86" i="63"/>
  <c r="BJ84" i="63"/>
  <c r="BL105" i="63"/>
  <c r="BL100" i="63"/>
  <c r="BJ98" i="63"/>
  <c r="BH96" i="63"/>
  <c r="BL93" i="63"/>
  <c r="BJ91" i="63"/>
  <c r="BK84" i="63"/>
  <c r="BI95" i="63"/>
  <c r="BI82" i="63"/>
  <c r="BG93" i="63"/>
  <c r="BK103" i="63"/>
  <c r="BK90" i="63"/>
  <c r="BI101" i="63"/>
  <c r="BI88" i="63"/>
  <c r="BG99" i="63"/>
  <c r="BI105" i="63"/>
  <c r="BJ97" i="63"/>
  <c r="BG83" i="63"/>
  <c r="BH100" i="63"/>
  <c r="BK86" i="63"/>
  <c r="BJ95" i="63"/>
  <c r="BL91" i="63"/>
  <c r="BJ89" i="63"/>
  <c r="BH87" i="63"/>
  <c r="BH82" i="63"/>
  <c r="BJ103" i="63"/>
  <c r="BH101" i="63"/>
  <c r="BL98" i="63"/>
  <c r="BJ96" i="63"/>
  <c r="BH94" i="63"/>
  <c r="BG86" i="63"/>
  <c r="BK96" i="63"/>
  <c r="BK83" i="63"/>
  <c r="BI94" i="63"/>
  <c r="BG105" i="63"/>
  <c r="BG92" i="63"/>
  <c r="BK102" i="63"/>
  <c r="BK89" i="63"/>
  <c r="BI100" i="63"/>
  <c r="BG84" i="63"/>
  <c r="BL97" i="63"/>
  <c r="BL85" i="63"/>
  <c r="BG102" i="63"/>
  <c r="BK105" i="63"/>
  <c r="BH105" i="63"/>
  <c r="BJ100" i="63"/>
  <c r="BJ94" i="63"/>
  <c r="BH92" i="63"/>
  <c r="BL89" i="63"/>
  <c r="BL84" i="63"/>
  <c r="BJ82" i="63"/>
  <c r="BL103" i="63"/>
  <c r="BJ101" i="63"/>
  <c r="BH99" i="63"/>
  <c r="BL96" i="63"/>
  <c r="BI87" i="63"/>
  <c r="BG98" i="63"/>
  <c r="BG85" i="63"/>
  <c r="BK95" i="63"/>
  <c r="BK82" i="63"/>
  <c r="BI93" i="63"/>
  <c r="BG104" i="63"/>
  <c r="BG91" i="63"/>
  <c r="F249" i="63"/>
  <c r="E121" i="63"/>
  <c r="E255" i="63"/>
  <c r="G103" i="63"/>
  <c r="G7" i="63" s="1"/>
  <c r="C259" i="63"/>
  <c r="B259" i="63"/>
  <c r="AI100" i="63"/>
  <c r="B102" i="63"/>
  <c r="AH100" i="63"/>
  <c r="B111" i="63"/>
  <c r="AI110" i="63"/>
  <c r="AH110" i="63"/>
  <c r="AM23" i="63"/>
  <c r="AM24" i="63" s="1"/>
  <c r="AT8" i="63"/>
  <c r="W103" i="62"/>
  <c r="U110" i="62"/>
  <c r="U100" i="62"/>
  <c r="U102" i="62" s="1"/>
  <c r="T110" i="62"/>
  <c r="T111" i="62" s="1"/>
  <c r="T100" i="62"/>
  <c r="T102" i="62" s="1"/>
  <c r="T103" i="62" s="1"/>
  <c r="O249" i="65" l="1"/>
  <c r="N121" i="65"/>
  <c r="N255" i="65"/>
  <c r="AT9" i="63"/>
  <c r="AI102" i="63"/>
  <c r="AH102" i="63"/>
  <c r="B103" i="63"/>
  <c r="K6" i="63"/>
  <c r="AI111" i="63"/>
  <c r="AH111" i="63"/>
  <c r="G249" i="63"/>
  <c r="F255" i="63"/>
  <c r="F121" i="63"/>
  <c r="U103" i="62"/>
  <c r="U111" i="62"/>
  <c r="P249" i="65" l="1"/>
  <c r="O121" i="65"/>
  <c r="O255" i="65"/>
  <c r="H249" i="63"/>
  <c r="G255" i="63"/>
  <c r="G121" i="63"/>
  <c r="AH103" i="63"/>
  <c r="B7" i="63"/>
  <c r="A7" i="63" s="1"/>
  <c r="AI103" i="63"/>
  <c r="Q249" i="65" l="1"/>
  <c r="P255" i="65"/>
  <c r="I249" i="63"/>
  <c r="H255" i="63"/>
  <c r="H121" i="63"/>
  <c r="Q255" i="65" l="1"/>
  <c r="Q121" i="65"/>
  <c r="R249" i="65"/>
  <c r="I255" i="63"/>
  <c r="I121" i="63"/>
  <c r="J249" i="63"/>
  <c r="R255" i="65" l="1"/>
  <c r="R121" i="65"/>
  <c r="S249" i="65"/>
  <c r="J255" i="63"/>
  <c r="J121" i="63"/>
  <c r="K249" i="63"/>
  <c r="S65" i="62"/>
  <c r="S79" i="62"/>
  <c r="S83" i="62"/>
  <c r="S95" i="62"/>
  <c r="S104" i="62"/>
  <c r="S105" i="62"/>
  <c r="S106" i="62"/>
  <c r="S107" i="62"/>
  <c r="S108" i="62"/>
  <c r="S109" i="62"/>
  <c r="S121" i="62"/>
  <c r="R124" i="62"/>
  <c r="R60" i="62"/>
  <c r="S255" i="65" l="1"/>
  <c r="T249" i="65"/>
  <c r="K255" i="63"/>
  <c r="K121" i="63"/>
  <c r="L249" i="63"/>
  <c r="S110" i="62"/>
  <c r="S111" i="62" s="1"/>
  <c r="S100" i="62"/>
  <c r="S102" i="62" s="1"/>
  <c r="T255" i="65" l="1"/>
  <c r="T121" i="65"/>
  <c r="U249" i="65"/>
  <c r="L255" i="63"/>
  <c r="L121" i="63"/>
  <c r="M249" i="63"/>
  <c r="S103" i="62"/>
  <c r="V249" i="65" l="1"/>
  <c r="U255" i="65"/>
  <c r="N249" i="63"/>
  <c r="M121" i="63"/>
  <c r="M255" i="63"/>
  <c r="W249" i="65" l="1"/>
  <c r="V255" i="65"/>
  <c r="O249" i="63"/>
  <c r="N255" i="63"/>
  <c r="N121" i="63"/>
  <c r="X249" i="65" l="1"/>
  <c r="W255" i="65"/>
  <c r="P249" i="63"/>
  <c r="O255" i="63"/>
  <c r="O121" i="63"/>
  <c r="Y249" i="65" l="1"/>
  <c r="X255" i="65"/>
  <c r="X121" i="65"/>
  <c r="Q249" i="63"/>
  <c r="P255" i="63"/>
  <c r="Y255" i="65" l="1"/>
  <c r="Z249" i="65"/>
  <c r="Q255" i="63"/>
  <c r="Q121" i="63"/>
  <c r="R249" i="63"/>
  <c r="Z255" i="65" l="1"/>
  <c r="AA249" i="65"/>
  <c r="R255" i="63"/>
  <c r="S249" i="63"/>
  <c r="AA255" i="65" l="1"/>
  <c r="AA121" i="65"/>
  <c r="AB249" i="65"/>
  <c r="S255" i="63"/>
  <c r="T249" i="63"/>
  <c r="AB255" i="65" l="1"/>
  <c r="AC249" i="65"/>
  <c r="T255" i="63"/>
  <c r="U249" i="63"/>
  <c r="AD249" i="65" l="1"/>
  <c r="AC255" i="65"/>
  <c r="V249" i="63"/>
  <c r="U255" i="63"/>
  <c r="AE249" i="65" l="1"/>
  <c r="AD255" i="65"/>
  <c r="W249" i="63"/>
  <c r="V255" i="63"/>
  <c r="AF249" i="65" l="1"/>
  <c r="AE255" i="65"/>
  <c r="X249" i="63"/>
  <c r="W255" i="63"/>
  <c r="AF255" i="65" l="1"/>
  <c r="B249" i="65"/>
  <c r="Y249" i="63"/>
  <c r="X255" i="63"/>
  <c r="B121" i="65" l="1"/>
  <c r="B255" i="65"/>
  <c r="Y255" i="63"/>
  <c r="Z249" i="63"/>
  <c r="AI121" i="65" l="1"/>
  <c r="AH121" i="65"/>
  <c r="Z255" i="63"/>
  <c r="AA249" i="63"/>
  <c r="AA255" i="63" l="1"/>
  <c r="AA121" i="63"/>
  <c r="AB249" i="63"/>
  <c r="AB255" i="63" l="1"/>
  <c r="AB121" i="63"/>
  <c r="AC249" i="63"/>
  <c r="AC121" i="63" l="1"/>
  <c r="AD249" i="63"/>
  <c r="AC255" i="63"/>
  <c r="AE249" i="63" l="1"/>
  <c r="AD255" i="63"/>
  <c r="AD121" i="63"/>
  <c r="AF249" i="63" l="1"/>
  <c r="AE255" i="63"/>
  <c r="AE121" i="63"/>
  <c r="AF255" i="63" l="1"/>
  <c r="AF121" i="63"/>
  <c r="B249" i="63"/>
  <c r="B255" i="63" l="1"/>
  <c r="B121" i="63"/>
  <c r="AI121" i="63" l="1"/>
  <c r="AH121" i="63"/>
  <c r="P60" i="62" l="1"/>
  <c r="O124" i="62"/>
  <c r="O60" i="62"/>
  <c r="N124" i="62"/>
  <c r="M124" i="62" l="1"/>
  <c r="M60" i="62"/>
  <c r="M61" i="62"/>
  <c r="M65" i="62"/>
  <c r="M79" i="62"/>
  <c r="AU18" i="62" s="1"/>
  <c r="K121" i="62"/>
  <c r="L121" i="62"/>
  <c r="L61" i="62"/>
  <c r="L65" i="62"/>
  <c r="L79" i="62"/>
  <c r="L83" i="62"/>
  <c r="L95" i="62"/>
  <c r="K5" i="62" s="1"/>
  <c r="L104" i="62"/>
  <c r="L110" i="62" s="1"/>
  <c r="L105" i="62"/>
  <c r="L106" i="62"/>
  <c r="L107" i="62"/>
  <c r="L108" i="62"/>
  <c r="L109" i="62"/>
  <c r="K61" i="62"/>
  <c r="K65" i="62"/>
  <c r="AT17" i="62" s="1"/>
  <c r="K79" i="62"/>
  <c r="AT18" i="62" s="1"/>
  <c r="K83" i="62"/>
  <c r="K95" i="62"/>
  <c r="K104" i="62"/>
  <c r="K105" i="62"/>
  <c r="K106" i="62"/>
  <c r="K107" i="62"/>
  <c r="K108" i="62"/>
  <c r="K109" i="62"/>
  <c r="J61" i="62"/>
  <c r="J65" i="62"/>
  <c r="J79" i="62"/>
  <c r="J83" i="62"/>
  <c r="J95" i="62"/>
  <c r="I5" i="62" s="1"/>
  <c r="J104" i="62"/>
  <c r="J105" i="62"/>
  <c r="J106" i="62"/>
  <c r="J107" i="62"/>
  <c r="J108" i="62"/>
  <c r="J109" i="62"/>
  <c r="J121" i="62"/>
  <c r="I61" i="62"/>
  <c r="I65" i="62"/>
  <c r="I79" i="62"/>
  <c r="I83" i="62"/>
  <c r="I95" i="62"/>
  <c r="I100" i="62" s="1"/>
  <c r="I102" i="62" s="1"/>
  <c r="I104" i="62"/>
  <c r="I105" i="62"/>
  <c r="I106" i="62"/>
  <c r="I107" i="62"/>
  <c r="I108" i="62"/>
  <c r="I109" i="62"/>
  <c r="I121" i="62"/>
  <c r="H61" i="62"/>
  <c r="H100" i="62" s="1"/>
  <c r="H102" i="62" s="1"/>
  <c r="H103" i="62" s="1"/>
  <c r="H65" i="62"/>
  <c r="H79" i="62"/>
  <c r="H83" i="62"/>
  <c r="H95" i="62"/>
  <c r="H111" i="62" s="1"/>
  <c r="H104" i="62"/>
  <c r="H105" i="62"/>
  <c r="H106" i="62"/>
  <c r="H107" i="62"/>
  <c r="H108" i="62"/>
  <c r="H109" i="62"/>
  <c r="H110" i="62"/>
  <c r="H121" i="62"/>
  <c r="G61" i="62"/>
  <c r="G65" i="62"/>
  <c r="G79" i="62"/>
  <c r="G83" i="62"/>
  <c r="G95" i="62"/>
  <c r="AR19" i="62" s="1"/>
  <c r="G104" i="62"/>
  <c r="G105" i="62"/>
  <c r="G106" i="62"/>
  <c r="G107" i="62"/>
  <c r="G108" i="62"/>
  <c r="G109" i="62"/>
  <c r="G121" i="62"/>
  <c r="F61" i="62"/>
  <c r="F65" i="62"/>
  <c r="F79" i="62"/>
  <c r="F83" i="62"/>
  <c r="F95" i="62"/>
  <c r="F104" i="62"/>
  <c r="F105" i="62"/>
  <c r="F106" i="62"/>
  <c r="F107" i="62"/>
  <c r="F108" i="62"/>
  <c r="F109" i="62"/>
  <c r="F121" i="62"/>
  <c r="E61" i="62"/>
  <c r="AP16" i="62" s="1"/>
  <c r="E65" i="62"/>
  <c r="E79" i="62"/>
  <c r="E83" i="62"/>
  <c r="E95" i="62"/>
  <c r="E104" i="62"/>
  <c r="E105" i="62"/>
  <c r="E106" i="62"/>
  <c r="E107" i="62"/>
  <c r="E108" i="62"/>
  <c r="E109" i="62"/>
  <c r="E121" i="62"/>
  <c r="D61" i="62"/>
  <c r="D65" i="62"/>
  <c r="D79" i="62"/>
  <c r="D83" i="62"/>
  <c r="D95" i="62"/>
  <c r="AO19" i="62" s="1"/>
  <c r="D104" i="62"/>
  <c r="D105" i="62"/>
  <c r="D106" i="62"/>
  <c r="D107" i="62"/>
  <c r="D108" i="62"/>
  <c r="D109" i="62"/>
  <c r="D121" i="62"/>
  <c r="C61" i="62"/>
  <c r="AN16" i="62" s="1"/>
  <c r="C65" i="62"/>
  <c r="C79" i="62"/>
  <c r="C83" i="62"/>
  <c r="AN20" i="62" s="1"/>
  <c r="C95" i="62"/>
  <c r="AN19" i="62" s="1"/>
  <c r="C104" i="62"/>
  <c r="C105" i="62"/>
  <c r="C106" i="62"/>
  <c r="C107" i="62"/>
  <c r="C108" i="62"/>
  <c r="C109" i="62"/>
  <c r="C121" i="62"/>
  <c r="B121" i="62"/>
  <c r="B109" i="62"/>
  <c r="B108" i="62"/>
  <c r="B107" i="62"/>
  <c r="B106" i="62"/>
  <c r="B105" i="62"/>
  <c r="B104" i="62"/>
  <c r="B110" i="62" s="1"/>
  <c r="B95" i="62"/>
  <c r="AF5" i="62" s="1"/>
  <c r="B83" i="62"/>
  <c r="AM20" i="62" s="1"/>
  <c r="B79" i="62"/>
  <c r="AM18" i="62" s="1"/>
  <c r="B65" i="62"/>
  <c r="AM17" i="62" s="1"/>
  <c r="B61" i="62"/>
  <c r="AG255" i="62"/>
  <c r="C255" i="62"/>
  <c r="L254" i="62"/>
  <c r="M254" i="62" s="1"/>
  <c r="N254" i="62" s="1"/>
  <c r="O254" i="62" s="1"/>
  <c r="P254" i="62" s="1"/>
  <c r="Q254" i="62" s="1"/>
  <c r="R254" i="62" s="1"/>
  <c r="S254" i="62" s="1"/>
  <c r="T254" i="62" s="1"/>
  <c r="U254" i="62" s="1"/>
  <c r="V254" i="62" s="1"/>
  <c r="W254" i="62" s="1"/>
  <c r="X254" i="62" s="1"/>
  <c r="Y254" i="62" s="1"/>
  <c r="Z254" i="62" s="1"/>
  <c r="AA254" i="62" s="1"/>
  <c r="AB254" i="62" s="1"/>
  <c r="AC254" i="62" s="1"/>
  <c r="AD254" i="62" s="1"/>
  <c r="AE254" i="62" s="1"/>
  <c r="AF254" i="62" s="1"/>
  <c r="B254" i="62" s="1"/>
  <c r="E254" i="62"/>
  <c r="F254" i="62" s="1"/>
  <c r="G254" i="62" s="1"/>
  <c r="H254" i="62" s="1"/>
  <c r="I254" i="62" s="1"/>
  <c r="J254" i="62" s="1"/>
  <c r="K254" i="62" s="1"/>
  <c r="D254" i="62"/>
  <c r="K253" i="62"/>
  <c r="L253" i="62" s="1"/>
  <c r="M253" i="62" s="1"/>
  <c r="N253" i="62" s="1"/>
  <c r="O253" i="62" s="1"/>
  <c r="P253" i="62" s="1"/>
  <c r="Q253" i="62" s="1"/>
  <c r="R253" i="62" s="1"/>
  <c r="S253" i="62" s="1"/>
  <c r="T253" i="62" s="1"/>
  <c r="U253" i="62" s="1"/>
  <c r="V253" i="62" s="1"/>
  <c r="W253" i="62" s="1"/>
  <c r="X253" i="62" s="1"/>
  <c r="Y253" i="62" s="1"/>
  <c r="Z253" i="62" s="1"/>
  <c r="AA253" i="62" s="1"/>
  <c r="AB253" i="62" s="1"/>
  <c r="AC253" i="62" s="1"/>
  <c r="AD253" i="62" s="1"/>
  <c r="AE253" i="62" s="1"/>
  <c r="AF253" i="62" s="1"/>
  <c r="B253" i="62" s="1"/>
  <c r="J253" i="62"/>
  <c r="E253" i="62"/>
  <c r="F253" i="62" s="1"/>
  <c r="G253" i="62" s="1"/>
  <c r="H253" i="62" s="1"/>
  <c r="I253" i="62" s="1"/>
  <c r="D253" i="62"/>
  <c r="D252" i="62"/>
  <c r="E252" i="62" s="1"/>
  <c r="F252" i="62" s="1"/>
  <c r="G252" i="62" s="1"/>
  <c r="H252" i="62" s="1"/>
  <c r="I252" i="62" s="1"/>
  <c r="J252" i="62" s="1"/>
  <c r="K252" i="62" s="1"/>
  <c r="L252" i="62" s="1"/>
  <c r="M252" i="62" s="1"/>
  <c r="N252" i="62" s="1"/>
  <c r="O252" i="62" s="1"/>
  <c r="P252" i="62" s="1"/>
  <c r="Q252" i="62" s="1"/>
  <c r="R252" i="62" s="1"/>
  <c r="S252" i="62" s="1"/>
  <c r="T252" i="62" s="1"/>
  <c r="U252" i="62" s="1"/>
  <c r="V252" i="62" s="1"/>
  <c r="W252" i="62" s="1"/>
  <c r="X252" i="62" s="1"/>
  <c r="Y252" i="62" s="1"/>
  <c r="Z252" i="62" s="1"/>
  <c r="AA252" i="62" s="1"/>
  <c r="AB252" i="62" s="1"/>
  <c r="AC252" i="62" s="1"/>
  <c r="AD252" i="62" s="1"/>
  <c r="AE252" i="62" s="1"/>
  <c r="AF252" i="62" s="1"/>
  <c r="B252" i="62" s="1"/>
  <c r="V251" i="62"/>
  <c r="W251" i="62" s="1"/>
  <c r="X251" i="62" s="1"/>
  <c r="Y251" i="62" s="1"/>
  <c r="Z251" i="62" s="1"/>
  <c r="AA251" i="62" s="1"/>
  <c r="AB251" i="62" s="1"/>
  <c r="AC251" i="62" s="1"/>
  <c r="AD251" i="62" s="1"/>
  <c r="AE251" i="62" s="1"/>
  <c r="AF251" i="62" s="1"/>
  <c r="B251" i="62" s="1"/>
  <c r="O251" i="62"/>
  <c r="P251" i="62" s="1"/>
  <c r="Q251" i="62" s="1"/>
  <c r="R251" i="62" s="1"/>
  <c r="S251" i="62" s="1"/>
  <c r="T251" i="62" s="1"/>
  <c r="U251" i="62" s="1"/>
  <c r="F251" i="62"/>
  <c r="G251" i="62" s="1"/>
  <c r="H251" i="62" s="1"/>
  <c r="I251" i="62" s="1"/>
  <c r="J251" i="62" s="1"/>
  <c r="K251" i="62" s="1"/>
  <c r="L251" i="62" s="1"/>
  <c r="M251" i="62" s="1"/>
  <c r="N251" i="62" s="1"/>
  <c r="E251" i="62"/>
  <c r="D251" i="62"/>
  <c r="D250" i="62"/>
  <c r="D255" i="62" s="1"/>
  <c r="E249" i="62"/>
  <c r="F249" i="62" s="1"/>
  <c r="G249" i="62" s="1"/>
  <c r="D249" i="62"/>
  <c r="AG247" i="62"/>
  <c r="AF247" i="62"/>
  <c r="AE247" i="62"/>
  <c r="AD247" i="62"/>
  <c r="AC247" i="62"/>
  <c r="AB247" i="62"/>
  <c r="AA247" i="62"/>
  <c r="Z247" i="62"/>
  <c r="Y247" i="62"/>
  <c r="X247" i="62"/>
  <c r="W247" i="62"/>
  <c r="V247" i="62"/>
  <c r="U247" i="62"/>
  <c r="T247" i="62"/>
  <c r="S247" i="62"/>
  <c r="R247" i="62"/>
  <c r="Q247" i="62"/>
  <c r="P247" i="62"/>
  <c r="O247" i="62"/>
  <c r="N247" i="62"/>
  <c r="M247" i="62"/>
  <c r="L247" i="62"/>
  <c r="K247" i="62"/>
  <c r="J247" i="62"/>
  <c r="I247" i="62"/>
  <c r="H247" i="62"/>
  <c r="G247" i="62"/>
  <c r="F247" i="62"/>
  <c r="E247" i="62"/>
  <c r="D247" i="62"/>
  <c r="C247" i="62"/>
  <c r="B247" i="62"/>
  <c r="AI133" i="62"/>
  <c r="AH133" i="62"/>
  <c r="AI132" i="62"/>
  <c r="AH132" i="62"/>
  <c r="AI131" i="62"/>
  <c r="AH131" i="62"/>
  <c r="AI130" i="62"/>
  <c r="AH130" i="62"/>
  <c r="AI129" i="62"/>
  <c r="AH129" i="62"/>
  <c r="AI126" i="62"/>
  <c r="AH126" i="62"/>
  <c r="AI125" i="62"/>
  <c r="AH125" i="62"/>
  <c r="AI124" i="62"/>
  <c r="AH124" i="62"/>
  <c r="AI123" i="62"/>
  <c r="AH123" i="62"/>
  <c r="AI122" i="62"/>
  <c r="AH122" i="62"/>
  <c r="AI120" i="62"/>
  <c r="AH120" i="62"/>
  <c r="AI119" i="62"/>
  <c r="AH119" i="62"/>
  <c r="AI118" i="62"/>
  <c r="AH118" i="62"/>
  <c r="AI117" i="62"/>
  <c r="AH117" i="62"/>
  <c r="AI116" i="62"/>
  <c r="AH116" i="62"/>
  <c r="AI115" i="62"/>
  <c r="AH115" i="62"/>
  <c r="AI114" i="62"/>
  <c r="AH114" i="62"/>
  <c r="AI113" i="62"/>
  <c r="AH113" i="62"/>
  <c r="AI112" i="62"/>
  <c r="AH112" i="62"/>
  <c r="P110" i="62"/>
  <c r="AX23" i="62" s="1"/>
  <c r="AF109" i="62"/>
  <c r="AE109" i="62"/>
  <c r="AD109" i="62"/>
  <c r="AC109" i="62"/>
  <c r="AB109" i="62"/>
  <c r="X109" i="62"/>
  <c r="R109" i="62"/>
  <c r="Q109" i="62"/>
  <c r="P109" i="62"/>
  <c r="O109" i="62"/>
  <c r="N109" i="62"/>
  <c r="M109" i="62"/>
  <c r="AF108" i="62"/>
  <c r="AE108" i="62"/>
  <c r="AD108" i="62"/>
  <c r="AC108" i="62"/>
  <c r="AB108" i="62"/>
  <c r="BF23" i="62"/>
  <c r="X108" i="62"/>
  <c r="R108" i="62"/>
  <c r="Q108" i="62"/>
  <c r="P108" i="62"/>
  <c r="O108" i="62"/>
  <c r="N108" i="62"/>
  <c r="M108" i="62"/>
  <c r="AF107" i="62"/>
  <c r="AE107" i="62"/>
  <c r="AD107" i="62"/>
  <c r="AC107" i="62"/>
  <c r="AB107" i="62"/>
  <c r="X107" i="62"/>
  <c r="R107" i="62"/>
  <c r="Q107" i="62"/>
  <c r="P107" i="62"/>
  <c r="O107" i="62"/>
  <c r="N107" i="62"/>
  <c r="M107" i="62"/>
  <c r="AF106" i="62"/>
  <c r="AE106" i="62"/>
  <c r="AD106" i="62"/>
  <c r="AC106" i="62"/>
  <c r="AB106" i="62"/>
  <c r="AB110" i="62" s="1"/>
  <c r="BG23" i="62" s="1"/>
  <c r="X106" i="62"/>
  <c r="R106" i="62"/>
  <c r="Q106" i="62"/>
  <c r="P106" i="62"/>
  <c r="O106" i="62"/>
  <c r="N106" i="62"/>
  <c r="M106" i="62"/>
  <c r="AF105" i="62"/>
  <c r="AE105" i="62"/>
  <c r="AD105" i="62"/>
  <c r="AC105" i="62"/>
  <c r="AB105" i="62"/>
  <c r="X105" i="62"/>
  <c r="BC23" i="62"/>
  <c r="R105" i="62"/>
  <c r="Q105" i="62"/>
  <c r="Q110" i="62" s="1"/>
  <c r="AY23" i="62" s="1"/>
  <c r="P105" i="62"/>
  <c r="O105" i="62"/>
  <c r="N105" i="62"/>
  <c r="M105" i="62"/>
  <c r="AF104" i="62"/>
  <c r="AE104" i="62"/>
  <c r="AD104" i="62"/>
  <c r="AC104" i="62"/>
  <c r="AB104" i="62"/>
  <c r="X104" i="62"/>
  <c r="R104" i="62"/>
  <c r="Q104" i="62"/>
  <c r="P104" i="62"/>
  <c r="O104" i="62"/>
  <c r="N104" i="62"/>
  <c r="M104" i="62"/>
  <c r="M110" i="62" s="1"/>
  <c r="AU23" i="62" s="1"/>
  <c r="AI101" i="62"/>
  <c r="AH101" i="62"/>
  <c r="AI99" i="62"/>
  <c r="AH99" i="62"/>
  <c r="AG99" i="62"/>
  <c r="AI98" i="62"/>
  <c r="AH98" i="62"/>
  <c r="AI97" i="62"/>
  <c r="AH97" i="62"/>
  <c r="AI96" i="62"/>
  <c r="AH96" i="62"/>
  <c r="AG95" i="62"/>
  <c r="AF95" i="62"/>
  <c r="BJ19" i="62" s="1"/>
  <c r="AE95" i="62"/>
  <c r="AD5" i="62" s="1"/>
  <c r="AD95" i="62"/>
  <c r="BH19" i="62" s="1"/>
  <c r="AC95" i="62"/>
  <c r="AB95" i="62"/>
  <c r="AA5" i="62" s="1"/>
  <c r="X95" i="62"/>
  <c r="R95" i="62"/>
  <c r="Q5" i="62" s="1"/>
  <c r="Q95" i="62"/>
  <c r="Q111" i="62" s="1"/>
  <c r="P95" i="62"/>
  <c r="O95" i="62"/>
  <c r="AW19" i="62" s="1"/>
  <c r="N95" i="62"/>
  <c r="AV19" i="62" s="1"/>
  <c r="M95" i="62"/>
  <c r="AI94" i="62"/>
  <c r="AH94" i="62"/>
  <c r="AI93" i="62"/>
  <c r="AH93" i="62"/>
  <c r="AI92" i="62"/>
  <c r="AH92" i="62"/>
  <c r="AI91" i="62"/>
  <c r="AH91" i="62"/>
  <c r="AI90" i="62"/>
  <c r="AH90" i="62"/>
  <c r="AI89" i="62"/>
  <c r="AH89" i="62"/>
  <c r="AI88" i="62"/>
  <c r="AH88" i="62"/>
  <c r="AI87" i="62"/>
  <c r="AH87" i="62"/>
  <c r="AI86" i="62"/>
  <c r="AH86" i="62"/>
  <c r="AI85" i="62"/>
  <c r="AH85" i="62"/>
  <c r="AI84" i="62"/>
  <c r="AH84" i="62"/>
  <c r="AG83" i="62"/>
  <c r="AF83" i="62"/>
  <c r="BJ20" i="62" s="1"/>
  <c r="AE83" i="62"/>
  <c r="AD83" i="62"/>
  <c r="BH20" i="62" s="1"/>
  <c r="AC83" i="62"/>
  <c r="AB83" i="62"/>
  <c r="X83" i="62"/>
  <c r="BE20" i="62" s="1"/>
  <c r="BB20" i="62"/>
  <c r="R83" i="62"/>
  <c r="AZ20" i="62" s="1"/>
  <c r="Q83" i="62"/>
  <c r="P83" i="62"/>
  <c r="O83" i="62"/>
  <c r="AW20" i="62" s="1"/>
  <c r="N83" i="62"/>
  <c r="M83" i="62"/>
  <c r="AI82" i="62"/>
  <c r="AH82" i="62"/>
  <c r="AI81" i="62"/>
  <c r="AH81" i="62"/>
  <c r="AI80" i="62"/>
  <c r="AH80" i="62"/>
  <c r="AG79" i="62"/>
  <c r="AF79" i="62"/>
  <c r="BJ18" i="62" s="1"/>
  <c r="AE79" i="62"/>
  <c r="BI18" i="62" s="1"/>
  <c r="AD79" i="62"/>
  <c r="BH18" i="62" s="1"/>
  <c r="AC79" i="62"/>
  <c r="AB79" i="62"/>
  <c r="BG18" i="62" s="1"/>
  <c r="X79" i="62"/>
  <c r="BE18" i="62" s="1"/>
  <c r="BC18" i="62"/>
  <c r="BA18" i="62"/>
  <c r="R79" i="62"/>
  <c r="AZ18" i="62" s="1"/>
  <c r="Q79" i="62"/>
  <c r="AY18" i="62" s="1"/>
  <c r="P79" i="62"/>
  <c r="AX18" i="62" s="1"/>
  <c r="O79" i="62"/>
  <c r="AW18" i="62" s="1"/>
  <c r="N79" i="62"/>
  <c r="AS18" i="62"/>
  <c r="AP18" i="62"/>
  <c r="BW78" i="62"/>
  <c r="BT78" i="62"/>
  <c r="BL78" i="62"/>
  <c r="BG78" i="62"/>
  <c r="BD78" i="62"/>
  <c r="AI78" i="62"/>
  <c r="AH78" i="62"/>
  <c r="AG78" i="62"/>
  <c r="BV77" i="62"/>
  <c r="BJ77" i="62"/>
  <c r="BH77" i="62"/>
  <c r="BF77" i="62"/>
  <c r="AI77" i="62"/>
  <c r="AH77" i="62"/>
  <c r="BV76" i="62"/>
  <c r="BL76" i="62"/>
  <c r="BH76" i="62"/>
  <c r="BD76" i="62"/>
  <c r="AI76" i="62"/>
  <c r="AH76" i="62"/>
  <c r="BV75" i="62"/>
  <c r="BB75" i="62"/>
  <c r="AI75" i="62"/>
  <c r="AH75" i="62"/>
  <c r="BL74" i="62"/>
  <c r="BK74" i="62"/>
  <c r="BH74" i="62"/>
  <c r="BG74" i="62"/>
  <c r="BD74" i="62"/>
  <c r="AZ74" i="62"/>
  <c r="AI74" i="62"/>
  <c r="AH74" i="62"/>
  <c r="BR73" i="62"/>
  <c r="BJ73" i="62"/>
  <c r="BI73" i="62"/>
  <c r="BG73" i="62"/>
  <c r="AI73" i="62"/>
  <c r="AH73" i="62"/>
  <c r="AI72" i="62"/>
  <c r="AH72" i="62"/>
  <c r="BW71" i="62"/>
  <c r="BV71" i="62"/>
  <c r="BV78" i="62" s="1"/>
  <c r="BU71" i="62"/>
  <c r="BU78" i="62" s="1"/>
  <c r="BT71" i="62"/>
  <c r="BS71" i="62"/>
  <c r="BS78" i="62" s="1"/>
  <c r="BR71" i="62"/>
  <c r="BR78" i="62" s="1"/>
  <c r="BQ71" i="62"/>
  <c r="BQ78" i="62" s="1"/>
  <c r="BP71" i="62"/>
  <c r="BP78" i="62" s="1"/>
  <c r="BO71" i="62"/>
  <c r="BO78" i="62" s="1"/>
  <c r="BN71" i="62"/>
  <c r="BN78" i="62" s="1"/>
  <c r="BM71" i="62"/>
  <c r="BM78" i="62" s="1"/>
  <c r="BL71" i="62"/>
  <c r="BK71" i="62"/>
  <c r="BK78" i="62" s="1"/>
  <c r="BJ71" i="62"/>
  <c r="BJ78" i="62" s="1"/>
  <c r="BI71" i="62"/>
  <c r="BI78" i="62" s="1"/>
  <c r="BH71" i="62"/>
  <c r="BH78" i="62" s="1"/>
  <c r="BG71" i="62"/>
  <c r="BF71" i="62"/>
  <c r="BF78" i="62" s="1"/>
  <c r="BE71" i="62"/>
  <c r="BE78" i="62" s="1"/>
  <c r="BD71" i="62"/>
  <c r="BC71" i="62"/>
  <c r="BC78" i="62" s="1"/>
  <c r="BB71" i="62"/>
  <c r="BB78" i="62" s="1"/>
  <c r="BA71" i="62"/>
  <c r="BA78" i="62" s="1"/>
  <c r="AZ71" i="62"/>
  <c r="AZ78" i="62" s="1"/>
  <c r="AI71" i="62"/>
  <c r="AH71" i="62"/>
  <c r="BW70" i="62"/>
  <c r="BW77" i="62" s="1"/>
  <c r="BV70" i="62"/>
  <c r="BU70" i="62"/>
  <c r="BU77" i="62" s="1"/>
  <c r="BT70" i="62"/>
  <c r="BT77" i="62" s="1"/>
  <c r="BS70" i="62"/>
  <c r="BS77" i="62" s="1"/>
  <c r="BR70" i="62"/>
  <c r="BR77" i="62" s="1"/>
  <c r="BQ70" i="62"/>
  <c r="BQ77" i="62" s="1"/>
  <c r="BP70" i="62"/>
  <c r="BP77" i="62" s="1"/>
  <c r="BO70" i="62"/>
  <c r="BO77" i="62" s="1"/>
  <c r="BN70" i="62"/>
  <c r="BN77" i="62" s="1"/>
  <c r="BM70" i="62"/>
  <c r="BM77" i="62" s="1"/>
  <c r="BL70" i="62"/>
  <c r="BL77" i="62" s="1"/>
  <c r="BK70" i="62"/>
  <c r="BK77" i="62" s="1"/>
  <c r="BJ70" i="62"/>
  <c r="BI70" i="62"/>
  <c r="BI77" i="62" s="1"/>
  <c r="BH70" i="62"/>
  <c r="BG70" i="62"/>
  <c r="BG77" i="62" s="1"/>
  <c r="BF70" i="62"/>
  <c r="BE70" i="62"/>
  <c r="BE77" i="62" s="1"/>
  <c r="BD70" i="62"/>
  <c r="BD77" i="62" s="1"/>
  <c r="BC70" i="62"/>
  <c r="BC77" i="62" s="1"/>
  <c r="BB70" i="62"/>
  <c r="BB77" i="62" s="1"/>
  <c r="BA70" i="62"/>
  <c r="BA77" i="62" s="1"/>
  <c r="AZ70" i="62"/>
  <c r="AZ77" i="62" s="1"/>
  <c r="AI70" i="62"/>
  <c r="AH70" i="62"/>
  <c r="BW69" i="62"/>
  <c r="BW76" i="62" s="1"/>
  <c r="BV69" i="62"/>
  <c r="BU69" i="62"/>
  <c r="BU76" i="62" s="1"/>
  <c r="BT69" i="62"/>
  <c r="BT76" i="62" s="1"/>
  <c r="BS69" i="62"/>
  <c r="BS76" i="62" s="1"/>
  <c r="BR69" i="62"/>
  <c r="BR76" i="62" s="1"/>
  <c r="BQ69" i="62"/>
  <c r="BQ76" i="62" s="1"/>
  <c r="BP69" i="62"/>
  <c r="BP76" i="62" s="1"/>
  <c r="BO69" i="62"/>
  <c r="BO76" i="62" s="1"/>
  <c r="BN69" i="62"/>
  <c r="BN76" i="62" s="1"/>
  <c r="BM69" i="62"/>
  <c r="BM76" i="62" s="1"/>
  <c r="BL69" i="62"/>
  <c r="BK69" i="62"/>
  <c r="BK76" i="62" s="1"/>
  <c r="BJ69" i="62"/>
  <c r="BJ76" i="62" s="1"/>
  <c r="BI69" i="62"/>
  <c r="BI76" i="62" s="1"/>
  <c r="BH69" i="62"/>
  <c r="BG69" i="62"/>
  <c r="BG76" i="62" s="1"/>
  <c r="BF69" i="62"/>
  <c r="BF76" i="62" s="1"/>
  <c r="BE69" i="62"/>
  <c r="BE76" i="62" s="1"/>
  <c r="BD69" i="62"/>
  <c r="BC69" i="62"/>
  <c r="BC76" i="62" s="1"/>
  <c r="BB69" i="62"/>
  <c r="BB76" i="62" s="1"/>
  <c r="BA69" i="62"/>
  <c r="BA76" i="62" s="1"/>
  <c r="AZ69" i="62"/>
  <c r="AZ76" i="62" s="1"/>
  <c r="AI69" i="62"/>
  <c r="AH69" i="62"/>
  <c r="BW68" i="62"/>
  <c r="BW75" i="62" s="1"/>
  <c r="BV68" i="62"/>
  <c r="BU68" i="62"/>
  <c r="BU75" i="62" s="1"/>
  <c r="BT68" i="62"/>
  <c r="BT75" i="62" s="1"/>
  <c r="BS68" i="62"/>
  <c r="BS75" i="62" s="1"/>
  <c r="BR68" i="62"/>
  <c r="BR75" i="62" s="1"/>
  <c r="BQ68" i="62"/>
  <c r="BQ75" i="62" s="1"/>
  <c r="BP68" i="62"/>
  <c r="BP75" i="62" s="1"/>
  <c r="BO68" i="62"/>
  <c r="BO75" i="62" s="1"/>
  <c r="BN68" i="62"/>
  <c r="BN75" i="62" s="1"/>
  <c r="BM68" i="62"/>
  <c r="BM75" i="62" s="1"/>
  <c r="BL68" i="62"/>
  <c r="BL75" i="62" s="1"/>
  <c r="BK68" i="62"/>
  <c r="BK75" i="62" s="1"/>
  <c r="BJ68" i="62"/>
  <c r="BJ75" i="62" s="1"/>
  <c r="BI68" i="62"/>
  <c r="BI75" i="62" s="1"/>
  <c r="BH68" i="62"/>
  <c r="BH75" i="62" s="1"/>
  <c r="BG68" i="62"/>
  <c r="BG75" i="62" s="1"/>
  <c r="BF68" i="62"/>
  <c r="BF75" i="62" s="1"/>
  <c r="BE68" i="62"/>
  <c r="BE75" i="62" s="1"/>
  <c r="BD68" i="62"/>
  <c r="BD75" i="62" s="1"/>
  <c r="BC68" i="62"/>
  <c r="BC75" i="62" s="1"/>
  <c r="BB68" i="62"/>
  <c r="BA68" i="62"/>
  <c r="BA75" i="62" s="1"/>
  <c r="AZ68" i="62"/>
  <c r="AZ75" i="62" s="1"/>
  <c r="AI68" i="62"/>
  <c r="AH68" i="62"/>
  <c r="BW67" i="62"/>
  <c r="BW74" i="62" s="1"/>
  <c r="BV67" i="62"/>
  <c r="BV74" i="62" s="1"/>
  <c r="BU67" i="62"/>
  <c r="BU74" i="62" s="1"/>
  <c r="BT67" i="62"/>
  <c r="BT74" i="62" s="1"/>
  <c r="BS67" i="62"/>
  <c r="BS74" i="62" s="1"/>
  <c r="BR67" i="62"/>
  <c r="BR74" i="62" s="1"/>
  <c r="BQ67" i="62"/>
  <c r="BQ74" i="62" s="1"/>
  <c r="BP67" i="62"/>
  <c r="BP74" i="62" s="1"/>
  <c r="BO67" i="62"/>
  <c r="BO74" i="62" s="1"/>
  <c r="BN67" i="62"/>
  <c r="BN74" i="62" s="1"/>
  <c r="BM67" i="62"/>
  <c r="BM74" i="62" s="1"/>
  <c r="BL67" i="62"/>
  <c r="BK67" i="62"/>
  <c r="BJ67" i="62"/>
  <c r="BJ74" i="62" s="1"/>
  <c r="BI67" i="62"/>
  <c r="BI74" i="62" s="1"/>
  <c r="BH67" i="62"/>
  <c r="BG67" i="62"/>
  <c r="BF67" i="62"/>
  <c r="BF74" i="62" s="1"/>
  <c r="BE67" i="62"/>
  <c r="BE74" i="62" s="1"/>
  <c r="BD67" i="62"/>
  <c r="BC67" i="62"/>
  <c r="BC74" i="62" s="1"/>
  <c r="BB67" i="62"/>
  <c r="BB74" i="62" s="1"/>
  <c r="BA67" i="62"/>
  <c r="BA74" i="62" s="1"/>
  <c r="AZ67" i="62"/>
  <c r="AI67" i="62"/>
  <c r="AH67" i="62"/>
  <c r="BW66" i="62"/>
  <c r="BW73" i="62" s="1"/>
  <c r="BV66" i="62"/>
  <c r="BV73" i="62" s="1"/>
  <c r="BU66" i="62"/>
  <c r="BU73" i="62" s="1"/>
  <c r="BT66" i="62"/>
  <c r="BT73" i="62" s="1"/>
  <c r="BS66" i="62"/>
  <c r="BS73" i="62" s="1"/>
  <c r="BR66" i="62"/>
  <c r="BQ66" i="62"/>
  <c r="BQ73" i="62" s="1"/>
  <c r="BP66" i="62"/>
  <c r="BP73" i="62" s="1"/>
  <c r="BO66" i="62"/>
  <c r="BO73" i="62" s="1"/>
  <c r="BN66" i="62"/>
  <c r="BN73" i="62" s="1"/>
  <c r="BM66" i="62"/>
  <c r="BM73" i="62" s="1"/>
  <c r="BL66" i="62"/>
  <c r="BL73" i="62" s="1"/>
  <c r="BK66" i="62"/>
  <c r="BK73" i="62" s="1"/>
  <c r="BJ66" i="62"/>
  <c r="BI66" i="62"/>
  <c r="BH66" i="62"/>
  <c r="BH73" i="62" s="1"/>
  <c r="BG66" i="62"/>
  <c r="BF66" i="62"/>
  <c r="BF73" i="62" s="1"/>
  <c r="BE66" i="62"/>
  <c r="BE73" i="62" s="1"/>
  <c r="BD66" i="62"/>
  <c r="BD73" i="62" s="1"/>
  <c r="BC66" i="62"/>
  <c r="BC73" i="62" s="1"/>
  <c r="BB66" i="62"/>
  <c r="BB73" i="62" s="1"/>
  <c r="BA66" i="62"/>
  <c r="BA73" i="62" s="1"/>
  <c r="AZ66" i="62"/>
  <c r="AI66" i="62"/>
  <c r="AH66" i="62"/>
  <c r="AG65" i="62"/>
  <c r="AF65" i="62"/>
  <c r="AE65" i="62"/>
  <c r="BI17" i="62" s="1"/>
  <c r="AD65" i="62"/>
  <c r="AC65" i="62"/>
  <c r="AB65" i="62"/>
  <c r="BF17" i="62"/>
  <c r="X65" i="62"/>
  <c r="BE17" i="62" s="1"/>
  <c r="BC17" i="62"/>
  <c r="R65" i="62"/>
  <c r="AZ17" i="62" s="1"/>
  <c r="Q65" i="62"/>
  <c r="AY17" i="62" s="1"/>
  <c r="P65" i="62"/>
  <c r="O65" i="62"/>
  <c r="N65" i="62"/>
  <c r="AV17" i="62" s="1"/>
  <c r="AU17" i="62"/>
  <c r="AQ17" i="62"/>
  <c r="AP17" i="62"/>
  <c r="AI64" i="62"/>
  <c r="AH64" i="62"/>
  <c r="AI63" i="62"/>
  <c r="AH63" i="62"/>
  <c r="AI62" i="62"/>
  <c r="AH62" i="62"/>
  <c r="AG61" i="62"/>
  <c r="AG100" i="62" s="1"/>
  <c r="AF61" i="62"/>
  <c r="BJ16" i="62" s="1"/>
  <c r="AE61" i="62"/>
  <c r="AD61" i="62"/>
  <c r="BH16" i="62" s="1"/>
  <c r="AC61" i="62"/>
  <c r="AB61" i="62"/>
  <c r="BG16" i="62" s="1"/>
  <c r="X61" i="62"/>
  <c r="BE16" i="62" s="1"/>
  <c r="BC16" i="62"/>
  <c r="Q61" i="62"/>
  <c r="Q100" i="62" s="1"/>
  <c r="Q102" i="62" s="1"/>
  <c r="Q103" i="62" s="1"/>
  <c r="Q7" i="62" s="1"/>
  <c r="P61" i="62"/>
  <c r="AX16" i="62" s="1"/>
  <c r="O61" i="62"/>
  <c r="N61" i="62"/>
  <c r="AV16" i="62" s="1"/>
  <c r="AU16" i="62"/>
  <c r="AI60" i="62"/>
  <c r="AH60" i="62"/>
  <c r="AI59" i="62"/>
  <c r="AH59" i="62"/>
  <c r="AI58" i="62"/>
  <c r="AH58" i="62"/>
  <c r="AI57" i="62"/>
  <c r="AH57" i="62"/>
  <c r="AI56" i="62"/>
  <c r="AH56" i="62"/>
  <c r="AI55" i="62"/>
  <c r="AH55" i="62"/>
  <c r="AI54" i="62"/>
  <c r="AH54" i="62"/>
  <c r="AI53" i="62"/>
  <c r="AH53" i="62"/>
  <c r="AI52" i="62"/>
  <c r="AH52" i="62"/>
  <c r="AI51" i="62"/>
  <c r="AH51" i="62"/>
  <c r="AI50" i="62"/>
  <c r="AH50" i="62"/>
  <c r="AI49" i="62"/>
  <c r="AH49" i="62"/>
  <c r="AI48" i="62"/>
  <c r="AH48" i="62"/>
  <c r="AI47" i="62"/>
  <c r="AH47" i="62"/>
  <c r="AI46" i="62"/>
  <c r="AH46" i="62"/>
  <c r="AI45" i="62"/>
  <c r="AH45" i="62"/>
  <c r="AI44" i="62"/>
  <c r="AH44" i="62"/>
  <c r="AI43" i="62"/>
  <c r="AH43" i="62"/>
  <c r="AI42" i="62"/>
  <c r="AH42" i="62"/>
  <c r="AI41" i="62"/>
  <c r="AH41" i="62"/>
  <c r="AI40" i="62"/>
  <c r="AH40" i="62"/>
  <c r="AI39" i="62"/>
  <c r="AH39" i="62"/>
  <c r="AI38" i="62"/>
  <c r="AH38" i="62"/>
  <c r="AI37" i="62"/>
  <c r="AH37" i="62"/>
  <c r="AI36" i="62"/>
  <c r="AH36" i="62"/>
  <c r="AI35" i="62"/>
  <c r="AH35" i="62"/>
  <c r="AI34" i="62"/>
  <c r="AH34" i="62"/>
  <c r="AI33" i="62"/>
  <c r="AH33" i="62"/>
  <c r="AI32" i="62"/>
  <c r="AH32" i="62"/>
  <c r="AI31" i="62"/>
  <c r="AH31" i="62"/>
  <c r="AI30" i="62"/>
  <c r="AH30" i="62"/>
  <c r="AI29" i="62"/>
  <c r="AH29" i="62"/>
  <c r="AI28" i="62"/>
  <c r="AH28" i="62"/>
  <c r="AI27" i="62"/>
  <c r="AH27" i="62"/>
  <c r="AI26" i="62"/>
  <c r="AH26" i="62"/>
  <c r="AI25" i="62"/>
  <c r="AH25" i="62"/>
  <c r="AI24" i="62"/>
  <c r="AH24" i="62"/>
  <c r="AI23" i="62"/>
  <c r="AH23" i="62"/>
  <c r="AI22" i="62"/>
  <c r="AH22" i="62"/>
  <c r="BJ21" i="62"/>
  <c r="BI21" i="62"/>
  <c r="BH21" i="62"/>
  <c r="BG21" i="62"/>
  <c r="BF21" i="62"/>
  <c r="BE21" i="62"/>
  <c r="BD21" i="62"/>
  <c r="BC21" i="62"/>
  <c r="BB21" i="62"/>
  <c r="BA21" i="62"/>
  <c r="AZ21" i="62"/>
  <c r="AY21" i="62"/>
  <c r="AX21" i="62"/>
  <c r="AW21" i="62"/>
  <c r="AV21" i="62"/>
  <c r="AU21" i="62"/>
  <c r="AT21" i="62"/>
  <c r="AS21" i="62"/>
  <c r="AR21" i="62"/>
  <c r="AQ21" i="62"/>
  <c r="AP21" i="62"/>
  <c r="AO21" i="62"/>
  <c r="AN21" i="62"/>
  <c r="AM21" i="62"/>
  <c r="AI21" i="62"/>
  <c r="AH21" i="62"/>
  <c r="BI20" i="62"/>
  <c r="BG20" i="62"/>
  <c r="BF20" i="62"/>
  <c r="BD20" i="62"/>
  <c r="BC20" i="62"/>
  <c r="BA20" i="62"/>
  <c r="AY20" i="62"/>
  <c r="AX20" i="62"/>
  <c r="AV20" i="62"/>
  <c r="AU20" i="62"/>
  <c r="AT20" i="62"/>
  <c r="AS20" i="62"/>
  <c r="AR20" i="62"/>
  <c r="AQ20" i="62"/>
  <c r="AP20" i="62"/>
  <c r="AI20" i="62"/>
  <c r="AH20" i="62"/>
  <c r="BF19" i="62"/>
  <c r="BD19" i="62"/>
  <c r="BB19" i="62"/>
  <c r="BA19" i="62"/>
  <c r="AZ19" i="62"/>
  <c r="AX19" i="62"/>
  <c r="AT19" i="62"/>
  <c r="AS19" i="62"/>
  <c r="AQ19" i="62"/>
  <c r="AI19" i="62"/>
  <c r="AH19" i="62"/>
  <c r="BF18" i="62"/>
  <c r="BD18" i="62"/>
  <c r="BB18" i="62"/>
  <c r="AV18" i="62"/>
  <c r="AR18" i="62"/>
  <c r="AQ18" i="62"/>
  <c r="AO18" i="62"/>
  <c r="AN18" i="62"/>
  <c r="AI18" i="62"/>
  <c r="AH18" i="62"/>
  <c r="BJ17" i="62"/>
  <c r="BH17" i="62"/>
  <c r="BG17" i="62"/>
  <c r="BD17" i="62"/>
  <c r="BB17" i="62"/>
  <c r="BA17" i="62"/>
  <c r="AX17" i="62"/>
  <c r="AW17" i="62"/>
  <c r="AS17" i="62"/>
  <c r="AR17" i="62"/>
  <c r="AO17" i="62"/>
  <c r="AN17" i="62"/>
  <c r="AI17" i="62"/>
  <c r="AH17" i="62"/>
  <c r="BD16" i="62"/>
  <c r="BB16" i="62"/>
  <c r="AZ16" i="62"/>
  <c r="AT16" i="62"/>
  <c r="AR16" i="62"/>
  <c r="AO16" i="62"/>
  <c r="AI16" i="62"/>
  <c r="AH16" i="62"/>
  <c r="AI15" i="62"/>
  <c r="AH15" i="62"/>
  <c r="AI14" i="62"/>
  <c r="AH14" i="62"/>
  <c r="AI13" i="62"/>
  <c r="AH13" i="62"/>
  <c r="AL12" i="62"/>
  <c r="AI12" i="62"/>
  <c r="AH12" i="62"/>
  <c r="AI11" i="62"/>
  <c r="AH11" i="62"/>
  <c r="AB5" i="62"/>
  <c r="Z5" i="62"/>
  <c r="Y5" i="62"/>
  <c r="V5" i="62"/>
  <c r="U5" i="62"/>
  <c r="T5" i="62"/>
  <c r="S5" i="62"/>
  <c r="R5" i="62"/>
  <c r="P5" i="62"/>
  <c r="O5" i="62"/>
  <c r="L5" i="62"/>
  <c r="J5" i="62"/>
  <c r="G5" i="62"/>
  <c r="E5" i="62"/>
  <c r="D5" i="62"/>
  <c r="AG4" i="62"/>
  <c r="K4" i="62"/>
  <c r="E4" i="62"/>
  <c r="H4" i="62" s="1"/>
  <c r="B4" i="62"/>
  <c r="D261" i="62" s="1"/>
  <c r="AG3" i="62"/>
  <c r="AF61" i="61"/>
  <c r="AF65" i="61"/>
  <c r="AF79" i="61"/>
  <c r="AF83" i="61"/>
  <c r="AF95" i="61"/>
  <c r="AF104" i="61"/>
  <c r="AF105" i="61"/>
  <c r="AF106" i="61"/>
  <c r="AF107" i="61"/>
  <c r="AF108" i="61"/>
  <c r="AF109" i="61"/>
  <c r="AF121" i="61"/>
  <c r="AE144" i="61"/>
  <c r="AE61" i="61"/>
  <c r="AE65" i="61"/>
  <c r="AE79" i="61"/>
  <c r="AE83" i="61"/>
  <c r="AE95" i="61"/>
  <c r="AE104" i="61"/>
  <c r="AE105" i="61"/>
  <c r="AE106" i="61"/>
  <c r="AE107" i="61"/>
  <c r="AE108" i="61"/>
  <c r="AE109" i="61"/>
  <c r="AE121" i="61"/>
  <c r="AC61" i="61"/>
  <c r="AD61" i="61"/>
  <c r="AC65" i="61"/>
  <c r="AD65" i="61"/>
  <c r="AC79" i="61"/>
  <c r="AD79" i="61"/>
  <c r="AC83" i="61"/>
  <c r="AD83" i="61"/>
  <c r="AC95" i="61"/>
  <c r="AD95" i="61"/>
  <c r="AC104" i="61"/>
  <c r="AD104" i="61"/>
  <c r="AC105" i="61"/>
  <c r="AD105" i="61"/>
  <c r="AC106" i="61"/>
  <c r="AD106" i="61"/>
  <c r="AC107" i="61"/>
  <c r="AD107" i="61"/>
  <c r="AC108" i="61"/>
  <c r="AD108" i="61"/>
  <c r="AC109" i="61"/>
  <c r="AD109" i="61"/>
  <c r="AC121" i="61"/>
  <c r="AD121" i="61"/>
  <c r="AE5" i="62" l="1"/>
  <c r="AF110" i="62"/>
  <c r="BJ23" i="62" s="1"/>
  <c r="BJ22" i="62"/>
  <c r="BI19" i="62"/>
  <c r="AC5" i="62"/>
  <c r="AD100" i="62"/>
  <c r="AD102" i="62" s="1"/>
  <c r="BH22" i="62"/>
  <c r="AC110" i="62"/>
  <c r="AC111" i="62"/>
  <c r="X111" i="62"/>
  <c r="X110" i="62"/>
  <c r="BE23" i="62" s="1"/>
  <c r="W5" i="62"/>
  <c r="BE19" i="62"/>
  <c r="BD22" i="62"/>
  <c r="BB22" i="62"/>
  <c r="Y7" i="62"/>
  <c r="X5" i="62"/>
  <c r="R100" i="62"/>
  <c r="R102" i="62" s="1"/>
  <c r="AY16" i="62"/>
  <c r="AX22" i="62"/>
  <c r="AX24" i="62" s="1"/>
  <c r="N5" i="62"/>
  <c r="M100" i="62"/>
  <c r="M102" i="62" s="1"/>
  <c r="M103" i="62" s="1"/>
  <c r="M7" i="62" s="1"/>
  <c r="M5" i="62"/>
  <c r="N100" i="62"/>
  <c r="N102" i="62" s="1"/>
  <c r="L100" i="62"/>
  <c r="L102" i="62" s="1"/>
  <c r="L103" i="62" s="1"/>
  <c r="L111" i="62"/>
  <c r="AI105" i="62"/>
  <c r="K110" i="62"/>
  <c r="K100" i="62"/>
  <c r="K102" i="62" s="1"/>
  <c r="K111" i="62"/>
  <c r="K103" i="62"/>
  <c r="AT22" i="62"/>
  <c r="J110" i="62"/>
  <c r="J100" i="62"/>
  <c r="J102" i="62" s="1"/>
  <c r="J103" i="62" s="1"/>
  <c r="J111" i="62"/>
  <c r="H5" i="62"/>
  <c r="I110" i="62"/>
  <c r="I103" i="62" s="1"/>
  <c r="I7" i="62" s="1"/>
  <c r="AS23" i="62"/>
  <c r="I111" i="62"/>
  <c r="G110" i="62"/>
  <c r="AR22" i="62"/>
  <c r="G111" i="62"/>
  <c r="G100" i="62"/>
  <c r="G102" i="62" s="1"/>
  <c r="G103" i="62" s="1"/>
  <c r="F5" i="62"/>
  <c r="F110" i="62"/>
  <c r="F111" i="62" s="1"/>
  <c r="AI104" i="62"/>
  <c r="F100" i="62"/>
  <c r="F102" i="62" s="1"/>
  <c r="F103" i="62" s="1"/>
  <c r="AI109" i="62"/>
  <c r="E100" i="62"/>
  <c r="E102" i="62" s="1"/>
  <c r="E110" i="62"/>
  <c r="AP23" i="62" s="1"/>
  <c r="E111" i="62"/>
  <c r="C5" i="62"/>
  <c r="D110" i="62"/>
  <c r="D111" i="62" s="1"/>
  <c r="D100" i="62"/>
  <c r="D102" i="62" s="1"/>
  <c r="AO20" i="62"/>
  <c r="AO22" i="62"/>
  <c r="AH107" i="62"/>
  <c r="C110" i="62"/>
  <c r="B5" i="62"/>
  <c r="C100" i="62"/>
  <c r="C102" i="62" s="1"/>
  <c r="C103" i="62" s="1"/>
  <c r="C111" i="62"/>
  <c r="AN22" i="62"/>
  <c r="AI107" i="62"/>
  <c r="B111" i="62"/>
  <c r="AM19" i="62"/>
  <c r="B100" i="62"/>
  <c r="B102" i="62" s="1"/>
  <c r="B103" i="62" s="1"/>
  <c r="AH105" i="62"/>
  <c r="AL13" i="62"/>
  <c r="AV22" i="62"/>
  <c r="AZ22" i="62"/>
  <c r="AH108" i="62"/>
  <c r="AI108" i="62"/>
  <c r="Z7" i="62"/>
  <c r="AH61" i="62"/>
  <c r="AH65" i="62"/>
  <c r="AQ16" i="62"/>
  <c r="AQ22" i="62" s="1"/>
  <c r="AP19" i="62"/>
  <c r="AP22" i="62" s="1"/>
  <c r="AP24" i="62" s="1"/>
  <c r="BA16" i="62"/>
  <c r="BA22" i="62" s="1"/>
  <c r="S7" i="62"/>
  <c r="AI61" i="62"/>
  <c r="AI65" i="62"/>
  <c r="AI106" i="62"/>
  <c r="R110" i="62"/>
  <c r="AZ23" i="62" s="1"/>
  <c r="P111" i="62"/>
  <c r="AG102" i="62"/>
  <c r="AC100" i="62"/>
  <c r="AC102" i="62" s="1"/>
  <c r="AC103" i="62" s="1"/>
  <c r="AC7" i="62" s="1"/>
  <c r="AH79" i="62"/>
  <c r="AS16" i="62"/>
  <c r="AS22" i="62" s="1"/>
  <c r="M111" i="62"/>
  <c r="AU19" i="62"/>
  <c r="AU22" i="62" s="1"/>
  <c r="AU24" i="62" s="1"/>
  <c r="BC19" i="62"/>
  <c r="BC22" i="62" s="1"/>
  <c r="BC24" i="62" s="1"/>
  <c r="U7" i="62"/>
  <c r="BE22" i="62"/>
  <c r="BE24" i="62" s="1"/>
  <c r="BG82" i="62" a="1"/>
  <c r="AZ73" i="62"/>
  <c r="AM16" i="62"/>
  <c r="AM22" i="62" s="1"/>
  <c r="BF16" i="62"/>
  <c r="BF22" i="62" s="1"/>
  <c r="BF24" i="62" s="1"/>
  <c r="O100" i="62"/>
  <c r="O102" i="62" s="1"/>
  <c r="O103" i="62" s="1"/>
  <c r="O7" i="62" s="1"/>
  <c r="AW16" i="62"/>
  <c r="AW22" i="62" s="1"/>
  <c r="AE100" i="62"/>
  <c r="AE102" i="62" s="1"/>
  <c r="BI16" i="62"/>
  <c r="AI79" i="62"/>
  <c r="AO23" i="62"/>
  <c r="BB23" i="62"/>
  <c r="BB24" i="62" s="1"/>
  <c r="AG2" i="62"/>
  <c r="AG6" i="62" s="1"/>
  <c r="AB111" i="62"/>
  <c r="BG19" i="62"/>
  <c r="BG22" i="62" s="1"/>
  <c r="BG24" i="62" s="1"/>
  <c r="AH109" i="62"/>
  <c r="AY19" i="62"/>
  <c r="T7" i="62"/>
  <c r="AB100" i="62"/>
  <c r="AB102" i="62" s="1"/>
  <c r="AB103" i="62" s="1"/>
  <c r="AB7" i="62" s="1"/>
  <c r="AD111" i="62"/>
  <c r="AQ23" i="62"/>
  <c r="N110" i="62"/>
  <c r="AV23" i="62" s="1"/>
  <c r="BD23" i="62"/>
  <c r="BD24" i="62" s="1"/>
  <c r="AD110" i="62"/>
  <c r="BH23" i="62" s="1"/>
  <c r="O110" i="62"/>
  <c r="AE110" i="62"/>
  <c r="H249" i="62"/>
  <c r="E250" i="62"/>
  <c r="H7" i="62"/>
  <c r="P100" i="62"/>
  <c r="P102" i="62" s="1"/>
  <c r="P103" i="62" s="1"/>
  <c r="P7" i="62" s="1"/>
  <c r="X100" i="62"/>
  <c r="X102" i="62" s="1"/>
  <c r="X103" i="62" s="1"/>
  <c r="X7" i="62" s="1"/>
  <c r="AF100" i="62"/>
  <c r="AF102" i="62" s="1"/>
  <c r="AF103" i="62" s="1"/>
  <c r="AF7" i="62" s="1"/>
  <c r="AI95" i="62"/>
  <c r="AH95" i="62"/>
  <c r="AH104" i="62"/>
  <c r="AH106" i="62"/>
  <c r="AI83" i="62"/>
  <c r="AH83" i="62"/>
  <c r="AF100" i="61"/>
  <c r="AF102" i="61" s="1"/>
  <c r="AF103" i="61" s="1"/>
  <c r="AF110" i="61"/>
  <c r="AF111" i="61"/>
  <c r="AE110" i="61"/>
  <c r="AE111" i="61" s="1"/>
  <c r="AE100" i="61"/>
  <c r="AE102" i="61" s="1"/>
  <c r="AE103" i="61" s="1"/>
  <c r="AD110" i="61"/>
  <c r="AD111" i="61" s="1"/>
  <c r="AD100" i="61"/>
  <c r="AD102" i="61" s="1"/>
  <c r="AC100" i="61"/>
  <c r="AC102" i="61" s="1"/>
  <c r="AC110" i="61"/>
  <c r="AC111" i="61" s="1"/>
  <c r="AB61" i="61"/>
  <c r="AB65" i="61"/>
  <c r="AB79" i="61"/>
  <c r="AB83" i="61"/>
  <c r="AB95" i="61"/>
  <c r="AB104" i="61"/>
  <c r="AB105" i="61"/>
  <c r="AB106" i="61"/>
  <c r="AB107" i="61"/>
  <c r="AB108" i="61"/>
  <c r="AB109" i="61"/>
  <c r="AB121" i="61"/>
  <c r="BJ24" i="62" l="1"/>
  <c r="AF111" i="62"/>
  <c r="BI22" i="62"/>
  <c r="AE103" i="62"/>
  <c r="AE7" i="62" s="1"/>
  <c r="BH24" i="62"/>
  <c r="AY22" i="62"/>
  <c r="AY24" i="62" s="1"/>
  <c r="N103" i="62"/>
  <c r="N7" i="62" s="1"/>
  <c r="AV24" i="62"/>
  <c r="AS24" i="62"/>
  <c r="E103" i="62"/>
  <c r="E7" i="62" s="1"/>
  <c r="D103" i="62"/>
  <c r="D7" i="62" s="1"/>
  <c r="AO24" i="62"/>
  <c r="AQ24" i="62"/>
  <c r="AD103" i="62"/>
  <c r="AD7" i="62" s="1"/>
  <c r="AE111" i="62"/>
  <c r="AI111" i="62" s="1"/>
  <c r="BI23" i="62"/>
  <c r="BI24" i="62" s="1"/>
  <c r="B259" i="62"/>
  <c r="AM23" i="62"/>
  <c r="AM24" i="62" s="1"/>
  <c r="AI110" i="62"/>
  <c r="AH110" i="62"/>
  <c r="C259" i="62"/>
  <c r="BA23" i="62"/>
  <c r="BA24" i="62" s="1"/>
  <c r="O111" i="62"/>
  <c r="AW23" i="62"/>
  <c r="N111" i="62"/>
  <c r="AA7" i="62"/>
  <c r="I249" i="62"/>
  <c r="AI100" i="62"/>
  <c r="AW24" i="62"/>
  <c r="AT23" i="62"/>
  <c r="AT24" i="62" s="1"/>
  <c r="J7" i="62"/>
  <c r="AH100" i="62"/>
  <c r="AR23" i="62"/>
  <c r="AR24" i="62" s="1"/>
  <c r="G7" i="62"/>
  <c r="F7" i="62"/>
  <c r="AN23" i="62"/>
  <c r="AN24" i="62" s="1"/>
  <c r="R111" i="62"/>
  <c r="F250" i="62"/>
  <c r="E255" i="62"/>
  <c r="C7" i="62"/>
  <c r="BJ105" i="62"/>
  <c r="BH104" i="62"/>
  <c r="BL102" i="62"/>
  <c r="BJ101" i="62"/>
  <c r="BH100" i="62"/>
  <c r="BL98" i="62"/>
  <c r="BJ97" i="62"/>
  <c r="BH96" i="62"/>
  <c r="BL94" i="62"/>
  <c r="BJ93" i="62"/>
  <c r="BH92" i="62"/>
  <c r="BL90" i="62"/>
  <c r="BJ89" i="62"/>
  <c r="BH88" i="62"/>
  <c r="BL86" i="62"/>
  <c r="BJ85" i="62"/>
  <c r="BH84" i="62"/>
  <c r="BL82" i="62"/>
  <c r="BL104" i="62"/>
  <c r="BJ103" i="62"/>
  <c r="BH102" i="62"/>
  <c r="BL100" i="62"/>
  <c r="BJ99" i="62"/>
  <c r="BH98" i="62"/>
  <c r="BL96" i="62"/>
  <c r="BJ95" i="62"/>
  <c r="BH94" i="62"/>
  <c r="BL92" i="62"/>
  <c r="BJ91" i="62"/>
  <c r="BH90" i="62"/>
  <c r="BL88" i="62"/>
  <c r="BJ87" i="62"/>
  <c r="BH86" i="62"/>
  <c r="BL84" i="62"/>
  <c r="BJ83" i="62"/>
  <c r="BH82" i="62"/>
  <c r="BI104" i="62"/>
  <c r="BJ102" i="62"/>
  <c r="BK100" i="62"/>
  <c r="BG99" i="62"/>
  <c r="BH97" i="62"/>
  <c r="BI95" i="62"/>
  <c r="BK93" i="62"/>
  <c r="BL91" i="62"/>
  <c r="BG90" i="62"/>
  <c r="BI88" i="62"/>
  <c r="BJ86" i="62"/>
  <c r="BK84" i="62"/>
  <c r="BG83" i="62"/>
  <c r="BL105" i="62"/>
  <c r="BG104" i="62"/>
  <c r="BI102" i="62"/>
  <c r="BJ100" i="62"/>
  <c r="BK98" i="62"/>
  <c r="BG97" i="62"/>
  <c r="BH95" i="62"/>
  <c r="BI93" i="62"/>
  <c r="BK91" i="62"/>
  <c r="BL89" i="62"/>
  <c r="BG88" i="62"/>
  <c r="BI86" i="62"/>
  <c r="BJ84" i="62"/>
  <c r="BK82" i="62"/>
  <c r="BK105" i="62"/>
  <c r="BL103" i="62"/>
  <c r="BG102" i="62"/>
  <c r="BI100" i="62"/>
  <c r="BI105" i="62"/>
  <c r="BK103" i="62"/>
  <c r="BL101" i="62"/>
  <c r="BG100" i="62"/>
  <c r="BI98" i="62"/>
  <c r="BJ96" i="62"/>
  <c r="BK94" i="62"/>
  <c r="BG93" i="62"/>
  <c r="BH91" i="62"/>
  <c r="BI89" i="62"/>
  <c r="BK87" i="62"/>
  <c r="BL85" i="62"/>
  <c r="BG84" i="62"/>
  <c r="BI82" i="62"/>
  <c r="BH105" i="62"/>
  <c r="BI103" i="62"/>
  <c r="BK101" i="62"/>
  <c r="BL99" i="62"/>
  <c r="BG98" i="62"/>
  <c r="BI96" i="62"/>
  <c r="BJ94" i="62"/>
  <c r="BK92" i="62"/>
  <c r="BG91" i="62"/>
  <c r="BH89" i="62"/>
  <c r="BI87" i="62"/>
  <c r="BK85" i="62"/>
  <c r="BL83" i="62"/>
  <c r="BG82" i="62"/>
  <c r="BG105" i="62"/>
  <c r="BH103" i="62"/>
  <c r="BI101" i="62"/>
  <c r="BK99" i="62"/>
  <c r="BL97" i="62"/>
  <c r="BG96" i="62"/>
  <c r="BI94" i="62"/>
  <c r="BJ92" i="62"/>
  <c r="BK90" i="62"/>
  <c r="BG89" i="62"/>
  <c r="BH87" i="62"/>
  <c r="BI85" i="62"/>
  <c r="BK83" i="62"/>
  <c r="BH99" i="62"/>
  <c r="BG94" i="62"/>
  <c r="BK89" i="62"/>
  <c r="BG85" i="62"/>
  <c r="BK104" i="62"/>
  <c r="BJ98" i="62"/>
  <c r="BL93" i="62"/>
  <c r="BK88" i="62"/>
  <c r="BI84" i="62"/>
  <c r="BG103" i="62"/>
  <c r="BI97" i="62"/>
  <c r="BI92" i="62"/>
  <c r="BL87" i="62"/>
  <c r="BH83" i="62"/>
  <c r="BG95" i="62"/>
  <c r="BH85" i="62"/>
  <c r="BJ104" i="62"/>
  <c r="BK97" i="62"/>
  <c r="BH93" i="62"/>
  <c r="BJ88" i="62"/>
  <c r="BI83" i="62"/>
  <c r="BK102" i="62"/>
  <c r="BK96" i="62"/>
  <c r="BG92" i="62"/>
  <c r="BG87" i="62"/>
  <c r="BJ82" i="62"/>
  <c r="BH101" i="62"/>
  <c r="BL95" i="62"/>
  <c r="BI91" i="62"/>
  <c r="BK86" i="62"/>
  <c r="BG101" i="62"/>
  <c r="BK95" i="62"/>
  <c r="BJ90" i="62"/>
  <c r="BG86" i="62"/>
  <c r="BI99" i="62"/>
  <c r="BI90" i="62"/>
  <c r="K7" i="62"/>
  <c r="W7" i="62"/>
  <c r="AI102" i="62"/>
  <c r="AH102" i="62"/>
  <c r="R103" i="62"/>
  <c r="R7" i="62" s="1"/>
  <c r="L7" i="62"/>
  <c r="V7" i="62"/>
  <c r="AZ24" i="62"/>
  <c r="AD103" i="61"/>
  <c r="AC103" i="61"/>
  <c r="AB110" i="61"/>
  <c r="AB111" i="61" s="1"/>
  <c r="AB100" i="61"/>
  <c r="AB102" i="61" s="1"/>
  <c r="AB103" i="61" s="1"/>
  <c r="AT8" i="62" l="1"/>
  <c r="AT9" i="62"/>
  <c r="J249" i="62"/>
  <c r="G250" i="62"/>
  <c r="F255" i="62"/>
  <c r="AH111" i="62"/>
  <c r="K6" i="62"/>
  <c r="AI103" i="62"/>
  <c r="AH103" i="62"/>
  <c r="B7" i="62"/>
  <c r="A7" i="62" s="1"/>
  <c r="H250" i="62" l="1"/>
  <c r="G255" i="62"/>
  <c r="K249" i="62"/>
  <c r="L249" i="62" l="1"/>
  <c r="I250" i="62"/>
  <c r="H255" i="62"/>
  <c r="J250" i="62" l="1"/>
  <c r="I255" i="62"/>
  <c r="M249" i="62"/>
  <c r="N249" i="62" l="1"/>
  <c r="M121" i="62"/>
  <c r="K250" i="62"/>
  <c r="J255" i="62"/>
  <c r="O249" i="62" l="1"/>
  <c r="N121" i="62"/>
  <c r="L250" i="62"/>
  <c r="K255" i="62"/>
  <c r="W124" i="61"/>
  <c r="W60" i="61"/>
  <c r="P249" i="62" l="1"/>
  <c r="O121" i="62"/>
  <c r="M250" i="62"/>
  <c r="L255" i="62"/>
  <c r="Q249" i="62" l="1"/>
  <c r="N250" i="62"/>
  <c r="M255" i="62"/>
  <c r="O250" i="62" l="1"/>
  <c r="N255" i="62"/>
  <c r="Q121" i="62"/>
  <c r="R249" i="62"/>
  <c r="P250" i="62" l="1"/>
  <c r="O255" i="62"/>
  <c r="R121" i="62"/>
  <c r="S249" i="62"/>
  <c r="Q250" i="62" l="1"/>
  <c r="P255" i="62"/>
  <c r="T249" i="62"/>
  <c r="U249" i="62" l="1"/>
  <c r="R250" i="62"/>
  <c r="Q255" i="62"/>
  <c r="S250" i="62" l="1"/>
  <c r="R255" i="62"/>
  <c r="V249" i="62"/>
  <c r="W249" i="62" l="1"/>
  <c r="T250" i="62"/>
  <c r="S255" i="62"/>
  <c r="U250" i="62" l="1"/>
  <c r="T255" i="62"/>
  <c r="X249" i="62"/>
  <c r="Y249" i="62" l="1"/>
  <c r="X121" i="62"/>
  <c r="V250" i="62"/>
  <c r="U255" i="62"/>
  <c r="W250" i="62" l="1"/>
  <c r="V255" i="62"/>
  <c r="Z249" i="62"/>
  <c r="AA249" i="62" l="1"/>
  <c r="X250" i="62"/>
  <c r="W255" i="62"/>
  <c r="Y250" i="62" l="1"/>
  <c r="X255" i="62"/>
  <c r="AB249" i="62"/>
  <c r="AB121" i="62" l="1"/>
  <c r="AC249" i="62"/>
  <c r="Z250" i="62"/>
  <c r="Y255" i="62"/>
  <c r="AA250" i="62" l="1"/>
  <c r="Z255" i="62"/>
  <c r="AC121" i="62"/>
  <c r="AD249" i="62"/>
  <c r="AE249" i="62" l="1"/>
  <c r="AD121" i="62"/>
  <c r="AB250" i="62"/>
  <c r="AA255" i="62"/>
  <c r="AC250" i="62" l="1"/>
  <c r="AB255" i="62"/>
  <c r="AF249" i="62"/>
  <c r="AE121" i="62"/>
  <c r="AF121" i="62" l="1"/>
  <c r="B249" i="62"/>
  <c r="AD250" i="62"/>
  <c r="AC255" i="62"/>
  <c r="AE250" i="62" l="1"/>
  <c r="AD255" i="62"/>
  <c r="AI121" i="62" l="1"/>
  <c r="AH121" i="62"/>
  <c r="AF250" i="62"/>
  <c r="AE255" i="62"/>
  <c r="B250" i="62" l="1"/>
  <c r="B255" i="62" s="1"/>
  <c r="AF255" i="62"/>
  <c r="O121" i="61" l="1"/>
  <c r="H124" i="61" l="1"/>
  <c r="L124" i="61"/>
  <c r="K60" i="61"/>
  <c r="J60" i="61"/>
  <c r="G124" i="61" l="1"/>
  <c r="H60" i="61"/>
  <c r="F124" i="61"/>
  <c r="F60" i="61"/>
  <c r="F61" i="61"/>
  <c r="F65" i="61"/>
  <c r="E124" i="61"/>
  <c r="E60" i="61"/>
  <c r="AH128" i="61"/>
  <c r="AI128" i="61"/>
  <c r="AH127" i="61"/>
  <c r="AI127" i="61"/>
  <c r="D124" i="61"/>
  <c r="D60" i="61"/>
  <c r="D61" i="61"/>
  <c r="D65" i="61"/>
  <c r="D79" i="61"/>
  <c r="D83" i="61"/>
  <c r="C124" i="61"/>
  <c r="C60" i="61"/>
  <c r="C61" i="61"/>
  <c r="C65" i="61"/>
  <c r="C79" i="61"/>
  <c r="C83" i="61"/>
  <c r="C95" i="61"/>
  <c r="C104" i="61"/>
  <c r="C105" i="61"/>
  <c r="C106" i="61"/>
  <c r="C107" i="61"/>
  <c r="C108" i="61"/>
  <c r="C109" i="61"/>
  <c r="C121" i="61"/>
  <c r="C110" i="61" l="1"/>
  <c r="C111" i="61" s="1"/>
  <c r="C100" i="61"/>
  <c r="C102" i="61" s="1"/>
  <c r="C103" i="61" s="1"/>
  <c r="B124" i="61" l="1"/>
  <c r="B60" i="61"/>
  <c r="B121" i="61"/>
  <c r="B109" i="61"/>
  <c r="B108" i="61"/>
  <c r="B107" i="61"/>
  <c r="B106" i="61"/>
  <c r="B105" i="61"/>
  <c r="B104" i="61"/>
  <c r="B110" i="61" s="1"/>
  <c r="AM23" i="61" s="1"/>
  <c r="B95" i="61"/>
  <c r="B83" i="61"/>
  <c r="B79" i="61"/>
  <c r="AM18" i="61" s="1"/>
  <c r="B65" i="61"/>
  <c r="B61" i="61"/>
  <c r="B100" i="61" s="1"/>
  <c r="B102" i="61" s="1"/>
  <c r="AG255" i="61"/>
  <c r="C255" i="61"/>
  <c r="M254" i="61"/>
  <c r="N254" i="61" s="1"/>
  <c r="O254" i="61" s="1"/>
  <c r="P254" i="61" s="1"/>
  <c r="Q254" i="61" s="1"/>
  <c r="R254" i="61" s="1"/>
  <c r="S254" i="61" s="1"/>
  <c r="T254" i="61" s="1"/>
  <c r="U254" i="61" s="1"/>
  <c r="V254" i="61" s="1"/>
  <c r="W254" i="61" s="1"/>
  <c r="X254" i="61" s="1"/>
  <c r="Y254" i="61" s="1"/>
  <c r="Z254" i="61" s="1"/>
  <c r="AA254" i="61" s="1"/>
  <c r="AB254" i="61" s="1"/>
  <c r="AC254" i="61" s="1"/>
  <c r="AD254" i="61" s="1"/>
  <c r="AE254" i="61" s="1"/>
  <c r="AF254" i="61" s="1"/>
  <c r="B254" i="61" s="1"/>
  <c r="F254" i="61"/>
  <c r="G254" i="61" s="1"/>
  <c r="H254" i="61" s="1"/>
  <c r="I254" i="61" s="1"/>
  <c r="J254" i="61" s="1"/>
  <c r="K254" i="61" s="1"/>
  <c r="L254" i="61" s="1"/>
  <c r="E254" i="61"/>
  <c r="D254" i="61"/>
  <c r="L253" i="61"/>
  <c r="M253" i="61" s="1"/>
  <c r="N253" i="61" s="1"/>
  <c r="O253" i="61" s="1"/>
  <c r="P253" i="61" s="1"/>
  <c r="Q253" i="61" s="1"/>
  <c r="R253" i="61" s="1"/>
  <c r="S253" i="61" s="1"/>
  <c r="T253" i="61" s="1"/>
  <c r="U253" i="61" s="1"/>
  <c r="V253" i="61" s="1"/>
  <c r="W253" i="61" s="1"/>
  <c r="X253" i="61" s="1"/>
  <c r="Y253" i="61" s="1"/>
  <c r="Z253" i="61" s="1"/>
  <c r="AA253" i="61" s="1"/>
  <c r="AB253" i="61" s="1"/>
  <c r="AC253" i="61" s="1"/>
  <c r="AD253" i="61" s="1"/>
  <c r="AE253" i="61" s="1"/>
  <c r="AF253" i="61" s="1"/>
  <c r="B253" i="61" s="1"/>
  <c r="K253" i="61"/>
  <c r="D253" i="61"/>
  <c r="E253" i="61" s="1"/>
  <c r="F253" i="61" s="1"/>
  <c r="G253" i="61" s="1"/>
  <c r="H253" i="61" s="1"/>
  <c r="I253" i="61" s="1"/>
  <c r="J253" i="61" s="1"/>
  <c r="J252" i="61"/>
  <c r="K252" i="61" s="1"/>
  <c r="L252" i="61" s="1"/>
  <c r="M252" i="61" s="1"/>
  <c r="N252" i="61" s="1"/>
  <c r="O252" i="61" s="1"/>
  <c r="P252" i="61" s="1"/>
  <c r="Q252" i="61" s="1"/>
  <c r="R252" i="61" s="1"/>
  <c r="S252" i="61" s="1"/>
  <c r="T252" i="61" s="1"/>
  <c r="U252" i="61" s="1"/>
  <c r="V252" i="61" s="1"/>
  <c r="W252" i="61" s="1"/>
  <c r="X252" i="61" s="1"/>
  <c r="Y252" i="61" s="1"/>
  <c r="Z252" i="61" s="1"/>
  <c r="AA252" i="61" s="1"/>
  <c r="AB252" i="61" s="1"/>
  <c r="AC252" i="61" s="1"/>
  <c r="AD252" i="61" s="1"/>
  <c r="AE252" i="61" s="1"/>
  <c r="AF252" i="61" s="1"/>
  <c r="B252" i="61" s="1"/>
  <c r="I252" i="61"/>
  <c r="D252" i="61"/>
  <c r="E252" i="61" s="1"/>
  <c r="F252" i="61" s="1"/>
  <c r="G252" i="61" s="1"/>
  <c r="H252" i="61" s="1"/>
  <c r="D251" i="61"/>
  <c r="E251" i="61" s="1"/>
  <c r="F251" i="61" s="1"/>
  <c r="G251" i="61" s="1"/>
  <c r="H251" i="61" s="1"/>
  <c r="I251" i="61" s="1"/>
  <c r="J251" i="61" s="1"/>
  <c r="K251" i="61" s="1"/>
  <c r="L251" i="61" s="1"/>
  <c r="M251" i="61" s="1"/>
  <c r="N251" i="61" s="1"/>
  <c r="O251" i="61" s="1"/>
  <c r="P251" i="61" s="1"/>
  <c r="Q251" i="61" s="1"/>
  <c r="R251" i="61" s="1"/>
  <c r="S251" i="61" s="1"/>
  <c r="T251" i="61" s="1"/>
  <c r="U251" i="61" s="1"/>
  <c r="V251" i="61" s="1"/>
  <c r="W251" i="61" s="1"/>
  <c r="X251" i="61" s="1"/>
  <c r="Y251" i="61" s="1"/>
  <c r="Z251" i="61" s="1"/>
  <c r="AA251" i="61" s="1"/>
  <c r="AB251" i="61" s="1"/>
  <c r="AC251" i="61" s="1"/>
  <c r="AD251" i="61" s="1"/>
  <c r="AE251" i="61" s="1"/>
  <c r="AF251" i="61" s="1"/>
  <c r="B251" i="61" s="1"/>
  <c r="E250" i="61"/>
  <c r="F250" i="61" s="1"/>
  <c r="G250" i="61" s="1"/>
  <c r="H250" i="61" s="1"/>
  <c r="I250" i="61" s="1"/>
  <c r="J250" i="61" s="1"/>
  <c r="K250" i="61" s="1"/>
  <c r="L250" i="61" s="1"/>
  <c r="M250" i="61" s="1"/>
  <c r="N250" i="61" s="1"/>
  <c r="O250" i="61" s="1"/>
  <c r="P250" i="61" s="1"/>
  <c r="Q250" i="61" s="1"/>
  <c r="R250" i="61" s="1"/>
  <c r="S250" i="61" s="1"/>
  <c r="T250" i="61" s="1"/>
  <c r="U250" i="61" s="1"/>
  <c r="V250" i="61" s="1"/>
  <c r="W250" i="61" s="1"/>
  <c r="X250" i="61" s="1"/>
  <c r="Y250" i="61" s="1"/>
  <c r="Z250" i="61" s="1"/>
  <c r="AA250" i="61" s="1"/>
  <c r="AB250" i="61" s="1"/>
  <c r="AC250" i="61" s="1"/>
  <c r="AD250" i="61" s="1"/>
  <c r="AE250" i="61" s="1"/>
  <c r="AF250" i="61" s="1"/>
  <c r="B250" i="61" s="1"/>
  <c r="D250" i="61"/>
  <c r="D249" i="61"/>
  <c r="AG247" i="61"/>
  <c r="AF247" i="61"/>
  <c r="AE247" i="61"/>
  <c r="AD247" i="61"/>
  <c r="AC247" i="61"/>
  <c r="AB247" i="61"/>
  <c r="AA247" i="61"/>
  <c r="Z247" i="61"/>
  <c r="Z121" i="61" s="1"/>
  <c r="Y247" i="61"/>
  <c r="X247" i="61"/>
  <c r="W247" i="61"/>
  <c r="V247" i="61"/>
  <c r="U247" i="61"/>
  <c r="T247" i="61"/>
  <c r="S247" i="61"/>
  <c r="R247" i="61"/>
  <c r="Q247" i="61"/>
  <c r="P247" i="61"/>
  <c r="O247" i="61"/>
  <c r="N247" i="61"/>
  <c r="M247" i="61"/>
  <c r="L247" i="61"/>
  <c r="K247" i="61"/>
  <c r="J247" i="61"/>
  <c r="I247" i="61"/>
  <c r="H247" i="61"/>
  <c r="G247" i="61"/>
  <c r="F247" i="61"/>
  <c r="E247" i="61"/>
  <c r="D247" i="61"/>
  <c r="C247" i="61"/>
  <c r="B247" i="61"/>
  <c r="AI133" i="61"/>
  <c r="AH133" i="61"/>
  <c r="AI132" i="61"/>
  <c r="AH132" i="61"/>
  <c r="AI131" i="61"/>
  <c r="AH131" i="61"/>
  <c r="AI130" i="61"/>
  <c r="AH130" i="61"/>
  <c r="AI129" i="61"/>
  <c r="AH129" i="61"/>
  <c r="AI126" i="61"/>
  <c r="AH126" i="61"/>
  <c r="AI125" i="61"/>
  <c r="AH125" i="61"/>
  <c r="AI124" i="61"/>
  <c r="AH124" i="61"/>
  <c r="AI123" i="61"/>
  <c r="AH123" i="61"/>
  <c r="AI122" i="61"/>
  <c r="AH122" i="61"/>
  <c r="Y121" i="61"/>
  <c r="AI120" i="61"/>
  <c r="AH120" i="61"/>
  <c r="AI119" i="61"/>
  <c r="AH119" i="61"/>
  <c r="AI118" i="61"/>
  <c r="AH118" i="61"/>
  <c r="AI117" i="61"/>
  <c r="AH117" i="61"/>
  <c r="AI116" i="61"/>
  <c r="AH116" i="61"/>
  <c r="AI115" i="61"/>
  <c r="AH115" i="61"/>
  <c r="AI114" i="61"/>
  <c r="AH114" i="61"/>
  <c r="AI113" i="61"/>
  <c r="AH113" i="61"/>
  <c r="AI112" i="61"/>
  <c r="AH112" i="61"/>
  <c r="AA110" i="61"/>
  <c r="Z110" i="61"/>
  <c r="BF23" i="61" s="1"/>
  <c r="AA109" i="61"/>
  <c r="Z109" i="61"/>
  <c r="Y109" i="61"/>
  <c r="X109" i="61"/>
  <c r="W109" i="61"/>
  <c r="V109" i="61"/>
  <c r="U109" i="61"/>
  <c r="T109" i="61"/>
  <c r="S109" i="61"/>
  <c r="R109" i="61"/>
  <c r="Q109" i="61"/>
  <c r="P109" i="61"/>
  <c r="O109" i="61"/>
  <c r="N109" i="61"/>
  <c r="M109" i="61"/>
  <c r="L109" i="61"/>
  <c r="K109" i="61"/>
  <c r="J109" i="61"/>
  <c r="I109" i="61"/>
  <c r="H109" i="61"/>
  <c r="G109" i="61"/>
  <c r="F109" i="61"/>
  <c r="E109" i="61"/>
  <c r="D109" i="61"/>
  <c r="AA108" i="61"/>
  <c r="Z108" i="61"/>
  <c r="Y108" i="61"/>
  <c r="X108" i="61"/>
  <c r="W108" i="61"/>
  <c r="V108" i="61"/>
  <c r="U108" i="61"/>
  <c r="T108" i="61"/>
  <c r="S108" i="61"/>
  <c r="R108" i="61"/>
  <c r="Q108" i="61"/>
  <c r="P108" i="61"/>
  <c r="O108" i="61"/>
  <c r="N108" i="61"/>
  <c r="M108" i="61"/>
  <c r="L108" i="61"/>
  <c r="K108" i="61"/>
  <c r="J108" i="61"/>
  <c r="I108" i="61"/>
  <c r="H108" i="61"/>
  <c r="G108" i="61"/>
  <c r="F108" i="61"/>
  <c r="E108" i="61"/>
  <c r="D108" i="61"/>
  <c r="AA107" i="61"/>
  <c r="Z107" i="61"/>
  <c r="Y107" i="61"/>
  <c r="X107" i="61"/>
  <c r="W107" i="61"/>
  <c r="V107" i="61"/>
  <c r="U107" i="61"/>
  <c r="T107" i="61"/>
  <c r="S107" i="61"/>
  <c r="R107" i="61"/>
  <c r="Q107" i="61"/>
  <c r="P107" i="61"/>
  <c r="O107" i="61"/>
  <c r="N107" i="61"/>
  <c r="M107" i="61"/>
  <c r="L107" i="61"/>
  <c r="K107" i="61"/>
  <c r="J107" i="61"/>
  <c r="I107" i="61"/>
  <c r="H107" i="61"/>
  <c r="G107" i="61"/>
  <c r="F107" i="61"/>
  <c r="E107" i="61"/>
  <c r="D107" i="61"/>
  <c r="AA106" i="61"/>
  <c r="Z106" i="61"/>
  <c r="Y106" i="61"/>
  <c r="X106" i="61"/>
  <c r="W106" i="61"/>
  <c r="V106" i="61"/>
  <c r="U106" i="61"/>
  <c r="T106" i="61"/>
  <c r="S106" i="61"/>
  <c r="R106" i="61"/>
  <c r="Q106" i="61"/>
  <c r="P106" i="61"/>
  <c r="O106" i="61"/>
  <c r="N106" i="61"/>
  <c r="M106" i="61"/>
  <c r="L106" i="61"/>
  <c r="K106" i="61"/>
  <c r="J106" i="61"/>
  <c r="I106" i="61"/>
  <c r="H106" i="61"/>
  <c r="G106" i="61"/>
  <c r="F106" i="61"/>
  <c r="E106" i="61"/>
  <c r="D106" i="61"/>
  <c r="AA105" i="61"/>
  <c r="Z105" i="61"/>
  <c r="Y105" i="61"/>
  <c r="X105" i="61"/>
  <c r="W105" i="61"/>
  <c r="V105" i="61"/>
  <c r="U105" i="61"/>
  <c r="T105" i="61"/>
  <c r="S105" i="61"/>
  <c r="R105" i="61"/>
  <c r="Q105" i="61"/>
  <c r="P105" i="61"/>
  <c r="O105" i="61"/>
  <c r="N105" i="61"/>
  <c r="M105" i="61"/>
  <c r="L105" i="61"/>
  <c r="K105" i="61"/>
  <c r="J105" i="61"/>
  <c r="I105" i="61"/>
  <c r="H105" i="61"/>
  <c r="G105" i="61"/>
  <c r="F105" i="61"/>
  <c r="E105" i="61"/>
  <c r="D105" i="61"/>
  <c r="AI105" i="61"/>
  <c r="AA104" i="61"/>
  <c r="Z104" i="61"/>
  <c r="Y104" i="61"/>
  <c r="X104" i="61"/>
  <c r="W104" i="61"/>
  <c r="V104" i="61"/>
  <c r="U104" i="61"/>
  <c r="T104" i="61"/>
  <c r="T110" i="61" s="1"/>
  <c r="BB23" i="61" s="1"/>
  <c r="S104" i="61"/>
  <c r="S110" i="61" s="1"/>
  <c r="BA23" i="61" s="1"/>
  <c r="R104" i="61"/>
  <c r="Q104" i="61"/>
  <c r="P104" i="61"/>
  <c r="P110" i="61" s="1"/>
  <c r="O104" i="61"/>
  <c r="N104" i="61"/>
  <c r="N110" i="61" s="1"/>
  <c r="AV23" i="61" s="1"/>
  <c r="M104" i="61"/>
  <c r="L104" i="61"/>
  <c r="K104" i="61"/>
  <c r="J104" i="61"/>
  <c r="I104" i="61"/>
  <c r="H104" i="61"/>
  <c r="H110" i="61" s="1"/>
  <c r="G104" i="61"/>
  <c r="F104" i="61"/>
  <c r="E104" i="61"/>
  <c r="D104" i="61"/>
  <c r="AI101" i="61"/>
  <c r="AH101" i="61"/>
  <c r="AI99" i="61"/>
  <c r="AH99" i="61"/>
  <c r="AG99" i="61"/>
  <c r="AG102" i="61" s="1"/>
  <c r="AI98" i="61"/>
  <c r="AH98" i="61"/>
  <c r="AI97" i="61"/>
  <c r="AH97" i="61"/>
  <c r="AI96" i="61"/>
  <c r="AH96" i="61"/>
  <c r="AG95" i="61"/>
  <c r="AA95" i="61"/>
  <c r="Z95" i="61"/>
  <c r="BF19" i="61" s="1"/>
  <c r="Y95" i="61"/>
  <c r="X95" i="61"/>
  <c r="BE19" i="61" s="1"/>
  <c r="W95" i="61"/>
  <c r="V5" i="61" s="1"/>
  <c r="V95" i="61"/>
  <c r="BD19" i="61" s="1"/>
  <c r="U95" i="61"/>
  <c r="BC19" i="61" s="1"/>
  <c r="T95" i="61"/>
  <c r="S5" i="61" s="1"/>
  <c r="S95" i="61"/>
  <c r="R95" i="61"/>
  <c r="Q5" i="61" s="1"/>
  <c r="Q95" i="61"/>
  <c r="P5" i="61" s="1"/>
  <c r="P95" i="61"/>
  <c r="O95" i="61"/>
  <c r="N95" i="61"/>
  <c r="AV19" i="61" s="1"/>
  <c r="M95" i="61"/>
  <c r="L95" i="61"/>
  <c r="K5" i="61" s="1"/>
  <c r="K95" i="61"/>
  <c r="AT19" i="61" s="1"/>
  <c r="J95" i="61"/>
  <c r="I5" i="61" s="1"/>
  <c r="I95" i="61"/>
  <c r="AS19" i="61" s="1"/>
  <c r="H95" i="61"/>
  <c r="G95" i="61"/>
  <c r="F95" i="61"/>
  <c r="E95" i="61"/>
  <c r="D5" i="61" s="1"/>
  <c r="D95" i="61"/>
  <c r="AO19" i="61" s="1"/>
  <c r="AF5" i="61"/>
  <c r="AI94" i="61"/>
  <c r="AH94" i="61"/>
  <c r="AI93" i="61"/>
  <c r="AH93" i="61"/>
  <c r="AI92" i="61"/>
  <c r="AH92" i="61"/>
  <c r="AI91" i="61"/>
  <c r="AH91" i="61"/>
  <c r="AI90" i="61"/>
  <c r="AH90" i="61"/>
  <c r="AI89" i="61"/>
  <c r="AH89" i="61"/>
  <c r="AI88" i="61"/>
  <c r="AH88" i="61"/>
  <c r="AI87" i="61"/>
  <c r="AH87" i="61"/>
  <c r="AI86" i="61"/>
  <c r="AH86" i="61"/>
  <c r="AI85" i="61"/>
  <c r="AH85" i="61"/>
  <c r="AI84" i="61"/>
  <c r="AH84" i="61"/>
  <c r="AG83" i="61"/>
  <c r="AA83" i="61"/>
  <c r="Z83" i="61"/>
  <c r="BF20" i="61" s="1"/>
  <c r="Y83" i="61"/>
  <c r="X83" i="61"/>
  <c r="W83" i="61"/>
  <c r="V83" i="61"/>
  <c r="U83" i="61"/>
  <c r="T83" i="61"/>
  <c r="S83" i="61"/>
  <c r="R83" i="61"/>
  <c r="AZ20" i="61" s="1"/>
  <c r="Q83" i="61"/>
  <c r="P83" i="61"/>
  <c r="O83" i="61"/>
  <c r="N83" i="61"/>
  <c r="M83" i="61"/>
  <c r="L83" i="61"/>
  <c r="K83" i="61"/>
  <c r="J83" i="61"/>
  <c r="I83" i="61"/>
  <c r="H83" i="61"/>
  <c r="G83" i="61"/>
  <c r="F83" i="61"/>
  <c r="E83" i="61"/>
  <c r="AI82" i="61"/>
  <c r="AH82" i="61"/>
  <c r="AI81" i="61"/>
  <c r="AH81" i="61"/>
  <c r="AI80" i="61"/>
  <c r="AH80" i="61"/>
  <c r="AG79" i="61"/>
  <c r="AA79" i="61"/>
  <c r="Z79" i="61"/>
  <c r="Y79" i="61"/>
  <c r="X79" i="61"/>
  <c r="BE18" i="61" s="1"/>
  <c r="W79" i="61"/>
  <c r="V79" i="61"/>
  <c r="BD18" i="61" s="1"/>
  <c r="U79" i="61"/>
  <c r="BC18" i="61" s="1"/>
  <c r="T79" i="61"/>
  <c r="S79" i="61"/>
  <c r="R79" i="61"/>
  <c r="AZ18" i="61" s="1"/>
  <c r="Q79" i="61"/>
  <c r="P79" i="61"/>
  <c r="O79" i="61"/>
  <c r="N79" i="61"/>
  <c r="M79" i="61"/>
  <c r="L79" i="61"/>
  <c r="K79" i="61"/>
  <c r="AT18" i="61" s="1"/>
  <c r="J79" i="61"/>
  <c r="I79" i="61"/>
  <c r="H79" i="61"/>
  <c r="G79" i="61"/>
  <c r="F79" i="61"/>
  <c r="AQ18" i="61" s="1"/>
  <c r="E79" i="61"/>
  <c r="AP18" i="61" s="1"/>
  <c r="BP78" i="61"/>
  <c r="BO78" i="61"/>
  <c r="BG78" i="61"/>
  <c r="AI78" i="61"/>
  <c r="AH78" i="61"/>
  <c r="AG78" i="61"/>
  <c r="BM77" i="61"/>
  <c r="BL77" i="61"/>
  <c r="BE77" i="61"/>
  <c r="BD77" i="61"/>
  <c r="AI77" i="61"/>
  <c r="AH77" i="61"/>
  <c r="AI76" i="61"/>
  <c r="AH76" i="61"/>
  <c r="BP75" i="61"/>
  <c r="BH75" i="61"/>
  <c r="AI75" i="61"/>
  <c r="AH75" i="61"/>
  <c r="BR74" i="61"/>
  <c r="BN74" i="61"/>
  <c r="BC74" i="61"/>
  <c r="BB74" i="61"/>
  <c r="AI74" i="61"/>
  <c r="AH74" i="61"/>
  <c r="BM73" i="61"/>
  <c r="BA73" i="61"/>
  <c r="AI73" i="61"/>
  <c r="AH73" i="61"/>
  <c r="AI72" i="61"/>
  <c r="AH72" i="61"/>
  <c r="BW71" i="61"/>
  <c r="BW78" i="61" s="1"/>
  <c r="BV71" i="61"/>
  <c r="BV78" i="61" s="1"/>
  <c r="BU71" i="61"/>
  <c r="BU78" i="61" s="1"/>
  <c r="BT71" i="61"/>
  <c r="BT78" i="61" s="1"/>
  <c r="BS71" i="61"/>
  <c r="BS78" i="61" s="1"/>
  <c r="BR71" i="61"/>
  <c r="BR78" i="61" s="1"/>
  <c r="BQ71" i="61"/>
  <c r="BQ78" i="61" s="1"/>
  <c r="BP71" i="61"/>
  <c r="BO71" i="61"/>
  <c r="BN71" i="61"/>
  <c r="BN78" i="61" s="1"/>
  <c r="BM71" i="61"/>
  <c r="BM78" i="61" s="1"/>
  <c r="BL71" i="61"/>
  <c r="BL78" i="61" s="1"/>
  <c r="BK71" i="61"/>
  <c r="BK78" i="61" s="1"/>
  <c r="BJ71" i="61"/>
  <c r="BJ78" i="61" s="1"/>
  <c r="BI71" i="61"/>
  <c r="BI78" i="61" s="1"/>
  <c r="BH71" i="61"/>
  <c r="BH78" i="61" s="1"/>
  <c r="BG71" i="61"/>
  <c r="BF71" i="61"/>
  <c r="BF78" i="61" s="1"/>
  <c r="BE71" i="61"/>
  <c r="BE78" i="61" s="1"/>
  <c r="BD71" i="61"/>
  <c r="BD78" i="61" s="1"/>
  <c r="BC71" i="61"/>
  <c r="BC78" i="61" s="1"/>
  <c r="BB71" i="61"/>
  <c r="BB78" i="61" s="1"/>
  <c r="BA71" i="61"/>
  <c r="BA78" i="61" s="1"/>
  <c r="AZ71" i="61"/>
  <c r="AZ78" i="61" s="1"/>
  <c r="AI71" i="61"/>
  <c r="AH71" i="61"/>
  <c r="BW70" i="61"/>
  <c r="BW77" i="61" s="1"/>
  <c r="BV70" i="61"/>
  <c r="BV77" i="61" s="1"/>
  <c r="BU70" i="61"/>
  <c r="BU77" i="61" s="1"/>
  <c r="BT70" i="61"/>
  <c r="BT77" i="61" s="1"/>
  <c r="BS70" i="61"/>
  <c r="BS77" i="61" s="1"/>
  <c r="BR70" i="61"/>
  <c r="BR77" i="61" s="1"/>
  <c r="BQ70" i="61"/>
  <c r="BQ77" i="61" s="1"/>
  <c r="BP70" i="61"/>
  <c r="BP77" i="61" s="1"/>
  <c r="BO70" i="61"/>
  <c r="BO77" i="61" s="1"/>
  <c r="BN70" i="61"/>
  <c r="BN77" i="61" s="1"/>
  <c r="BM70" i="61"/>
  <c r="BL70" i="61"/>
  <c r="BK70" i="61"/>
  <c r="BK77" i="61" s="1"/>
  <c r="BJ70" i="61"/>
  <c r="BJ77" i="61" s="1"/>
  <c r="BI70" i="61"/>
  <c r="BI77" i="61" s="1"/>
  <c r="BH70" i="61"/>
  <c r="BH77" i="61" s="1"/>
  <c r="BG70" i="61"/>
  <c r="BG77" i="61" s="1"/>
  <c r="BF70" i="61"/>
  <c r="BF77" i="61" s="1"/>
  <c r="BE70" i="61"/>
  <c r="BD70" i="61"/>
  <c r="BC70" i="61"/>
  <c r="BC77" i="61" s="1"/>
  <c r="BB70" i="61"/>
  <c r="BB77" i="61" s="1"/>
  <c r="BA70" i="61"/>
  <c r="BA77" i="61" s="1"/>
  <c r="AZ70" i="61"/>
  <c r="AZ77" i="61" s="1"/>
  <c r="AI70" i="61"/>
  <c r="AH70" i="61"/>
  <c r="BW69" i="61"/>
  <c r="BW76" i="61" s="1"/>
  <c r="BV69" i="61"/>
  <c r="BV76" i="61" s="1"/>
  <c r="BU69" i="61"/>
  <c r="BU76" i="61" s="1"/>
  <c r="BT69" i="61"/>
  <c r="BT76" i="61" s="1"/>
  <c r="BS69" i="61"/>
  <c r="BS76" i="61" s="1"/>
  <c r="BR69" i="61"/>
  <c r="BR76" i="61" s="1"/>
  <c r="BQ69" i="61"/>
  <c r="BQ76" i="61" s="1"/>
  <c r="BP69" i="61"/>
  <c r="BP76" i="61" s="1"/>
  <c r="BO69" i="61"/>
  <c r="BO76" i="61" s="1"/>
  <c r="BN69" i="61"/>
  <c r="BN76" i="61" s="1"/>
  <c r="BM69" i="61"/>
  <c r="BM76" i="61" s="1"/>
  <c r="BL69" i="61"/>
  <c r="BL76" i="61" s="1"/>
  <c r="BK69" i="61"/>
  <c r="BK76" i="61" s="1"/>
  <c r="BJ69" i="61"/>
  <c r="BJ76" i="61" s="1"/>
  <c r="BI69" i="61"/>
  <c r="BI76" i="61" s="1"/>
  <c r="BH69" i="61"/>
  <c r="BH76" i="61" s="1"/>
  <c r="BG69" i="61"/>
  <c r="BG76" i="61" s="1"/>
  <c r="BF69" i="61"/>
  <c r="BF76" i="61" s="1"/>
  <c r="BE69" i="61"/>
  <c r="BE76" i="61" s="1"/>
  <c r="BD69" i="61"/>
  <c r="BD76" i="61" s="1"/>
  <c r="BC69" i="61"/>
  <c r="BC76" i="61" s="1"/>
  <c r="BB69" i="61"/>
  <c r="BB76" i="61" s="1"/>
  <c r="BA69" i="61"/>
  <c r="BA76" i="61" s="1"/>
  <c r="AZ69" i="61"/>
  <c r="AZ76" i="61" s="1"/>
  <c r="AI69" i="61"/>
  <c r="AH69" i="61"/>
  <c r="BW68" i="61"/>
  <c r="BW75" i="61" s="1"/>
  <c r="BV68" i="61"/>
  <c r="BV75" i="61" s="1"/>
  <c r="BU68" i="61"/>
  <c r="BU75" i="61" s="1"/>
  <c r="BT68" i="61"/>
  <c r="BT75" i="61" s="1"/>
  <c r="BS68" i="61"/>
  <c r="BS75" i="61" s="1"/>
  <c r="BR68" i="61"/>
  <c r="BR75" i="61" s="1"/>
  <c r="BQ68" i="61"/>
  <c r="BQ75" i="61" s="1"/>
  <c r="BP68" i="61"/>
  <c r="BO68" i="61"/>
  <c r="BO75" i="61" s="1"/>
  <c r="BN68" i="61"/>
  <c r="BN75" i="61" s="1"/>
  <c r="BM68" i="61"/>
  <c r="BM75" i="61" s="1"/>
  <c r="BL68" i="61"/>
  <c r="BL75" i="61" s="1"/>
  <c r="BK68" i="61"/>
  <c r="BK75" i="61" s="1"/>
  <c r="BJ68" i="61"/>
  <c r="BJ75" i="61" s="1"/>
  <c r="BI68" i="61"/>
  <c r="BI75" i="61" s="1"/>
  <c r="BH68" i="61"/>
  <c r="BG68" i="61"/>
  <c r="BG75" i="61" s="1"/>
  <c r="BF68" i="61"/>
  <c r="BF75" i="61" s="1"/>
  <c r="BE68" i="61"/>
  <c r="BE75" i="61" s="1"/>
  <c r="BD68" i="61"/>
  <c r="BD75" i="61" s="1"/>
  <c r="BC68" i="61"/>
  <c r="BC75" i="61" s="1"/>
  <c r="BB68" i="61"/>
  <c r="BB75" i="61" s="1"/>
  <c r="BA68" i="61"/>
  <c r="BA75" i="61" s="1"/>
  <c r="AZ68" i="61"/>
  <c r="AZ75" i="61" s="1"/>
  <c r="AI68" i="61"/>
  <c r="AH68" i="61"/>
  <c r="BW67" i="61"/>
  <c r="BW74" i="61" s="1"/>
  <c r="BV67" i="61"/>
  <c r="BV74" i="61" s="1"/>
  <c r="BU67" i="61"/>
  <c r="BU74" i="61" s="1"/>
  <c r="BT67" i="61"/>
  <c r="BT74" i="61" s="1"/>
  <c r="BS67" i="61"/>
  <c r="BS74" i="61" s="1"/>
  <c r="BR67" i="61"/>
  <c r="BQ67" i="61"/>
  <c r="BQ74" i="61" s="1"/>
  <c r="BP67" i="61"/>
  <c r="BP74" i="61" s="1"/>
  <c r="BO67" i="61"/>
  <c r="BO74" i="61" s="1"/>
  <c r="BN67" i="61"/>
  <c r="BM67" i="61"/>
  <c r="BM74" i="61" s="1"/>
  <c r="BL67" i="61"/>
  <c r="BL74" i="61" s="1"/>
  <c r="BK67" i="61"/>
  <c r="BK74" i="61" s="1"/>
  <c r="BJ67" i="61"/>
  <c r="BJ74" i="61" s="1"/>
  <c r="BI67" i="61"/>
  <c r="BI74" i="61" s="1"/>
  <c r="BH67" i="61"/>
  <c r="BH74" i="61" s="1"/>
  <c r="BG67" i="61"/>
  <c r="BG74" i="61" s="1"/>
  <c r="BF67" i="61"/>
  <c r="BF74" i="61" s="1"/>
  <c r="BE67" i="61"/>
  <c r="BE74" i="61" s="1"/>
  <c r="BD67" i="61"/>
  <c r="BD74" i="61" s="1"/>
  <c r="BC67" i="61"/>
  <c r="BB67" i="61"/>
  <c r="BA67" i="61"/>
  <c r="BA74" i="61" s="1"/>
  <c r="AZ67" i="61"/>
  <c r="AZ74" i="61" s="1"/>
  <c r="AI67" i="61"/>
  <c r="AH67" i="61"/>
  <c r="BW66" i="61"/>
  <c r="BW73" i="61" s="1"/>
  <c r="BV66" i="61"/>
  <c r="BV73" i="61" s="1"/>
  <c r="BU66" i="61"/>
  <c r="BU73" i="61" s="1"/>
  <c r="BT66" i="61"/>
  <c r="BT73" i="61" s="1"/>
  <c r="BS66" i="61"/>
  <c r="BS73" i="61" s="1"/>
  <c r="BR66" i="61"/>
  <c r="BR73" i="61" s="1"/>
  <c r="BQ66" i="61"/>
  <c r="BQ73" i="61" s="1"/>
  <c r="BP66" i="61"/>
  <c r="BP73" i="61" s="1"/>
  <c r="BO66" i="61"/>
  <c r="BO73" i="61" s="1"/>
  <c r="BN66" i="61"/>
  <c r="BN73" i="61" s="1"/>
  <c r="BM66" i="61"/>
  <c r="BL66" i="61"/>
  <c r="BL73" i="61" s="1"/>
  <c r="BK66" i="61"/>
  <c r="BK73" i="61" s="1"/>
  <c r="BJ66" i="61"/>
  <c r="BJ73" i="61" s="1"/>
  <c r="BI66" i="61"/>
  <c r="BI73" i="61" s="1"/>
  <c r="BH66" i="61"/>
  <c r="BH73" i="61" s="1"/>
  <c r="BG66" i="61"/>
  <c r="BG73" i="61" s="1"/>
  <c r="BF66" i="61"/>
  <c r="BF73" i="61" s="1"/>
  <c r="BE66" i="61"/>
  <c r="BE73" i="61" s="1"/>
  <c r="BD66" i="61"/>
  <c r="BD73" i="61" s="1"/>
  <c r="BC66" i="61"/>
  <c r="BC73" i="61" s="1"/>
  <c r="BB66" i="61"/>
  <c r="BB73" i="61" s="1"/>
  <c r="BA66" i="61"/>
  <c r="AZ66" i="61"/>
  <c r="AZ73" i="61" s="1"/>
  <c r="AI66" i="61"/>
  <c r="AH66" i="61"/>
  <c r="AG65" i="61"/>
  <c r="BJ17" i="61"/>
  <c r="AA65" i="61"/>
  <c r="Z65" i="61"/>
  <c r="BF17" i="61" s="1"/>
  <c r="Y65" i="61"/>
  <c r="X65" i="61"/>
  <c r="BE17" i="61" s="1"/>
  <c r="W65" i="61"/>
  <c r="V65" i="61"/>
  <c r="U65" i="61"/>
  <c r="T65" i="61"/>
  <c r="BB17" i="61" s="1"/>
  <c r="S65" i="61"/>
  <c r="BA17" i="61" s="1"/>
  <c r="R65" i="61"/>
  <c r="Q65" i="61"/>
  <c r="P65" i="61"/>
  <c r="AX17" i="61" s="1"/>
  <c r="O65" i="61"/>
  <c r="N65" i="61"/>
  <c r="M65" i="61"/>
  <c r="AU17" i="61" s="1"/>
  <c r="L65" i="61"/>
  <c r="K65" i="61"/>
  <c r="J65" i="61"/>
  <c r="I65" i="61"/>
  <c r="AS17" i="61" s="1"/>
  <c r="H65" i="61"/>
  <c r="G65" i="61"/>
  <c r="E65" i="61"/>
  <c r="AP17" i="61" s="1"/>
  <c r="AO17" i="61"/>
  <c r="AI64" i="61"/>
  <c r="AH64" i="61"/>
  <c r="AI63" i="61"/>
  <c r="AH63" i="61"/>
  <c r="AI62" i="61"/>
  <c r="AH62" i="61"/>
  <c r="AG61" i="61"/>
  <c r="AG100" i="61" s="1"/>
  <c r="AF7" i="61"/>
  <c r="AB7" i="61"/>
  <c r="AA61" i="61"/>
  <c r="Z61" i="61"/>
  <c r="BF16" i="61" s="1"/>
  <c r="Y61" i="61"/>
  <c r="X61" i="61"/>
  <c r="W61" i="61"/>
  <c r="V61" i="61"/>
  <c r="U61" i="61"/>
  <c r="T61" i="61"/>
  <c r="BB16" i="61" s="1"/>
  <c r="S61" i="61"/>
  <c r="BA16" i="61" s="1"/>
  <c r="R61" i="61"/>
  <c r="Q61" i="61"/>
  <c r="P61" i="61"/>
  <c r="AX16" i="61" s="1"/>
  <c r="O61" i="61"/>
  <c r="N61" i="61"/>
  <c r="M61" i="61"/>
  <c r="L61" i="61"/>
  <c r="K61" i="61"/>
  <c r="AT16" i="61" s="1"/>
  <c r="J61" i="61"/>
  <c r="I61" i="61"/>
  <c r="AS16" i="61" s="1"/>
  <c r="H61" i="61"/>
  <c r="G61" i="61"/>
  <c r="E61" i="61"/>
  <c r="AI60" i="61"/>
  <c r="AH60" i="61"/>
  <c r="AI59" i="61"/>
  <c r="AH59" i="61"/>
  <c r="AI58" i="61"/>
  <c r="AH58" i="61"/>
  <c r="AI57" i="61"/>
  <c r="AH57" i="61"/>
  <c r="AI56" i="61"/>
  <c r="AH56" i="61"/>
  <c r="AI55" i="61"/>
  <c r="AH55" i="61"/>
  <c r="AI54" i="61"/>
  <c r="AH54" i="61"/>
  <c r="AI53" i="61"/>
  <c r="AH53" i="61"/>
  <c r="AI52" i="61"/>
  <c r="AH52" i="61"/>
  <c r="AI51" i="61"/>
  <c r="AH51" i="61"/>
  <c r="AI50" i="61"/>
  <c r="AH50" i="61"/>
  <c r="AI49" i="61"/>
  <c r="AH49" i="61"/>
  <c r="AI48" i="61"/>
  <c r="AH48" i="61"/>
  <c r="AI47" i="61"/>
  <c r="AH47" i="61"/>
  <c r="AI46" i="61"/>
  <c r="AH46" i="61"/>
  <c r="AI45" i="61"/>
  <c r="AH45" i="61"/>
  <c r="AI44" i="61"/>
  <c r="AH44" i="61"/>
  <c r="AI43" i="61"/>
  <c r="AH43" i="61"/>
  <c r="AI42" i="61"/>
  <c r="AH42" i="61"/>
  <c r="AI41" i="61"/>
  <c r="AH41" i="61"/>
  <c r="AI40" i="61"/>
  <c r="AH40" i="61"/>
  <c r="AI39" i="61"/>
  <c r="AH39" i="61"/>
  <c r="AI38" i="61"/>
  <c r="AH38" i="61"/>
  <c r="AI37" i="61"/>
  <c r="AH37" i="61"/>
  <c r="AI36" i="61"/>
  <c r="AH36" i="61"/>
  <c r="AI35" i="61"/>
  <c r="AH35" i="61"/>
  <c r="AI34" i="61"/>
  <c r="AH34" i="61"/>
  <c r="AI33" i="61"/>
  <c r="AH33" i="61"/>
  <c r="AI32" i="61"/>
  <c r="AH32" i="61"/>
  <c r="AI31" i="61"/>
  <c r="AH31" i="61"/>
  <c r="AI30" i="61"/>
  <c r="AH30" i="61"/>
  <c r="AI29" i="61"/>
  <c r="AH29" i="61"/>
  <c r="AI28" i="61"/>
  <c r="AH28" i="61"/>
  <c r="AI27" i="61"/>
  <c r="AH27" i="61"/>
  <c r="AI26" i="61"/>
  <c r="AH26" i="61"/>
  <c r="AI25" i="61"/>
  <c r="AH25" i="61"/>
  <c r="AI24" i="61"/>
  <c r="AH24" i="61"/>
  <c r="BJ23" i="61"/>
  <c r="BH23" i="61"/>
  <c r="BG23" i="61"/>
  <c r="AX23" i="61"/>
  <c r="AN23" i="61"/>
  <c r="AI23" i="61"/>
  <c r="AH23" i="61"/>
  <c r="AI22" i="61"/>
  <c r="AH22" i="61"/>
  <c r="BJ21" i="61"/>
  <c r="BI21" i="61"/>
  <c r="BH21" i="61"/>
  <c r="BG21" i="61"/>
  <c r="BF21" i="61"/>
  <c r="BE21" i="61"/>
  <c r="BD21" i="61"/>
  <c r="BC21" i="61"/>
  <c r="BB21" i="61"/>
  <c r="BA21" i="61"/>
  <c r="AZ21" i="61"/>
  <c r="AY21" i="61"/>
  <c r="AX21" i="61"/>
  <c r="AW21" i="61"/>
  <c r="AV21" i="61"/>
  <c r="AU21" i="61"/>
  <c r="AT21" i="61"/>
  <c r="AS21" i="61"/>
  <c r="AR21" i="61"/>
  <c r="AQ21" i="61"/>
  <c r="AP21" i="61"/>
  <c r="AO21" i="61"/>
  <c r="AN21" i="61"/>
  <c r="AM21" i="61"/>
  <c r="AI21" i="61"/>
  <c r="AH21" i="61"/>
  <c r="BJ20" i="61"/>
  <c r="BI20" i="61"/>
  <c r="BH20" i="61"/>
  <c r="BG20" i="61"/>
  <c r="BE20" i="61"/>
  <c r="BD20" i="61"/>
  <c r="BB20" i="61"/>
  <c r="BA20" i="61"/>
  <c r="AY20" i="61"/>
  <c r="AX20" i="61"/>
  <c r="AW20" i="61"/>
  <c r="AV20" i="61"/>
  <c r="AU20" i="61"/>
  <c r="AT20" i="61"/>
  <c r="AS20" i="61"/>
  <c r="AR20" i="61"/>
  <c r="AQ20" i="61"/>
  <c r="AP20" i="61"/>
  <c r="AO20" i="61"/>
  <c r="AN20" i="61"/>
  <c r="AI20" i="61"/>
  <c r="AH20" i="61"/>
  <c r="BJ19" i="61"/>
  <c r="BI19" i="61"/>
  <c r="BH19" i="61"/>
  <c r="BG19" i="61"/>
  <c r="BA19" i="61"/>
  <c r="AW19" i="61"/>
  <c r="AU19" i="61"/>
  <c r="AR19" i="61"/>
  <c r="AP19" i="61"/>
  <c r="AN19" i="61"/>
  <c r="AM19" i="61"/>
  <c r="AI19" i="61"/>
  <c r="AH19" i="61"/>
  <c r="BJ18" i="61"/>
  <c r="BI18" i="61"/>
  <c r="BH18" i="61"/>
  <c r="BG18" i="61"/>
  <c r="BF18" i="61"/>
  <c r="BB18" i="61"/>
  <c r="BA18" i="61"/>
  <c r="AY18" i="61"/>
  <c r="AX18" i="61"/>
  <c r="AW18" i="61"/>
  <c r="AV18" i="61"/>
  <c r="AU18" i="61"/>
  <c r="AS18" i="61"/>
  <c r="AR18" i="61"/>
  <c r="AO18" i="61"/>
  <c r="AN18" i="61"/>
  <c r="AI18" i="61"/>
  <c r="AH18" i="61"/>
  <c r="BI17" i="61"/>
  <c r="BH17" i="61"/>
  <c r="BG17" i="61"/>
  <c r="BD17" i="61"/>
  <c r="BC17" i="61"/>
  <c r="AZ17" i="61"/>
  <c r="AY17" i="61"/>
  <c r="AW17" i="61"/>
  <c r="AV17" i="61"/>
  <c r="AT17" i="61"/>
  <c r="AR17" i="61"/>
  <c r="AQ17" i="61"/>
  <c r="AN17" i="61"/>
  <c r="AM17" i="61"/>
  <c r="AI17" i="61"/>
  <c r="AH17" i="61"/>
  <c r="BJ16" i="61"/>
  <c r="BI16" i="61"/>
  <c r="BH16" i="61"/>
  <c r="AV16" i="61"/>
  <c r="AQ16" i="61"/>
  <c r="AO16" i="61"/>
  <c r="AN16" i="61"/>
  <c r="AM16" i="61"/>
  <c r="AI16" i="61"/>
  <c r="AH16" i="61"/>
  <c r="AI15" i="61"/>
  <c r="AH15" i="61"/>
  <c r="AI14" i="61"/>
  <c r="AH14" i="61"/>
  <c r="AI13" i="61"/>
  <c r="AH13" i="61"/>
  <c r="AL12" i="61"/>
  <c r="AI12" i="61"/>
  <c r="AH12" i="61"/>
  <c r="AI11" i="61"/>
  <c r="AH11" i="61"/>
  <c r="AD7" i="61"/>
  <c r="AE5" i="61"/>
  <c r="AD5" i="61"/>
  <c r="AC5" i="61"/>
  <c r="AB5" i="61"/>
  <c r="AA5" i="61"/>
  <c r="R5" i="61"/>
  <c r="N5" i="61"/>
  <c r="L5" i="61"/>
  <c r="H5" i="61"/>
  <c r="G5" i="61"/>
  <c r="F5" i="61"/>
  <c r="E5" i="61"/>
  <c r="B5" i="61"/>
  <c r="AG4" i="61"/>
  <c r="K4" i="61"/>
  <c r="E4" i="61"/>
  <c r="H4" i="61" s="1"/>
  <c r="B4" i="61"/>
  <c r="D261" i="61" s="1"/>
  <c r="AG3" i="61"/>
  <c r="AF124" i="58"/>
  <c r="AF60" i="58"/>
  <c r="AF61" i="58"/>
  <c r="AF65" i="58"/>
  <c r="AF79" i="58"/>
  <c r="AF83" i="58"/>
  <c r="AE124" i="58"/>
  <c r="AE60" i="58"/>
  <c r="AE61" i="58"/>
  <c r="AE65" i="58"/>
  <c r="AE79" i="58"/>
  <c r="AD124" i="58"/>
  <c r="AD60" i="58"/>
  <c r="AC124" i="58"/>
  <c r="AC60" i="58"/>
  <c r="AB124" i="58"/>
  <c r="AB60" i="58"/>
  <c r="AA60" i="58"/>
  <c r="AA61" i="58"/>
  <c r="AA65" i="58"/>
  <c r="AA79" i="58"/>
  <c r="AA83" i="58"/>
  <c r="Z60" i="58"/>
  <c r="Z61" i="58"/>
  <c r="Z65" i="58"/>
  <c r="Z79" i="58"/>
  <c r="Z83" i="58"/>
  <c r="Y60" i="58"/>
  <c r="Y61" i="58"/>
  <c r="Y65" i="58"/>
  <c r="Y79" i="58"/>
  <c r="Y83" i="58"/>
  <c r="X60" i="58"/>
  <c r="X61" i="58"/>
  <c r="X65" i="58"/>
  <c r="X79" i="58"/>
  <c r="X83" i="58"/>
  <c r="W61" i="58"/>
  <c r="W65" i="58"/>
  <c r="W79" i="58"/>
  <c r="W83" i="58"/>
  <c r="V61" i="58"/>
  <c r="V65" i="58"/>
  <c r="V79" i="58"/>
  <c r="V83" i="58"/>
  <c r="BJ22" i="61" l="1"/>
  <c r="BJ24" i="61" s="1"/>
  <c r="BI22" i="61"/>
  <c r="BH22" i="61"/>
  <c r="BH24" i="61" s="1"/>
  <c r="AA111" i="61"/>
  <c r="Z5" i="61"/>
  <c r="Y5" i="61"/>
  <c r="Y110" i="61"/>
  <c r="Y111" i="61" s="1"/>
  <c r="X5" i="61"/>
  <c r="Y100" i="61"/>
  <c r="Y102" i="61" s="1"/>
  <c r="Y103" i="61" s="1"/>
  <c r="Y7" i="61" s="1"/>
  <c r="X110" i="61"/>
  <c r="BE23" i="61" s="1"/>
  <c r="W5" i="61"/>
  <c r="AI83" i="61"/>
  <c r="X100" i="61"/>
  <c r="X102" i="61" s="1"/>
  <c r="X103" i="61" s="1"/>
  <c r="X7" i="61" s="1"/>
  <c r="BE16" i="61"/>
  <c r="BE22" i="61" s="1"/>
  <c r="BE24" i="61" s="1"/>
  <c r="W100" i="61"/>
  <c r="W102" i="61" s="1"/>
  <c r="V110" i="61"/>
  <c r="BD23" i="61" s="1"/>
  <c r="V100" i="61"/>
  <c r="V102" i="61" s="1"/>
  <c r="V103" i="61" s="1"/>
  <c r="V7" i="61" s="1"/>
  <c r="U5" i="61"/>
  <c r="BD16" i="61"/>
  <c r="BD22" i="61" s="1"/>
  <c r="BD24" i="61" s="1"/>
  <c r="T5" i="61"/>
  <c r="BC20" i="61"/>
  <c r="U100" i="61"/>
  <c r="U102" i="61" s="1"/>
  <c r="BB19" i="61"/>
  <c r="T100" i="61"/>
  <c r="T102" i="61" s="1"/>
  <c r="T103" i="61" s="1"/>
  <c r="T7" i="61" s="1"/>
  <c r="S111" i="61"/>
  <c r="BA22" i="61"/>
  <c r="BA24" i="61" s="1"/>
  <c r="R110" i="61"/>
  <c r="AZ23" i="61" s="1"/>
  <c r="R111" i="61"/>
  <c r="AY19" i="61"/>
  <c r="Q110" i="61"/>
  <c r="AY23" i="61" s="1"/>
  <c r="Q111" i="61"/>
  <c r="Q100" i="61"/>
  <c r="Q102" i="61" s="1"/>
  <c r="Q103" i="61" s="1"/>
  <c r="Q7" i="61" s="1"/>
  <c r="P111" i="61"/>
  <c r="AX19" i="61"/>
  <c r="O5" i="61"/>
  <c r="P100" i="61"/>
  <c r="P102" i="61" s="1"/>
  <c r="P103" i="61" s="1"/>
  <c r="P7" i="61" s="1"/>
  <c r="O100" i="61"/>
  <c r="O102" i="61" s="1"/>
  <c r="AW16" i="61"/>
  <c r="AW22" i="61" s="1"/>
  <c r="M5" i="61"/>
  <c r="AV22" i="61"/>
  <c r="AV24" i="61" s="1"/>
  <c r="N100" i="61"/>
  <c r="N102" i="61" s="1"/>
  <c r="N103" i="61" s="1"/>
  <c r="N7" i="61" s="1"/>
  <c r="M100" i="61"/>
  <c r="M102" i="61" s="1"/>
  <c r="L110" i="61"/>
  <c r="L111" i="61" s="1"/>
  <c r="L100" i="61"/>
  <c r="L102" i="61" s="1"/>
  <c r="J5" i="61"/>
  <c r="I110" i="61"/>
  <c r="AS23" i="61" s="1"/>
  <c r="J110" i="61"/>
  <c r="J111" i="61" s="1"/>
  <c r="K110" i="61"/>
  <c r="AT23" i="61" s="1"/>
  <c r="H111" i="61"/>
  <c r="AT22" i="61"/>
  <c r="I100" i="61"/>
  <c r="I102" i="61" s="1"/>
  <c r="I103" i="61" s="1"/>
  <c r="I7" i="61" s="1"/>
  <c r="G100" i="61"/>
  <c r="G102" i="61" s="1"/>
  <c r="H100" i="61"/>
  <c r="H102" i="61" s="1"/>
  <c r="H103" i="61" s="1"/>
  <c r="H7" i="61" s="1"/>
  <c r="F100" i="61"/>
  <c r="F102" i="61" s="1"/>
  <c r="AR16" i="61"/>
  <c r="AR22" i="61" s="1"/>
  <c r="F110" i="61"/>
  <c r="AQ23" i="61" s="1"/>
  <c r="AQ19" i="61"/>
  <c r="AQ22" i="61" s="1"/>
  <c r="AQ24" i="61" s="1"/>
  <c r="E100" i="61"/>
  <c r="E102" i="61" s="1"/>
  <c r="AI65" i="61"/>
  <c r="AP16" i="61"/>
  <c r="AP22" i="61"/>
  <c r="AH109" i="61"/>
  <c r="D110" i="61"/>
  <c r="AO23" i="61" s="1"/>
  <c r="C5" i="61"/>
  <c r="D100" i="61"/>
  <c r="D102" i="61" s="1"/>
  <c r="D103" i="61" s="1"/>
  <c r="D7" i="61" s="1"/>
  <c r="AN22" i="61"/>
  <c r="AN24" i="61" s="1"/>
  <c r="AI104" i="61"/>
  <c r="B111" i="61"/>
  <c r="B103" i="61"/>
  <c r="AH107" i="61"/>
  <c r="AI79" i="61"/>
  <c r="AE7" i="61"/>
  <c r="AO22" i="61"/>
  <c r="AO24" i="61" s="1"/>
  <c r="AX22" i="61"/>
  <c r="AX24" i="61" s="1"/>
  <c r="BF22" i="61"/>
  <c r="BF24" i="61" s="1"/>
  <c r="BB22" i="61"/>
  <c r="BB24" i="61" s="1"/>
  <c r="AS22" i="61"/>
  <c r="AS24" i="61" s="1"/>
  <c r="AC7" i="61"/>
  <c r="AM22" i="61"/>
  <c r="AH83" i="61"/>
  <c r="AH95" i="61"/>
  <c r="AG2" i="61"/>
  <c r="AG6" i="61" s="1"/>
  <c r="AU16" i="61"/>
  <c r="AU22" i="61" s="1"/>
  <c r="BC16" i="61"/>
  <c r="BC22" i="61" s="1"/>
  <c r="AM20" i="61"/>
  <c r="J100" i="61"/>
  <c r="J102" i="61" s="1"/>
  <c r="J103" i="61" s="1"/>
  <c r="J7" i="61" s="1"/>
  <c r="R100" i="61"/>
  <c r="R102" i="61" s="1"/>
  <c r="R103" i="61" s="1"/>
  <c r="R7" i="61" s="1"/>
  <c r="Z100" i="61"/>
  <c r="Z102" i="61" s="1"/>
  <c r="Z103" i="61" s="1"/>
  <c r="Z7" i="61" s="1"/>
  <c r="AH61" i="61"/>
  <c r="AH65" i="61"/>
  <c r="AI95" i="61"/>
  <c r="Z111" i="61"/>
  <c r="AL13" i="61"/>
  <c r="C7" i="61"/>
  <c r="K100" i="61"/>
  <c r="K102" i="61" s="1"/>
  <c r="S100" i="61"/>
  <c r="S102" i="61" s="1"/>
  <c r="S103" i="61" s="1"/>
  <c r="S7" i="61" s="1"/>
  <c r="AA100" i="61"/>
  <c r="AA102" i="61" s="1"/>
  <c r="AA103" i="61" s="1"/>
  <c r="AA7" i="61" s="1"/>
  <c r="AI61" i="61"/>
  <c r="T111" i="61"/>
  <c r="E110" i="61"/>
  <c r="AP23" i="61" s="1"/>
  <c r="M110" i="61"/>
  <c r="AU23" i="61" s="1"/>
  <c r="U110" i="61"/>
  <c r="BC23" i="61" s="1"/>
  <c r="AH79" i="61"/>
  <c r="BG82" i="61" a="1"/>
  <c r="F111" i="61"/>
  <c r="N111" i="61"/>
  <c r="V111" i="61"/>
  <c r="G110" i="61"/>
  <c r="AR23" i="61" s="1"/>
  <c r="O110" i="61"/>
  <c r="AW23" i="61" s="1"/>
  <c r="W110" i="61"/>
  <c r="BI23" i="61"/>
  <c r="AI108" i="61"/>
  <c r="AZ19" i="61"/>
  <c r="AY16" i="61"/>
  <c r="AY22" i="61" s="1"/>
  <c r="AY24" i="61" s="1"/>
  <c r="BG16" i="61"/>
  <c r="BG22" i="61" s="1"/>
  <c r="BG24" i="61" s="1"/>
  <c r="AI107" i="61"/>
  <c r="D255" i="61"/>
  <c r="D121" i="61"/>
  <c r="E249" i="61"/>
  <c r="AZ16" i="61"/>
  <c r="AZ22" i="61" s="1"/>
  <c r="AZ24" i="61" s="1"/>
  <c r="AH104" i="61"/>
  <c r="AI106" i="61"/>
  <c r="AI109" i="61"/>
  <c r="AH105" i="61"/>
  <c r="AH106" i="61"/>
  <c r="AH108" i="61"/>
  <c r="U61" i="58"/>
  <c r="U65" i="58"/>
  <c r="U79" i="58"/>
  <c r="U83" i="58"/>
  <c r="W103" i="61" l="1"/>
  <c r="W7" i="61" s="1"/>
  <c r="BI24" i="61"/>
  <c r="X111" i="61"/>
  <c r="W111" i="61"/>
  <c r="AW24" i="61"/>
  <c r="AU24" i="61"/>
  <c r="L103" i="61"/>
  <c r="L7" i="61" s="1"/>
  <c r="I111" i="61"/>
  <c r="K111" i="61"/>
  <c r="AT24" i="61"/>
  <c r="K103" i="61"/>
  <c r="K7" i="61" s="1"/>
  <c r="G111" i="61"/>
  <c r="AP24" i="61"/>
  <c r="AR24" i="61"/>
  <c r="F103" i="61"/>
  <c r="F7" i="61" s="1"/>
  <c r="E103" i="61"/>
  <c r="E7" i="61" s="1"/>
  <c r="D111" i="61"/>
  <c r="U111" i="61"/>
  <c r="M111" i="61"/>
  <c r="B259" i="61"/>
  <c r="E111" i="61"/>
  <c r="G103" i="61"/>
  <c r="G7" i="61" s="1"/>
  <c r="BJ105" i="61"/>
  <c r="BH104" i="61"/>
  <c r="BL102" i="61"/>
  <c r="BJ101" i="61"/>
  <c r="BH100" i="61"/>
  <c r="BL98" i="61"/>
  <c r="BJ97" i="61"/>
  <c r="BH96" i="61"/>
  <c r="BL94" i="61"/>
  <c r="BJ93" i="61"/>
  <c r="BH92" i="61"/>
  <c r="BL90" i="61"/>
  <c r="BJ89" i="61"/>
  <c r="BH88" i="61"/>
  <c r="BL86" i="61"/>
  <c r="BJ85" i="61"/>
  <c r="BH84" i="61"/>
  <c r="BL82" i="61"/>
  <c r="BI105" i="61"/>
  <c r="BG104" i="61"/>
  <c r="BK102" i="61"/>
  <c r="BI101" i="61"/>
  <c r="BG100" i="61"/>
  <c r="BK98" i="61"/>
  <c r="BI97" i="61"/>
  <c r="BG96" i="61"/>
  <c r="BK94" i="61"/>
  <c r="BI93" i="61"/>
  <c r="BG92" i="61"/>
  <c r="BK90" i="61"/>
  <c r="BI89" i="61"/>
  <c r="BG88" i="61"/>
  <c r="BK86" i="61"/>
  <c r="BI85" i="61"/>
  <c r="BG84" i="61"/>
  <c r="BK82" i="61"/>
  <c r="BH105" i="61"/>
  <c r="BL103" i="61"/>
  <c r="BJ102" i="61"/>
  <c r="BH101" i="61"/>
  <c r="BL99" i="61"/>
  <c r="BJ98" i="61"/>
  <c r="BH97" i="61"/>
  <c r="BL95" i="61"/>
  <c r="BJ94" i="61"/>
  <c r="BH93" i="61"/>
  <c r="BL91" i="61"/>
  <c r="BJ90" i="61"/>
  <c r="BH89" i="61"/>
  <c r="BL87" i="61"/>
  <c r="BJ86" i="61"/>
  <c r="BH85" i="61"/>
  <c r="BL83" i="61"/>
  <c r="BJ82" i="61"/>
  <c r="BG105" i="61"/>
  <c r="BK103" i="61"/>
  <c r="BI102" i="61"/>
  <c r="BG101" i="61"/>
  <c r="BK99" i="61"/>
  <c r="BI98" i="61"/>
  <c r="BG97" i="61"/>
  <c r="BK95" i="61"/>
  <c r="BI94" i="61"/>
  <c r="BG93" i="61"/>
  <c r="BK91" i="61"/>
  <c r="BI90" i="61"/>
  <c r="BG89" i="61"/>
  <c r="BK87" i="61"/>
  <c r="BI86" i="61"/>
  <c r="BG85" i="61"/>
  <c r="BK83" i="61"/>
  <c r="BI82" i="61"/>
  <c r="BL105" i="61"/>
  <c r="BJ104" i="61"/>
  <c r="BH103" i="61"/>
  <c r="BL101" i="61"/>
  <c r="BJ100" i="61"/>
  <c r="BH99" i="61"/>
  <c r="BL97" i="61"/>
  <c r="BJ96" i="61"/>
  <c r="BH95" i="61"/>
  <c r="BL93" i="61"/>
  <c r="BJ92" i="61"/>
  <c r="BH91" i="61"/>
  <c r="BL89" i="61"/>
  <c r="BK105" i="61"/>
  <c r="BG102" i="61"/>
  <c r="BH98" i="61"/>
  <c r="BG95" i="61"/>
  <c r="BI91" i="61"/>
  <c r="BI88" i="61"/>
  <c r="BK85" i="61"/>
  <c r="BG83" i="61"/>
  <c r="BL104" i="61"/>
  <c r="BK101" i="61"/>
  <c r="BG98" i="61"/>
  <c r="BH94" i="61"/>
  <c r="BG91" i="61"/>
  <c r="BJ87" i="61"/>
  <c r="BL84" i="61"/>
  <c r="BH82" i="61"/>
  <c r="BK104" i="61"/>
  <c r="BL100" i="61"/>
  <c r="BK97" i="61"/>
  <c r="BG94" i="61"/>
  <c r="BH90" i="61"/>
  <c r="BI87" i="61"/>
  <c r="BK84" i="61"/>
  <c r="BG82" i="61"/>
  <c r="BI104" i="61"/>
  <c r="BK100" i="61"/>
  <c r="BL96" i="61"/>
  <c r="BK93" i="61"/>
  <c r="BG90" i="61"/>
  <c r="BH87" i="61"/>
  <c r="BJ84" i="61"/>
  <c r="BJ103" i="61"/>
  <c r="BI100" i="61"/>
  <c r="BK96" i="61"/>
  <c r="BL92" i="61"/>
  <c r="BK89" i="61"/>
  <c r="BG87" i="61"/>
  <c r="BI84" i="61"/>
  <c r="BI103" i="61"/>
  <c r="BJ99" i="61"/>
  <c r="BI96" i="61"/>
  <c r="BK92" i="61"/>
  <c r="BL88" i="61"/>
  <c r="BH86" i="61"/>
  <c r="BJ83" i="61"/>
  <c r="BH102" i="61"/>
  <c r="BI95" i="61"/>
  <c r="BJ91" i="61"/>
  <c r="BL85" i="61"/>
  <c r="BG103" i="61"/>
  <c r="BI99" i="61"/>
  <c r="BJ95" i="61"/>
  <c r="BI92" i="61"/>
  <c r="BK88" i="61"/>
  <c r="BG86" i="61"/>
  <c r="BI83" i="61"/>
  <c r="BG99" i="61"/>
  <c r="BJ88" i="61"/>
  <c r="BH83" i="61"/>
  <c r="U103" i="61"/>
  <c r="U7" i="61" s="1"/>
  <c r="O111" i="61"/>
  <c r="F249" i="61"/>
  <c r="E255" i="61"/>
  <c r="E121" i="61"/>
  <c r="AM24" i="61"/>
  <c r="AT8" i="61"/>
  <c r="C259" i="61"/>
  <c r="AI110" i="61"/>
  <c r="AI100" i="61"/>
  <c r="AH100" i="61"/>
  <c r="O103" i="61"/>
  <c r="O7" i="61" s="1"/>
  <c r="AH110" i="61"/>
  <c r="BC24" i="61"/>
  <c r="M103" i="61"/>
  <c r="M7" i="61" s="1"/>
  <c r="T61" i="58"/>
  <c r="T65" i="58"/>
  <c r="T79" i="58"/>
  <c r="T83" i="58"/>
  <c r="AT9" i="61" l="1"/>
  <c r="AH111" i="61"/>
  <c r="AI111" i="61"/>
  <c r="AH102" i="61"/>
  <c r="AI102" i="61"/>
  <c r="K6" i="61"/>
  <c r="G249" i="61"/>
  <c r="F255" i="61"/>
  <c r="F121" i="61"/>
  <c r="H249" i="61" l="1"/>
  <c r="G255" i="61"/>
  <c r="G121" i="61"/>
  <c r="AI103" i="61"/>
  <c r="AH103" i="61"/>
  <c r="B7" i="61"/>
  <c r="A7" i="61" s="1"/>
  <c r="I249" i="61" l="1"/>
  <c r="H255" i="61"/>
  <c r="H121" i="61"/>
  <c r="I255" i="61" l="1"/>
  <c r="I121" i="61"/>
  <c r="J249" i="61"/>
  <c r="J255" i="61" l="1"/>
  <c r="J121" i="61"/>
  <c r="K249" i="61"/>
  <c r="K255" i="61" l="1"/>
  <c r="K121" i="61"/>
  <c r="L249" i="61"/>
  <c r="S61" i="58"/>
  <c r="S65" i="58"/>
  <c r="S79" i="58"/>
  <c r="S83" i="58"/>
  <c r="N60" i="58"/>
  <c r="L255" i="61" l="1"/>
  <c r="L121" i="61"/>
  <c r="M249" i="61"/>
  <c r="L60" i="58"/>
  <c r="L61" i="58"/>
  <c r="L65" i="58"/>
  <c r="L79" i="58"/>
  <c r="L83" i="58"/>
  <c r="K124" i="58"/>
  <c r="K60" i="58"/>
  <c r="J124" i="58"/>
  <c r="J60" i="58"/>
  <c r="I124" i="58"/>
  <c r="I60" i="58"/>
  <c r="H124" i="58"/>
  <c r="H60" i="58"/>
  <c r="N249" i="61" l="1"/>
  <c r="M255" i="61"/>
  <c r="M121" i="61"/>
  <c r="O249" i="61" l="1"/>
  <c r="N255" i="61"/>
  <c r="N121" i="61"/>
  <c r="G124" i="58"/>
  <c r="G60" i="58"/>
  <c r="F124" i="58"/>
  <c r="F60" i="58"/>
  <c r="P249" i="61" l="1"/>
  <c r="O255" i="61"/>
  <c r="Q249" i="61" l="1"/>
  <c r="P255" i="61"/>
  <c r="Q255" i="61" l="1"/>
  <c r="Q121" i="61"/>
  <c r="R249" i="61"/>
  <c r="E124" i="58"/>
  <c r="E60" i="58"/>
  <c r="R255" i="61" l="1"/>
  <c r="R121" i="61"/>
  <c r="S249" i="61"/>
  <c r="C121" i="58"/>
  <c r="D121" i="58"/>
  <c r="S255" i="61" l="1"/>
  <c r="S121" i="61"/>
  <c r="T249" i="61"/>
  <c r="AG255" i="58"/>
  <c r="C255" i="58"/>
  <c r="D254" i="58"/>
  <c r="J253" i="58"/>
  <c r="K253" i="58" s="1"/>
  <c r="L253" i="58" s="1"/>
  <c r="M253" i="58" s="1"/>
  <c r="N253" i="58" s="1"/>
  <c r="O253" i="58" s="1"/>
  <c r="P253" i="58" s="1"/>
  <c r="Q253" i="58" s="1"/>
  <c r="R253" i="58" s="1"/>
  <c r="S253" i="58" s="1"/>
  <c r="T253" i="58" s="1"/>
  <c r="U253" i="58" s="1"/>
  <c r="V253" i="58" s="1"/>
  <c r="W253" i="58" s="1"/>
  <c r="X253" i="58" s="1"/>
  <c r="Y253" i="58" s="1"/>
  <c r="Z253" i="58" s="1"/>
  <c r="AA253" i="58" s="1"/>
  <c r="AB253" i="58" s="1"/>
  <c r="AC253" i="58" s="1"/>
  <c r="AD253" i="58" s="1"/>
  <c r="AE253" i="58" s="1"/>
  <c r="AF253" i="58" s="1"/>
  <c r="B253" i="58" s="1"/>
  <c r="D253" i="58"/>
  <c r="E253" i="58" s="1"/>
  <c r="F253" i="58" s="1"/>
  <c r="G253" i="58" s="1"/>
  <c r="H253" i="58" s="1"/>
  <c r="I253" i="58" s="1"/>
  <c r="D252" i="58"/>
  <c r="E252" i="58" s="1"/>
  <c r="F252" i="58" s="1"/>
  <c r="G252" i="58" s="1"/>
  <c r="H252" i="58" s="1"/>
  <c r="I252" i="58" s="1"/>
  <c r="J252" i="58" s="1"/>
  <c r="K252" i="58" s="1"/>
  <c r="L252" i="58" s="1"/>
  <c r="M252" i="58" s="1"/>
  <c r="N252" i="58" s="1"/>
  <c r="O252" i="58" s="1"/>
  <c r="P252" i="58" s="1"/>
  <c r="Q252" i="58" s="1"/>
  <c r="R252" i="58" s="1"/>
  <c r="S252" i="58" s="1"/>
  <c r="T252" i="58" s="1"/>
  <c r="U252" i="58" s="1"/>
  <c r="V252" i="58" s="1"/>
  <c r="W252" i="58" s="1"/>
  <c r="X252" i="58" s="1"/>
  <c r="Y252" i="58" s="1"/>
  <c r="Z252" i="58" s="1"/>
  <c r="AA252" i="58" s="1"/>
  <c r="AB252" i="58" s="1"/>
  <c r="AC252" i="58" s="1"/>
  <c r="AD252" i="58" s="1"/>
  <c r="AE252" i="58" s="1"/>
  <c r="AF252" i="58" s="1"/>
  <c r="B252" i="58" s="1"/>
  <c r="F251" i="58"/>
  <c r="G251" i="58" s="1"/>
  <c r="H251" i="58" s="1"/>
  <c r="I251" i="58" s="1"/>
  <c r="J251" i="58" s="1"/>
  <c r="K251" i="58" s="1"/>
  <c r="L251" i="58" s="1"/>
  <c r="M251" i="58" s="1"/>
  <c r="N251" i="58" s="1"/>
  <c r="O251" i="58" s="1"/>
  <c r="P251" i="58" s="1"/>
  <c r="Q251" i="58" s="1"/>
  <c r="R251" i="58" s="1"/>
  <c r="S251" i="58" s="1"/>
  <c r="T251" i="58" s="1"/>
  <c r="U251" i="58" s="1"/>
  <c r="V251" i="58" s="1"/>
  <c r="W251" i="58" s="1"/>
  <c r="X251" i="58" s="1"/>
  <c r="Y251" i="58" s="1"/>
  <c r="Z251" i="58" s="1"/>
  <c r="AA251" i="58" s="1"/>
  <c r="AB251" i="58" s="1"/>
  <c r="AC251" i="58" s="1"/>
  <c r="AD251" i="58" s="1"/>
  <c r="AE251" i="58" s="1"/>
  <c r="AF251" i="58" s="1"/>
  <c r="B251" i="58" s="1"/>
  <c r="D251" i="58"/>
  <c r="E251" i="58" s="1"/>
  <c r="E250" i="58"/>
  <c r="F250" i="58" s="1"/>
  <c r="G250" i="58" s="1"/>
  <c r="H250" i="58" s="1"/>
  <c r="I250" i="58" s="1"/>
  <c r="J250" i="58" s="1"/>
  <c r="K250" i="58" s="1"/>
  <c r="L250" i="58" s="1"/>
  <c r="M250" i="58" s="1"/>
  <c r="N250" i="58" s="1"/>
  <c r="O250" i="58" s="1"/>
  <c r="P250" i="58" s="1"/>
  <c r="Q250" i="58" s="1"/>
  <c r="R250" i="58" s="1"/>
  <c r="S250" i="58" s="1"/>
  <c r="T250" i="58" s="1"/>
  <c r="U250" i="58" s="1"/>
  <c r="V250" i="58" s="1"/>
  <c r="W250" i="58" s="1"/>
  <c r="X250" i="58" s="1"/>
  <c r="Y250" i="58" s="1"/>
  <c r="Z250" i="58" s="1"/>
  <c r="AA250" i="58" s="1"/>
  <c r="AB250" i="58" s="1"/>
  <c r="AC250" i="58" s="1"/>
  <c r="AD250" i="58" s="1"/>
  <c r="AE250" i="58" s="1"/>
  <c r="AF250" i="58" s="1"/>
  <c r="B250" i="58" s="1"/>
  <c r="D250" i="58"/>
  <c r="D249" i="58"/>
  <c r="D255" i="58" s="1"/>
  <c r="AG247" i="58"/>
  <c r="AF247" i="58"/>
  <c r="AE247" i="58"/>
  <c r="AD247" i="58"/>
  <c r="AC247" i="58"/>
  <c r="AB247" i="58"/>
  <c r="AA247" i="58"/>
  <c r="Z247" i="58"/>
  <c r="Z121" i="58" s="1"/>
  <c r="Y247" i="58"/>
  <c r="Y121" i="58" s="1"/>
  <c r="X247" i="58"/>
  <c r="W247" i="58"/>
  <c r="V247" i="58"/>
  <c r="U247" i="58"/>
  <c r="T247" i="58"/>
  <c r="S247" i="58"/>
  <c r="R247" i="58"/>
  <c r="Q247" i="58"/>
  <c r="P247" i="58"/>
  <c r="O247" i="58"/>
  <c r="N247" i="58"/>
  <c r="M247" i="58"/>
  <c r="L247" i="58"/>
  <c r="K247" i="58"/>
  <c r="J247" i="58"/>
  <c r="I247" i="58"/>
  <c r="H247" i="58"/>
  <c r="G247" i="58"/>
  <c r="F247" i="58"/>
  <c r="E247" i="58"/>
  <c r="D247" i="58"/>
  <c r="C247" i="58"/>
  <c r="B247" i="58"/>
  <c r="AI133" i="58"/>
  <c r="AH133" i="58"/>
  <c r="AI132" i="58"/>
  <c r="AH132" i="58"/>
  <c r="AI131" i="58"/>
  <c r="AH131" i="58"/>
  <c r="AI130" i="58"/>
  <c r="AH130" i="58"/>
  <c r="AI129" i="58"/>
  <c r="AH129" i="58"/>
  <c r="AI126" i="58"/>
  <c r="AH126" i="58"/>
  <c r="AI125" i="58"/>
  <c r="AH125" i="58"/>
  <c r="AI124" i="58"/>
  <c r="AH124" i="58"/>
  <c r="AI123" i="58"/>
  <c r="AH123" i="58"/>
  <c r="AI122" i="58"/>
  <c r="AH122" i="58"/>
  <c r="AI120" i="58"/>
  <c r="AH120" i="58"/>
  <c r="AI119" i="58"/>
  <c r="AH119" i="58"/>
  <c r="AI118" i="58"/>
  <c r="AH118" i="58"/>
  <c r="AI117" i="58"/>
  <c r="AH117" i="58"/>
  <c r="AI116" i="58"/>
  <c r="AH116" i="58"/>
  <c r="AI115" i="58"/>
  <c r="AH115" i="58"/>
  <c r="AI114" i="58"/>
  <c r="AH114" i="58"/>
  <c r="AI113" i="58"/>
  <c r="AH113" i="58"/>
  <c r="AI112" i="58"/>
  <c r="AH112" i="58"/>
  <c r="AI109" i="58"/>
  <c r="AF109" i="58"/>
  <c r="AE109" i="58"/>
  <c r="AD109" i="58"/>
  <c r="AC109" i="58"/>
  <c r="AB109" i="58"/>
  <c r="AA109" i="58"/>
  <c r="Z109" i="58"/>
  <c r="Y109" i="58"/>
  <c r="X109" i="58"/>
  <c r="W109" i="58"/>
  <c r="V109" i="58"/>
  <c r="U109" i="58"/>
  <c r="T109" i="58"/>
  <c r="S109" i="58"/>
  <c r="R109" i="58"/>
  <c r="Q109" i="58"/>
  <c r="P109" i="58"/>
  <c r="O109" i="58"/>
  <c r="N109" i="58"/>
  <c r="M109" i="58"/>
  <c r="L109" i="58"/>
  <c r="K109" i="58"/>
  <c r="J109" i="58"/>
  <c r="I109" i="58"/>
  <c r="H109" i="58"/>
  <c r="G109" i="58"/>
  <c r="F109" i="58"/>
  <c r="E109" i="58"/>
  <c r="D109" i="58"/>
  <c r="C109" i="58"/>
  <c r="B109" i="58"/>
  <c r="AF108" i="58"/>
  <c r="AE108" i="58"/>
  <c r="AD108" i="58"/>
  <c r="AC108" i="58"/>
  <c r="AB108" i="58"/>
  <c r="AA108" i="58"/>
  <c r="Z108" i="58"/>
  <c r="Y108" i="58"/>
  <c r="X108" i="58"/>
  <c r="W108" i="58"/>
  <c r="V108" i="58"/>
  <c r="U108" i="58"/>
  <c r="T108" i="58"/>
  <c r="S108" i="58"/>
  <c r="R108" i="58"/>
  <c r="Q108" i="58"/>
  <c r="P108" i="58"/>
  <c r="O108" i="58"/>
  <c r="N108" i="58"/>
  <c r="M108" i="58"/>
  <c r="L108" i="58"/>
  <c r="K108" i="58"/>
  <c r="J108" i="58"/>
  <c r="I108" i="58"/>
  <c r="H108" i="58"/>
  <c r="G108" i="58"/>
  <c r="F108" i="58"/>
  <c r="E108" i="58"/>
  <c r="D108" i="58"/>
  <c r="C108" i="58"/>
  <c r="B108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C107" i="58"/>
  <c r="B107" i="58"/>
  <c r="AF106" i="58"/>
  <c r="AE106" i="58"/>
  <c r="AD106" i="58"/>
  <c r="AC106" i="58"/>
  <c r="AB106" i="58"/>
  <c r="AA106" i="58"/>
  <c r="Z106" i="58"/>
  <c r="Y106" i="58"/>
  <c r="X106" i="58"/>
  <c r="W106" i="58"/>
  <c r="V106" i="58"/>
  <c r="U106" i="58"/>
  <c r="T106" i="58"/>
  <c r="S106" i="58"/>
  <c r="R106" i="58"/>
  <c r="Q106" i="58"/>
  <c r="P106" i="58"/>
  <c r="O106" i="58"/>
  <c r="N106" i="58"/>
  <c r="M106" i="58"/>
  <c r="L106" i="58"/>
  <c r="K106" i="58"/>
  <c r="J106" i="58"/>
  <c r="I106" i="58"/>
  <c r="I110" i="58" s="1"/>
  <c r="AS23" i="58" s="1"/>
  <c r="H106" i="58"/>
  <c r="G106" i="58"/>
  <c r="F106" i="58"/>
  <c r="E106" i="58"/>
  <c r="D106" i="58"/>
  <c r="C106" i="58"/>
  <c r="B106" i="58"/>
  <c r="AF105" i="58"/>
  <c r="AE105" i="58"/>
  <c r="AD105" i="58"/>
  <c r="AC105" i="58"/>
  <c r="AB105" i="58"/>
  <c r="AA105" i="58"/>
  <c r="Z105" i="58"/>
  <c r="Y105" i="58"/>
  <c r="X105" i="58"/>
  <c r="W105" i="58"/>
  <c r="V105" i="58"/>
  <c r="U105" i="58"/>
  <c r="T105" i="58"/>
  <c r="S105" i="58"/>
  <c r="R105" i="58"/>
  <c r="Q105" i="58"/>
  <c r="P105" i="58"/>
  <c r="O105" i="58"/>
  <c r="N105" i="58"/>
  <c r="M105" i="58"/>
  <c r="L105" i="58"/>
  <c r="K105" i="58"/>
  <c r="J105" i="58"/>
  <c r="I105" i="58"/>
  <c r="H105" i="58"/>
  <c r="G105" i="58"/>
  <c r="F105" i="58"/>
  <c r="E105" i="58"/>
  <c r="D105" i="58"/>
  <c r="C105" i="58"/>
  <c r="B105" i="58"/>
  <c r="AF104" i="58"/>
  <c r="AE104" i="58"/>
  <c r="AD104" i="58"/>
  <c r="AC104" i="58"/>
  <c r="AB104" i="58"/>
  <c r="AA104" i="58"/>
  <c r="Z104" i="58"/>
  <c r="Y104" i="58"/>
  <c r="Y110" i="58" s="1"/>
  <c r="X104" i="58"/>
  <c r="W104" i="58"/>
  <c r="V104" i="58"/>
  <c r="U104" i="58"/>
  <c r="T104" i="58"/>
  <c r="S104" i="58"/>
  <c r="R104" i="58"/>
  <c r="Q104" i="58"/>
  <c r="Q110" i="58" s="1"/>
  <c r="P104" i="58"/>
  <c r="O104" i="58"/>
  <c r="N104" i="58"/>
  <c r="M104" i="58"/>
  <c r="L104" i="58"/>
  <c r="K104" i="58"/>
  <c r="J104" i="58"/>
  <c r="I104" i="58"/>
  <c r="H104" i="58"/>
  <c r="H110" i="58" s="1"/>
  <c r="G104" i="58"/>
  <c r="F104" i="58"/>
  <c r="E104" i="58"/>
  <c r="D104" i="58"/>
  <c r="C104" i="58"/>
  <c r="B104" i="58"/>
  <c r="AI101" i="58"/>
  <c r="AH101" i="58"/>
  <c r="AI99" i="58"/>
  <c r="AH99" i="58"/>
  <c r="AG99" i="58"/>
  <c r="AI98" i="58"/>
  <c r="AH98" i="58"/>
  <c r="AI97" i="58"/>
  <c r="AH97" i="58"/>
  <c r="AI96" i="58"/>
  <c r="AH96" i="58"/>
  <c r="AG95" i="58"/>
  <c r="AF95" i="58"/>
  <c r="AE95" i="58"/>
  <c r="AD95" i="58"/>
  <c r="AC95" i="58"/>
  <c r="AB5" i="58" s="1"/>
  <c r="AB95" i="58"/>
  <c r="BG19" i="58" s="1"/>
  <c r="AA95" i="58"/>
  <c r="Z5" i="58" s="1"/>
  <c r="Z95" i="58"/>
  <c r="BF19" i="58" s="1"/>
  <c r="Y95" i="58"/>
  <c r="Y100" i="58" s="1"/>
  <c r="Y102" i="58" s="1"/>
  <c r="X95" i="58"/>
  <c r="W95" i="58"/>
  <c r="V95" i="58"/>
  <c r="BD19" i="58" s="1"/>
  <c r="U95" i="58"/>
  <c r="T95" i="58"/>
  <c r="T100" i="58" s="1"/>
  <c r="T102" i="58" s="1"/>
  <c r="S95" i="58"/>
  <c r="BA19" i="58" s="1"/>
  <c r="R95" i="58"/>
  <c r="Q5" i="58" s="1"/>
  <c r="Q95" i="58"/>
  <c r="P95" i="58"/>
  <c r="O95" i="58"/>
  <c r="N5" i="58" s="1"/>
  <c r="N95" i="58"/>
  <c r="M95" i="58"/>
  <c r="L5" i="58" s="1"/>
  <c r="L95" i="58"/>
  <c r="K95" i="58"/>
  <c r="J95" i="58"/>
  <c r="I95" i="58"/>
  <c r="H95" i="58"/>
  <c r="G5" i="58" s="1"/>
  <c r="G95" i="58"/>
  <c r="F5" i="58" s="1"/>
  <c r="F95" i="58"/>
  <c r="E5" i="58" s="1"/>
  <c r="E95" i="58"/>
  <c r="D5" i="58" s="1"/>
  <c r="D95" i="58"/>
  <c r="C5" i="58" s="1"/>
  <c r="C95" i="58"/>
  <c r="B95" i="58"/>
  <c r="AM19" i="58" s="1"/>
  <c r="AI94" i="58"/>
  <c r="AH94" i="58"/>
  <c r="AI93" i="58"/>
  <c r="AH93" i="58"/>
  <c r="AI92" i="58"/>
  <c r="AH92" i="58"/>
  <c r="AI91" i="58"/>
  <c r="AH91" i="58"/>
  <c r="AI90" i="58"/>
  <c r="AH90" i="58"/>
  <c r="AI89" i="58"/>
  <c r="AH89" i="58"/>
  <c r="AI88" i="58"/>
  <c r="AH88" i="58"/>
  <c r="AI87" i="58"/>
  <c r="AH87" i="58"/>
  <c r="AI86" i="58"/>
  <c r="AH86" i="58"/>
  <c r="AI85" i="58"/>
  <c r="AH85" i="58"/>
  <c r="AI84" i="58"/>
  <c r="AH84" i="58"/>
  <c r="AG83" i="58"/>
  <c r="AE83" i="58"/>
  <c r="AD83" i="58"/>
  <c r="AC83" i="58"/>
  <c r="AB83" i="58"/>
  <c r="BC20" i="58"/>
  <c r="R83" i="58"/>
  <c r="AZ20" i="58" s="1"/>
  <c r="Q83" i="58"/>
  <c r="P83" i="58"/>
  <c r="O83" i="58"/>
  <c r="N83" i="58"/>
  <c r="M83" i="58"/>
  <c r="AU20" i="58" s="1"/>
  <c r="K83" i="58"/>
  <c r="AT20" i="58" s="1"/>
  <c r="J83" i="58"/>
  <c r="I83" i="58"/>
  <c r="H83" i="58"/>
  <c r="G83" i="58"/>
  <c r="F83" i="58"/>
  <c r="E83" i="58"/>
  <c r="AP20" i="58" s="1"/>
  <c r="AI82" i="58"/>
  <c r="AH82" i="58"/>
  <c r="AI81" i="58"/>
  <c r="AH81" i="58"/>
  <c r="AI80" i="58"/>
  <c r="AH80" i="58"/>
  <c r="AD79" i="58"/>
  <c r="AC79" i="58"/>
  <c r="AB79" i="58"/>
  <c r="BA18" i="58"/>
  <c r="R79" i="58"/>
  <c r="AZ18" i="58" s="1"/>
  <c r="Q79" i="58"/>
  <c r="P79" i="58"/>
  <c r="O79" i="58"/>
  <c r="N79" i="58"/>
  <c r="AV18" i="58" s="1"/>
  <c r="M79" i="58"/>
  <c r="AU18" i="58" s="1"/>
  <c r="K79" i="58"/>
  <c r="AT18" i="58" s="1"/>
  <c r="J79" i="58"/>
  <c r="I79" i="58"/>
  <c r="AS18" i="58" s="1"/>
  <c r="H79" i="58"/>
  <c r="G79" i="58"/>
  <c r="AR18" i="58" s="1"/>
  <c r="F79" i="58"/>
  <c r="AQ18" i="58" s="1"/>
  <c r="E79" i="58"/>
  <c r="BN78" i="58"/>
  <c r="BM78" i="58"/>
  <c r="BF78" i="58"/>
  <c r="BE78" i="58"/>
  <c r="AZ78" i="58"/>
  <c r="AI78" i="58"/>
  <c r="AH78" i="58"/>
  <c r="AG78" i="58"/>
  <c r="AG79" i="58" s="1"/>
  <c r="BW77" i="58"/>
  <c r="BT77" i="58"/>
  <c r="BQ77" i="58"/>
  <c r="BP77" i="58"/>
  <c r="BO77" i="58"/>
  <c r="BL77" i="58"/>
  <c r="BI77" i="58"/>
  <c r="BD77" i="58"/>
  <c r="BC77" i="58"/>
  <c r="AI77" i="58"/>
  <c r="AH77" i="58"/>
  <c r="BS76" i="58"/>
  <c r="BR76" i="58"/>
  <c r="BQ76" i="58"/>
  <c r="BN76" i="58"/>
  <c r="BK76" i="58"/>
  <c r="BF76" i="58"/>
  <c r="BE76" i="58"/>
  <c r="AI76" i="58"/>
  <c r="AH76" i="58"/>
  <c r="BT75" i="58"/>
  <c r="BS75" i="58"/>
  <c r="BH75" i="58"/>
  <c r="AZ75" i="58"/>
  <c r="AI75" i="58"/>
  <c r="AH75" i="58"/>
  <c r="BW74" i="58"/>
  <c r="BU74" i="58"/>
  <c r="BK74" i="58"/>
  <c r="BJ74" i="58"/>
  <c r="BF74" i="58"/>
  <c r="BE74" i="58"/>
  <c r="BC74" i="58"/>
  <c r="BB74" i="58"/>
  <c r="AI74" i="58"/>
  <c r="AH74" i="58"/>
  <c r="BT73" i="58"/>
  <c r="BH73" i="58"/>
  <c r="BD73" i="58"/>
  <c r="AI73" i="58"/>
  <c r="AH73" i="58"/>
  <c r="AI72" i="58"/>
  <c r="AH72" i="58"/>
  <c r="BW71" i="58"/>
  <c r="BW78" i="58" s="1"/>
  <c r="BV71" i="58"/>
  <c r="BV78" i="58" s="1"/>
  <c r="BU71" i="58"/>
  <c r="BU78" i="58" s="1"/>
  <c r="BT71" i="58"/>
  <c r="BT78" i="58" s="1"/>
  <c r="BS71" i="58"/>
  <c r="BS78" i="58" s="1"/>
  <c r="BR71" i="58"/>
  <c r="BR78" i="58" s="1"/>
  <c r="BQ71" i="58"/>
  <c r="BQ78" i="58" s="1"/>
  <c r="BP71" i="58"/>
  <c r="BP78" i="58" s="1"/>
  <c r="BO71" i="58"/>
  <c r="BO78" i="58" s="1"/>
  <c r="BN71" i="58"/>
  <c r="BM71" i="58"/>
  <c r="BL71" i="58"/>
  <c r="BL78" i="58" s="1"/>
  <c r="BK71" i="58"/>
  <c r="BK78" i="58" s="1"/>
  <c r="BJ71" i="58"/>
  <c r="BJ78" i="58" s="1"/>
  <c r="BI71" i="58"/>
  <c r="BI78" i="58" s="1"/>
  <c r="BH71" i="58"/>
  <c r="BH78" i="58" s="1"/>
  <c r="BG71" i="58"/>
  <c r="BG78" i="58" s="1"/>
  <c r="BF71" i="58"/>
  <c r="BE71" i="58"/>
  <c r="BD71" i="58"/>
  <c r="BD78" i="58" s="1"/>
  <c r="BC71" i="58"/>
  <c r="BC78" i="58" s="1"/>
  <c r="BB71" i="58"/>
  <c r="BB78" i="58" s="1"/>
  <c r="BA71" i="58"/>
  <c r="BA78" i="58" s="1"/>
  <c r="AZ71" i="58"/>
  <c r="AI71" i="58"/>
  <c r="AH71" i="58"/>
  <c r="BW70" i="58"/>
  <c r="BV70" i="58"/>
  <c r="BV77" i="58" s="1"/>
  <c r="BU70" i="58"/>
  <c r="BU77" i="58" s="1"/>
  <c r="BT70" i="58"/>
  <c r="BS70" i="58"/>
  <c r="BS77" i="58" s="1"/>
  <c r="BR70" i="58"/>
  <c r="BR77" i="58" s="1"/>
  <c r="BQ70" i="58"/>
  <c r="BP70" i="58"/>
  <c r="BO70" i="58"/>
  <c r="BN70" i="58"/>
  <c r="BN77" i="58" s="1"/>
  <c r="BM70" i="58"/>
  <c r="BM77" i="58" s="1"/>
  <c r="BL70" i="58"/>
  <c r="BK70" i="58"/>
  <c r="BK77" i="58" s="1"/>
  <c r="BJ70" i="58"/>
  <c r="BJ77" i="58" s="1"/>
  <c r="BI70" i="58"/>
  <c r="BH70" i="58"/>
  <c r="BH77" i="58" s="1"/>
  <c r="BG70" i="58"/>
  <c r="BG77" i="58" s="1"/>
  <c r="BF70" i="58"/>
  <c r="BF77" i="58" s="1"/>
  <c r="BE70" i="58"/>
  <c r="BE77" i="58" s="1"/>
  <c r="BD70" i="58"/>
  <c r="BC70" i="58"/>
  <c r="BB70" i="58"/>
  <c r="BB77" i="58" s="1"/>
  <c r="BA70" i="58"/>
  <c r="BA77" i="58" s="1"/>
  <c r="AZ70" i="58"/>
  <c r="AZ77" i="58" s="1"/>
  <c r="AI70" i="58"/>
  <c r="AH70" i="58"/>
  <c r="BW69" i="58"/>
  <c r="BW76" i="58" s="1"/>
  <c r="BV69" i="58"/>
  <c r="BV76" i="58" s="1"/>
  <c r="BU69" i="58"/>
  <c r="BU76" i="58" s="1"/>
  <c r="BT69" i="58"/>
  <c r="BT76" i="58" s="1"/>
  <c r="BS69" i="58"/>
  <c r="BR69" i="58"/>
  <c r="BQ69" i="58"/>
  <c r="BP69" i="58"/>
  <c r="BP76" i="58" s="1"/>
  <c r="BO69" i="58"/>
  <c r="BO76" i="58" s="1"/>
  <c r="BN69" i="58"/>
  <c r="BM69" i="58"/>
  <c r="BM76" i="58" s="1"/>
  <c r="BL69" i="58"/>
  <c r="BL76" i="58" s="1"/>
  <c r="BK69" i="58"/>
  <c r="BJ69" i="58"/>
  <c r="BJ76" i="58" s="1"/>
  <c r="BI69" i="58"/>
  <c r="BI76" i="58" s="1"/>
  <c r="BH69" i="58"/>
  <c r="BH76" i="58" s="1"/>
  <c r="BG69" i="58"/>
  <c r="BG76" i="58" s="1"/>
  <c r="BF69" i="58"/>
  <c r="BE69" i="58"/>
  <c r="BD69" i="58"/>
  <c r="BD76" i="58" s="1"/>
  <c r="BC69" i="58"/>
  <c r="BC76" i="58" s="1"/>
  <c r="BB69" i="58"/>
  <c r="BB76" i="58" s="1"/>
  <c r="BA69" i="58"/>
  <c r="BA76" i="58" s="1"/>
  <c r="AZ69" i="58"/>
  <c r="AZ76" i="58" s="1"/>
  <c r="AI69" i="58"/>
  <c r="AH69" i="58"/>
  <c r="BW68" i="58"/>
  <c r="BW75" i="58" s="1"/>
  <c r="BV68" i="58"/>
  <c r="BV75" i="58" s="1"/>
  <c r="BU68" i="58"/>
  <c r="BU75" i="58" s="1"/>
  <c r="BT68" i="58"/>
  <c r="BS68" i="58"/>
  <c r="BR68" i="58"/>
  <c r="BR75" i="58" s="1"/>
  <c r="BQ68" i="58"/>
  <c r="BQ75" i="58" s="1"/>
  <c r="BP68" i="58"/>
  <c r="BP75" i="58" s="1"/>
  <c r="BO68" i="58"/>
  <c r="BO75" i="58" s="1"/>
  <c r="BN68" i="58"/>
  <c r="BN75" i="58" s="1"/>
  <c r="BM68" i="58"/>
  <c r="BM75" i="58" s="1"/>
  <c r="BL68" i="58"/>
  <c r="BL75" i="58" s="1"/>
  <c r="BK68" i="58"/>
  <c r="BK75" i="58" s="1"/>
  <c r="BJ68" i="58"/>
  <c r="BJ75" i="58" s="1"/>
  <c r="BI68" i="58"/>
  <c r="BI75" i="58" s="1"/>
  <c r="BH68" i="58"/>
  <c r="BG68" i="58"/>
  <c r="BG75" i="58" s="1"/>
  <c r="BF68" i="58"/>
  <c r="BF75" i="58" s="1"/>
  <c r="BE68" i="58"/>
  <c r="BE75" i="58" s="1"/>
  <c r="BD68" i="58"/>
  <c r="BD75" i="58" s="1"/>
  <c r="BC68" i="58"/>
  <c r="BC75" i="58" s="1"/>
  <c r="BB68" i="58"/>
  <c r="BB75" i="58" s="1"/>
  <c r="BA68" i="58"/>
  <c r="BA75" i="58" s="1"/>
  <c r="AZ68" i="58"/>
  <c r="AI68" i="58"/>
  <c r="AH68" i="58"/>
  <c r="BW67" i="58"/>
  <c r="BV67" i="58"/>
  <c r="BV74" i="58" s="1"/>
  <c r="BU67" i="58"/>
  <c r="BT67" i="58"/>
  <c r="BT74" i="58" s="1"/>
  <c r="BS67" i="58"/>
  <c r="BS74" i="58" s="1"/>
  <c r="BR67" i="58"/>
  <c r="BR74" i="58" s="1"/>
  <c r="BQ67" i="58"/>
  <c r="BQ74" i="58" s="1"/>
  <c r="BP67" i="58"/>
  <c r="BP74" i="58" s="1"/>
  <c r="BO67" i="58"/>
  <c r="BO74" i="58" s="1"/>
  <c r="BN67" i="58"/>
  <c r="BN74" i="58" s="1"/>
  <c r="BM67" i="58"/>
  <c r="BM74" i="58" s="1"/>
  <c r="BL67" i="58"/>
  <c r="BL74" i="58" s="1"/>
  <c r="BK67" i="58"/>
  <c r="BJ67" i="58"/>
  <c r="BI67" i="58"/>
  <c r="BI74" i="58" s="1"/>
  <c r="BH67" i="58"/>
  <c r="BH74" i="58" s="1"/>
  <c r="BG67" i="58"/>
  <c r="BG74" i="58" s="1"/>
  <c r="BF67" i="58"/>
  <c r="BE67" i="58"/>
  <c r="BD67" i="58"/>
  <c r="BD74" i="58" s="1"/>
  <c r="BC67" i="58"/>
  <c r="BB67" i="58"/>
  <c r="BA67" i="58"/>
  <c r="BA74" i="58" s="1"/>
  <c r="AZ67" i="58"/>
  <c r="AZ74" i="58" s="1"/>
  <c r="AI67" i="58"/>
  <c r="AH67" i="58"/>
  <c r="BW66" i="58"/>
  <c r="BW73" i="58" s="1"/>
  <c r="BV66" i="58"/>
  <c r="BV73" i="58" s="1"/>
  <c r="BU66" i="58"/>
  <c r="BU73" i="58" s="1"/>
  <c r="BT66" i="58"/>
  <c r="BS66" i="58"/>
  <c r="BS73" i="58" s="1"/>
  <c r="BR66" i="58"/>
  <c r="BR73" i="58" s="1"/>
  <c r="BQ66" i="58"/>
  <c r="BQ73" i="58" s="1"/>
  <c r="BP66" i="58"/>
  <c r="BP73" i="58" s="1"/>
  <c r="BO66" i="58"/>
  <c r="BO73" i="58" s="1"/>
  <c r="BN66" i="58"/>
  <c r="BN73" i="58" s="1"/>
  <c r="BM66" i="58"/>
  <c r="BM73" i="58" s="1"/>
  <c r="BL66" i="58"/>
  <c r="BL73" i="58" s="1"/>
  <c r="BK66" i="58"/>
  <c r="BK73" i="58" s="1"/>
  <c r="BJ66" i="58"/>
  <c r="BJ73" i="58" s="1"/>
  <c r="BI66" i="58"/>
  <c r="BI73" i="58" s="1"/>
  <c r="BH66" i="58"/>
  <c r="BG66" i="58"/>
  <c r="BG73" i="58" s="1"/>
  <c r="BF66" i="58"/>
  <c r="BF73" i="58" s="1"/>
  <c r="BE66" i="58"/>
  <c r="BE73" i="58" s="1"/>
  <c r="BD66" i="58"/>
  <c r="BC66" i="58"/>
  <c r="BC73" i="58" s="1"/>
  <c r="BB66" i="58"/>
  <c r="BB73" i="58" s="1"/>
  <c r="BA66" i="58"/>
  <c r="BA73" i="58" s="1"/>
  <c r="AZ66" i="58"/>
  <c r="AZ73" i="58" s="1"/>
  <c r="AI66" i="58"/>
  <c r="AH66" i="58"/>
  <c r="AG65" i="58"/>
  <c r="BJ17" i="58"/>
  <c r="BI17" i="58"/>
  <c r="AD65" i="58"/>
  <c r="AC65" i="58"/>
  <c r="AB65" i="58"/>
  <c r="BG17" i="58" s="1"/>
  <c r="BE17" i="58"/>
  <c r="BD17" i="58"/>
  <c r="BB17" i="58"/>
  <c r="BA17" i="58"/>
  <c r="R65" i="58"/>
  <c r="Q65" i="58"/>
  <c r="P65" i="58"/>
  <c r="AX17" i="58" s="1"/>
  <c r="O65" i="58"/>
  <c r="N65" i="58"/>
  <c r="AV17" i="58" s="1"/>
  <c r="M65" i="58"/>
  <c r="AU17" i="58" s="1"/>
  <c r="K65" i="58"/>
  <c r="AT17" i="58" s="1"/>
  <c r="J65" i="58"/>
  <c r="I65" i="58"/>
  <c r="AS17" i="58" s="1"/>
  <c r="H65" i="58"/>
  <c r="G65" i="58"/>
  <c r="F65" i="58"/>
  <c r="E65" i="58"/>
  <c r="AO17" i="58"/>
  <c r="AN17" i="58"/>
  <c r="AI64" i="58"/>
  <c r="AH64" i="58"/>
  <c r="AI63" i="58"/>
  <c r="AH63" i="58"/>
  <c r="AI62" i="58"/>
  <c r="AH62" i="58"/>
  <c r="AG61" i="58"/>
  <c r="AG100" i="58" s="1"/>
  <c r="AD61" i="58"/>
  <c r="BH16" i="58" s="1"/>
  <c r="AC61" i="58"/>
  <c r="AB61" i="58"/>
  <c r="W100" i="58"/>
  <c r="W102" i="58" s="1"/>
  <c r="BD16" i="58"/>
  <c r="R61" i="58"/>
  <c r="Q61" i="58"/>
  <c r="Q100" i="58" s="1"/>
  <c r="Q102" i="58" s="1"/>
  <c r="P61" i="58"/>
  <c r="O61" i="58"/>
  <c r="AW16" i="58" s="1"/>
  <c r="N61" i="58"/>
  <c r="AV16" i="58" s="1"/>
  <c r="M61" i="58"/>
  <c r="AU16" i="58" s="1"/>
  <c r="L100" i="58"/>
  <c r="L102" i="58" s="1"/>
  <c r="K61" i="58"/>
  <c r="J61" i="58"/>
  <c r="I61" i="58"/>
  <c r="H61" i="58"/>
  <c r="G61" i="58"/>
  <c r="G100" i="58" s="1"/>
  <c r="G102" i="58" s="1"/>
  <c r="F61" i="58"/>
  <c r="AQ16" i="58" s="1"/>
  <c r="E61" i="58"/>
  <c r="AP16" i="58" s="1"/>
  <c r="D100" i="58"/>
  <c r="D102" i="58" s="1"/>
  <c r="AI60" i="58"/>
  <c r="AH60" i="58"/>
  <c r="AI59" i="58"/>
  <c r="AH59" i="58"/>
  <c r="AI58" i="58"/>
  <c r="AH58" i="58"/>
  <c r="AI57" i="58"/>
  <c r="AH57" i="58"/>
  <c r="AI56" i="58"/>
  <c r="AH56" i="58"/>
  <c r="AI55" i="58"/>
  <c r="AH55" i="58"/>
  <c r="AI54" i="58"/>
  <c r="AH54" i="58"/>
  <c r="AI53" i="58"/>
  <c r="AH53" i="58"/>
  <c r="AI52" i="58"/>
  <c r="AH52" i="58"/>
  <c r="AI51" i="58"/>
  <c r="AH51" i="58"/>
  <c r="AI50" i="58"/>
  <c r="AH50" i="58"/>
  <c r="AI49" i="58"/>
  <c r="AH49" i="58"/>
  <c r="AI48" i="58"/>
  <c r="AH48" i="58"/>
  <c r="AI47" i="58"/>
  <c r="AH47" i="58"/>
  <c r="AI46" i="58"/>
  <c r="AH46" i="58"/>
  <c r="AI45" i="58"/>
  <c r="AH45" i="58"/>
  <c r="AI44" i="58"/>
  <c r="AH44" i="58"/>
  <c r="AI43" i="58"/>
  <c r="AH43" i="58"/>
  <c r="AI42" i="58"/>
  <c r="AH42" i="58"/>
  <c r="AI41" i="58"/>
  <c r="AH41" i="58"/>
  <c r="AI40" i="58"/>
  <c r="AH40" i="58"/>
  <c r="AI39" i="58"/>
  <c r="AH39" i="58"/>
  <c r="AI38" i="58"/>
  <c r="AH38" i="58"/>
  <c r="AI37" i="58"/>
  <c r="AH37" i="58"/>
  <c r="AI36" i="58"/>
  <c r="AH36" i="58"/>
  <c r="AI35" i="58"/>
  <c r="AH35" i="58"/>
  <c r="AI34" i="58"/>
  <c r="AH34" i="58"/>
  <c r="AI33" i="58"/>
  <c r="AH33" i="58"/>
  <c r="AI32" i="58"/>
  <c r="AH32" i="58"/>
  <c r="AI31" i="58"/>
  <c r="AH31" i="58"/>
  <c r="AI30" i="58"/>
  <c r="AH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AI23" i="58"/>
  <c r="AH23" i="58"/>
  <c r="AI22" i="58"/>
  <c r="AH22" i="58"/>
  <c r="BJ21" i="58"/>
  <c r="BI21" i="58"/>
  <c r="BH21" i="58"/>
  <c r="BG21" i="58"/>
  <c r="BF21" i="58"/>
  <c r="BE21" i="58"/>
  <c r="BD21" i="58"/>
  <c r="BC21" i="58"/>
  <c r="BB21" i="58"/>
  <c r="BA21" i="58"/>
  <c r="AZ21" i="58"/>
  <c r="AY21" i="58"/>
  <c r="AX21" i="58"/>
  <c r="AW21" i="58"/>
  <c r="AV21" i="58"/>
  <c r="AU21" i="58"/>
  <c r="AT21" i="58"/>
  <c r="AS21" i="58"/>
  <c r="AR21" i="58"/>
  <c r="AQ21" i="58"/>
  <c r="AP21" i="58"/>
  <c r="AO21" i="58"/>
  <c r="AN21" i="58"/>
  <c r="AM21" i="58"/>
  <c r="AI21" i="58"/>
  <c r="AH21" i="58"/>
  <c r="BJ20" i="58"/>
  <c r="BH20" i="58"/>
  <c r="BG20" i="58"/>
  <c r="BF20" i="58"/>
  <c r="BE20" i="58"/>
  <c r="BD20" i="58"/>
  <c r="BB20" i="58"/>
  <c r="BA20" i="58"/>
  <c r="AY20" i="58"/>
  <c r="AX20" i="58"/>
  <c r="AW20" i="58"/>
  <c r="AV20" i="58"/>
  <c r="AS20" i="58"/>
  <c r="AR20" i="58"/>
  <c r="AQ20" i="58"/>
  <c r="AO20" i="58"/>
  <c r="AN20" i="58"/>
  <c r="AM20" i="58"/>
  <c r="AI20" i="58"/>
  <c r="AH20" i="58"/>
  <c r="BJ19" i="58"/>
  <c r="BI19" i="58"/>
  <c r="BH19" i="58"/>
  <c r="BE19" i="58"/>
  <c r="BB19" i="58"/>
  <c r="AY19" i="58"/>
  <c r="AX19" i="58"/>
  <c r="AV19" i="58"/>
  <c r="AT19" i="58"/>
  <c r="AP19" i="58"/>
  <c r="AN19" i="58"/>
  <c r="AI19" i="58"/>
  <c r="AH19" i="58"/>
  <c r="BJ18" i="58"/>
  <c r="BI18" i="58"/>
  <c r="BH18" i="58"/>
  <c r="BG18" i="58"/>
  <c r="BF18" i="58"/>
  <c r="BE18" i="58"/>
  <c r="BD18" i="58"/>
  <c r="BC18" i="58"/>
  <c r="BB18" i="58"/>
  <c r="AY18" i="58"/>
  <c r="AX18" i="58"/>
  <c r="AW18" i="58"/>
  <c r="AP18" i="58"/>
  <c r="AO18" i="58"/>
  <c r="AM18" i="58"/>
  <c r="AI18" i="58"/>
  <c r="AH18" i="58"/>
  <c r="BH17" i="58"/>
  <c r="BF17" i="58"/>
  <c r="BC17" i="58"/>
  <c r="AZ17" i="58"/>
  <c r="AY17" i="58"/>
  <c r="AW17" i="58"/>
  <c r="AR17" i="58"/>
  <c r="AQ17" i="58"/>
  <c r="AP17" i="58"/>
  <c r="AM17" i="58"/>
  <c r="AI17" i="58"/>
  <c r="AH17" i="58"/>
  <c r="BF16" i="58"/>
  <c r="BC16" i="58"/>
  <c r="BA16" i="58"/>
  <c r="AZ16" i="58"/>
  <c r="AT16" i="58"/>
  <c r="AS16" i="58"/>
  <c r="AO16" i="58"/>
  <c r="AN16" i="58"/>
  <c r="AM16" i="58"/>
  <c r="AI16" i="58"/>
  <c r="AH16" i="58"/>
  <c r="AI15" i="58"/>
  <c r="AH15" i="58"/>
  <c r="AI14" i="58"/>
  <c r="AH14" i="58"/>
  <c r="AI13" i="58"/>
  <c r="AH13" i="58"/>
  <c r="AL12" i="58"/>
  <c r="AI12" i="58"/>
  <c r="AH12" i="58"/>
  <c r="AI11" i="58"/>
  <c r="AH11" i="58"/>
  <c r="AE5" i="58"/>
  <c r="AD5" i="58"/>
  <c r="AC5" i="58"/>
  <c r="W5" i="58"/>
  <c r="V5" i="58"/>
  <c r="S5" i="58"/>
  <c r="P5" i="58"/>
  <c r="O5" i="58"/>
  <c r="M5" i="58"/>
  <c r="K5" i="58"/>
  <c r="J5" i="58"/>
  <c r="I5" i="58"/>
  <c r="B5" i="58"/>
  <c r="AG4" i="58"/>
  <c r="K4" i="58"/>
  <c r="E4" i="58"/>
  <c r="H4" i="58" s="1"/>
  <c r="B4" i="58"/>
  <c r="D261" i="58" s="1"/>
  <c r="AG3" i="58"/>
  <c r="AF61" i="57"/>
  <c r="AF65" i="57"/>
  <c r="AF79" i="57"/>
  <c r="AF83" i="57"/>
  <c r="AE61" i="57"/>
  <c r="AE65" i="57"/>
  <c r="AE79" i="57"/>
  <c r="AE83" i="57"/>
  <c r="T255" i="61" l="1"/>
  <c r="T121" i="61"/>
  <c r="U249" i="61"/>
  <c r="AF110" i="58"/>
  <c r="BJ23" i="58" s="1"/>
  <c r="AE100" i="58"/>
  <c r="AE102" i="58" s="1"/>
  <c r="BI20" i="58"/>
  <c r="BH22" i="58"/>
  <c r="AC110" i="58"/>
  <c r="AC111" i="58" s="1"/>
  <c r="AA5" i="58"/>
  <c r="AB100" i="58"/>
  <c r="AB102" i="58" s="1"/>
  <c r="BF22" i="58"/>
  <c r="Y5" i="58"/>
  <c r="Z110" i="58"/>
  <c r="BF23" i="58" s="1"/>
  <c r="X5" i="58"/>
  <c r="Y103" i="58"/>
  <c r="Y7" i="58" s="1"/>
  <c r="Y111" i="58"/>
  <c r="X110" i="58"/>
  <c r="X111" i="58" s="1"/>
  <c r="BD22" i="58"/>
  <c r="U5" i="58"/>
  <c r="U110" i="58"/>
  <c r="BC23" i="58" s="1"/>
  <c r="T5" i="58"/>
  <c r="BC19" i="58"/>
  <c r="BC22" i="58" s="1"/>
  <c r="BC24" i="58" s="1"/>
  <c r="R5" i="58"/>
  <c r="R110" i="58"/>
  <c r="AZ23" i="58" s="1"/>
  <c r="R111" i="58"/>
  <c r="Q103" i="58"/>
  <c r="Q7" i="58" s="1"/>
  <c r="BI16" i="58"/>
  <c r="BI22" i="58" s="1"/>
  <c r="AY16" i="58"/>
  <c r="P110" i="58"/>
  <c r="AX23" i="58" s="1"/>
  <c r="AW19" i="58"/>
  <c r="AW22" i="58"/>
  <c r="O100" i="58"/>
  <c r="O102" i="58" s="1"/>
  <c r="AV22" i="58"/>
  <c r="N100" i="58"/>
  <c r="N102" i="58" s="1"/>
  <c r="M110" i="58"/>
  <c r="AU23" i="58" s="1"/>
  <c r="AU19" i="58"/>
  <c r="M111" i="58"/>
  <c r="AO19" i="58"/>
  <c r="AO22" i="58" s="1"/>
  <c r="AT22" i="58"/>
  <c r="J110" i="58"/>
  <c r="I111" i="58"/>
  <c r="AS19" i="58"/>
  <c r="H5" i="58"/>
  <c r="I100" i="58"/>
  <c r="I102" i="58" s="1"/>
  <c r="I103" i="58" s="1"/>
  <c r="I7" i="58" s="1"/>
  <c r="AH65" i="58"/>
  <c r="H111" i="58"/>
  <c r="H100" i="58"/>
  <c r="H102" i="58" s="1"/>
  <c r="H103" i="58" s="1"/>
  <c r="H7" i="58" s="1"/>
  <c r="AR19" i="58"/>
  <c r="AR16" i="58"/>
  <c r="AR22" i="58" s="1"/>
  <c r="AQ19" i="58"/>
  <c r="AQ22" i="58"/>
  <c r="F100" i="58"/>
  <c r="F102" i="58" s="1"/>
  <c r="AI79" i="58"/>
  <c r="AP22" i="58"/>
  <c r="AI106" i="58"/>
  <c r="AI105" i="58"/>
  <c r="BG82" i="58" a="1"/>
  <c r="BH93" i="58" s="1"/>
  <c r="AM22" i="58"/>
  <c r="BA22" i="58"/>
  <c r="P100" i="58"/>
  <c r="P102" i="58" s="1"/>
  <c r="P103" i="58" s="1"/>
  <c r="P7" i="58" s="1"/>
  <c r="AX16" i="58"/>
  <c r="AX22" i="58" s="1"/>
  <c r="AX24" i="58" s="1"/>
  <c r="X100" i="58"/>
  <c r="X102" i="58" s="1"/>
  <c r="X103" i="58" s="1"/>
  <c r="X7" i="58" s="1"/>
  <c r="BE16" i="58"/>
  <c r="BE22" i="58" s="1"/>
  <c r="AF100" i="58"/>
  <c r="AF102" i="58" s="1"/>
  <c r="AF103" i="58" s="1"/>
  <c r="AF7" i="58" s="1"/>
  <c r="BJ16" i="58"/>
  <c r="BJ22" i="58" s="1"/>
  <c r="BJ24" i="58" s="1"/>
  <c r="AN18" i="58"/>
  <c r="AN22" i="58" s="1"/>
  <c r="AH79" i="58"/>
  <c r="AS22" i="58"/>
  <c r="AS24" i="58" s="1"/>
  <c r="AY23" i="58"/>
  <c r="Q111" i="58"/>
  <c r="AU22" i="58"/>
  <c r="AU24" i="58" s="1"/>
  <c r="AY22" i="58"/>
  <c r="P111" i="58"/>
  <c r="BB16" i="58"/>
  <c r="BB22" i="58" s="1"/>
  <c r="G111" i="58"/>
  <c r="AG2" i="58"/>
  <c r="AG6" i="58" s="1"/>
  <c r="BE23" i="58"/>
  <c r="B100" i="58"/>
  <c r="J100" i="58"/>
  <c r="J102" i="58" s="1"/>
  <c r="J103" i="58" s="1"/>
  <c r="J7" i="58" s="1"/>
  <c r="R100" i="58"/>
  <c r="R102" i="58" s="1"/>
  <c r="R103" i="58" s="1"/>
  <c r="R7" i="58" s="1"/>
  <c r="Z100" i="58"/>
  <c r="Z102" i="58" s="1"/>
  <c r="Z103" i="58" s="1"/>
  <c r="Z7" i="58" s="1"/>
  <c r="AH61" i="58"/>
  <c r="V100" i="58"/>
  <c r="V102" i="58" s="1"/>
  <c r="AI104" i="58"/>
  <c r="AL13" i="58"/>
  <c r="C100" i="58"/>
  <c r="C102" i="58" s="1"/>
  <c r="K100" i="58"/>
  <c r="K102" i="58" s="1"/>
  <c r="S100" i="58"/>
  <c r="S102" i="58" s="1"/>
  <c r="S103" i="58" s="1"/>
  <c r="S7" i="58" s="1"/>
  <c r="AA100" i="58"/>
  <c r="AA102" i="58" s="1"/>
  <c r="AI61" i="58"/>
  <c r="AI65" i="58"/>
  <c r="AG102" i="58"/>
  <c r="C110" i="58"/>
  <c r="AN23" i="58" s="1"/>
  <c r="K110" i="58"/>
  <c r="AT23" i="58" s="1"/>
  <c r="S110" i="58"/>
  <c r="BA23" i="58" s="1"/>
  <c r="AA110" i="58"/>
  <c r="AA111" i="58" s="1"/>
  <c r="D110" i="58"/>
  <c r="AO23" i="58" s="1"/>
  <c r="L110" i="58"/>
  <c r="L111" i="58" s="1"/>
  <c r="T110" i="58"/>
  <c r="BB23" i="58" s="1"/>
  <c r="AB110" i="58"/>
  <c r="BG23" i="58" s="1"/>
  <c r="E110" i="58"/>
  <c r="AP23" i="58" s="1"/>
  <c r="AH106" i="58"/>
  <c r="AI95" i="58"/>
  <c r="Z111" i="58"/>
  <c r="AH95" i="58"/>
  <c r="AD100" i="58"/>
  <c r="AD102" i="58" s="1"/>
  <c r="AF111" i="58"/>
  <c r="J111" i="58"/>
  <c r="AZ19" i="58"/>
  <c r="AZ22" i="58" s="1"/>
  <c r="AZ24" i="58" s="1"/>
  <c r="E100" i="58"/>
  <c r="E102" i="58" s="1"/>
  <c r="E103" i="58" s="1"/>
  <c r="E7" i="58" s="1"/>
  <c r="M100" i="58"/>
  <c r="M102" i="58" s="1"/>
  <c r="M103" i="58" s="1"/>
  <c r="M7" i="58" s="1"/>
  <c r="U100" i="58"/>
  <c r="U102" i="58" s="1"/>
  <c r="U103" i="58" s="1"/>
  <c r="U7" i="58" s="1"/>
  <c r="AC100" i="58"/>
  <c r="AC102" i="58" s="1"/>
  <c r="AC103" i="58" s="1"/>
  <c r="AC7" i="58" s="1"/>
  <c r="AI83" i="58"/>
  <c r="AH83" i="58"/>
  <c r="AH109" i="58"/>
  <c r="B110" i="58"/>
  <c r="B111" i="58" s="1"/>
  <c r="D111" i="58"/>
  <c r="F110" i="58"/>
  <c r="AQ23" i="58" s="1"/>
  <c r="N110" i="58"/>
  <c r="AV23" i="58" s="1"/>
  <c r="V110" i="58"/>
  <c r="BD23" i="58" s="1"/>
  <c r="BD24" i="58" s="1"/>
  <c r="AD110" i="58"/>
  <c r="BH23" i="58" s="1"/>
  <c r="AI108" i="58"/>
  <c r="BG16" i="58"/>
  <c r="BG22" i="58" s="1"/>
  <c r="AF5" i="58"/>
  <c r="G110" i="58"/>
  <c r="AR23" i="58" s="1"/>
  <c r="O110" i="58"/>
  <c r="AW23" i="58" s="1"/>
  <c r="W110" i="58"/>
  <c r="W111" i="58" s="1"/>
  <c r="AE110" i="58"/>
  <c r="BI23" i="58" s="1"/>
  <c r="AI107" i="58"/>
  <c r="E254" i="58"/>
  <c r="F254" i="58" s="1"/>
  <c r="G254" i="58" s="1"/>
  <c r="H254" i="58" s="1"/>
  <c r="I254" i="58" s="1"/>
  <c r="J254" i="58" s="1"/>
  <c r="K254" i="58" s="1"/>
  <c r="L254" i="58" s="1"/>
  <c r="M254" i="58" s="1"/>
  <c r="N254" i="58" s="1"/>
  <c r="O254" i="58" s="1"/>
  <c r="P254" i="58" s="1"/>
  <c r="Q254" i="58" s="1"/>
  <c r="R254" i="58" s="1"/>
  <c r="S254" i="58" s="1"/>
  <c r="T254" i="58" s="1"/>
  <c r="U254" i="58" s="1"/>
  <c r="V254" i="58" s="1"/>
  <c r="W254" i="58" s="1"/>
  <c r="X254" i="58" s="1"/>
  <c r="Y254" i="58" s="1"/>
  <c r="Z254" i="58" s="1"/>
  <c r="AA254" i="58" s="1"/>
  <c r="AB254" i="58" s="1"/>
  <c r="AC254" i="58" s="1"/>
  <c r="AD254" i="58" s="1"/>
  <c r="AE254" i="58" s="1"/>
  <c r="AF254" i="58" s="1"/>
  <c r="B254" i="58" s="1"/>
  <c r="AH104" i="58"/>
  <c r="AH105" i="58"/>
  <c r="E249" i="58"/>
  <c r="AH107" i="58"/>
  <c r="AH108" i="58"/>
  <c r="U121" i="61" l="1"/>
  <c r="V249" i="61"/>
  <c r="U255" i="61"/>
  <c r="AE103" i="58"/>
  <c r="AE7" i="58" s="1"/>
  <c r="BI24" i="58"/>
  <c r="BH24" i="58"/>
  <c r="BF24" i="58"/>
  <c r="U111" i="58"/>
  <c r="T103" i="58"/>
  <c r="T7" i="58" s="1"/>
  <c r="T111" i="58"/>
  <c r="BB24" i="58"/>
  <c r="AY24" i="58"/>
  <c r="AQ24" i="58"/>
  <c r="AR24" i="58"/>
  <c r="AW24" i="58"/>
  <c r="AV24" i="58"/>
  <c r="AO24" i="58"/>
  <c r="L103" i="58"/>
  <c r="L7" i="58" s="1"/>
  <c r="K103" i="58"/>
  <c r="K7" i="58" s="1"/>
  <c r="AT24" i="58"/>
  <c r="AP24" i="58"/>
  <c r="C111" i="58"/>
  <c r="D103" i="58"/>
  <c r="D7" i="58" s="1"/>
  <c r="BL95" i="58"/>
  <c r="BG103" i="58"/>
  <c r="BK100" i="58"/>
  <c r="BG102" i="58"/>
  <c r="BL99" i="58"/>
  <c r="BI98" i="58"/>
  <c r="BG96" i="58"/>
  <c r="BJ93" i="58"/>
  <c r="BJ91" i="58"/>
  <c r="BJ105" i="58"/>
  <c r="BI87" i="58"/>
  <c r="BH82" i="58"/>
  <c r="BJ103" i="58"/>
  <c r="BG88" i="58"/>
  <c r="BK98" i="58"/>
  <c r="BI104" i="58"/>
  <c r="BI91" i="58"/>
  <c r="BG82" i="58"/>
  <c r="BL104" i="58"/>
  <c r="BK91" i="58"/>
  <c r="BI102" i="58"/>
  <c r="BI89" i="58"/>
  <c r="BG100" i="58"/>
  <c r="BL86" i="58"/>
  <c r="BJ97" i="58"/>
  <c r="BJ82" i="58"/>
  <c r="BJ86" i="58"/>
  <c r="BJ90" i="58"/>
  <c r="BJ94" i="58"/>
  <c r="BH95" i="58"/>
  <c r="BJ102" i="58"/>
  <c r="BL85" i="58"/>
  <c r="BL84" i="58"/>
  <c r="BJ95" i="58"/>
  <c r="BI82" i="58"/>
  <c r="BG93" i="58"/>
  <c r="BK103" i="58"/>
  <c r="BK90" i="58"/>
  <c r="BI101" i="58"/>
  <c r="BH88" i="58"/>
  <c r="BL98" i="58"/>
  <c r="BK85" i="58"/>
  <c r="BI96" i="58"/>
  <c r="BK104" i="58"/>
  <c r="BL100" i="58"/>
  <c r="BK101" i="58"/>
  <c r="BI103" i="58"/>
  <c r="BI92" i="58"/>
  <c r="BJ100" i="58"/>
  <c r="BL87" i="58"/>
  <c r="BL92" i="58"/>
  <c r="BG101" i="58"/>
  <c r="BH96" i="58"/>
  <c r="BK93" i="58"/>
  <c r="BH91" i="58"/>
  <c r="BI84" i="58"/>
  <c r="BL103" i="58"/>
  <c r="BG90" i="58"/>
  <c r="BG94" i="58"/>
  <c r="BG98" i="58"/>
  <c r="BJ98" i="58"/>
  <c r="BH85" i="58"/>
  <c r="BH89" i="58"/>
  <c r="BH86" i="58"/>
  <c r="BL96" i="58"/>
  <c r="BK83" i="58"/>
  <c r="BI94" i="58"/>
  <c r="BG105" i="58"/>
  <c r="BG92" i="58"/>
  <c r="BK102" i="58"/>
  <c r="BJ89" i="58"/>
  <c r="BH100" i="58"/>
  <c r="BG87" i="58"/>
  <c r="BK97" i="58"/>
  <c r="BJ88" i="58"/>
  <c r="BH90" i="58"/>
  <c r="BK87" i="58"/>
  <c r="BI85" i="58"/>
  <c r="BL82" i="58"/>
  <c r="BG91" i="58"/>
  <c r="BJ104" i="58"/>
  <c r="BL83" i="58"/>
  <c r="BJ84" i="58"/>
  <c r="BL91" i="58"/>
  <c r="BI99" i="58"/>
  <c r="BH102" i="58"/>
  <c r="BG89" i="58"/>
  <c r="BK99" i="58"/>
  <c r="BK86" i="58"/>
  <c r="BI97" i="58"/>
  <c r="BH84" i="58"/>
  <c r="BL94" i="58"/>
  <c r="BI83" i="58"/>
  <c r="BH103" i="58"/>
  <c r="BG83" i="58"/>
  <c r="BH87" i="58"/>
  <c r="BH99" i="58"/>
  <c r="BH94" i="58"/>
  <c r="BG95" i="58"/>
  <c r="BL93" i="58"/>
  <c r="BL97" i="58"/>
  <c r="BL101" i="58"/>
  <c r="BL105" i="58"/>
  <c r="BK88" i="58"/>
  <c r="BK92" i="58"/>
  <c r="BJ87" i="58"/>
  <c r="BH98" i="58"/>
  <c r="BG85" i="58"/>
  <c r="BK95" i="58"/>
  <c r="BK82" i="58"/>
  <c r="BI93" i="58"/>
  <c r="BG104" i="58"/>
  <c r="BL90" i="58"/>
  <c r="BJ101" i="58"/>
  <c r="BI88" i="58"/>
  <c r="BG99" i="58"/>
  <c r="BH104" i="58"/>
  <c r="BI95" i="58"/>
  <c r="BI90" i="58"/>
  <c r="BJ85" i="58"/>
  <c r="BH83" i="58"/>
  <c r="BJ83" i="58"/>
  <c r="BK105" i="58"/>
  <c r="BG86" i="58"/>
  <c r="BH97" i="58"/>
  <c r="BH101" i="58"/>
  <c r="BH105" i="58"/>
  <c r="BK84" i="58"/>
  <c r="BJ92" i="58"/>
  <c r="BJ96" i="58"/>
  <c r="BL88" i="58"/>
  <c r="BJ99" i="58"/>
  <c r="BI86" i="58"/>
  <c r="BG97" i="58"/>
  <c r="BG84" i="58"/>
  <c r="BK94" i="58"/>
  <c r="BI105" i="58"/>
  <c r="BH92" i="58"/>
  <c r="BL102" i="58"/>
  <c r="BK89" i="58"/>
  <c r="BI100" i="58"/>
  <c r="BK96" i="58"/>
  <c r="BL89" i="58"/>
  <c r="AN24" i="58"/>
  <c r="AT8" i="58"/>
  <c r="B259" i="58"/>
  <c r="AD111" i="58"/>
  <c r="C103" i="58"/>
  <c r="C7" i="58" s="1"/>
  <c r="AI100" i="58"/>
  <c r="AH100" i="58"/>
  <c r="B102" i="58"/>
  <c r="O103" i="58"/>
  <c r="O7" i="58" s="1"/>
  <c r="C259" i="58"/>
  <c r="N103" i="58"/>
  <c r="N7" i="58" s="1"/>
  <c r="F103" i="58"/>
  <c r="F7" i="58" s="1"/>
  <c r="G103" i="58"/>
  <c r="G7" i="58" s="1"/>
  <c r="BA24" i="58"/>
  <c r="AI110" i="58"/>
  <c r="AH110" i="58"/>
  <c r="AM23" i="58"/>
  <c r="AM24" i="58" s="1"/>
  <c r="S111" i="58"/>
  <c r="AD103" i="58"/>
  <c r="AD7" i="58" s="1"/>
  <c r="V111" i="58"/>
  <c r="W103" i="58"/>
  <c r="W7" i="58" s="1"/>
  <c r="E111" i="58"/>
  <c r="AB111" i="58"/>
  <c r="K111" i="58"/>
  <c r="V103" i="58"/>
  <c r="V7" i="58" s="1"/>
  <c r="AE111" i="58"/>
  <c r="N111" i="58"/>
  <c r="F111" i="58"/>
  <c r="F249" i="58"/>
  <c r="E255" i="58"/>
  <c r="E121" i="58"/>
  <c r="BG24" i="58"/>
  <c r="AB103" i="58"/>
  <c r="AB7" i="58" s="1"/>
  <c r="AA103" i="58"/>
  <c r="AA7" i="58" s="1"/>
  <c r="O111" i="58"/>
  <c r="BE24" i="58"/>
  <c r="W249" i="61" l="1"/>
  <c r="V121" i="61"/>
  <c r="V255" i="61"/>
  <c r="AH111" i="58"/>
  <c r="B103" i="58"/>
  <c r="AI102" i="58"/>
  <c r="AH102" i="58"/>
  <c r="AI111" i="58"/>
  <c r="G249" i="58"/>
  <c r="F255" i="58"/>
  <c r="F121" i="58"/>
  <c r="AT9" i="58"/>
  <c r="K6" i="58"/>
  <c r="X249" i="61" l="1"/>
  <c r="W255" i="61"/>
  <c r="W121" i="61"/>
  <c r="H249" i="58"/>
  <c r="G255" i="58"/>
  <c r="G121" i="58"/>
  <c r="AI103" i="58"/>
  <c r="B7" i="58"/>
  <c r="A7" i="58" s="1"/>
  <c r="AH103" i="58"/>
  <c r="Y249" i="61" l="1"/>
  <c r="X255" i="61"/>
  <c r="X121" i="61"/>
  <c r="I249" i="58"/>
  <c r="H255" i="58"/>
  <c r="H121" i="58"/>
  <c r="AD61" i="57"/>
  <c r="AD65" i="57"/>
  <c r="AD79" i="57"/>
  <c r="AD83" i="57"/>
  <c r="AC61" i="57"/>
  <c r="AC65" i="57"/>
  <c r="AC79" i="57"/>
  <c r="AC83" i="57"/>
  <c r="Y255" i="61" l="1"/>
  <c r="Z249" i="61"/>
  <c r="I255" i="58"/>
  <c r="I121" i="58"/>
  <c r="J249" i="58"/>
  <c r="AB61" i="57"/>
  <c r="AB65" i="57"/>
  <c r="AB79" i="57"/>
  <c r="AB83" i="57"/>
  <c r="AA83" i="57"/>
  <c r="Y61" i="57"/>
  <c r="Z61" i="57"/>
  <c r="Y65" i="57"/>
  <c r="Z65" i="57"/>
  <c r="Y79" i="57"/>
  <c r="Z79" i="57"/>
  <c r="Y83" i="57"/>
  <c r="Z83" i="57"/>
  <c r="Y95" i="57"/>
  <c r="Z95" i="57"/>
  <c r="Y104" i="57"/>
  <c r="Z104" i="57"/>
  <c r="Y105" i="57"/>
  <c r="Z105" i="57"/>
  <c r="Y106" i="57"/>
  <c r="Z106" i="57"/>
  <c r="Y107" i="57"/>
  <c r="Z107" i="57"/>
  <c r="Y108" i="57"/>
  <c r="Z108" i="57"/>
  <c r="Y109" i="57"/>
  <c r="Z109" i="57"/>
  <c r="Y121" i="57"/>
  <c r="Z121" i="57"/>
  <c r="Z255" i="61" l="1"/>
  <c r="AA249" i="61"/>
  <c r="J255" i="58"/>
  <c r="J121" i="58"/>
  <c r="K249" i="58"/>
  <c r="Z110" i="57"/>
  <c r="Y110" i="57"/>
  <c r="Y111" i="57" s="1"/>
  <c r="Z100" i="57"/>
  <c r="Z102" i="57" s="1"/>
  <c r="Z103" i="57" s="1"/>
  <c r="Y100" i="57"/>
  <c r="Y102" i="57" s="1"/>
  <c r="Z111" i="57"/>
  <c r="X61" i="57"/>
  <c r="X65" i="57"/>
  <c r="X79" i="57"/>
  <c r="X83" i="57"/>
  <c r="X95" i="57"/>
  <c r="X104" i="57"/>
  <c r="X110" i="57" s="1"/>
  <c r="X105" i="57"/>
  <c r="X106" i="57"/>
  <c r="X107" i="57"/>
  <c r="X108" i="57"/>
  <c r="X109" i="57"/>
  <c r="X121" i="57"/>
  <c r="W61" i="57"/>
  <c r="W65" i="57"/>
  <c r="V83" i="57"/>
  <c r="V95" i="57"/>
  <c r="V104" i="57"/>
  <c r="V105" i="57"/>
  <c r="V106" i="57"/>
  <c r="V107" i="57"/>
  <c r="V108" i="57"/>
  <c r="V109" i="57"/>
  <c r="V121" i="57"/>
  <c r="V61" i="57"/>
  <c r="V65" i="57"/>
  <c r="AA255" i="61" l="1"/>
  <c r="AA121" i="61"/>
  <c r="AB249" i="61"/>
  <c r="K255" i="58"/>
  <c r="K121" i="58"/>
  <c r="L249" i="58"/>
  <c r="Y103" i="57"/>
  <c r="X100" i="57"/>
  <c r="X102" i="57" s="1"/>
  <c r="X103" i="57" s="1"/>
  <c r="X111" i="57"/>
  <c r="V110" i="57"/>
  <c r="V111" i="57" s="1"/>
  <c r="AB255" i="61" l="1"/>
  <c r="AC249" i="61"/>
  <c r="L255" i="58"/>
  <c r="L121" i="58"/>
  <c r="M249" i="58"/>
  <c r="AD249" i="61" l="1"/>
  <c r="AC255" i="61"/>
  <c r="N249" i="58"/>
  <c r="M121" i="58"/>
  <c r="M255" i="58"/>
  <c r="AE249" i="61" l="1"/>
  <c r="AD255" i="61"/>
  <c r="O249" i="58"/>
  <c r="N121" i="58"/>
  <c r="N255" i="58"/>
  <c r="AF249" i="61" l="1"/>
  <c r="AE255" i="61"/>
  <c r="P249" i="58"/>
  <c r="O255" i="58"/>
  <c r="O121" i="58"/>
  <c r="AF255" i="61" l="1"/>
  <c r="B249" i="61"/>
  <c r="Q249" i="58"/>
  <c r="P255" i="58"/>
  <c r="B255" i="61" l="1"/>
  <c r="Q255" i="58"/>
  <c r="Q121" i="58"/>
  <c r="R249" i="58"/>
  <c r="AI121" i="61" l="1"/>
  <c r="AH121" i="61"/>
  <c r="R255" i="58"/>
  <c r="R121" i="58"/>
  <c r="S249" i="58"/>
  <c r="S255" i="58" l="1"/>
  <c r="S121" i="58"/>
  <c r="T249" i="58"/>
  <c r="T255" i="58" l="1"/>
  <c r="T121" i="58"/>
  <c r="U249" i="58"/>
  <c r="U121" i="58" l="1"/>
  <c r="V249" i="58"/>
  <c r="U255" i="58"/>
  <c r="W249" i="58" l="1"/>
  <c r="V121" i="58"/>
  <c r="V255" i="58"/>
  <c r="X249" i="58" l="1"/>
  <c r="W255" i="58"/>
  <c r="W121" i="58"/>
  <c r="Y249" i="58" l="1"/>
  <c r="X255" i="58"/>
  <c r="X121" i="58"/>
  <c r="Y255" i="58" l="1"/>
  <c r="Z249" i="58"/>
  <c r="Z255" i="58" l="1"/>
  <c r="AA249" i="58"/>
  <c r="AA255" i="58" l="1"/>
  <c r="AA121" i="58"/>
  <c r="AB249" i="58"/>
  <c r="AB255" i="58" l="1"/>
  <c r="AB121" i="58"/>
  <c r="AC249" i="58"/>
  <c r="AC121" i="58" l="1"/>
  <c r="AD249" i="58"/>
  <c r="AC255" i="58"/>
  <c r="AE249" i="58" l="1"/>
  <c r="AD121" i="58"/>
  <c r="AD255" i="58"/>
  <c r="AF249" i="58" l="1"/>
  <c r="AE255" i="58"/>
  <c r="AE121" i="58"/>
  <c r="AF255" i="58" l="1"/>
  <c r="AF121" i="58"/>
  <c r="B249" i="58"/>
  <c r="B255" i="58" l="1"/>
  <c r="B121" i="58"/>
  <c r="AI121" i="58" l="1"/>
  <c r="AH121" i="58"/>
  <c r="U61" i="57" l="1"/>
  <c r="U65" i="57"/>
  <c r="U79" i="57"/>
  <c r="U83" i="57"/>
  <c r="U95" i="57"/>
  <c r="U104" i="57"/>
  <c r="U105" i="57"/>
  <c r="U106" i="57"/>
  <c r="U107" i="57"/>
  <c r="U108" i="57"/>
  <c r="U109" i="57"/>
  <c r="U121" i="57"/>
  <c r="U110" i="57" l="1"/>
  <c r="U100" i="57"/>
  <c r="U102" i="57" s="1"/>
  <c r="U103" i="57" s="1"/>
  <c r="U111" i="57"/>
  <c r="R61" i="57" l="1"/>
  <c r="R65" i="57"/>
  <c r="R79" i="57"/>
  <c r="R83" i="57"/>
  <c r="N103" i="57"/>
  <c r="N102" i="57"/>
  <c r="O102" i="57"/>
  <c r="O103" i="57"/>
  <c r="Q61" i="57"/>
  <c r="Q65" i="57"/>
  <c r="Q79" i="57"/>
  <c r="Q83" i="57"/>
  <c r="P61" i="57" l="1"/>
  <c r="P65" i="57"/>
  <c r="P79" i="57"/>
  <c r="P100" i="57" s="1"/>
  <c r="P102" i="57" s="1"/>
  <c r="P103" i="57" s="1"/>
  <c r="P83" i="57"/>
  <c r="O61" i="57"/>
  <c r="O65" i="57"/>
  <c r="O79" i="57"/>
  <c r="O83" i="57"/>
  <c r="N61" i="57" l="1"/>
  <c r="N65" i="57"/>
  <c r="N79" i="57"/>
  <c r="N83" i="57"/>
  <c r="M61" i="57" l="1"/>
  <c r="M65" i="57"/>
  <c r="K61" i="57"/>
  <c r="L61" i="57"/>
  <c r="K65" i="57"/>
  <c r="L65" i="57"/>
  <c r="J61" i="57"/>
  <c r="J65" i="57"/>
  <c r="J79" i="57"/>
  <c r="J83" i="57"/>
  <c r="H61" i="57" l="1"/>
  <c r="I61" i="57"/>
  <c r="H65" i="57"/>
  <c r="I65" i="57"/>
  <c r="F65" i="57"/>
  <c r="E121" i="57"/>
  <c r="AH128" i="57" l="1"/>
  <c r="AI128" i="57"/>
  <c r="AH127" i="57"/>
  <c r="AI127" i="57"/>
  <c r="AG255" i="57"/>
  <c r="C255" i="57"/>
  <c r="M254" i="57"/>
  <c r="N254" i="57" s="1"/>
  <c r="O254" i="57" s="1"/>
  <c r="P254" i="57" s="1"/>
  <c r="Q254" i="57" s="1"/>
  <c r="R254" i="57" s="1"/>
  <c r="S254" i="57" s="1"/>
  <c r="T254" i="57" s="1"/>
  <c r="U254" i="57" s="1"/>
  <c r="V254" i="57" s="1"/>
  <c r="W254" i="57" s="1"/>
  <c r="X254" i="57" s="1"/>
  <c r="Y254" i="57" s="1"/>
  <c r="Z254" i="57" s="1"/>
  <c r="AA254" i="57" s="1"/>
  <c r="AB254" i="57" s="1"/>
  <c r="AC254" i="57" s="1"/>
  <c r="AD254" i="57" s="1"/>
  <c r="AE254" i="57" s="1"/>
  <c r="AF254" i="57" s="1"/>
  <c r="B254" i="57" s="1"/>
  <c r="D254" i="57"/>
  <c r="E254" i="57" s="1"/>
  <c r="F254" i="57" s="1"/>
  <c r="G254" i="57" s="1"/>
  <c r="H254" i="57" s="1"/>
  <c r="I254" i="57" s="1"/>
  <c r="J254" i="57" s="1"/>
  <c r="K254" i="57" s="1"/>
  <c r="L254" i="57" s="1"/>
  <c r="K253" i="57"/>
  <c r="L253" i="57" s="1"/>
  <c r="M253" i="57" s="1"/>
  <c r="N253" i="57" s="1"/>
  <c r="O253" i="57" s="1"/>
  <c r="P253" i="57" s="1"/>
  <c r="Q253" i="57" s="1"/>
  <c r="R253" i="57" s="1"/>
  <c r="S253" i="57" s="1"/>
  <c r="T253" i="57" s="1"/>
  <c r="U253" i="57" s="1"/>
  <c r="V253" i="57" s="1"/>
  <c r="W253" i="57" s="1"/>
  <c r="X253" i="57" s="1"/>
  <c r="Y253" i="57" s="1"/>
  <c r="Z253" i="57" s="1"/>
  <c r="AA253" i="57" s="1"/>
  <c r="AB253" i="57" s="1"/>
  <c r="AC253" i="57" s="1"/>
  <c r="AD253" i="57" s="1"/>
  <c r="AE253" i="57" s="1"/>
  <c r="AF253" i="57" s="1"/>
  <c r="B253" i="57" s="1"/>
  <c r="J253" i="57"/>
  <c r="D253" i="57"/>
  <c r="E253" i="57" s="1"/>
  <c r="F253" i="57" s="1"/>
  <c r="G253" i="57" s="1"/>
  <c r="H253" i="57" s="1"/>
  <c r="I253" i="57" s="1"/>
  <c r="E252" i="57"/>
  <c r="F252" i="57" s="1"/>
  <c r="G252" i="57" s="1"/>
  <c r="H252" i="57" s="1"/>
  <c r="I252" i="57" s="1"/>
  <c r="J252" i="57" s="1"/>
  <c r="K252" i="57" s="1"/>
  <c r="L252" i="57" s="1"/>
  <c r="M252" i="57" s="1"/>
  <c r="N252" i="57" s="1"/>
  <c r="O252" i="57" s="1"/>
  <c r="P252" i="57" s="1"/>
  <c r="Q252" i="57" s="1"/>
  <c r="R252" i="57" s="1"/>
  <c r="S252" i="57" s="1"/>
  <c r="T252" i="57" s="1"/>
  <c r="U252" i="57" s="1"/>
  <c r="V252" i="57" s="1"/>
  <c r="W252" i="57" s="1"/>
  <c r="X252" i="57" s="1"/>
  <c r="Y252" i="57" s="1"/>
  <c r="Z252" i="57" s="1"/>
  <c r="AA252" i="57" s="1"/>
  <c r="AB252" i="57" s="1"/>
  <c r="AC252" i="57" s="1"/>
  <c r="AD252" i="57" s="1"/>
  <c r="AE252" i="57" s="1"/>
  <c r="AF252" i="57" s="1"/>
  <c r="B252" i="57" s="1"/>
  <c r="D252" i="57"/>
  <c r="V251" i="57"/>
  <c r="W251" i="57" s="1"/>
  <c r="X251" i="57" s="1"/>
  <c r="Y251" i="57" s="1"/>
  <c r="Z251" i="57" s="1"/>
  <c r="AA251" i="57" s="1"/>
  <c r="AB251" i="57" s="1"/>
  <c r="AC251" i="57" s="1"/>
  <c r="AD251" i="57" s="1"/>
  <c r="AE251" i="57" s="1"/>
  <c r="AF251" i="57" s="1"/>
  <c r="B251" i="57" s="1"/>
  <c r="D251" i="57"/>
  <c r="E251" i="57" s="1"/>
  <c r="F251" i="57" s="1"/>
  <c r="G251" i="57" s="1"/>
  <c r="H251" i="57" s="1"/>
  <c r="I251" i="57" s="1"/>
  <c r="J251" i="57" s="1"/>
  <c r="K251" i="57" s="1"/>
  <c r="L251" i="57" s="1"/>
  <c r="M251" i="57" s="1"/>
  <c r="N251" i="57" s="1"/>
  <c r="O251" i="57" s="1"/>
  <c r="P251" i="57" s="1"/>
  <c r="Q251" i="57" s="1"/>
  <c r="R251" i="57" s="1"/>
  <c r="S251" i="57" s="1"/>
  <c r="T251" i="57" s="1"/>
  <c r="U251" i="57" s="1"/>
  <c r="D250" i="57"/>
  <c r="E250" i="57" s="1"/>
  <c r="F250" i="57" s="1"/>
  <c r="G250" i="57" s="1"/>
  <c r="H250" i="57" s="1"/>
  <c r="I250" i="57" s="1"/>
  <c r="J250" i="57" s="1"/>
  <c r="K250" i="57" s="1"/>
  <c r="L250" i="57" s="1"/>
  <c r="M250" i="57" s="1"/>
  <c r="N250" i="57" s="1"/>
  <c r="O250" i="57" s="1"/>
  <c r="P250" i="57" s="1"/>
  <c r="Q250" i="57" s="1"/>
  <c r="R250" i="57" s="1"/>
  <c r="S250" i="57" s="1"/>
  <c r="T250" i="57" s="1"/>
  <c r="U250" i="57" s="1"/>
  <c r="V250" i="57" s="1"/>
  <c r="W250" i="57" s="1"/>
  <c r="X250" i="57" s="1"/>
  <c r="Y250" i="57" s="1"/>
  <c r="Z250" i="57" s="1"/>
  <c r="AA250" i="57" s="1"/>
  <c r="AB250" i="57" s="1"/>
  <c r="AC250" i="57" s="1"/>
  <c r="AD250" i="57" s="1"/>
  <c r="AE250" i="57" s="1"/>
  <c r="AF250" i="57" s="1"/>
  <c r="B250" i="57" s="1"/>
  <c r="D249" i="57"/>
  <c r="AG247" i="57"/>
  <c r="AF247" i="57"/>
  <c r="AE247" i="57"/>
  <c r="AD247" i="57"/>
  <c r="AC247" i="57"/>
  <c r="AB247" i="57"/>
  <c r="AA247" i="57"/>
  <c r="Z247" i="57"/>
  <c r="Y247" i="57"/>
  <c r="X247" i="57"/>
  <c r="W247" i="57"/>
  <c r="V247" i="57"/>
  <c r="U247" i="57"/>
  <c r="T247" i="57"/>
  <c r="S247" i="57"/>
  <c r="R247" i="57"/>
  <c r="Q247" i="57"/>
  <c r="P247" i="57"/>
  <c r="O247" i="57"/>
  <c r="N247" i="57"/>
  <c r="M247" i="57"/>
  <c r="L247" i="57"/>
  <c r="K247" i="57"/>
  <c r="J247" i="57"/>
  <c r="I247" i="57"/>
  <c r="H247" i="57"/>
  <c r="G247" i="57"/>
  <c r="F247" i="57"/>
  <c r="E247" i="57"/>
  <c r="D247" i="57"/>
  <c r="C247" i="57"/>
  <c r="B247" i="57"/>
  <c r="AI133" i="57"/>
  <c r="AH133" i="57"/>
  <c r="AI132" i="57"/>
  <c r="AH132" i="57"/>
  <c r="AI131" i="57"/>
  <c r="AH131" i="57"/>
  <c r="AI130" i="57"/>
  <c r="AH130" i="57"/>
  <c r="AI129" i="57"/>
  <c r="AH129" i="57"/>
  <c r="AI126" i="57"/>
  <c r="AH126" i="57"/>
  <c r="AI125" i="57"/>
  <c r="AH125" i="57"/>
  <c r="AI124" i="57"/>
  <c r="AH124" i="57"/>
  <c r="AI123" i="57"/>
  <c r="AH123" i="57"/>
  <c r="AI122" i="57"/>
  <c r="AH122" i="57"/>
  <c r="C121" i="57"/>
  <c r="AI120" i="57"/>
  <c r="AH120" i="57"/>
  <c r="AI119" i="57"/>
  <c r="AH119" i="57"/>
  <c r="AI118" i="57"/>
  <c r="AH118" i="57"/>
  <c r="AI117" i="57"/>
  <c r="AH117" i="57"/>
  <c r="AI116" i="57"/>
  <c r="AH116" i="57"/>
  <c r="AI115" i="57"/>
  <c r="AH115" i="57"/>
  <c r="AI114" i="57"/>
  <c r="AH114" i="57"/>
  <c r="AI113" i="57"/>
  <c r="AH113" i="57"/>
  <c r="AI112" i="57"/>
  <c r="AH112" i="57"/>
  <c r="B110" i="57"/>
  <c r="AF109" i="57"/>
  <c r="AE109" i="57"/>
  <c r="AD109" i="57"/>
  <c r="AC109" i="57"/>
  <c r="AB109" i="57"/>
  <c r="AA109" i="57"/>
  <c r="W109" i="57"/>
  <c r="T109" i="57"/>
  <c r="S109" i="57"/>
  <c r="R109" i="57"/>
  <c r="Q109" i="57"/>
  <c r="P109" i="57"/>
  <c r="O109" i="57"/>
  <c r="N109" i="57"/>
  <c r="M109" i="57"/>
  <c r="L109" i="57"/>
  <c r="K109" i="57"/>
  <c r="J109" i="57"/>
  <c r="I109" i="57"/>
  <c r="H109" i="57"/>
  <c r="G109" i="57"/>
  <c r="F109" i="57"/>
  <c r="E109" i="57"/>
  <c r="D109" i="57"/>
  <c r="C109" i="57"/>
  <c r="B109" i="57"/>
  <c r="AF108" i="57"/>
  <c r="AE108" i="57"/>
  <c r="AD108" i="57"/>
  <c r="AC108" i="57"/>
  <c r="AB108" i="57"/>
  <c r="AA108" i="57"/>
  <c r="W108" i="57"/>
  <c r="T108" i="57"/>
  <c r="S108" i="57"/>
  <c r="R108" i="57"/>
  <c r="Q108" i="57"/>
  <c r="P108" i="57"/>
  <c r="O108" i="57"/>
  <c r="N108" i="57"/>
  <c r="M108" i="57"/>
  <c r="L108" i="57"/>
  <c r="K108" i="57"/>
  <c r="J108" i="57"/>
  <c r="I108" i="57"/>
  <c r="H108" i="57"/>
  <c r="G108" i="57"/>
  <c r="F108" i="57"/>
  <c r="E108" i="57"/>
  <c r="D108" i="57"/>
  <c r="C108" i="57"/>
  <c r="B108" i="57"/>
  <c r="AI108" i="57" s="1"/>
  <c r="AF107" i="57"/>
  <c r="AE107" i="57"/>
  <c r="AD107" i="57"/>
  <c r="AC107" i="57"/>
  <c r="AB107" i="57"/>
  <c r="AA107" i="57"/>
  <c r="W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AH107" i="57" s="1"/>
  <c r="H107" i="57"/>
  <c r="G107" i="57"/>
  <c r="F107" i="57"/>
  <c r="E107" i="57"/>
  <c r="D107" i="57"/>
  <c r="C107" i="57"/>
  <c r="B107" i="57"/>
  <c r="AF106" i="57"/>
  <c r="AE106" i="57"/>
  <c r="AD106" i="57"/>
  <c r="AC106" i="57"/>
  <c r="AB106" i="57"/>
  <c r="AA106" i="57"/>
  <c r="BF23" i="57"/>
  <c r="W106" i="57"/>
  <c r="T106" i="57"/>
  <c r="S106" i="57"/>
  <c r="R106" i="57"/>
  <c r="Q106" i="57"/>
  <c r="P106" i="57"/>
  <c r="O106" i="57"/>
  <c r="N106" i="57"/>
  <c r="M106" i="57"/>
  <c r="L106" i="57"/>
  <c r="K106" i="57"/>
  <c r="J106" i="57"/>
  <c r="I106" i="57"/>
  <c r="H106" i="57"/>
  <c r="G106" i="57"/>
  <c r="F106" i="57"/>
  <c r="E106" i="57"/>
  <c r="D106" i="57"/>
  <c r="C106" i="57"/>
  <c r="B106" i="57"/>
  <c r="AF105" i="57"/>
  <c r="AE105" i="57"/>
  <c r="AD105" i="57"/>
  <c r="AC105" i="57"/>
  <c r="AB105" i="57"/>
  <c r="AA105" i="57"/>
  <c r="AA110" i="57" s="1"/>
  <c r="W105" i="57"/>
  <c r="BD23" i="57"/>
  <c r="T105" i="57"/>
  <c r="S105" i="57"/>
  <c r="R105" i="57"/>
  <c r="Q105" i="57"/>
  <c r="P105" i="57"/>
  <c r="O105" i="57"/>
  <c r="N105" i="57"/>
  <c r="N110" i="57" s="1"/>
  <c r="AV23" i="57" s="1"/>
  <c r="M105" i="57"/>
  <c r="L105" i="57"/>
  <c r="K105" i="57"/>
  <c r="J105" i="57"/>
  <c r="I105" i="57"/>
  <c r="H105" i="57"/>
  <c r="G105" i="57"/>
  <c r="F105" i="57"/>
  <c r="F110" i="57" s="1"/>
  <c r="AQ23" i="57" s="1"/>
  <c r="E105" i="57"/>
  <c r="D105" i="57"/>
  <c r="C105" i="57"/>
  <c r="B105" i="57"/>
  <c r="AF104" i="57"/>
  <c r="AE104" i="57"/>
  <c r="AD104" i="57"/>
  <c r="AC104" i="57"/>
  <c r="AB104" i="57"/>
  <c r="AA104" i="57"/>
  <c r="W104" i="57"/>
  <c r="W110" i="57" s="1"/>
  <c r="T104" i="57"/>
  <c r="S104" i="57"/>
  <c r="R104" i="57"/>
  <c r="Q104" i="57"/>
  <c r="Q110" i="57" s="1"/>
  <c r="AY23" i="57" s="1"/>
  <c r="P104" i="57"/>
  <c r="O104" i="57"/>
  <c r="N104" i="57"/>
  <c r="M104" i="57"/>
  <c r="L104" i="57"/>
  <c r="K104" i="57"/>
  <c r="J104" i="57"/>
  <c r="I104" i="57"/>
  <c r="H104" i="57"/>
  <c r="G104" i="57"/>
  <c r="F104" i="57"/>
  <c r="E104" i="57"/>
  <c r="D104" i="57"/>
  <c r="C104" i="57"/>
  <c r="B104" i="57"/>
  <c r="AI101" i="57"/>
  <c r="AH101" i="57"/>
  <c r="AI99" i="57"/>
  <c r="AH99" i="57"/>
  <c r="AG99" i="57"/>
  <c r="AI98" i="57"/>
  <c r="AH98" i="57"/>
  <c r="AI97" i="57"/>
  <c r="AH97" i="57"/>
  <c r="AI96" i="57"/>
  <c r="AH96" i="57"/>
  <c r="AG95" i="57"/>
  <c r="AF95" i="57"/>
  <c r="BJ19" i="57" s="1"/>
  <c r="AE95" i="57"/>
  <c r="AD5" i="57" s="1"/>
  <c r="AD95" i="57"/>
  <c r="AC5" i="57" s="1"/>
  <c r="AC95" i="57"/>
  <c r="AB5" i="57" s="1"/>
  <c r="AB95" i="57"/>
  <c r="AA5" i="57" s="1"/>
  <c r="AA95" i="57"/>
  <c r="Z5" i="57" s="1"/>
  <c r="BF19" i="57"/>
  <c r="W95" i="57"/>
  <c r="V5" i="57" s="1"/>
  <c r="T95" i="57"/>
  <c r="BB19" i="57" s="1"/>
  <c r="S95" i="57"/>
  <c r="BA19" i="57" s="1"/>
  <c r="R95" i="57"/>
  <c r="Q5" i="57" s="1"/>
  <c r="Q95" i="57"/>
  <c r="P95" i="57"/>
  <c r="AX19" i="57" s="1"/>
  <c r="O95" i="57"/>
  <c r="O100" i="57" s="1"/>
  <c r="N95" i="57"/>
  <c r="M5" i="57" s="1"/>
  <c r="M95" i="57"/>
  <c r="L5" i="57" s="1"/>
  <c r="L95" i="57"/>
  <c r="K5" i="57" s="1"/>
  <c r="K95" i="57"/>
  <c r="AT19" i="57" s="1"/>
  <c r="J95" i="57"/>
  <c r="I5" i="57" s="1"/>
  <c r="I95" i="57"/>
  <c r="AS19" i="57" s="1"/>
  <c r="H95" i="57"/>
  <c r="G5" i="57" s="1"/>
  <c r="G95" i="57"/>
  <c r="F5" i="57" s="1"/>
  <c r="F95" i="57"/>
  <c r="AQ19" i="57" s="1"/>
  <c r="E95" i="57"/>
  <c r="D5" i="57" s="1"/>
  <c r="D95" i="57"/>
  <c r="C5" i="57" s="1"/>
  <c r="C95" i="57"/>
  <c r="B5" i="57" s="1"/>
  <c r="B95" i="57"/>
  <c r="AI94" i="57"/>
  <c r="AH94" i="57"/>
  <c r="AI93" i="57"/>
  <c r="AH93" i="57"/>
  <c r="AI92" i="57"/>
  <c r="AH92" i="57"/>
  <c r="AI91" i="57"/>
  <c r="AH91" i="57"/>
  <c r="AI90" i="57"/>
  <c r="AH90" i="57"/>
  <c r="AI89" i="57"/>
  <c r="AH89" i="57"/>
  <c r="AI88" i="57"/>
  <c r="AH88" i="57"/>
  <c r="AI87" i="57"/>
  <c r="AH87" i="57"/>
  <c r="AI86" i="57"/>
  <c r="AH86" i="57"/>
  <c r="AI85" i="57"/>
  <c r="AH85" i="57"/>
  <c r="AI84" i="57"/>
  <c r="AH84" i="57"/>
  <c r="AG83" i="57"/>
  <c r="AG4" i="57" s="1"/>
  <c r="W83" i="57"/>
  <c r="T83" i="57"/>
  <c r="BB20" i="57" s="1"/>
  <c r="S83" i="57"/>
  <c r="AZ20" i="57"/>
  <c r="AY20" i="57"/>
  <c r="M83" i="57"/>
  <c r="L83" i="57"/>
  <c r="K83" i="57"/>
  <c r="I83" i="57"/>
  <c r="AS20" i="57" s="1"/>
  <c r="H83" i="57"/>
  <c r="G83" i="57"/>
  <c r="F83" i="57"/>
  <c r="E83" i="57"/>
  <c r="D83" i="57"/>
  <c r="C83" i="57"/>
  <c r="B83" i="57"/>
  <c r="AI82" i="57"/>
  <c r="AH82" i="57"/>
  <c r="AI81" i="57"/>
  <c r="AH81" i="57"/>
  <c r="AI80" i="57"/>
  <c r="AH80" i="57"/>
  <c r="BG18" i="57"/>
  <c r="AA79" i="57"/>
  <c r="BF18" i="57"/>
  <c r="W79" i="57"/>
  <c r="V79" i="57"/>
  <c r="T79" i="57"/>
  <c r="S79" i="57"/>
  <c r="AZ18" i="57"/>
  <c r="M79" i="57"/>
  <c r="L79" i="57"/>
  <c r="K79" i="57"/>
  <c r="AT18" i="57" s="1"/>
  <c r="I79" i="57"/>
  <c r="AS18" i="57" s="1"/>
  <c r="H79" i="57"/>
  <c r="H100" i="57" s="1"/>
  <c r="H102" i="57" s="1"/>
  <c r="G79" i="57"/>
  <c r="AR18" i="57" s="1"/>
  <c r="F79" i="57"/>
  <c r="E79" i="57"/>
  <c r="D79" i="57"/>
  <c r="C79" i="57"/>
  <c r="B79" i="57"/>
  <c r="AM18" i="57" s="1"/>
  <c r="BJ78" i="57"/>
  <c r="BH78" i="57"/>
  <c r="AI78" i="57"/>
  <c r="AH78" i="57"/>
  <c r="AG78" i="57"/>
  <c r="AG79" i="57" s="1"/>
  <c r="BU77" i="57"/>
  <c r="BT77" i="57"/>
  <c r="BL77" i="57"/>
  <c r="BK77" i="57"/>
  <c r="BE77" i="57"/>
  <c r="BD77" i="57"/>
  <c r="AI77" i="57"/>
  <c r="AH77" i="57"/>
  <c r="BW76" i="57"/>
  <c r="BU76" i="57"/>
  <c r="BG76" i="57"/>
  <c r="BE76" i="57"/>
  <c r="BB76" i="57"/>
  <c r="AI76" i="57"/>
  <c r="AH76" i="57"/>
  <c r="AI75" i="57"/>
  <c r="AH75" i="57"/>
  <c r="BC74" i="57"/>
  <c r="BB74" i="57"/>
  <c r="AI74" i="57"/>
  <c r="AH74" i="57"/>
  <c r="BM73" i="57"/>
  <c r="BE73" i="57"/>
  <c r="AI73" i="57"/>
  <c r="AH73" i="57"/>
  <c r="AI72" i="57"/>
  <c r="AH72" i="57"/>
  <c r="BW71" i="57"/>
  <c r="BW78" i="57" s="1"/>
  <c r="BV71" i="57"/>
  <c r="BV78" i="57" s="1"/>
  <c r="BU71" i="57"/>
  <c r="BU78" i="57" s="1"/>
  <c r="BT71" i="57"/>
  <c r="BT78" i="57" s="1"/>
  <c r="BS71" i="57"/>
  <c r="BS78" i="57" s="1"/>
  <c r="BR71" i="57"/>
  <c r="BR78" i="57" s="1"/>
  <c r="BQ71" i="57"/>
  <c r="BQ78" i="57" s="1"/>
  <c r="BP71" i="57"/>
  <c r="BP78" i="57" s="1"/>
  <c r="BO71" i="57"/>
  <c r="BO78" i="57" s="1"/>
  <c r="BN71" i="57"/>
  <c r="BN78" i="57" s="1"/>
  <c r="BM71" i="57"/>
  <c r="BM78" i="57" s="1"/>
  <c r="BL71" i="57"/>
  <c r="BL78" i="57" s="1"/>
  <c r="BK71" i="57"/>
  <c r="BK78" i="57" s="1"/>
  <c r="BJ71" i="57"/>
  <c r="BI71" i="57"/>
  <c r="BI78" i="57" s="1"/>
  <c r="BH71" i="57"/>
  <c r="BG71" i="57"/>
  <c r="BG78" i="57" s="1"/>
  <c r="BF71" i="57"/>
  <c r="BF78" i="57" s="1"/>
  <c r="BE71" i="57"/>
  <c r="BE78" i="57" s="1"/>
  <c r="BD71" i="57"/>
  <c r="BD78" i="57" s="1"/>
  <c r="BC71" i="57"/>
  <c r="BC78" i="57" s="1"/>
  <c r="BB71" i="57"/>
  <c r="BB78" i="57" s="1"/>
  <c r="BA71" i="57"/>
  <c r="BA78" i="57" s="1"/>
  <c r="AZ71" i="57"/>
  <c r="AZ78" i="57" s="1"/>
  <c r="AI71" i="57"/>
  <c r="AH71" i="57"/>
  <c r="BW70" i="57"/>
  <c r="BW77" i="57" s="1"/>
  <c r="BV70" i="57"/>
  <c r="BV77" i="57" s="1"/>
  <c r="BU70" i="57"/>
  <c r="BT70" i="57"/>
  <c r="BS70" i="57"/>
  <c r="BS77" i="57" s="1"/>
  <c r="BR70" i="57"/>
  <c r="BR77" i="57" s="1"/>
  <c r="BQ70" i="57"/>
  <c r="BQ77" i="57" s="1"/>
  <c r="BP70" i="57"/>
  <c r="BP77" i="57" s="1"/>
  <c r="BO70" i="57"/>
  <c r="BO77" i="57" s="1"/>
  <c r="BN70" i="57"/>
  <c r="BN77" i="57" s="1"/>
  <c r="BM70" i="57"/>
  <c r="BM77" i="57" s="1"/>
  <c r="BL70" i="57"/>
  <c r="BK70" i="57"/>
  <c r="BJ70" i="57"/>
  <c r="BJ77" i="57" s="1"/>
  <c r="BI70" i="57"/>
  <c r="BI77" i="57" s="1"/>
  <c r="BH70" i="57"/>
  <c r="BH77" i="57" s="1"/>
  <c r="BG70" i="57"/>
  <c r="BG77" i="57" s="1"/>
  <c r="BF70" i="57"/>
  <c r="BF77" i="57" s="1"/>
  <c r="BE70" i="57"/>
  <c r="BD70" i="57"/>
  <c r="BC70" i="57"/>
  <c r="BC77" i="57" s="1"/>
  <c r="BB70" i="57"/>
  <c r="BB77" i="57" s="1"/>
  <c r="BA70" i="57"/>
  <c r="BA77" i="57" s="1"/>
  <c r="AZ70" i="57"/>
  <c r="AZ77" i="57" s="1"/>
  <c r="AI70" i="57"/>
  <c r="AH70" i="57"/>
  <c r="BW69" i="57"/>
  <c r="BV69" i="57"/>
  <c r="BV76" i="57" s="1"/>
  <c r="BU69" i="57"/>
  <c r="BT69" i="57"/>
  <c r="BT76" i="57" s="1"/>
  <c r="BS69" i="57"/>
  <c r="BS76" i="57" s="1"/>
  <c r="BR69" i="57"/>
  <c r="BR76" i="57" s="1"/>
  <c r="BQ69" i="57"/>
  <c r="BQ76" i="57" s="1"/>
  <c r="BP69" i="57"/>
  <c r="BP76" i="57" s="1"/>
  <c r="BO69" i="57"/>
  <c r="BO76" i="57" s="1"/>
  <c r="BN69" i="57"/>
  <c r="BN76" i="57" s="1"/>
  <c r="BM69" i="57"/>
  <c r="BM76" i="57" s="1"/>
  <c r="BL69" i="57"/>
  <c r="BL76" i="57" s="1"/>
  <c r="BK69" i="57"/>
  <c r="BK76" i="57" s="1"/>
  <c r="BJ69" i="57"/>
  <c r="BJ76" i="57" s="1"/>
  <c r="BI69" i="57"/>
  <c r="BI76" i="57" s="1"/>
  <c r="BH69" i="57"/>
  <c r="BH76" i="57" s="1"/>
  <c r="BG69" i="57"/>
  <c r="BF69" i="57"/>
  <c r="BF76" i="57" s="1"/>
  <c r="BE69" i="57"/>
  <c r="BD69" i="57"/>
  <c r="BD76" i="57" s="1"/>
  <c r="BC69" i="57"/>
  <c r="BC76" i="57" s="1"/>
  <c r="BB69" i="57"/>
  <c r="BA69" i="57"/>
  <c r="BA76" i="57" s="1"/>
  <c r="AZ69" i="57"/>
  <c r="AZ76" i="57" s="1"/>
  <c r="AI69" i="57"/>
  <c r="AH69" i="57"/>
  <c r="BW68" i="57"/>
  <c r="BW75" i="57" s="1"/>
  <c r="BV68" i="57"/>
  <c r="BV75" i="57" s="1"/>
  <c r="BU68" i="57"/>
  <c r="BU75" i="57" s="1"/>
  <c r="BT68" i="57"/>
  <c r="BT75" i="57" s="1"/>
  <c r="BS68" i="57"/>
  <c r="BS75" i="57" s="1"/>
  <c r="BR68" i="57"/>
  <c r="BR75" i="57" s="1"/>
  <c r="BQ68" i="57"/>
  <c r="BQ75" i="57" s="1"/>
  <c r="BP68" i="57"/>
  <c r="BP75" i="57" s="1"/>
  <c r="BO68" i="57"/>
  <c r="BO75" i="57" s="1"/>
  <c r="BN68" i="57"/>
  <c r="BN75" i="57" s="1"/>
  <c r="BM68" i="57"/>
  <c r="BM75" i="57" s="1"/>
  <c r="BL68" i="57"/>
  <c r="BL75" i="57" s="1"/>
  <c r="BK68" i="57"/>
  <c r="BK75" i="57" s="1"/>
  <c r="BJ68" i="57"/>
  <c r="BJ75" i="57" s="1"/>
  <c r="BI68" i="57"/>
  <c r="BI75" i="57" s="1"/>
  <c r="BH68" i="57"/>
  <c r="BH75" i="57" s="1"/>
  <c r="BG68" i="57"/>
  <c r="BG75" i="57" s="1"/>
  <c r="BF68" i="57"/>
  <c r="BF75" i="57" s="1"/>
  <c r="BE68" i="57"/>
  <c r="BE75" i="57" s="1"/>
  <c r="BD68" i="57"/>
  <c r="BD75" i="57" s="1"/>
  <c r="BC68" i="57"/>
  <c r="BC75" i="57" s="1"/>
  <c r="BB68" i="57"/>
  <c r="BB75" i="57" s="1"/>
  <c r="BA68" i="57"/>
  <c r="BA75" i="57" s="1"/>
  <c r="AZ68" i="57"/>
  <c r="AZ75" i="57" s="1"/>
  <c r="AI68" i="57"/>
  <c r="AH68" i="57"/>
  <c r="BW67" i="57"/>
  <c r="BW74" i="57" s="1"/>
  <c r="BV67" i="57"/>
  <c r="BV74" i="57" s="1"/>
  <c r="BU67" i="57"/>
  <c r="BU74" i="57" s="1"/>
  <c r="BT67" i="57"/>
  <c r="BT74" i="57" s="1"/>
  <c r="BS67" i="57"/>
  <c r="BS74" i="57" s="1"/>
  <c r="BR67" i="57"/>
  <c r="BR74" i="57" s="1"/>
  <c r="BQ67" i="57"/>
  <c r="BQ74" i="57" s="1"/>
  <c r="BP67" i="57"/>
  <c r="BP74" i="57" s="1"/>
  <c r="BO67" i="57"/>
  <c r="BO74" i="57" s="1"/>
  <c r="BN67" i="57"/>
  <c r="BN74" i="57" s="1"/>
  <c r="BM67" i="57"/>
  <c r="BM74" i="57" s="1"/>
  <c r="BL67" i="57"/>
  <c r="BL74" i="57" s="1"/>
  <c r="BK67" i="57"/>
  <c r="BK74" i="57" s="1"/>
  <c r="BJ67" i="57"/>
  <c r="BJ74" i="57" s="1"/>
  <c r="BI67" i="57"/>
  <c r="BI74" i="57" s="1"/>
  <c r="BH67" i="57"/>
  <c r="BH74" i="57" s="1"/>
  <c r="BG67" i="57"/>
  <c r="BG74" i="57" s="1"/>
  <c r="BF67" i="57"/>
  <c r="BF74" i="57" s="1"/>
  <c r="BE67" i="57"/>
  <c r="BE74" i="57" s="1"/>
  <c r="BD67" i="57"/>
  <c r="BD74" i="57" s="1"/>
  <c r="BC67" i="57"/>
  <c r="BB67" i="57"/>
  <c r="BA67" i="57"/>
  <c r="BA74" i="57" s="1"/>
  <c r="AZ67" i="57"/>
  <c r="AZ74" i="57" s="1"/>
  <c r="AI67" i="57"/>
  <c r="AH67" i="57"/>
  <c r="BW66" i="57"/>
  <c r="BW73" i="57" s="1"/>
  <c r="BV66" i="57"/>
  <c r="BV73" i="57" s="1"/>
  <c r="BU66" i="57"/>
  <c r="BU73" i="57" s="1"/>
  <c r="BT66" i="57"/>
  <c r="BT73" i="57" s="1"/>
  <c r="BS66" i="57"/>
  <c r="BS73" i="57" s="1"/>
  <c r="BR66" i="57"/>
  <c r="BR73" i="57" s="1"/>
  <c r="BQ66" i="57"/>
  <c r="BQ73" i="57" s="1"/>
  <c r="BP66" i="57"/>
  <c r="BP73" i="57" s="1"/>
  <c r="BO66" i="57"/>
  <c r="BO73" i="57" s="1"/>
  <c r="BN66" i="57"/>
  <c r="BN73" i="57" s="1"/>
  <c r="BM66" i="57"/>
  <c r="BL66" i="57"/>
  <c r="BL73" i="57" s="1"/>
  <c r="BK66" i="57"/>
  <c r="BK73" i="57" s="1"/>
  <c r="BJ66" i="57"/>
  <c r="BJ73" i="57" s="1"/>
  <c r="BI66" i="57"/>
  <c r="BI73" i="57" s="1"/>
  <c r="BH66" i="57"/>
  <c r="BH73" i="57" s="1"/>
  <c r="BG66" i="57"/>
  <c r="BG73" i="57" s="1"/>
  <c r="BF66" i="57"/>
  <c r="BF73" i="57" s="1"/>
  <c r="BE66" i="57"/>
  <c r="BD66" i="57"/>
  <c r="BD73" i="57" s="1"/>
  <c r="BC66" i="57"/>
  <c r="BC73" i="57" s="1"/>
  <c r="BB66" i="57"/>
  <c r="BB73" i="57" s="1"/>
  <c r="BA66" i="57"/>
  <c r="BA73" i="57" s="1"/>
  <c r="AZ66" i="57"/>
  <c r="AZ73" i="57" s="1"/>
  <c r="AI66" i="57"/>
  <c r="AH66" i="57"/>
  <c r="AG65" i="57"/>
  <c r="BJ17" i="57"/>
  <c r="BH17" i="57"/>
  <c r="AA65" i="57"/>
  <c r="BD17" i="57"/>
  <c r="BC17" i="57"/>
  <c r="T65" i="57"/>
  <c r="BB17" i="57" s="1"/>
  <c r="S65" i="57"/>
  <c r="BA17" i="57" s="1"/>
  <c r="AX17" i="57"/>
  <c r="AU17" i="57"/>
  <c r="AS17" i="57"/>
  <c r="G65" i="57"/>
  <c r="AR17" i="57" s="1"/>
  <c r="AQ17" i="57"/>
  <c r="E65" i="57"/>
  <c r="AP17" i="57" s="1"/>
  <c r="D65" i="57"/>
  <c r="AO17" i="57" s="1"/>
  <c r="C65" i="57"/>
  <c r="B65" i="57"/>
  <c r="AI64" i="57"/>
  <c r="AH64" i="57"/>
  <c r="AI63" i="57"/>
  <c r="AH63" i="57"/>
  <c r="AI62" i="57"/>
  <c r="AH62" i="57"/>
  <c r="AG61" i="57"/>
  <c r="BJ16" i="57"/>
  <c r="AA61" i="57"/>
  <c r="X7" i="57"/>
  <c r="T61" i="57"/>
  <c r="BB16" i="57" s="1"/>
  <c r="S61" i="57"/>
  <c r="BA16" i="57" s="1"/>
  <c r="G61" i="57"/>
  <c r="F61" i="57"/>
  <c r="AQ16" i="57" s="1"/>
  <c r="E61" i="57"/>
  <c r="AP16" i="57" s="1"/>
  <c r="D61" i="57"/>
  <c r="AO16" i="57" s="1"/>
  <c r="C61" i="57"/>
  <c r="AN16" i="57" s="1"/>
  <c r="B61" i="57"/>
  <c r="AM16" i="57" s="1"/>
  <c r="AI60" i="57"/>
  <c r="AH60" i="57"/>
  <c r="AI59" i="57"/>
  <c r="AH59" i="57"/>
  <c r="AI58" i="57"/>
  <c r="AH58" i="57"/>
  <c r="AI57" i="57"/>
  <c r="AH57" i="57"/>
  <c r="AI56" i="57"/>
  <c r="AH56" i="57"/>
  <c r="AI55" i="57"/>
  <c r="AH55" i="57"/>
  <c r="AI54" i="57"/>
  <c r="AH54" i="57"/>
  <c r="AI53" i="57"/>
  <c r="AH53" i="57"/>
  <c r="AI52" i="57"/>
  <c r="AH52" i="57"/>
  <c r="AI51" i="57"/>
  <c r="AH51" i="57"/>
  <c r="AI50" i="57"/>
  <c r="AH50" i="57"/>
  <c r="AI49" i="57"/>
  <c r="AH49" i="57"/>
  <c r="AI48" i="57"/>
  <c r="AH48" i="57"/>
  <c r="AI47" i="57"/>
  <c r="AH47" i="57"/>
  <c r="AI46" i="57"/>
  <c r="AH46" i="57"/>
  <c r="AI45" i="57"/>
  <c r="AH45" i="57"/>
  <c r="AI44" i="57"/>
  <c r="AH44" i="57"/>
  <c r="AI43" i="57"/>
  <c r="AH43" i="57"/>
  <c r="AI42" i="57"/>
  <c r="AH42" i="57"/>
  <c r="AI41" i="57"/>
  <c r="AH41" i="57"/>
  <c r="AI40" i="57"/>
  <c r="AH40" i="57"/>
  <c r="AI39" i="57"/>
  <c r="AH39" i="57"/>
  <c r="AI38" i="57"/>
  <c r="AH38" i="57"/>
  <c r="AI37" i="57"/>
  <c r="AH37" i="57"/>
  <c r="AI36" i="57"/>
  <c r="AH36" i="57"/>
  <c r="AI35" i="57"/>
  <c r="AH35" i="57"/>
  <c r="AI34" i="57"/>
  <c r="AH34" i="57"/>
  <c r="AI33" i="57"/>
  <c r="AH33" i="57"/>
  <c r="AI32" i="57"/>
  <c r="AH32" i="57"/>
  <c r="AI31" i="57"/>
  <c r="AH31" i="57"/>
  <c r="AI30" i="57"/>
  <c r="AH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BJ21" i="57"/>
  <c r="BI21" i="57"/>
  <c r="BH21" i="57"/>
  <c r="BG21" i="57"/>
  <c r="BF21" i="57"/>
  <c r="BE21" i="57"/>
  <c r="BD21" i="57"/>
  <c r="BC21" i="57"/>
  <c r="BB21" i="57"/>
  <c r="BA21" i="57"/>
  <c r="AZ21" i="57"/>
  <c r="AY21" i="57"/>
  <c r="AX21" i="57"/>
  <c r="AW21" i="57"/>
  <c r="AV21" i="57"/>
  <c r="AU21" i="57"/>
  <c r="AT21" i="57"/>
  <c r="AS21" i="57"/>
  <c r="AR21" i="57"/>
  <c r="AQ21" i="57"/>
  <c r="AP21" i="57"/>
  <c r="AO21" i="57"/>
  <c r="AN21" i="57"/>
  <c r="AM21" i="57"/>
  <c r="AI21" i="57"/>
  <c r="AH21" i="57"/>
  <c r="BJ20" i="57"/>
  <c r="BI20" i="57"/>
  <c r="BH20" i="57"/>
  <c r="BG20" i="57"/>
  <c r="BF20" i="57"/>
  <c r="BE20" i="57"/>
  <c r="BD20" i="57"/>
  <c r="BC20" i="57"/>
  <c r="BA20" i="57"/>
  <c r="AX20" i="57"/>
  <c r="AW20" i="57"/>
  <c r="AV20" i="57"/>
  <c r="AU20" i="57"/>
  <c r="AT20" i="57"/>
  <c r="AR20" i="57"/>
  <c r="AQ20" i="57"/>
  <c r="AP20" i="57"/>
  <c r="AO20" i="57"/>
  <c r="AN20" i="57"/>
  <c r="AI20" i="57"/>
  <c r="AH20" i="57"/>
  <c r="BE19" i="57"/>
  <c r="BD19" i="57"/>
  <c r="BC19" i="57"/>
  <c r="AV19" i="57"/>
  <c r="AN19" i="57"/>
  <c r="AI19" i="57"/>
  <c r="AH19" i="57"/>
  <c r="BJ18" i="57"/>
  <c r="BI18" i="57"/>
  <c r="BH18" i="57"/>
  <c r="BE18" i="57"/>
  <c r="BC18" i="57"/>
  <c r="BB18" i="57"/>
  <c r="BA18" i="57"/>
  <c r="AY18" i="57"/>
  <c r="AX18" i="57"/>
  <c r="AW18" i="57"/>
  <c r="AV18" i="57"/>
  <c r="AU18" i="57"/>
  <c r="AQ18" i="57"/>
  <c r="AP18" i="57"/>
  <c r="AO18" i="57"/>
  <c r="AN18" i="57"/>
  <c r="AI18" i="57"/>
  <c r="AH18" i="57"/>
  <c r="BI17" i="57"/>
  <c r="BG17" i="57"/>
  <c r="BF17" i="57"/>
  <c r="BE17" i="57"/>
  <c r="AZ17" i="57"/>
  <c r="AY17" i="57"/>
  <c r="AW17" i="57"/>
  <c r="AV17" i="57"/>
  <c r="AT17" i="57"/>
  <c r="AN17" i="57"/>
  <c r="AI17" i="57"/>
  <c r="AH17" i="57"/>
  <c r="BI16" i="57"/>
  <c r="BG16" i="57"/>
  <c r="BF16" i="57"/>
  <c r="AZ16" i="57"/>
  <c r="AY16" i="57"/>
  <c r="AX16" i="57"/>
  <c r="AW16" i="57"/>
  <c r="AT16" i="57"/>
  <c r="AS16" i="57"/>
  <c r="AI16" i="57"/>
  <c r="AH16" i="57"/>
  <c r="AI15" i="57"/>
  <c r="AH15" i="57"/>
  <c r="AI14" i="57"/>
  <c r="AH14" i="57"/>
  <c r="AI13" i="57"/>
  <c r="AH13" i="57"/>
  <c r="AL12" i="57"/>
  <c r="AI12" i="57"/>
  <c r="AH12" i="57"/>
  <c r="AI11" i="57"/>
  <c r="AH11" i="57"/>
  <c r="Y5" i="57"/>
  <c r="W5" i="57"/>
  <c r="U5" i="57"/>
  <c r="T5" i="57"/>
  <c r="S5" i="57"/>
  <c r="R5" i="57"/>
  <c r="N5" i="57"/>
  <c r="K4" i="57"/>
  <c r="E4" i="57"/>
  <c r="H4" i="57" s="1"/>
  <c r="B4" i="57"/>
  <c r="D261" i="57" s="1"/>
  <c r="AG3" i="57"/>
  <c r="AE5" i="57" l="1"/>
  <c r="BJ22" i="57"/>
  <c r="AF110" i="57"/>
  <c r="AF111" i="57" s="1"/>
  <c r="BI19" i="57"/>
  <c r="AE100" i="57"/>
  <c r="AE102" i="57" s="1"/>
  <c r="AE110" i="57"/>
  <c r="BI23" i="57" s="1"/>
  <c r="BI22" i="57"/>
  <c r="BH19" i="57"/>
  <c r="AD110" i="57"/>
  <c r="BH23" i="57" s="1"/>
  <c r="BG19" i="57"/>
  <c r="AA100" i="57"/>
  <c r="AA102" i="57" s="1"/>
  <c r="AA103" i="57" s="1"/>
  <c r="AA7" i="57" s="1"/>
  <c r="BD18" i="57"/>
  <c r="V100" i="57"/>
  <c r="V102" i="57" s="1"/>
  <c r="V103" i="57" s="1"/>
  <c r="W100" i="57"/>
  <c r="W102" i="57" s="1"/>
  <c r="W103" i="57" s="1"/>
  <c r="W7" i="57" s="1"/>
  <c r="S110" i="57"/>
  <c r="BA23" i="57" s="1"/>
  <c r="BA22" i="57"/>
  <c r="AZ19" i="57"/>
  <c r="R110" i="57"/>
  <c r="AZ23" i="57" s="1"/>
  <c r="AX22" i="57"/>
  <c r="P110" i="57"/>
  <c r="AX23" i="57" s="1"/>
  <c r="O5" i="57"/>
  <c r="AW19" i="57"/>
  <c r="AW22" i="57" s="1"/>
  <c r="O110" i="57"/>
  <c r="AW23" i="57" s="1"/>
  <c r="S100" i="57"/>
  <c r="S102" i="57" s="1"/>
  <c r="BB22" i="57"/>
  <c r="AU19" i="57"/>
  <c r="K100" i="57"/>
  <c r="K102" i="57" s="1"/>
  <c r="J5" i="57"/>
  <c r="K110" i="57"/>
  <c r="AT23" i="57" s="1"/>
  <c r="AT22" i="57"/>
  <c r="AT24" i="57" s="1"/>
  <c r="J110" i="57"/>
  <c r="J111" i="57"/>
  <c r="I110" i="57"/>
  <c r="AS23" i="57" s="1"/>
  <c r="AR19" i="57"/>
  <c r="G110" i="57"/>
  <c r="AR23" i="57" s="1"/>
  <c r="G100" i="57"/>
  <c r="G102" i="57" s="1"/>
  <c r="G103" i="57" s="1"/>
  <c r="G7" i="57" s="1"/>
  <c r="AR16" i="57"/>
  <c r="AR22" i="57" s="1"/>
  <c r="AR24" i="57" s="1"/>
  <c r="E5" i="57"/>
  <c r="AQ22" i="57"/>
  <c r="AQ24" i="57" s="1"/>
  <c r="AP19" i="57"/>
  <c r="C110" i="57"/>
  <c r="AN23" i="57" s="1"/>
  <c r="AO19" i="57"/>
  <c r="AO22" i="57" s="1"/>
  <c r="AH106" i="57"/>
  <c r="AI65" i="57"/>
  <c r="AN22" i="57"/>
  <c r="AN24" i="57" s="1"/>
  <c r="C100" i="57"/>
  <c r="C102" i="57" s="1"/>
  <c r="C103" i="57" s="1"/>
  <c r="C7" i="57" s="1"/>
  <c r="AI106" i="57"/>
  <c r="AM17" i="57"/>
  <c r="AY22" i="57"/>
  <c r="AY24" i="57" s="1"/>
  <c r="P111" i="57"/>
  <c r="AH79" i="57"/>
  <c r="BG82" i="57" a="1"/>
  <c r="AI79" i="57"/>
  <c r="P5" i="57"/>
  <c r="AY19" i="57"/>
  <c r="AI95" i="57"/>
  <c r="AF5" i="57"/>
  <c r="B111" i="57"/>
  <c r="AH95" i="57"/>
  <c r="AM19" i="57"/>
  <c r="AM22" i="57" s="1"/>
  <c r="AM23" i="57"/>
  <c r="AP22" i="57"/>
  <c r="AZ22" i="57"/>
  <c r="AZ24" i="57" s="1"/>
  <c r="AM20" i="57"/>
  <c r="AI83" i="57"/>
  <c r="AH83" i="57"/>
  <c r="AH109" i="57"/>
  <c r="AI109" i="57"/>
  <c r="BJ23" i="57"/>
  <c r="BJ24" i="57" s="1"/>
  <c r="BE23" i="57"/>
  <c r="Q111" i="57"/>
  <c r="I111" i="57"/>
  <c r="H5" i="57"/>
  <c r="H110" i="57"/>
  <c r="H111" i="57" s="1"/>
  <c r="AH104" i="57"/>
  <c r="AS22" i="57"/>
  <c r="AS24" i="57" s="1"/>
  <c r="BF22" i="57"/>
  <c r="BF24" i="57" s="1"/>
  <c r="E100" i="57"/>
  <c r="E102" i="57" s="1"/>
  <c r="M100" i="57"/>
  <c r="M102" i="57" s="1"/>
  <c r="AU16" i="57"/>
  <c r="AU22" i="57" s="1"/>
  <c r="BC16" i="57"/>
  <c r="BC22" i="57" s="1"/>
  <c r="AC100" i="57"/>
  <c r="AC102" i="57" s="1"/>
  <c r="X5" i="57"/>
  <c r="BG22" i="57"/>
  <c r="BG24" i="57" s="1"/>
  <c r="F100" i="57"/>
  <c r="F102" i="57" s="1"/>
  <c r="F103" i="57" s="1"/>
  <c r="F7" i="57" s="1"/>
  <c r="AV16" i="57"/>
  <c r="AV22" i="57" s="1"/>
  <c r="AV24" i="57" s="1"/>
  <c r="N100" i="57"/>
  <c r="N7" i="57" s="1"/>
  <c r="BD16" i="57"/>
  <c r="BD22" i="57" s="1"/>
  <c r="BD24" i="57" s="1"/>
  <c r="V7" i="57"/>
  <c r="BH16" i="57"/>
  <c r="BH22" i="57" s="1"/>
  <c r="AD100" i="57"/>
  <c r="AD102" i="57" s="1"/>
  <c r="AD103" i="57" s="1"/>
  <c r="AD7" i="57" s="1"/>
  <c r="BE16" i="57"/>
  <c r="BE22" i="57" s="1"/>
  <c r="D100" i="57"/>
  <c r="D102" i="57" s="1"/>
  <c r="L100" i="57"/>
  <c r="L102" i="57" s="1"/>
  <c r="T100" i="57"/>
  <c r="T102" i="57" s="1"/>
  <c r="AB100" i="57"/>
  <c r="AB102" i="57" s="1"/>
  <c r="AG102" i="57"/>
  <c r="AI107" i="57"/>
  <c r="R111" i="57"/>
  <c r="C111" i="57"/>
  <c r="AA111" i="57"/>
  <c r="AI104" i="57"/>
  <c r="AI105" i="57"/>
  <c r="AB111" i="57"/>
  <c r="AF100" i="57"/>
  <c r="AF102" i="57" s="1"/>
  <c r="AF103" i="57" s="1"/>
  <c r="AF7" i="57" s="1"/>
  <c r="Y7" i="57"/>
  <c r="D110" i="57"/>
  <c r="AO23" i="57" s="1"/>
  <c r="L110" i="57"/>
  <c r="L111" i="57" s="1"/>
  <c r="T110" i="57"/>
  <c r="BB23" i="57" s="1"/>
  <c r="BB24" i="57" s="1"/>
  <c r="AB110" i="57"/>
  <c r="BG23" i="57" s="1"/>
  <c r="D255" i="57"/>
  <c r="I100" i="57"/>
  <c r="I102" i="57" s="1"/>
  <c r="I103" i="57" s="1"/>
  <c r="I7" i="57" s="1"/>
  <c r="Q100" i="57"/>
  <c r="Q102" i="57" s="1"/>
  <c r="Q103" i="57" s="1"/>
  <c r="Q7" i="57" s="1"/>
  <c r="B100" i="57"/>
  <c r="J100" i="57"/>
  <c r="J102" i="57" s="1"/>
  <c r="J103" i="57" s="1"/>
  <c r="J7" i="57" s="1"/>
  <c r="R100" i="57"/>
  <c r="R102" i="57" s="1"/>
  <c r="R103" i="57" s="1"/>
  <c r="R7" i="57" s="1"/>
  <c r="Z7" i="57"/>
  <c r="AH61" i="57"/>
  <c r="AH65" i="57"/>
  <c r="F111" i="57"/>
  <c r="N111" i="57"/>
  <c r="AD111" i="57"/>
  <c r="E110" i="57"/>
  <c r="M110" i="57"/>
  <c r="AC110" i="57"/>
  <c r="AC111" i="57" s="1"/>
  <c r="AG100" i="57"/>
  <c r="AG2" i="57"/>
  <c r="AG6" i="57" s="1"/>
  <c r="AL13" i="57"/>
  <c r="AI61" i="57"/>
  <c r="G111" i="57"/>
  <c r="O111" i="57"/>
  <c r="W111" i="57"/>
  <c r="AH105" i="57"/>
  <c r="E249" i="57"/>
  <c r="AH108" i="57"/>
  <c r="D121" i="57"/>
  <c r="BI24" i="57" l="1"/>
  <c r="AE111" i="57"/>
  <c r="AE103" i="57"/>
  <c r="AE7" i="57" s="1"/>
  <c r="BH24" i="57"/>
  <c r="BE24" i="57"/>
  <c r="T111" i="57"/>
  <c r="S111" i="57"/>
  <c r="S103" i="57"/>
  <c r="S7" i="57" s="1"/>
  <c r="BA24" i="57"/>
  <c r="AX24" i="57"/>
  <c r="P7" i="57"/>
  <c r="O7" i="57"/>
  <c r="AW24" i="57"/>
  <c r="M103" i="57"/>
  <c r="M7" i="57" s="1"/>
  <c r="K111" i="57"/>
  <c r="K103" i="57"/>
  <c r="K7" i="57" s="1"/>
  <c r="H103" i="57"/>
  <c r="H7" i="57" s="1"/>
  <c r="D111" i="57"/>
  <c r="AH110" i="57"/>
  <c r="D103" i="57"/>
  <c r="D7" i="57" s="1"/>
  <c r="AM24" i="57"/>
  <c r="AT8" i="57"/>
  <c r="L103" i="57"/>
  <c r="L7" i="57" s="1"/>
  <c r="U7" i="57"/>
  <c r="BC23" i="57"/>
  <c r="E103" i="57"/>
  <c r="E7" i="57" s="1"/>
  <c r="BK105" i="57"/>
  <c r="BI104" i="57"/>
  <c r="BG103" i="57"/>
  <c r="BK101" i="57"/>
  <c r="BI100" i="57"/>
  <c r="BG99" i="57"/>
  <c r="BK97" i="57"/>
  <c r="BI96" i="57"/>
  <c r="BG95" i="57"/>
  <c r="BK93" i="57"/>
  <c r="BI92" i="57"/>
  <c r="BG91" i="57"/>
  <c r="BK89" i="57"/>
  <c r="BI88" i="57"/>
  <c r="BG87" i="57"/>
  <c r="BK85" i="57"/>
  <c r="BI84" i="57"/>
  <c r="BG83" i="57"/>
  <c r="BJ105" i="57"/>
  <c r="BH104" i="57"/>
  <c r="BL102" i="57"/>
  <c r="BJ101" i="57"/>
  <c r="BH100" i="57"/>
  <c r="BL98" i="57"/>
  <c r="BJ97" i="57"/>
  <c r="BH96" i="57"/>
  <c r="BL94" i="57"/>
  <c r="BJ93" i="57"/>
  <c r="BH92" i="57"/>
  <c r="BL90" i="57"/>
  <c r="BJ89" i="57"/>
  <c r="BH88" i="57"/>
  <c r="BL86" i="57"/>
  <c r="BJ85" i="57"/>
  <c r="BH84" i="57"/>
  <c r="BL82" i="57"/>
  <c r="BH105" i="57"/>
  <c r="BL103" i="57"/>
  <c r="BJ102" i="57"/>
  <c r="BH101" i="57"/>
  <c r="BL99" i="57"/>
  <c r="BJ98" i="57"/>
  <c r="BH97" i="57"/>
  <c r="BL95" i="57"/>
  <c r="BJ94" i="57"/>
  <c r="BH93" i="57"/>
  <c r="BL91" i="57"/>
  <c r="BJ90" i="57"/>
  <c r="BH89" i="57"/>
  <c r="BL87" i="57"/>
  <c r="BJ86" i="57"/>
  <c r="BH85" i="57"/>
  <c r="BL83" i="57"/>
  <c r="BJ82" i="57"/>
  <c r="BG105" i="57"/>
  <c r="BK103" i="57"/>
  <c r="BI102" i="57"/>
  <c r="BG101" i="57"/>
  <c r="BK99" i="57"/>
  <c r="BI98" i="57"/>
  <c r="BG97" i="57"/>
  <c r="BK95" i="57"/>
  <c r="BI94" i="57"/>
  <c r="BG93" i="57"/>
  <c r="BK91" i="57"/>
  <c r="BI90" i="57"/>
  <c r="BG89" i="57"/>
  <c r="BK87" i="57"/>
  <c r="BI86" i="57"/>
  <c r="BG85" i="57"/>
  <c r="BK83" i="57"/>
  <c r="BI82" i="57"/>
  <c r="BL104" i="57"/>
  <c r="BH102" i="57"/>
  <c r="BJ99" i="57"/>
  <c r="BL96" i="57"/>
  <c r="BH94" i="57"/>
  <c r="BJ91" i="57"/>
  <c r="BL88" i="57"/>
  <c r="BH86" i="57"/>
  <c r="BJ83" i="57"/>
  <c r="BK104" i="57"/>
  <c r="BG102" i="57"/>
  <c r="BI99" i="57"/>
  <c r="BK96" i="57"/>
  <c r="BG94" i="57"/>
  <c r="BI91" i="57"/>
  <c r="BK88" i="57"/>
  <c r="BG86" i="57"/>
  <c r="BI83" i="57"/>
  <c r="BJ104" i="57"/>
  <c r="BL101" i="57"/>
  <c r="BH99" i="57"/>
  <c r="BJ96" i="57"/>
  <c r="BL93" i="57"/>
  <c r="BH91" i="57"/>
  <c r="BJ88" i="57"/>
  <c r="BL85" i="57"/>
  <c r="BH83" i="57"/>
  <c r="BG104" i="57"/>
  <c r="BI101" i="57"/>
  <c r="BK98" i="57"/>
  <c r="BG96" i="57"/>
  <c r="BI93" i="57"/>
  <c r="BK90" i="57"/>
  <c r="BG88" i="57"/>
  <c r="BI85" i="57"/>
  <c r="BK82" i="57"/>
  <c r="BJ103" i="57"/>
  <c r="BL100" i="57"/>
  <c r="BH98" i="57"/>
  <c r="BJ95" i="57"/>
  <c r="BL92" i="57"/>
  <c r="BH90" i="57"/>
  <c r="BJ87" i="57"/>
  <c r="BL84" i="57"/>
  <c r="BH82" i="57"/>
  <c r="BI105" i="57"/>
  <c r="BK102" i="57"/>
  <c r="BG100" i="57"/>
  <c r="BI97" i="57"/>
  <c r="BK94" i="57"/>
  <c r="BG92" i="57"/>
  <c r="BI89" i="57"/>
  <c r="BK86" i="57"/>
  <c r="BG84" i="57"/>
  <c r="BK100" i="57"/>
  <c r="BG90" i="57"/>
  <c r="BI103" i="57"/>
  <c r="BG82" i="57"/>
  <c r="BJ100" i="57"/>
  <c r="BL89" i="57"/>
  <c r="BL97" i="57"/>
  <c r="BH87" i="57"/>
  <c r="BL105" i="57"/>
  <c r="BJ84" i="57"/>
  <c r="BG98" i="57"/>
  <c r="BI87" i="57"/>
  <c r="BI95" i="57"/>
  <c r="BK84" i="57"/>
  <c r="BK92" i="57"/>
  <c r="BH103" i="57"/>
  <c r="BJ92" i="57"/>
  <c r="BH95" i="57"/>
  <c r="AP23" i="57"/>
  <c r="AP24" i="57" s="1"/>
  <c r="E111" i="57"/>
  <c r="B259" i="57"/>
  <c r="AB103" i="57"/>
  <c r="AB7" i="57" s="1"/>
  <c r="AC103" i="57"/>
  <c r="AC7" i="57" s="1"/>
  <c r="AO24" i="57"/>
  <c r="AI110" i="57"/>
  <c r="C259" i="57"/>
  <c r="M111" i="57"/>
  <c r="AU23" i="57"/>
  <c r="AU24" i="57" s="1"/>
  <c r="F249" i="57"/>
  <c r="E255" i="57"/>
  <c r="AH100" i="57"/>
  <c r="AI100" i="57"/>
  <c r="B102" i="57"/>
  <c r="T103" i="57"/>
  <c r="T7" i="57" s="1"/>
  <c r="BC24" i="57"/>
  <c r="AI111" i="57" l="1"/>
  <c r="G249" i="57"/>
  <c r="F255" i="57"/>
  <c r="F121" i="57"/>
  <c r="K6" i="57"/>
  <c r="B103" i="57"/>
  <c r="AH102" i="57"/>
  <c r="AI102" i="57"/>
  <c r="AH111" i="57"/>
  <c r="AT9" i="57"/>
  <c r="B7" i="57" l="1"/>
  <c r="A7" i="57" s="1"/>
  <c r="AI103" i="57"/>
  <c r="AH103" i="57"/>
  <c r="H249" i="57"/>
  <c r="G255" i="57"/>
  <c r="G121" i="57"/>
  <c r="I249" i="57" l="1"/>
  <c r="H255" i="57"/>
  <c r="H121" i="57"/>
  <c r="I255" i="57" l="1"/>
  <c r="I121" i="57"/>
  <c r="J249" i="57"/>
  <c r="J255" i="57" l="1"/>
  <c r="J121" i="57"/>
  <c r="K249" i="57"/>
  <c r="AA61" i="56"/>
  <c r="AA65" i="56"/>
  <c r="AA79" i="56"/>
  <c r="AA83" i="56"/>
  <c r="Z61" i="56"/>
  <c r="Z65" i="56"/>
  <c r="Z79" i="56"/>
  <c r="Z83" i="56"/>
  <c r="Y61" i="56"/>
  <c r="Y65" i="56"/>
  <c r="Y79" i="56"/>
  <c r="Y83" i="56"/>
  <c r="X61" i="56"/>
  <c r="X65" i="56"/>
  <c r="X79" i="56"/>
  <c r="X83" i="56"/>
  <c r="W61" i="56"/>
  <c r="W65" i="56"/>
  <c r="W79" i="56"/>
  <c r="W83" i="56"/>
  <c r="V61" i="56"/>
  <c r="V65" i="56"/>
  <c r="V79" i="56"/>
  <c r="V83" i="56"/>
  <c r="U61" i="56"/>
  <c r="U65" i="56"/>
  <c r="U79" i="56"/>
  <c r="U83" i="56"/>
  <c r="T61" i="56"/>
  <c r="T65" i="56"/>
  <c r="T79" i="56"/>
  <c r="T83" i="56"/>
  <c r="K255" i="57" l="1"/>
  <c r="K121" i="57"/>
  <c r="L249" i="57"/>
  <c r="L255" i="57" l="1"/>
  <c r="L121" i="57"/>
  <c r="M249" i="57"/>
  <c r="N249" i="57" l="1"/>
  <c r="M121" i="57"/>
  <c r="M255" i="57"/>
  <c r="O249" i="57" l="1"/>
  <c r="N121" i="57"/>
  <c r="N255" i="57"/>
  <c r="P249" i="57" l="1"/>
  <c r="O255" i="57"/>
  <c r="O121" i="57"/>
  <c r="S61" i="56"/>
  <c r="S65" i="56"/>
  <c r="S79" i="56"/>
  <c r="S83" i="56"/>
  <c r="Q249" i="57" l="1"/>
  <c r="P255" i="57"/>
  <c r="R60" i="56"/>
  <c r="Q60" i="56"/>
  <c r="P124" i="56"/>
  <c r="P60" i="56"/>
  <c r="O124" i="56"/>
  <c r="O60" i="56"/>
  <c r="O61" i="56"/>
  <c r="O65" i="56"/>
  <c r="N124" i="56"/>
  <c r="N60" i="56"/>
  <c r="M124" i="56"/>
  <c r="M60" i="56"/>
  <c r="Q255" i="57" l="1"/>
  <c r="Q121" i="57"/>
  <c r="R249" i="57"/>
  <c r="R255" i="57" l="1"/>
  <c r="R121" i="57"/>
  <c r="S249" i="57"/>
  <c r="S255" i="57" l="1"/>
  <c r="S121" i="57"/>
  <c r="T249" i="57"/>
  <c r="T255" i="57" l="1"/>
  <c r="T121" i="57"/>
  <c r="U249" i="57"/>
  <c r="V249" i="57" l="1"/>
  <c r="U255" i="57"/>
  <c r="W249" i="57" l="1"/>
  <c r="V255" i="57"/>
  <c r="X249" i="57" l="1"/>
  <c r="W255" i="57"/>
  <c r="W121" i="57"/>
  <c r="Y249" i="57" l="1"/>
  <c r="X255" i="57"/>
  <c r="Y255" i="57" l="1"/>
  <c r="Z249" i="57"/>
  <c r="Z255" i="57" l="1"/>
  <c r="AA249" i="57"/>
  <c r="AG255" i="56"/>
  <c r="C255" i="56"/>
  <c r="M254" i="56"/>
  <c r="N254" i="56" s="1"/>
  <c r="O254" i="56" s="1"/>
  <c r="P254" i="56" s="1"/>
  <c r="Q254" i="56" s="1"/>
  <c r="R254" i="56" s="1"/>
  <c r="S254" i="56" s="1"/>
  <c r="T254" i="56" s="1"/>
  <c r="U254" i="56" s="1"/>
  <c r="V254" i="56" s="1"/>
  <c r="W254" i="56" s="1"/>
  <c r="X254" i="56" s="1"/>
  <c r="Y254" i="56" s="1"/>
  <c r="Z254" i="56" s="1"/>
  <c r="AA254" i="56" s="1"/>
  <c r="AB254" i="56" s="1"/>
  <c r="AC254" i="56" s="1"/>
  <c r="AD254" i="56" s="1"/>
  <c r="AE254" i="56" s="1"/>
  <c r="AF254" i="56" s="1"/>
  <c r="B254" i="56" s="1"/>
  <c r="L254" i="56"/>
  <c r="E254" i="56"/>
  <c r="F254" i="56" s="1"/>
  <c r="G254" i="56" s="1"/>
  <c r="H254" i="56" s="1"/>
  <c r="I254" i="56" s="1"/>
  <c r="J254" i="56" s="1"/>
  <c r="K254" i="56" s="1"/>
  <c r="D254" i="56"/>
  <c r="D121" i="56" s="1"/>
  <c r="K253" i="56"/>
  <c r="L253" i="56" s="1"/>
  <c r="M253" i="56" s="1"/>
  <c r="N253" i="56" s="1"/>
  <c r="O253" i="56" s="1"/>
  <c r="P253" i="56" s="1"/>
  <c r="Q253" i="56" s="1"/>
  <c r="R253" i="56" s="1"/>
  <c r="S253" i="56" s="1"/>
  <c r="T253" i="56" s="1"/>
  <c r="U253" i="56" s="1"/>
  <c r="V253" i="56" s="1"/>
  <c r="W253" i="56" s="1"/>
  <c r="X253" i="56" s="1"/>
  <c r="Y253" i="56" s="1"/>
  <c r="Z253" i="56" s="1"/>
  <c r="AA253" i="56" s="1"/>
  <c r="AB253" i="56" s="1"/>
  <c r="AC253" i="56" s="1"/>
  <c r="AD253" i="56" s="1"/>
  <c r="AE253" i="56" s="1"/>
  <c r="AF253" i="56" s="1"/>
  <c r="B253" i="56" s="1"/>
  <c r="J253" i="56"/>
  <c r="E253" i="56"/>
  <c r="F253" i="56" s="1"/>
  <c r="G253" i="56" s="1"/>
  <c r="H253" i="56" s="1"/>
  <c r="I253" i="56" s="1"/>
  <c r="D253" i="56"/>
  <c r="E252" i="56"/>
  <c r="F252" i="56" s="1"/>
  <c r="G252" i="56" s="1"/>
  <c r="H252" i="56" s="1"/>
  <c r="I252" i="56" s="1"/>
  <c r="J252" i="56" s="1"/>
  <c r="K252" i="56" s="1"/>
  <c r="L252" i="56" s="1"/>
  <c r="M252" i="56" s="1"/>
  <c r="N252" i="56" s="1"/>
  <c r="O252" i="56" s="1"/>
  <c r="P252" i="56" s="1"/>
  <c r="Q252" i="56" s="1"/>
  <c r="R252" i="56" s="1"/>
  <c r="S252" i="56" s="1"/>
  <c r="T252" i="56" s="1"/>
  <c r="U252" i="56" s="1"/>
  <c r="V252" i="56" s="1"/>
  <c r="W252" i="56" s="1"/>
  <c r="X252" i="56" s="1"/>
  <c r="Y252" i="56" s="1"/>
  <c r="Z252" i="56" s="1"/>
  <c r="AA252" i="56" s="1"/>
  <c r="AB252" i="56" s="1"/>
  <c r="AC252" i="56" s="1"/>
  <c r="AD252" i="56" s="1"/>
  <c r="AE252" i="56" s="1"/>
  <c r="AF252" i="56" s="1"/>
  <c r="B252" i="56" s="1"/>
  <c r="D252" i="56"/>
  <c r="G251" i="56"/>
  <c r="H251" i="56" s="1"/>
  <c r="I251" i="56" s="1"/>
  <c r="J251" i="56" s="1"/>
  <c r="K251" i="56" s="1"/>
  <c r="L251" i="56" s="1"/>
  <c r="M251" i="56" s="1"/>
  <c r="N251" i="56" s="1"/>
  <c r="O251" i="56" s="1"/>
  <c r="P251" i="56" s="1"/>
  <c r="Q251" i="56" s="1"/>
  <c r="R251" i="56" s="1"/>
  <c r="S251" i="56" s="1"/>
  <c r="T251" i="56" s="1"/>
  <c r="U251" i="56" s="1"/>
  <c r="V251" i="56" s="1"/>
  <c r="W251" i="56" s="1"/>
  <c r="X251" i="56" s="1"/>
  <c r="Y251" i="56" s="1"/>
  <c r="Z251" i="56" s="1"/>
  <c r="AA251" i="56" s="1"/>
  <c r="AB251" i="56" s="1"/>
  <c r="AC251" i="56" s="1"/>
  <c r="AD251" i="56" s="1"/>
  <c r="AE251" i="56" s="1"/>
  <c r="AF251" i="56" s="1"/>
  <c r="B251" i="56" s="1"/>
  <c r="F251" i="56"/>
  <c r="E251" i="56"/>
  <c r="D251" i="56"/>
  <c r="D250" i="56"/>
  <c r="D255" i="56" s="1"/>
  <c r="E249" i="56"/>
  <c r="F249" i="56" s="1"/>
  <c r="G249" i="56" s="1"/>
  <c r="D249" i="56"/>
  <c r="AG247" i="56"/>
  <c r="AF247" i="56"/>
  <c r="AE247" i="56"/>
  <c r="AD247" i="56"/>
  <c r="AC247" i="56"/>
  <c r="AB247" i="56"/>
  <c r="AA247" i="56"/>
  <c r="Z247" i="56"/>
  <c r="Z121" i="56" s="1"/>
  <c r="Y247" i="56"/>
  <c r="Y121" i="56" s="1"/>
  <c r="X247" i="56"/>
  <c r="W247" i="56"/>
  <c r="V247" i="56"/>
  <c r="U247" i="56"/>
  <c r="T247" i="56"/>
  <c r="S247" i="56"/>
  <c r="R247" i="56"/>
  <c r="Q247" i="56"/>
  <c r="P247" i="56"/>
  <c r="O247" i="56"/>
  <c r="N247" i="56"/>
  <c r="M247" i="56"/>
  <c r="L247" i="56"/>
  <c r="K247" i="56"/>
  <c r="J247" i="56"/>
  <c r="I247" i="56"/>
  <c r="H247" i="56"/>
  <c r="G247" i="56"/>
  <c r="F247" i="56"/>
  <c r="E247" i="56"/>
  <c r="D247" i="56"/>
  <c r="C247" i="56"/>
  <c r="B247" i="56"/>
  <c r="AI133" i="56"/>
  <c r="AH133" i="56"/>
  <c r="AI132" i="56"/>
  <c r="AH132" i="56"/>
  <c r="AI131" i="56"/>
  <c r="AH131" i="56"/>
  <c r="AI130" i="56"/>
  <c r="AH130" i="56"/>
  <c r="AI129" i="56"/>
  <c r="AH129" i="56"/>
  <c r="AI126" i="56"/>
  <c r="AH126" i="56"/>
  <c r="AI125" i="56"/>
  <c r="AH125" i="56"/>
  <c r="AI124" i="56"/>
  <c r="AH124" i="56"/>
  <c r="AI123" i="56"/>
  <c r="AH123" i="56"/>
  <c r="AI122" i="56"/>
  <c r="AH122" i="56"/>
  <c r="E121" i="56"/>
  <c r="C121" i="56"/>
  <c r="AI120" i="56"/>
  <c r="AH120" i="56"/>
  <c r="AI119" i="56"/>
  <c r="AH119" i="56"/>
  <c r="AI118" i="56"/>
  <c r="AH118" i="56"/>
  <c r="AI117" i="56"/>
  <c r="AH117" i="56"/>
  <c r="AI116" i="56"/>
  <c r="AH116" i="56"/>
  <c r="AI115" i="56"/>
  <c r="AH115" i="56"/>
  <c r="AI114" i="56"/>
  <c r="AH114" i="56"/>
  <c r="AI113" i="56"/>
  <c r="AH113" i="56"/>
  <c r="AI112" i="56"/>
  <c r="AH112" i="56"/>
  <c r="AF109" i="56"/>
  <c r="AE109" i="56"/>
  <c r="AD109" i="56"/>
  <c r="AC109" i="56"/>
  <c r="AB109" i="56"/>
  <c r="AA109" i="56"/>
  <c r="Z109" i="56"/>
  <c r="Y109" i="56"/>
  <c r="X109" i="56"/>
  <c r="W109" i="56"/>
  <c r="V109" i="56"/>
  <c r="U109" i="56"/>
  <c r="T109" i="56"/>
  <c r="S109" i="56"/>
  <c r="R109" i="56"/>
  <c r="Q109" i="56"/>
  <c r="P109" i="56"/>
  <c r="O109" i="56"/>
  <c r="N109" i="56"/>
  <c r="M109" i="56"/>
  <c r="L109" i="56"/>
  <c r="K109" i="56"/>
  <c r="J109" i="56"/>
  <c r="I109" i="56"/>
  <c r="H109" i="56"/>
  <c r="G109" i="56"/>
  <c r="F109" i="56"/>
  <c r="E109" i="56"/>
  <c r="D109" i="56"/>
  <c r="C109" i="56"/>
  <c r="B109" i="56"/>
  <c r="AH109" i="56" s="1"/>
  <c r="AF108" i="56"/>
  <c r="AE108" i="56"/>
  <c r="AD108" i="56"/>
  <c r="AC108" i="56"/>
  <c r="AB108" i="56"/>
  <c r="AA108" i="56"/>
  <c r="Z108" i="56"/>
  <c r="Y108" i="56"/>
  <c r="X108" i="56"/>
  <c r="W108" i="56"/>
  <c r="V108" i="56"/>
  <c r="U108" i="56"/>
  <c r="T108" i="56"/>
  <c r="S108" i="56"/>
  <c r="R108" i="56"/>
  <c r="Q108" i="56"/>
  <c r="P108" i="56"/>
  <c r="O108" i="56"/>
  <c r="N108" i="56"/>
  <c r="M108" i="56"/>
  <c r="L108" i="56"/>
  <c r="K108" i="56"/>
  <c r="J108" i="56"/>
  <c r="I108" i="56"/>
  <c r="H108" i="56"/>
  <c r="G108" i="56"/>
  <c r="F108" i="56"/>
  <c r="E108" i="56"/>
  <c r="D108" i="56"/>
  <c r="C108" i="56"/>
  <c r="B108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H107" i="56" s="1"/>
  <c r="C107" i="56"/>
  <c r="B107" i="56"/>
  <c r="AF106" i="56"/>
  <c r="AE106" i="56"/>
  <c r="AD106" i="56"/>
  <c r="AC106" i="56"/>
  <c r="AB106" i="56"/>
  <c r="AA106" i="56"/>
  <c r="Z106" i="56"/>
  <c r="Y106" i="56"/>
  <c r="X106" i="56"/>
  <c r="W106" i="56"/>
  <c r="V106" i="56"/>
  <c r="U106" i="56"/>
  <c r="T106" i="56"/>
  <c r="S106" i="56"/>
  <c r="R106" i="56"/>
  <c r="Q106" i="56"/>
  <c r="P106" i="56"/>
  <c r="O106" i="56"/>
  <c r="N106" i="56"/>
  <c r="M106" i="56"/>
  <c r="L106" i="56"/>
  <c r="K106" i="56"/>
  <c r="J106" i="56"/>
  <c r="I106" i="56"/>
  <c r="I110" i="56" s="1"/>
  <c r="AS23" i="56" s="1"/>
  <c r="H106" i="56"/>
  <c r="G106" i="56"/>
  <c r="F106" i="56"/>
  <c r="E106" i="56"/>
  <c r="D106" i="56"/>
  <c r="C106" i="56"/>
  <c r="B106" i="56"/>
  <c r="AF105" i="56"/>
  <c r="AE105" i="56"/>
  <c r="AD105" i="56"/>
  <c r="AC105" i="56"/>
  <c r="AB105" i="56"/>
  <c r="AA105" i="56"/>
  <c r="Z105" i="56"/>
  <c r="Y105" i="56"/>
  <c r="X105" i="56"/>
  <c r="W105" i="56"/>
  <c r="V105" i="56"/>
  <c r="U105" i="56"/>
  <c r="T105" i="56"/>
  <c r="S105" i="56"/>
  <c r="R105" i="56"/>
  <c r="Q105" i="56"/>
  <c r="P105" i="56"/>
  <c r="O105" i="56"/>
  <c r="N105" i="56"/>
  <c r="M105" i="56"/>
  <c r="L105" i="56"/>
  <c r="K105" i="56"/>
  <c r="J105" i="56"/>
  <c r="I105" i="56"/>
  <c r="H105" i="56"/>
  <c r="G105" i="56"/>
  <c r="F105" i="56"/>
  <c r="E105" i="56"/>
  <c r="D105" i="56"/>
  <c r="C105" i="56"/>
  <c r="B105" i="56"/>
  <c r="AF104" i="56"/>
  <c r="AF110" i="56" s="1"/>
  <c r="BJ23" i="56" s="1"/>
  <c r="AE104" i="56"/>
  <c r="AD104" i="56"/>
  <c r="AC104" i="56"/>
  <c r="AB104" i="56"/>
  <c r="AA104" i="56"/>
  <c r="Z104" i="56"/>
  <c r="Y104" i="56"/>
  <c r="Y110" i="56" s="1"/>
  <c r="X104" i="56"/>
  <c r="W104" i="56"/>
  <c r="V104" i="56"/>
  <c r="U104" i="56"/>
  <c r="T104" i="56"/>
  <c r="S104" i="56"/>
  <c r="R104" i="56"/>
  <c r="Q104" i="56"/>
  <c r="Q110" i="56" s="1"/>
  <c r="AY23" i="56" s="1"/>
  <c r="P104" i="56"/>
  <c r="O104" i="56"/>
  <c r="N104" i="56"/>
  <c r="M104" i="56"/>
  <c r="L104" i="56"/>
  <c r="L110" i="56" s="1"/>
  <c r="K104" i="56"/>
  <c r="J104" i="56"/>
  <c r="I104" i="56"/>
  <c r="H104" i="56"/>
  <c r="G104" i="56"/>
  <c r="F104" i="56"/>
  <c r="E104" i="56"/>
  <c r="E110" i="56" s="1"/>
  <c r="AP23" i="56" s="1"/>
  <c r="D104" i="56"/>
  <c r="C104" i="56"/>
  <c r="B104" i="56"/>
  <c r="AI101" i="56"/>
  <c r="AH101" i="56"/>
  <c r="AI99" i="56"/>
  <c r="AH99" i="56"/>
  <c r="AG99" i="56"/>
  <c r="AI98" i="56"/>
  <c r="AH98" i="56"/>
  <c r="AI97" i="56"/>
  <c r="AH97" i="56"/>
  <c r="AI96" i="56"/>
  <c r="AH96" i="56"/>
  <c r="AG95" i="56"/>
  <c r="AF95" i="56"/>
  <c r="AE95" i="56"/>
  <c r="AD95" i="56"/>
  <c r="BH19" i="56" s="1"/>
  <c r="AC95" i="56"/>
  <c r="AB95" i="56"/>
  <c r="AA5" i="56" s="1"/>
  <c r="AA95" i="56"/>
  <c r="Z95" i="56"/>
  <c r="Y95" i="56"/>
  <c r="X95" i="56"/>
  <c r="W5" i="56" s="1"/>
  <c r="W95" i="56"/>
  <c r="V95" i="56"/>
  <c r="V100" i="56" s="1"/>
  <c r="V102" i="56" s="1"/>
  <c r="U95" i="56"/>
  <c r="U100" i="56" s="1"/>
  <c r="U102" i="56" s="1"/>
  <c r="T95" i="56"/>
  <c r="BB19" i="56" s="1"/>
  <c r="S95" i="56"/>
  <c r="BA19" i="56" s="1"/>
  <c r="R95" i="56"/>
  <c r="Q95" i="56"/>
  <c r="AY19" i="56" s="1"/>
  <c r="P95" i="56"/>
  <c r="O95" i="56"/>
  <c r="N5" i="56" s="1"/>
  <c r="N95" i="56"/>
  <c r="AV19" i="56" s="1"/>
  <c r="M95" i="56"/>
  <c r="L5" i="56" s="1"/>
  <c r="L95" i="56"/>
  <c r="K5" i="56" s="1"/>
  <c r="K95" i="56"/>
  <c r="J95" i="56"/>
  <c r="I95" i="56"/>
  <c r="H95" i="56"/>
  <c r="G95" i="56"/>
  <c r="F95" i="56"/>
  <c r="E5" i="56" s="1"/>
  <c r="E95" i="56"/>
  <c r="D5" i="56" s="1"/>
  <c r="D95" i="56"/>
  <c r="C5" i="56" s="1"/>
  <c r="C95" i="56"/>
  <c r="B95" i="56"/>
  <c r="AM19" i="56" s="1"/>
  <c r="AI94" i="56"/>
  <c r="AH94" i="56"/>
  <c r="AI93" i="56"/>
  <c r="AH93" i="56"/>
  <c r="AI92" i="56"/>
  <c r="AH92" i="56"/>
  <c r="AI91" i="56"/>
  <c r="AH91" i="56"/>
  <c r="AI90" i="56"/>
  <c r="AH90" i="56"/>
  <c r="AI89" i="56"/>
  <c r="AH89" i="56"/>
  <c r="AI88" i="56"/>
  <c r="AH88" i="56"/>
  <c r="AI87" i="56"/>
  <c r="AH87" i="56"/>
  <c r="AI86" i="56"/>
  <c r="AH86" i="56"/>
  <c r="AI85" i="56"/>
  <c r="AH85" i="56"/>
  <c r="AI84" i="56"/>
  <c r="AH84" i="56"/>
  <c r="AG83" i="56"/>
  <c r="AF83" i="56"/>
  <c r="AE83" i="56"/>
  <c r="AD83" i="56"/>
  <c r="BH20" i="56" s="1"/>
  <c r="AC83" i="56"/>
  <c r="AB83" i="56"/>
  <c r="R83" i="56"/>
  <c r="AZ20" i="56" s="1"/>
  <c r="Q83" i="56"/>
  <c r="P83" i="56"/>
  <c r="O83" i="56"/>
  <c r="AW20" i="56" s="1"/>
  <c r="N83" i="56"/>
  <c r="AV20" i="56" s="1"/>
  <c r="M83" i="56"/>
  <c r="L83" i="56"/>
  <c r="K83" i="56"/>
  <c r="J83" i="56"/>
  <c r="I83" i="56"/>
  <c r="H83" i="56"/>
  <c r="G83" i="56"/>
  <c r="F83" i="56"/>
  <c r="AQ20" i="56" s="1"/>
  <c r="E83" i="56"/>
  <c r="D83" i="56"/>
  <c r="C83" i="56"/>
  <c r="B83" i="56"/>
  <c r="AI82" i="56"/>
  <c r="AH82" i="56"/>
  <c r="AI81" i="56"/>
  <c r="AH81" i="56"/>
  <c r="AI80" i="56"/>
  <c r="AH80" i="56"/>
  <c r="AG79" i="56"/>
  <c r="AF79" i="56"/>
  <c r="AE79" i="56"/>
  <c r="BI18" i="56" s="1"/>
  <c r="AD79" i="56"/>
  <c r="BH18" i="56" s="1"/>
  <c r="AC79" i="56"/>
  <c r="AB79" i="56"/>
  <c r="BF18" i="56"/>
  <c r="R79" i="56"/>
  <c r="AZ18" i="56" s="1"/>
  <c r="Q79" i="56"/>
  <c r="AY18" i="56" s="1"/>
  <c r="P79" i="56"/>
  <c r="O79" i="56"/>
  <c r="AW18" i="56" s="1"/>
  <c r="N79" i="56"/>
  <c r="M79" i="56"/>
  <c r="L79" i="56"/>
  <c r="K79" i="56"/>
  <c r="J79" i="56"/>
  <c r="I79" i="56"/>
  <c r="H79" i="56"/>
  <c r="G79" i="56"/>
  <c r="AR18" i="56" s="1"/>
  <c r="F79" i="56"/>
  <c r="E79" i="56"/>
  <c r="D79" i="56"/>
  <c r="C79" i="56"/>
  <c r="B79" i="56"/>
  <c r="BW78" i="56"/>
  <c r="BU78" i="56"/>
  <c r="BQ78" i="56"/>
  <c r="BM78" i="56"/>
  <c r="BE78" i="56"/>
  <c r="BC78" i="56"/>
  <c r="BA78" i="56"/>
  <c r="AI78" i="56"/>
  <c r="AH78" i="56"/>
  <c r="AG78" i="56"/>
  <c r="BW77" i="56"/>
  <c r="BT77" i="56"/>
  <c r="BS77" i="56"/>
  <c r="BO77" i="56"/>
  <c r="BK77" i="56"/>
  <c r="BJ77" i="56"/>
  <c r="BH77" i="56"/>
  <c r="BG77" i="56"/>
  <c r="BD77" i="56"/>
  <c r="BC77" i="56"/>
  <c r="AI77" i="56"/>
  <c r="AH77" i="56"/>
  <c r="BQ76" i="56"/>
  <c r="BN76" i="56"/>
  <c r="BM76" i="56"/>
  <c r="BI76" i="56"/>
  <c r="BE76" i="56"/>
  <c r="BD76" i="56"/>
  <c r="BB76" i="56"/>
  <c r="BA76" i="56"/>
  <c r="AI76" i="56"/>
  <c r="AH76" i="56"/>
  <c r="BW75" i="56"/>
  <c r="BS75" i="56"/>
  <c r="BH75" i="56"/>
  <c r="BD75" i="56"/>
  <c r="AI75" i="56"/>
  <c r="AH75" i="56"/>
  <c r="BQ74" i="56"/>
  <c r="BN74" i="56"/>
  <c r="BM74" i="56"/>
  <c r="BJ74" i="56"/>
  <c r="BI74" i="56"/>
  <c r="BF74" i="56"/>
  <c r="BE74" i="56"/>
  <c r="BB74" i="56"/>
  <c r="BA74" i="56"/>
  <c r="AI74" i="56"/>
  <c r="AH74" i="56"/>
  <c r="BW73" i="56"/>
  <c r="BT73" i="56"/>
  <c r="BO73" i="56"/>
  <c r="BK73" i="56"/>
  <c r="BC73" i="56"/>
  <c r="AZ73" i="56"/>
  <c r="AI73" i="56"/>
  <c r="AH73" i="56"/>
  <c r="AI72" i="56"/>
  <c r="AH72" i="56"/>
  <c r="BW71" i="56"/>
  <c r="BV71" i="56"/>
  <c r="BV78" i="56" s="1"/>
  <c r="BU71" i="56"/>
  <c r="BT71" i="56"/>
  <c r="BT78" i="56" s="1"/>
  <c r="BS71" i="56"/>
  <c r="BS78" i="56" s="1"/>
  <c r="BR71" i="56"/>
  <c r="BR78" i="56" s="1"/>
  <c r="BQ71" i="56"/>
  <c r="BP71" i="56"/>
  <c r="BP78" i="56" s="1"/>
  <c r="BO71" i="56"/>
  <c r="BO78" i="56" s="1"/>
  <c r="BN71" i="56"/>
  <c r="BN78" i="56" s="1"/>
  <c r="BM71" i="56"/>
  <c r="BL71" i="56"/>
  <c r="BL78" i="56" s="1"/>
  <c r="BK71" i="56"/>
  <c r="BK78" i="56" s="1"/>
  <c r="BJ71" i="56"/>
  <c r="BJ78" i="56" s="1"/>
  <c r="BI71" i="56"/>
  <c r="BI78" i="56" s="1"/>
  <c r="BH71" i="56"/>
  <c r="BH78" i="56" s="1"/>
  <c r="BG71" i="56"/>
  <c r="BG78" i="56" s="1"/>
  <c r="BF71" i="56"/>
  <c r="BF78" i="56" s="1"/>
  <c r="BE71" i="56"/>
  <c r="BD71" i="56"/>
  <c r="BD78" i="56" s="1"/>
  <c r="BC71" i="56"/>
  <c r="BB71" i="56"/>
  <c r="BB78" i="56" s="1"/>
  <c r="BA71" i="56"/>
  <c r="AZ71" i="56"/>
  <c r="AZ78" i="56" s="1"/>
  <c r="AI71" i="56"/>
  <c r="AH71" i="56"/>
  <c r="BW70" i="56"/>
  <c r="BV70" i="56"/>
  <c r="BV77" i="56" s="1"/>
  <c r="BU70" i="56"/>
  <c r="BU77" i="56" s="1"/>
  <c r="BT70" i="56"/>
  <c r="BS70" i="56"/>
  <c r="BR70" i="56"/>
  <c r="BR77" i="56" s="1"/>
  <c r="BQ70" i="56"/>
  <c r="BQ77" i="56" s="1"/>
  <c r="BP70" i="56"/>
  <c r="BP77" i="56" s="1"/>
  <c r="BO70" i="56"/>
  <c r="BN70" i="56"/>
  <c r="BN77" i="56" s="1"/>
  <c r="BM70" i="56"/>
  <c r="BM77" i="56" s="1"/>
  <c r="BL70" i="56"/>
  <c r="BL77" i="56" s="1"/>
  <c r="BK70" i="56"/>
  <c r="BJ70" i="56"/>
  <c r="BI70" i="56"/>
  <c r="BI77" i="56" s="1"/>
  <c r="BH70" i="56"/>
  <c r="BG70" i="56"/>
  <c r="BF70" i="56"/>
  <c r="BF77" i="56" s="1"/>
  <c r="BE70" i="56"/>
  <c r="BE77" i="56" s="1"/>
  <c r="BD70" i="56"/>
  <c r="BC70" i="56"/>
  <c r="BB70" i="56"/>
  <c r="BB77" i="56" s="1"/>
  <c r="BA70" i="56"/>
  <c r="BA77" i="56" s="1"/>
  <c r="AZ70" i="56"/>
  <c r="AZ77" i="56" s="1"/>
  <c r="AI70" i="56"/>
  <c r="AH70" i="56"/>
  <c r="BW69" i="56"/>
  <c r="BW76" i="56" s="1"/>
  <c r="BV69" i="56"/>
  <c r="BV76" i="56" s="1"/>
  <c r="BU69" i="56"/>
  <c r="BU76" i="56" s="1"/>
  <c r="BT69" i="56"/>
  <c r="BT76" i="56" s="1"/>
  <c r="BS69" i="56"/>
  <c r="BS76" i="56" s="1"/>
  <c r="BR69" i="56"/>
  <c r="BR76" i="56" s="1"/>
  <c r="BQ69" i="56"/>
  <c r="BP69" i="56"/>
  <c r="BP76" i="56" s="1"/>
  <c r="BO69" i="56"/>
  <c r="BO76" i="56" s="1"/>
  <c r="BN69" i="56"/>
  <c r="BM69" i="56"/>
  <c r="BL69" i="56"/>
  <c r="BL76" i="56" s="1"/>
  <c r="BK69" i="56"/>
  <c r="BK76" i="56" s="1"/>
  <c r="BJ69" i="56"/>
  <c r="BJ76" i="56" s="1"/>
  <c r="BI69" i="56"/>
  <c r="BH69" i="56"/>
  <c r="BH76" i="56" s="1"/>
  <c r="BG69" i="56"/>
  <c r="BG76" i="56" s="1"/>
  <c r="BF69" i="56"/>
  <c r="BF76" i="56" s="1"/>
  <c r="BE69" i="56"/>
  <c r="BD69" i="56"/>
  <c r="BC69" i="56"/>
  <c r="BC76" i="56" s="1"/>
  <c r="BB69" i="56"/>
  <c r="BA69" i="56"/>
  <c r="AZ69" i="56"/>
  <c r="AZ76" i="56" s="1"/>
  <c r="AI69" i="56"/>
  <c r="AH69" i="56"/>
  <c r="BW68" i="56"/>
  <c r="BV68" i="56"/>
  <c r="BV75" i="56" s="1"/>
  <c r="BU68" i="56"/>
  <c r="BU75" i="56" s="1"/>
  <c r="BT68" i="56"/>
  <c r="BT75" i="56" s="1"/>
  <c r="BS68" i="56"/>
  <c r="BR68" i="56"/>
  <c r="BR75" i="56" s="1"/>
  <c r="BQ68" i="56"/>
  <c r="BQ75" i="56" s="1"/>
  <c r="BP68" i="56"/>
  <c r="BP75" i="56" s="1"/>
  <c r="BO68" i="56"/>
  <c r="BO75" i="56" s="1"/>
  <c r="BN68" i="56"/>
  <c r="BN75" i="56" s="1"/>
  <c r="BM68" i="56"/>
  <c r="BM75" i="56" s="1"/>
  <c r="BL68" i="56"/>
  <c r="BL75" i="56" s="1"/>
  <c r="BK68" i="56"/>
  <c r="BK75" i="56" s="1"/>
  <c r="BJ68" i="56"/>
  <c r="BJ75" i="56" s="1"/>
  <c r="BI68" i="56"/>
  <c r="BI75" i="56" s="1"/>
  <c r="BH68" i="56"/>
  <c r="BG68" i="56"/>
  <c r="BG75" i="56" s="1"/>
  <c r="BF68" i="56"/>
  <c r="BF75" i="56" s="1"/>
  <c r="BE68" i="56"/>
  <c r="BE75" i="56" s="1"/>
  <c r="BD68" i="56"/>
  <c r="BC68" i="56"/>
  <c r="BC75" i="56" s="1"/>
  <c r="BB68" i="56"/>
  <c r="BB75" i="56" s="1"/>
  <c r="BA68" i="56"/>
  <c r="BA75" i="56" s="1"/>
  <c r="AZ68" i="56"/>
  <c r="AZ75" i="56" s="1"/>
  <c r="AI68" i="56"/>
  <c r="AH68" i="56"/>
  <c r="BW67" i="56"/>
  <c r="BW74" i="56" s="1"/>
  <c r="BV67" i="56"/>
  <c r="BV74" i="56" s="1"/>
  <c r="BU67" i="56"/>
  <c r="BU74" i="56" s="1"/>
  <c r="BT67" i="56"/>
  <c r="BT74" i="56" s="1"/>
  <c r="BS67" i="56"/>
  <c r="BS74" i="56" s="1"/>
  <c r="BR67" i="56"/>
  <c r="BR74" i="56" s="1"/>
  <c r="BQ67" i="56"/>
  <c r="BP67" i="56"/>
  <c r="BP74" i="56" s="1"/>
  <c r="BO67" i="56"/>
  <c r="BO74" i="56" s="1"/>
  <c r="BN67" i="56"/>
  <c r="BM67" i="56"/>
  <c r="BL67" i="56"/>
  <c r="BL74" i="56" s="1"/>
  <c r="BK67" i="56"/>
  <c r="BK74" i="56" s="1"/>
  <c r="BJ67" i="56"/>
  <c r="BI67" i="56"/>
  <c r="BH67" i="56"/>
  <c r="BH74" i="56" s="1"/>
  <c r="BG67" i="56"/>
  <c r="BG74" i="56" s="1"/>
  <c r="BF67" i="56"/>
  <c r="BE67" i="56"/>
  <c r="BD67" i="56"/>
  <c r="BD74" i="56" s="1"/>
  <c r="BC67" i="56"/>
  <c r="BC74" i="56" s="1"/>
  <c r="BB67" i="56"/>
  <c r="BA67" i="56"/>
  <c r="AZ67" i="56"/>
  <c r="AZ74" i="56" s="1"/>
  <c r="AI67" i="56"/>
  <c r="AH67" i="56"/>
  <c r="BW66" i="56"/>
  <c r="BV66" i="56"/>
  <c r="BV73" i="56" s="1"/>
  <c r="BU66" i="56"/>
  <c r="BU73" i="56" s="1"/>
  <c r="BT66" i="56"/>
  <c r="BS66" i="56"/>
  <c r="BS73" i="56" s="1"/>
  <c r="BR66" i="56"/>
  <c r="BR73" i="56" s="1"/>
  <c r="BQ66" i="56"/>
  <c r="BQ73" i="56" s="1"/>
  <c r="BP66" i="56"/>
  <c r="BP73" i="56" s="1"/>
  <c r="BO66" i="56"/>
  <c r="BN66" i="56"/>
  <c r="BN73" i="56" s="1"/>
  <c r="BM66" i="56"/>
  <c r="BM73" i="56" s="1"/>
  <c r="BL66" i="56"/>
  <c r="BL73" i="56" s="1"/>
  <c r="BK66" i="56"/>
  <c r="BJ66" i="56"/>
  <c r="BJ73" i="56" s="1"/>
  <c r="BI66" i="56"/>
  <c r="BI73" i="56" s="1"/>
  <c r="BH66" i="56"/>
  <c r="BH73" i="56" s="1"/>
  <c r="BG66" i="56"/>
  <c r="BG73" i="56" s="1"/>
  <c r="BF66" i="56"/>
  <c r="BF73" i="56" s="1"/>
  <c r="BE66" i="56"/>
  <c r="BE73" i="56" s="1"/>
  <c r="BD66" i="56"/>
  <c r="BD73" i="56" s="1"/>
  <c r="BC66" i="56"/>
  <c r="BB66" i="56"/>
  <c r="BB73" i="56" s="1"/>
  <c r="BA66" i="56"/>
  <c r="BA73" i="56" s="1"/>
  <c r="AZ66" i="56"/>
  <c r="AI66" i="56"/>
  <c r="AH66" i="56"/>
  <c r="AG65" i="56"/>
  <c r="AF65" i="56"/>
  <c r="AE65" i="56"/>
  <c r="AD65" i="56"/>
  <c r="BH17" i="56" s="1"/>
  <c r="AC65" i="56"/>
  <c r="AB65" i="56"/>
  <c r="BD17" i="56"/>
  <c r="R65" i="56"/>
  <c r="AZ17" i="56" s="1"/>
  <c r="Q65" i="56"/>
  <c r="AY17" i="56" s="1"/>
  <c r="P65" i="56"/>
  <c r="AX17" i="56" s="1"/>
  <c r="N65" i="56"/>
  <c r="AV17" i="56" s="1"/>
  <c r="M65" i="56"/>
  <c r="AU17" i="56" s="1"/>
  <c r="L65" i="56"/>
  <c r="K65" i="56"/>
  <c r="AT17" i="56" s="1"/>
  <c r="J65" i="56"/>
  <c r="I65" i="56"/>
  <c r="AS17" i="56" s="1"/>
  <c r="H65" i="56"/>
  <c r="G65" i="56"/>
  <c r="AR17" i="56" s="1"/>
  <c r="F65" i="56"/>
  <c r="E65" i="56"/>
  <c r="D65" i="56"/>
  <c r="AO17" i="56" s="1"/>
  <c r="C65" i="56"/>
  <c r="AN17" i="56" s="1"/>
  <c r="B65" i="56"/>
  <c r="AI64" i="56"/>
  <c r="AH64" i="56"/>
  <c r="AI63" i="56"/>
  <c r="AH63" i="56"/>
  <c r="AI62" i="56"/>
  <c r="AH62" i="56"/>
  <c r="AG61" i="56"/>
  <c r="AF61" i="56"/>
  <c r="AF100" i="56" s="1"/>
  <c r="AF102" i="56" s="1"/>
  <c r="AE61" i="56"/>
  <c r="AD61" i="56"/>
  <c r="AC61" i="56"/>
  <c r="AC100" i="56" s="1"/>
  <c r="AC102" i="56" s="1"/>
  <c r="AB61" i="56"/>
  <c r="BF16" i="56"/>
  <c r="X100" i="56"/>
  <c r="X102" i="56" s="1"/>
  <c r="R61" i="56"/>
  <c r="Q61" i="56"/>
  <c r="AY16" i="56" s="1"/>
  <c r="P61" i="56"/>
  <c r="AX16" i="56" s="1"/>
  <c r="N61" i="56"/>
  <c r="AV16" i="56" s="1"/>
  <c r="M61" i="56"/>
  <c r="L61" i="56"/>
  <c r="L100" i="56" s="1"/>
  <c r="L102" i="56" s="1"/>
  <c r="L103" i="56" s="1"/>
  <c r="L7" i="56" s="1"/>
  <c r="K61" i="56"/>
  <c r="AT16" i="56" s="1"/>
  <c r="J61" i="56"/>
  <c r="I61" i="56"/>
  <c r="H61" i="56"/>
  <c r="G61" i="56"/>
  <c r="AR16" i="56" s="1"/>
  <c r="F61" i="56"/>
  <c r="E61" i="56"/>
  <c r="D61" i="56"/>
  <c r="C61" i="56"/>
  <c r="AN16" i="56" s="1"/>
  <c r="B61" i="56"/>
  <c r="AM16" i="56" s="1"/>
  <c r="AI60" i="56"/>
  <c r="AH60" i="56"/>
  <c r="AI59" i="56"/>
  <c r="AH59" i="56"/>
  <c r="AI58" i="56"/>
  <c r="AH58" i="56"/>
  <c r="AI57" i="56"/>
  <c r="AH57" i="56"/>
  <c r="AI56" i="56"/>
  <c r="AH56" i="56"/>
  <c r="AI55" i="56"/>
  <c r="AH55" i="56"/>
  <c r="AI54" i="56"/>
  <c r="AH54" i="56"/>
  <c r="AI53" i="56"/>
  <c r="AH53" i="56"/>
  <c r="AI52" i="56"/>
  <c r="AH52" i="56"/>
  <c r="AI51" i="56"/>
  <c r="AH51" i="56"/>
  <c r="AI50" i="56"/>
  <c r="AH50" i="56"/>
  <c r="AI49" i="56"/>
  <c r="AH49" i="56"/>
  <c r="AI48" i="56"/>
  <c r="AH48" i="56"/>
  <c r="AI47" i="56"/>
  <c r="AH47" i="56"/>
  <c r="AI46" i="56"/>
  <c r="AH46" i="56"/>
  <c r="AI45" i="56"/>
  <c r="AH45" i="56"/>
  <c r="AI44" i="56"/>
  <c r="AH44" i="56"/>
  <c r="AI43" i="56"/>
  <c r="AH43" i="56"/>
  <c r="AI42" i="56"/>
  <c r="AH42" i="56"/>
  <c r="AI41" i="56"/>
  <c r="AH41" i="56"/>
  <c r="AI40" i="56"/>
  <c r="AH40" i="56"/>
  <c r="AI39" i="56"/>
  <c r="AH39" i="56"/>
  <c r="AI38" i="56"/>
  <c r="AH38" i="56"/>
  <c r="AI37" i="56"/>
  <c r="AH37" i="56"/>
  <c r="AI36" i="56"/>
  <c r="AH36" i="56"/>
  <c r="AI35" i="56"/>
  <c r="AH35" i="56"/>
  <c r="AI34" i="56"/>
  <c r="AH34" i="56"/>
  <c r="AI33" i="56"/>
  <c r="AH33" i="56"/>
  <c r="AI32" i="56"/>
  <c r="AH32" i="56"/>
  <c r="AI31" i="56"/>
  <c r="AH31" i="56"/>
  <c r="AI30" i="56"/>
  <c r="AH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BJ21" i="56"/>
  <c r="BI21" i="56"/>
  <c r="BH21" i="56"/>
  <c r="BG21" i="56"/>
  <c r="BF21" i="56"/>
  <c r="BE21" i="56"/>
  <c r="BD21" i="56"/>
  <c r="BC21" i="56"/>
  <c r="BB21" i="56"/>
  <c r="BA21" i="56"/>
  <c r="AZ21" i="56"/>
  <c r="AY21" i="56"/>
  <c r="AX21" i="56"/>
  <c r="AW21" i="56"/>
  <c r="AV21" i="56"/>
  <c r="AU21" i="56"/>
  <c r="AT21" i="56"/>
  <c r="AS21" i="56"/>
  <c r="AR21" i="56"/>
  <c r="AQ21" i="56"/>
  <c r="AP21" i="56"/>
  <c r="AO21" i="56"/>
  <c r="AN21" i="56"/>
  <c r="AM21" i="56"/>
  <c r="AI21" i="56"/>
  <c r="AH21" i="56"/>
  <c r="BJ20" i="56"/>
  <c r="BI20" i="56"/>
  <c r="BG20" i="56"/>
  <c r="BF20" i="56"/>
  <c r="BE20" i="56"/>
  <c r="BD20" i="56"/>
  <c r="BC20" i="56"/>
  <c r="BB20" i="56"/>
  <c r="BA20" i="56"/>
  <c r="AY20" i="56"/>
  <c r="AX20" i="56"/>
  <c r="AU20" i="56"/>
  <c r="AT20" i="56"/>
  <c r="AS20" i="56"/>
  <c r="AR20" i="56"/>
  <c r="AP20" i="56"/>
  <c r="AO20" i="56"/>
  <c r="AN20" i="56"/>
  <c r="AM20" i="56"/>
  <c r="AI20" i="56"/>
  <c r="AH20" i="56"/>
  <c r="BF19" i="56"/>
  <c r="AZ19" i="56"/>
  <c r="AN19" i="56"/>
  <c r="AI19" i="56"/>
  <c r="AH19" i="56"/>
  <c r="BJ18" i="56"/>
  <c r="BG18" i="56"/>
  <c r="BE18" i="56"/>
  <c r="BD18" i="56"/>
  <c r="BC18" i="56"/>
  <c r="BB18" i="56"/>
  <c r="BA18" i="56"/>
  <c r="AX18" i="56"/>
  <c r="AV18" i="56"/>
  <c r="AU18" i="56"/>
  <c r="AT18" i="56"/>
  <c r="AS18" i="56"/>
  <c r="AQ18" i="56"/>
  <c r="AP18" i="56"/>
  <c r="AO18" i="56"/>
  <c r="AN18" i="56"/>
  <c r="AI18" i="56"/>
  <c r="AH18" i="56"/>
  <c r="BJ17" i="56"/>
  <c r="BI17" i="56"/>
  <c r="BG17" i="56"/>
  <c r="BF17" i="56"/>
  <c r="BE17" i="56"/>
  <c r="BC17" i="56"/>
  <c r="BB17" i="56"/>
  <c r="BA17" i="56"/>
  <c r="AW17" i="56"/>
  <c r="AQ17" i="56"/>
  <c r="AP17" i="56"/>
  <c r="AM17" i="56"/>
  <c r="AI17" i="56"/>
  <c r="AH17" i="56"/>
  <c r="BI16" i="56"/>
  <c r="BE16" i="56"/>
  <c r="BC16" i="56"/>
  <c r="BA16" i="56"/>
  <c r="AZ16" i="56"/>
  <c r="AS16" i="56"/>
  <c r="AI16" i="56"/>
  <c r="AH16" i="56"/>
  <c r="AI15" i="56"/>
  <c r="AH15" i="56"/>
  <c r="AI14" i="56"/>
  <c r="AH14" i="56"/>
  <c r="AI13" i="56"/>
  <c r="AH13" i="56"/>
  <c r="AL12" i="56"/>
  <c r="AI12" i="56"/>
  <c r="AH12" i="56"/>
  <c r="AI11" i="56"/>
  <c r="AH11" i="56"/>
  <c r="AE5" i="56"/>
  <c r="AB5" i="56"/>
  <c r="Y5" i="56"/>
  <c r="X5" i="56"/>
  <c r="R5" i="56"/>
  <c r="Q5" i="56"/>
  <c r="I5" i="56"/>
  <c r="H5" i="56"/>
  <c r="B5" i="56"/>
  <c r="AG4" i="56"/>
  <c r="K4" i="56"/>
  <c r="E4" i="56"/>
  <c r="H4" i="56" s="1"/>
  <c r="B4" i="56"/>
  <c r="D261" i="56" s="1"/>
  <c r="AG3" i="56"/>
  <c r="AG2" i="56"/>
  <c r="AF60" i="55"/>
  <c r="AE60" i="55"/>
  <c r="AC60" i="55"/>
  <c r="AD60" i="55"/>
  <c r="AB60" i="55"/>
  <c r="AA124" i="55"/>
  <c r="AA60" i="55"/>
  <c r="AA255" i="57" l="1"/>
  <c r="AA121" i="57"/>
  <c r="AB249" i="57"/>
  <c r="AF111" i="56"/>
  <c r="BJ19" i="56"/>
  <c r="AF103" i="56"/>
  <c r="AF7" i="56" s="1"/>
  <c r="AE111" i="56"/>
  <c r="AE110" i="56"/>
  <c r="BI23" i="56" s="1"/>
  <c r="AD5" i="56"/>
  <c r="BI19" i="56"/>
  <c r="BI22" i="56"/>
  <c r="BI24" i="56" s="1"/>
  <c r="AE100" i="56"/>
  <c r="AE102" i="56" s="1"/>
  <c r="AE103" i="56" s="1"/>
  <c r="AE7" i="56" s="1"/>
  <c r="AC5" i="56"/>
  <c r="AC110" i="56"/>
  <c r="AC103" i="56" s="1"/>
  <c r="AC7" i="56" s="1"/>
  <c r="AD100" i="56"/>
  <c r="AD102" i="56" s="1"/>
  <c r="AB110" i="56"/>
  <c r="BG23" i="56" s="1"/>
  <c r="BG19" i="56"/>
  <c r="AA111" i="56"/>
  <c r="AA110" i="56"/>
  <c r="Z5" i="56"/>
  <c r="Z110" i="56"/>
  <c r="BF23" i="56" s="1"/>
  <c r="Y111" i="56"/>
  <c r="BE19" i="56"/>
  <c r="BE22" i="56" s="1"/>
  <c r="X110" i="56"/>
  <c r="BE23" i="56" s="1"/>
  <c r="W110" i="56"/>
  <c r="W111" i="56" s="1"/>
  <c r="V5" i="56"/>
  <c r="W100" i="56"/>
  <c r="W102" i="56" s="1"/>
  <c r="W103" i="56" s="1"/>
  <c r="W7" i="56" s="1"/>
  <c r="U5" i="56"/>
  <c r="BD19" i="56"/>
  <c r="BC19" i="56"/>
  <c r="BC22" i="56" s="1"/>
  <c r="U110" i="56"/>
  <c r="BC23" i="56" s="1"/>
  <c r="T5" i="56"/>
  <c r="S5" i="56"/>
  <c r="T110" i="56"/>
  <c r="BB23" i="56" s="1"/>
  <c r="BA22" i="56"/>
  <c r="S110" i="56"/>
  <c r="BA23" i="56" s="1"/>
  <c r="R110" i="56"/>
  <c r="AZ23" i="56" s="1"/>
  <c r="Q111" i="56"/>
  <c r="P5" i="56"/>
  <c r="AY22" i="56"/>
  <c r="AY24" i="56" s="1"/>
  <c r="BD16" i="56"/>
  <c r="BD22" i="56" s="1"/>
  <c r="BH16" i="56"/>
  <c r="BH22" i="56" s="1"/>
  <c r="U103" i="56"/>
  <c r="U7" i="56" s="1"/>
  <c r="AZ22" i="56"/>
  <c r="AZ24" i="56" s="1"/>
  <c r="P110" i="56"/>
  <c r="AX23" i="56" s="1"/>
  <c r="P111" i="56"/>
  <c r="O5" i="56"/>
  <c r="AX19" i="56"/>
  <c r="AX22" i="56" s="1"/>
  <c r="AX24" i="56" s="1"/>
  <c r="O110" i="56"/>
  <c r="AW23" i="56" s="1"/>
  <c r="AW19" i="56"/>
  <c r="O100" i="56"/>
  <c r="O102" i="56" s="1"/>
  <c r="AW16" i="56"/>
  <c r="M5" i="56"/>
  <c r="N100" i="56"/>
  <c r="N102" i="56" s="1"/>
  <c r="N103" i="56" s="1"/>
  <c r="N7" i="56" s="1"/>
  <c r="M110" i="56"/>
  <c r="AU23" i="56" s="1"/>
  <c r="AU19" i="56"/>
  <c r="M100" i="56"/>
  <c r="M102" i="56" s="1"/>
  <c r="M103" i="56" s="1"/>
  <c r="M7" i="56" s="1"/>
  <c r="AU16" i="56"/>
  <c r="AU22" i="56" s="1"/>
  <c r="AU24" i="56" s="1"/>
  <c r="K110" i="56"/>
  <c r="AT23" i="56" s="1"/>
  <c r="AT19" i="56"/>
  <c r="J5" i="56"/>
  <c r="J110" i="56"/>
  <c r="I111" i="56"/>
  <c r="AS19" i="56"/>
  <c r="H110" i="56"/>
  <c r="H111" i="56" s="1"/>
  <c r="G5" i="56"/>
  <c r="G110" i="56"/>
  <c r="AR23" i="56" s="1"/>
  <c r="G111" i="56"/>
  <c r="F5" i="56"/>
  <c r="AR19" i="56"/>
  <c r="AR22" i="56"/>
  <c r="AR24" i="56" s="1"/>
  <c r="AQ19" i="56"/>
  <c r="F100" i="56"/>
  <c r="F102" i="56" s="1"/>
  <c r="G100" i="56"/>
  <c r="G102" i="56" s="1"/>
  <c r="G103" i="56" s="1"/>
  <c r="G7" i="56" s="1"/>
  <c r="AS22" i="56"/>
  <c r="AS24" i="56" s="1"/>
  <c r="AQ16" i="56"/>
  <c r="AQ22" i="56" s="1"/>
  <c r="AP19" i="56"/>
  <c r="E100" i="56"/>
  <c r="E102" i="56" s="1"/>
  <c r="E103" i="56" s="1"/>
  <c r="E7" i="56" s="1"/>
  <c r="AP16" i="56"/>
  <c r="AP22" i="56" s="1"/>
  <c r="AP24" i="56" s="1"/>
  <c r="AI61" i="56"/>
  <c r="D110" i="56"/>
  <c r="AO23" i="56" s="1"/>
  <c r="AO19" i="56"/>
  <c r="D100" i="56"/>
  <c r="D102" i="56" s="1"/>
  <c r="D103" i="56" s="1"/>
  <c r="D7" i="56" s="1"/>
  <c r="C110" i="56"/>
  <c r="AN23" i="56" s="1"/>
  <c r="C111" i="56"/>
  <c r="AH79" i="56"/>
  <c r="AN22" i="56"/>
  <c r="AN24" i="56" s="1"/>
  <c r="AF5" i="56"/>
  <c r="AG6" i="56"/>
  <c r="AM18" i="56"/>
  <c r="AI79" i="56"/>
  <c r="AI109" i="56"/>
  <c r="AM22" i="56"/>
  <c r="AV22" i="56"/>
  <c r="AH65" i="56"/>
  <c r="AI65" i="56"/>
  <c r="B110" i="56"/>
  <c r="BF22" i="56"/>
  <c r="BF24" i="56" s="1"/>
  <c r="K100" i="56"/>
  <c r="K102" i="56" s="1"/>
  <c r="K103" i="56" s="1"/>
  <c r="K7" i="56" s="1"/>
  <c r="AO16" i="56"/>
  <c r="AO22" i="56" s="1"/>
  <c r="AO24" i="56" s="1"/>
  <c r="C100" i="56"/>
  <c r="C102" i="56" s="1"/>
  <c r="C103" i="56" s="1"/>
  <c r="C7" i="56" s="1"/>
  <c r="AT22" i="56"/>
  <c r="S100" i="56"/>
  <c r="S102" i="56" s="1"/>
  <c r="S103" i="56" s="1"/>
  <c r="S7" i="56" s="1"/>
  <c r="AA100" i="56"/>
  <c r="AA102" i="56" s="1"/>
  <c r="AA103" i="56" s="1"/>
  <c r="AA7" i="56" s="1"/>
  <c r="AL13" i="56"/>
  <c r="T100" i="56"/>
  <c r="T102" i="56" s="1"/>
  <c r="T103" i="56" s="1"/>
  <c r="T7" i="56" s="1"/>
  <c r="BB16" i="56"/>
  <c r="BB22" i="56" s="1"/>
  <c r="BB24" i="56" s="1"/>
  <c r="AB100" i="56"/>
  <c r="AB102" i="56" s="1"/>
  <c r="AB103" i="56" s="1"/>
  <c r="AB7" i="56" s="1"/>
  <c r="BG16" i="56"/>
  <c r="BG22" i="56" s="1"/>
  <c r="BG24" i="56" s="1"/>
  <c r="BG82" i="56" a="1"/>
  <c r="AG102" i="56"/>
  <c r="F110" i="56"/>
  <c r="AQ23" i="56" s="1"/>
  <c r="N110" i="56"/>
  <c r="AV23" i="56" s="1"/>
  <c r="V110" i="56"/>
  <c r="BD23" i="56" s="1"/>
  <c r="AD110" i="56"/>
  <c r="BH23" i="56" s="1"/>
  <c r="BH24" i="56" s="1"/>
  <c r="AI108" i="56"/>
  <c r="AI95" i="56"/>
  <c r="J111" i="56"/>
  <c r="R111" i="56"/>
  <c r="Z111" i="56"/>
  <c r="AH95" i="56"/>
  <c r="AI107" i="56"/>
  <c r="H249" i="56"/>
  <c r="G121" i="56"/>
  <c r="E250" i="56"/>
  <c r="AI83" i="56"/>
  <c r="AH83" i="56"/>
  <c r="AI106" i="56"/>
  <c r="AH106" i="56"/>
  <c r="D111" i="56"/>
  <c r="T111" i="56"/>
  <c r="AB111" i="56"/>
  <c r="AI105" i="56"/>
  <c r="H100" i="56"/>
  <c r="H102" i="56" s="1"/>
  <c r="H103" i="56" s="1"/>
  <c r="H7" i="56" s="1"/>
  <c r="P100" i="56"/>
  <c r="P102" i="56" s="1"/>
  <c r="P103" i="56" s="1"/>
  <c r="P7" i="56" s="1"/>
  <c r="L111" i="56"/>
  <c r="BJ16" i="56"/>
  <c r="BJ22" i="56" s="1"/>
  <c r="BJ24" i="56" s="1"/>
  <c r="I100" i="56"/>
  <c r="I102" i="56" s="1"/>
  <c r="I103" i="56" s="1"/>
  <c r="I7" i="56" s="1"/>
  <c r="Q100" i="56"/>
  <c r="Q102" i="56" s="1"/>
  <c r="Q103" i="56" s="1"/>
  <c r="Q7" i="56" s="1"/>
  <c r="Y100" i="56"/>
  <c r="Y102" i="56" s="1"/>
  <c r="Y103" i="56" s="1"/>
  <c r="Y7" i="56" s="1"/>
  <c r="AG100" i="56"/>
  <c r="E111" i="56"/>
  <c r="M111" i="56"/>
  <c r="U111" i="56"/>
  <c r="AC111" i="56"/>
  <c r="AI104" i="56"/>
  <c r="AH105" i="56"/>
  <c r="F121" i="56"/>
  <c r="B100" i="56"/>
  <c r="J100" i="56"/>
  <c r="J102" i="56" s="1"/>
  <c r="J103" i="56" s="1"/>
  <c r="J7" i="56" s="1"/>
  <c r="R100" i="56"/>
  <c r="R102" i="56" s="1"/>
  <c r="R103" i="56" s="1"/>
  <c r="R7" i="56" s="1"/>
  <c r="Z100" i="56"/>
  <c r="Z102" i="56" s="1"/>
  <c r="Z103" i="56" s="1"/>
  <c r="Z7" i="56" s="1"/>
  <c r="AH61" i="56"/>
  <c r="AH104" i="56"/>
  <c r="AH108" i="56"/>
  <c r="AB255" i="57" l="1"/>
  <c r="AB121" i="57"/>
  <c r="AC249" i="57"/>
  <c r="AD111" i="56"/>
  <c r="BE24" i="56"/>
  <c r="X111" i="56"/>
  <c r="X103" i="56"/>
  <c r="X7" i="56" s="1"/>
  <c r="BC24" i="56"/>
  <c r="S111" i="56"/>
  <c r="BA24" i="56"/>
  <c r="O103" i="56"/>
  <c r="O7" i="56" s="1"/>
  <c r="O111" i="56"/>
  <c r="AW22" i="56"/>
  <c r="AW24" i="56" s="1"/>
  <c r="AT24" i="56"/>
  <c r="K111" i="56"/>
  <c r="F103" i="56"/>
  <c r="F7" i="56" s="1"/>
  <c r="F111" i="56"/>
  <c r="AQ24" i="56"/>
  <c r="AD103" i="56"/>
  <c r="AD7" i="56" s="1"/>
  <c r="AM23" i="56"/>
  <c r="AM24" i="56" s="1"/>
  <c r="AI110" i="56"/>
  <c r="AH110" i="56"/>
  <c r="B259" i="56"/>
  <c r="BJ105" i="56"/>
  <c r="BH104" i="56"/>
  <c r="BL102" i="56"/>
  <c r="BJ101" i="56"/>
  <c r="BH100" i="56"/>
  <c r="BL98" i="56"/>
  <c r="BJ97" i="56"/>
  <c r="BH96" i="56"/>
  <c r="BL94" i="56"/>
  <c r="BJ93" i="56"/>
  <c r="BH92" i="56"/>
  <c r="BL90" i="56"/>
  <c r="BJ89" i="56"/>
  <c r="BH88" i="56"/>
  <c r="BL86" i="56"/>
  <c r="BJ85" i="56"/>
  <c r="BH84" i="56"/>
  <c r="BL82" i="56"/>
  <c r="BH105" i="56"/>
  <c r="BL103" i="56"/>
  <c r="BJ102" i="56"/>
  <c r="BH101" i="56"/>
  <c r="BL99" i="56"/>
  <c r="BJ98" i="56"/>
  <c r="BH97" i="56"/>
  <c r="BL95" i="56"/>
  <c r="BJ94" i="56"/>
  <c r="BH93" i="56"/>
  <c r="BL91" i="56"/>
  <c r="BJ90" i="56"/>
  <c r="BH89" i="56"/>
  <c r="BL87" i="56"/>
  <c r="BJ86" i="56"/>
  <c r="BH85" i="56"/>
  <c r="BL83" i="56"/>
  <c r="BJ82" i="56"/>
  <c r="BL104" i="56"/>
  <c r="BJ103" i="56"/>
  <c r="BH102" i="56"/>
  <c r="BL100" i="56"/>
  <c r="BJ99" i="56"/>
  <c r="BH98" i="56"/>
  <c r="BL96" i="56"/>
  <c r="BJ95" i="56"/>
  <c r="BH94" i="56"/>
  <c r="BL92" i="56"/>
  <c r="BJ91" i="56"/>
  <c r="BH90" i="56"/>
  <c r="BL88" i="56"/>
  <c r="BJ87" i="56"/>
  <c r="BH86" i="56"/>
  <c r="BL84" i="56"/>
  <c r="BJ83" i="56"/>
  <c r="BH82" i="56"/>
  <c r="BK104" i="56"/>
  <c r="BK102" i="56"/>
  <c r="BJ100" i="56"/>
  <c r="BI98" i="56"/>
  <c r="BI96" i="56"/>
  <c r="BG94" i="56"/>
  <c r="BG92" i="56"/>
  <c r="BL89" i="56"/>
  <c r="BK87" i="56"/>
  <c r="BK85" i="56"/>
  <c r="BI83" i="56"/>
  <c r="BJ104" i="56"/>
  <c r="BI102" i="56"/>
  <c r="BI100" i="56"/>
  <c r="BG98" i="56"/>
  <c r="BG96" i="56"/>
  <c r="BL93" i="56"/>
  <c r="BK91" i="56"/>
  <c r="BK89" i="56"/>
  <c r="BI87" i="56"/>
  <c r="BI85" i="56"/>
  <c r="BH83" i="56"/>
  <c r="BI104" i="56"/>
  <c r="BG102" i="56"/>
  <c r="BG100" i="56"/>
  <c r="BL97" i="56"/>
  <c r="BK95" i="56"/>
  <c r="BI91" i="56"/>
  <c r="BI89" i="56"/>
  <c r="BH87" i="56"/>
  <c r="BG85" i="56"/>
  <c r="BG83" i="56"/>
  <c r="BK93" i="56"/>
  <c r="BG104" i="56"/>
  <c r="BL101" i="56"/>
  <c r="BK99" i="56"/>
  <c r="BK97" i="56"/>
  <c r="BI95" i="56"/>
  <c r="BI93" i="56"/>
  <c r="BH91" i="56"/>
  <c r="BG89" i="56"/>
  <c r="BG87" i="56"/>
  <c r="BK84" i="56"/>
  <c r="BK82" i="56"/>
  <c r="BL105" i="56"/>
  <c r="BK103" i="56"/>
  <c r="BK101" i="56"/>
  <c r="BI99" i="56"/>
  <c r="BI97" i="56"/>
  <c r="BH95" i="56"/>
  <c r="BG93" i="56"/>
  <c r="BG91" i="56"/>
  <c r="BK88" i="56"/>
  <c r="BK86" i="56"/>
  <c r="BJ84" i="56"/>
  <c r="BI82" i="56"/>
  <c r="BK105" i="56"/>
  <c r="BI103" i="56"/>
  <c r="BI101" i="56"/>
  <c r="BH99" i="56"/>
  <c r="BG97" i="56"/>
  <c r="BG95" i="56"/>
  <c r="BK92" i="56"/>
  <c r="BK90" i="56"/>
  <c r="BJ88" i="56"/>
  <c r="BI86" i="56"/>
  <c r="BI84" i="56"/>
  <c r="BG82" i="56"/>
  <c r="BG99" i="56"/>
  <c r="BI90" i="56"/>
  <c r="BK98" i="56"/>
  <c r="BG90" i="56"/>
  <c r="BI105" i="56"/>
  <c r="BK96" i="56"/>
  <c r="BI88" i="56"/>
  <c r="BG105" i="56"/>
  <c r="BJ96" i="56"/>
  <c r="BG88" i="56"/>
  <c r="BH103" i="56"/>
  <c r="BK94" i="56"/>
  <c r="BG86" i="56"/>
  <c r="BG103" i="56"/>
  <c r="BI94" i="56"/>
  <c r="BL85" i="56"/>
  <c r="BG101" i="56"/>
  <c r="BJ92" i="56"/>
  <c r="BG84" i="56"/>
  <c r="BK100" i="56"/>
  <c r="BI92" i="56"/>
  <c r="BK83" i="56"/>
  <c r="C259" i="56"/>
  <c r="V103" i="56"/>
  <c r="V7" i="56" s="1"/>
  <c r="AH100" i="56"/>
  <c r="B102" i="56"/>
  <c r="AI100" i="56"/>
  <c r="V111" i="56"/>
  <c r="N111" i="56"/>
  <c r="B111" i="56"/>
  <c r="F250" i="56"/>
  <c r="E255" i="56"/>
  <c r="I249" i="56"/>
  <c r="H121" i="56"/>
  <c r="AV24" i="56"/>
  <c r="BD24" i="56"/>
  <c r="AC121" i="57" l="1"/>
  <c r="AD249" i="57"/>
  <c r="AC255" i="57"/>
  <c r="AT8" i="56"/>
  <c r="AT9" i="56"/>
  <c r="K6" i="56"/>
  <c r="G250" i="56"/>
  <c r="F255" i="56"/>
  <c r="AI111" i="56"/>
  <c r="AH111" i="56"/>
  <c r="B103" i="56"/>
  <c r="AI102" i="56"/>
  <c r="AH102" i="56"/>
  <c r="I121" i="56"/>
  <c r="J249" i="56"/>
  <c r="Z124" i="55"/>
  <c r="Z60" i="55"/>
  <c r="Y124" i="55"/>
  <c r="Y60" i="55"/>
  <c r="W124" i="55"/>
  <c r="X124" i="55"/>
  <c r="W60" i="55"/>
  <c r="X60" i="55"/>
  <c r="W61" i="55"/>
  <c r="X61" i="55"/>
  <c r="W65" i="55"/>
  <c r="X65" i="55"/>
  <c r="V124" i="55"/>
  <c r="V60" i="55"/>
  <c r="U124" i="55"/>
  <c r="U60" i="55"/>
  <c r="U61" i="55"/>
  <c r="U65" i="55"/>
  <c r="AE249" i="57" l="1"/>
  <c r="AD255" i="57"/>
  <c r="AD121" i="57"/>
  <c r="AI103" i="56"/>
  <c r="AH103" i="56"/>
  <c r="B7" i="56"/>
  <c r="A7" i="56" s="1"/>
  <c r="J121" i="56"/>
  <c r="K249" i="56"/>
  <c r="H250" i="56"/>
  <c r="G255" i="56"/>
  <c r="AF249" i="57" l="1"/>
  <c r="AE255" i="57"/>
  <c r="AE121" i="57"/>
  <c r="I250" i="56"/>
  <c r="H255" i="56"/>
  <c r="K121" i="56"/>
  <c r="L249" i="56"/>
  <c r="AF255" i="57" l="1"/>
  <c r="AF121" i="57"/>
  <c r="B249" i="57"/>
  <c r="L121" i="56"/>
  <c r="M249" i="56"/>
  <c r="J250" i="56"/>
  <c r="I255" i="56"/>
  <c r="B255" i="57" l="1"/>
  <c r="B121" i="57"/>
  <c r="K250" i="56"/>
  <c r="J255" i="56"/>
  <c r="N249" i="56"/>
  <c r="M121" i="56"/>
  <c r="AI121" i="57" l="1"/>
  <c r="AH121" i="57"/>
  <c r="O249" i="56"/>
  <c r="N121" i="56"/>
  <c r="L250" i="56"/>
  <c r="K255" i="56"/>
  <c r="M250" i="56" l="1"/>
  <c r="L255" i="56"/>
  <c r="P249" i="56"/>
  <c r="O121" i="56"/>
  <c r="Q249" i="56" l="1"/>
  <c r="N250" i="56"/>
  <c r="M255" i="56"/>
  <c r="O250" i="56" l="1"/>
  <c r="N255" i="56"/>
  <c r="Q121" i="56"/>
  <c r="R249" i="56"/>
  <c r="R121" i="56" l="1"/>
  <c r="S249" i="56"/>
  <c r="P250" i="56"/>
  <c r="O255" i="56"/>
  <c r="Q250" i="56" l="1"/>
  <c r="P255" i="56"/>
  <c r="S121" i="56"/>
  <c r="T249" i="56"/>
  <c r="T121" i="56" l="1"/>
  <c r="U249" i="56"/>
  <c r="R250" i="56"/>
  <c r="Q255" i="56"/>
  <c r="U121" i="56" l="1"/>
  <c r="V249" i="56"/>
  <c r="S250" i="56"/>
  <c r="R255" i="56"/>
  <c r="W249" i="56" l="1"/>
  <c r="V121" i="56"/>
  <c r="T250" i="56"/>
  <c r="S255" i="56"/>
  <c r="U250" i="56" l="1"/>
  <c r="T255" i="56"/>
  <c r="X249" i="56"/>
  <c r="W121" i="56"/>
  <c r="Y249" i="56" l="1"/>
  <c r="X121" i="56"/>
  <c r="V250" i="56"/>
  <c r="U255" i="56"/>
  <c r="W250" i="56" l="1"/>
  <c r="V255" i="56"/>
  <c r="Z249" i="56"/>
  <c r="AA249" i="56" l="1"/>
  <c r="X250" i="56"/>
  <c r="W255" i="56"/>
  <c r="Y250" i="56" l="1"/>
  <c r="X255" i="56"/>
  <c r="AA121" i="56"/>
  <c r="AB249" i="56"/>
  <c r="AB121" i="56" l="1"/>
  <c r="AC249" i="56"/>
  <c r="Z250" i="56"/>
  <c r="Y255" i="56"/>
  <c r="AC121" i="56" l="1"/>
  <c r="AD249" i="56"/>
  <c r="AA250" i="56"/>
  <c r="Z255" i="56"/>
  <c r="AB250" i="56" l="1"/>
  <c r="AA255" i="56"/>
  <c r="AE249" i="56"/>
  <c r="AD121" i="56"/>
  <c r="AF249" i="56" l="1"/>
  <c r="AE121" i="56"/>
  <c r="AC250" i="56"/>
  <c r="AB255" i="56"/>
  <c r="AD250" i="56" l="1"/>
  <c r="AC255" i="56"/>
  <c r="AF121" i="56"/>
  <c r="B249" i="56"/>
  <c r="B121" i="56" l="1"/>
  <c r="AE250" i="56"/>
  <c r="AD255" i="56"/>
  <c r="AF250" i="56" l="1"/>
  <c r="AE255" i="56"/>
  <c r="AI121" i="56"/>
  <c r="AH121" i="56"/>
  <c r="B250" i="56" l="1"/>
  <c r="B255" i="56" s="1"/>
  <c r="AF255" i="56"/>
  <c r="T124" i="55" l="1"/>
  <c r="T60" i="55"/>
  <c r="S124" i="55" l="1"/>
  <c r="S60" i="55"/>
  <c r="AH12" i="54" l="1"/>
  <c r="AI12" i="54"/>
  <c r="AH13" i="54"/>
  <c r="AI13" i="54"/>
  <c r="AH14" i="54"/>
  <c r="AI14" i="54"/>
  <c r="AH15" i="54"/>
  <c r="AI15" i="54"/>
  <c r="AH16" i="54"/>
  <c r="AI16" i="54"/>
  <c r="AH17" i="54"/>
  <c r="AI17" i="54"/>
  <c r="AH18" i="54"/>
  <c r="AI18" i="54"/>
  <c r="AH19" i="54"/>
  <c r="AI19" i="54"/>
  <c r="AH20" i="54"/>
  <c r="AI20" i="54"/>
  <c r="AH21" i="54"/>
  <c r="AI21" i="54"/>
  <c r="AH22" i="54"/>
  <c r="AI22" i="54"/>
  <c r="AH23" i="54"/>
  <c r="AI23" i="54"/>
  <c r="AH24" i="54"/>
  <c r="AI24" i="54"/>
  <c r="AH25" i="54"/>
  <c r="AI25" i="54"/>
  <c r="AH26" i="54"/>
  <c r="AI26" i="54"/>
  <c r="AH27" i="54"/>
  <c r="AI27" i="54"/>
  <c r="AH28" i="54"/>
  <c r="AI28" i="54"/>
  <c r="AH29" i="54"/>
  <c r="AI29" i="54"/>
  <c r="AH30" i="54"/>
  <c r="AI30" i="54"/>
  <c r="AH31" i="54"/>
  <c r="AI31" i="54"/>
  <c r="AH32" i="54"/>
  <c r="AI32" i="54"/>
  <c r="AH33" i="54"/>
  <c r="AI33" i="54"/>
  <c r="AH34" i="54"/>
  <c r="AI34" i="54"/>
  <c r="AH35" i="54"/>
  <c r="AI35" i="54"/>
  <c r="AH36" i="54"/>
  <c r="AI36" i="54"/>
  <c r="AH37" i="54"/>
  <c r="AI37" i="54"/>
  <c r="AH38" i="54"/>
  <c r="AI38" i="54"/>
  <c r="AH39" i="54"/>
  <c r="AI39" i="54"/>
  <c r="AH40" i="54"/>
  <c r="AI40" i="54"/>
  <c r="AH41" i="54"/>
  <c r="AI41" i="54"/>
  <c r="AH42" i="54"/>
  <c r="AI42" i="54"/>
  <c r="AH43" i="54"/>
  <c r="AI43" i="54"/>
  <c r="AH44" i="54"/>
  <c r="AI44" i="54"/>
  <c r="AH45" i="54"/>
  <c r="AI45" i="54"/>
  <c r="AH46" i="54"/>
  <c r="AI46" i="54"/>
  <c r="AH47" i="54"/>
  <c r="AI47" i="54"/>
  <c r="AH48" i="54"/>
  <c r="AI48" i="54"/>
  <c r="AH49" i="54"/>
  <c r="AI49" i="54"/>
  <c r="AH50" i="54"/>
  <c r="AI50" i="54"/>
  <c r="AH51" i="54"/>
  <c r="AI51" i="54"/>
  <c r="AH52" i="54"/>
  <c r="AI52" i="54"/>
  <c r="AH53" i="54"/>
  <c r="AI53" i="54"/>
  <c r="AH54" i="54"/>
  <c r="AI54" i="54"/>
  <c r="AH55" i="54"/>
  <c r="AI55" i="54"/>
  <c r="AH56" i="54"/>
  <c r="AI56" i="54"/>
  <c r="AH57" i="54"/>
  <c r="AI57" i="54"/>
  <c r="AH58" i="54"/>
  <c r="AI58" i="54"/>
  <c r="AH59" i="54"/>
  <c r="AI59" i="54"/>
  <c r="AH60" i="54"/>
  <c r="AI60" i="54"/>
  <c r="AH61" i="54"/>
  <c r="AI61" i="54"/>
  <c r="AH62" i="54"/>
  <c r="AI62" i="54"/>
  <c r="AH63" i="54"/>
  <c r="AI63" i="54"/>
  <c r="AH64" i="54"/>
  <c r="AI64" i="54"/>
  <c r="AH65" i="54"/>
  <c r="AI65" i="54"/>
  <c r="AH66" i="54"/>
  <c r="AI66" i="54"/>
  <c r="AH67" i="54"/>
  <c r="AI67" i="54"/>
  <c r="AH68" i="54"/>
  <c r="AI68" i="54"/>
  <c r="AH69" i="54"/>
  <c r="AI69" i="54"/>
  <c r="AH70" i="54"/>
  <c r="AI70" i="54"/>
  <c r="AH71" i="54"/>
  <c r="AI71" i="54"/>
  <c r="AH72" i="54"/>
  <c r="AI72" i="54"/>
  <c r="AH73" i="54"/>
  <c r="AI73" i="54"/>
  <c r="AH74" i="54"/>
  <c r="AI74" i="54"/>
  <c r="AH75" i="54"/>
  <c r="AI75" i="54"/>
  <c r="AH76" i="54"/>
  <c r="AI76" i="54"/>
  <c r="AH77" i="54"/>
  <c r="AI77" i="54"/>
  <c r="AH78" i="54"/>
  <c r="AI78" i="54"/>
  <c r="AH79" i="54"/>
  <c r="AI79" i="54"/>
  <c r="AH80" i="54"/>
  <c r="AI80" i="54"/>
  <c r="AH81" i="54"/>
  <c r="AI81" i="54"/>
  <c r="AH82" i="54"/>
  <c r="AI82" i="54"/>
  <c r="AH83" i="54"/>
  <c r="AI83" i="54"/>
  <c r="AH84" i="54"/>
  <c r="AI84" i="54"/>
  <c r="AH85" i="54"/>
  <c r="AI85" i="54"/>
  <c r="AH86" i="54"/>
  <c r="AI86" i="54"/>
  <c r="AH87" i="54"/>
  <c r="AI87" i="54"/>
  <c r="AH88" i="54"/>
  <c r="AI88" i="54"/>
  <c r="AH89" i="54"/>
  <c r="AI89" i="54"/>
  <c r="AH90" i="54"/>
  <c r="AI90" i="54"/>
  <c r="AH91" i="54"/>
  <c r="AI91" i="54"/>
  <c r="AH92" i="54"/>
  <c r="AI92" i="54"/>
  <c r="AH93" i="54"/>
  <c r="AI93" i="54"/>
  <c r="AH94" i="54"/>
  <c r="AI94" i="54"/>
  <c r="AH95" i="54"/>
  <c r="AI95" i="54"/>
  <c r="AH96" i="54"/>
  <c r="AI96" i="54"/>
  <c r="AH97" i="54"/>
  <c r="AI97" i="54"/>
  <c r="AH98" i="54"/>
  <c r="AI98" i="54"/>
  <c r="AH99" i="54"/>
  <c r="AI99" i="54"/>
  <c r="AH100" i="54"/>
  <c r="AI100" i="54"/>
  <c r="AH101" i="54"/>
  <c r="AI101" i="54"/>
  <c r="AH102" i="54"/>
  <c r="AI102" i="54"/>
  <c r="AH103" i="54"/>
  <c r="AI103" i="54"/>
  <c r="AH104" i="54"/>
  <c r="AI104" i="54"/>
  <c r="AH105" i="54"/>
  <c r="AI105" i="54"/>
  <c r="AH106" i="54"/>
  <c r="AI106" i="54"/>
  <c r="AH107" i="54"/>
  <c r="AI107" i="54"/>
  <c r="AH108" i="54"/>
  <c r="AI108" i="54"/>
  <c r="AH109" i="54"/>
  <c r="AI109" i="54"/>
  <c r="AH110" i="54"/>
  <c r="AI110" i="54"/>
  <c r="AH111" i="54"/>
  <c r="AI111" i="54"/>
  <c r="AH112" i="54"/>
  <c r="AI112" i="54"/>
  <c r="AH113" i="54"/>
  <c r="AI113" i="54"/>
  <c r="AH114" i="54"/>
  <c r="AI114" i="54"/>
  <c r="AH115" i="54"/>
  <c r="AI115" i="54"/>
  <c r="AH116" i="54"/>
  <c r="AI116" i="54"/>
  <c r="AH117" i="54"/>
  <c r="AI117" i="54"/>
  <c r="AH118" i="54"/>
  <c r="AI118" i="54"/>
  <c r="AH119" i="54"/>
  <c r="AI119" i="54"/>
  <c r="AH120" i="54"/>
  <c r="AI120" i="54"/>
  <c r="AH121" i="54"/>
  <c r="AI121" i="54"/>
  <c r="AH122" i="54"/>
  <c r="AI122" i="54"/>
  <c r="AH123" i="54"/>
  <c r="AI123" i="54"/>
  <c r="AH124" i="54"/>
  <c r="AI124" i="54"/>
  <c r="AH125" i="54"/>
  <c r="AI125" i="54"/>
  <c r="AH126" i="54"/>
  <c r="AI126" i="54"/>
  <c r="AH127" i="54"/>
  <c r="AI127" i="54"/>
  <c r="AH128" i="54"/>
  <c r="AI128" i="54"/>
  <c r="AH129" i="54"/>
  <c r="AI129" i="54"/>
  <c r="AH130" i="54"/>
  <c r="AI130" i="54"/>
  <c r="AH131" i="54"/>
  <c r="AI131" i="54"/>
  <c r="AH132" i="54"/>
  <c r="AI132" i="54"/>
  <c r="AH133" i="54"/>
  <c r="AI133" i="54"/>
  <c r="L61" i="55"/>
  <c r="L65" i="55"/>
  <c r="L79" i="55"/>
  <c r="L83" i="55"/>
  <c r="K61" i="55" l="1"/>
  <c r="K65" i="55"/>
  <c r="K79" i="55"/>
  <c r="K83" i="55"/>
  <c r="J61" i="55"/>
  <c r="J65" i="55"/>
  <c r="J79" i="55"/>
  <c r="J83" i="55"/>
  <c r="I61" i="55"/>
  <c r="I65" i="55"/>
  <c r="I79" i="55"/>
  <c r="I83" i="55"/>
  <c r="H61" i="55" l="1"/>
  <c r="H65" i="55"/>
  <c r="H79" i="55"/>
  <c r="H83" i="55"/>
  <c r="G61" i="55"/>
  <c r="G65" i="55"/>
  <c r="G79" i="55"/>
  <c r="G83" i="55"/>
  <c r="F61" i="55"/>
  <c r="F65" i="55"/>
  <c r="F79" i="55"/>
  <c r="F83" i="55"/>
  <c r="AH128" i="55"/>
  <c r="AI128" i="55"/>
  <c r="AH127" i="55"/>
  <c r="AI127" i="55"/>
  <c r="E65" i="55"/>
  <c r="E79" i="55"/>
  <c r="E83" i="55"/>
  <c r="D61" i="55" l="1"/>
  <c r="D65" i="55"/>
  <c r="AO17" i="55" s="1"/>
  <c r="D79" i="55"/>
  <c r="D83" i="55"/>
  <c r="D95" i="55"/>
  <c r="D104" i="55"/>
  <c r="D105" i="55"/>
  <c r="D106" i="55"/>
  <c r="D107" i="55"/>
  <c r="D108" i="55"/>
  <c r="AH108" i="55" s="1"/>
  <c r="D109" i="55"/>
  <c r="AI109" i="55" s="1"/>
  <c r="D121" i="55"/>
  <c r="C65" i="55"/>
  <c r="C79" i="55"/>
  <c r="C83" i="55"/>
  <c r="C95" i="55"/>
  <c r="C104" i="55"/>
  <c r="C105" i="55"/>
  <c r="C106" i="55"/>
  <c r="C107" i="55"/>
  <c r="C108" i="55"/>
  <c r="C109" i="55"/>
  <c r="C121" i="55"/>
  <c r="B121" i="55"/>
  <c r="B109" i="55"/>
  <c r="B108" i="55"/>
  <c r="B107" i="55"/>
  <c r="B106" i="55"/>
  <c r="B105" i="55"/>
  <c r="B104" i="55"/>
  <c r="B95" i="55"/>
  <c r="B83" i="55"/>
  <c r="B79" i="55"/>
  <c r="B65" i="55"/>
  <c r="AM17" i="55" s="1"/>
  <c r="B61" i="55"/>
  <c r="AG255" i="55"/>
  <c r="C255" i="55"/>
  <c r="D254" i="55"/>
  <c r="E253" i="55"/>
  <c r="F253" i="55" s="1"/>
  <c r="G253" i="55" s="1"/>
  <c r="H253" i="55" s="1"/>
  <c r="I253" i="55" s="1"/>
  <c r="J253" i="55" s="1"/>
  <c r="K253" i="55" s="1"/>
  <c r="L253" i="55" s="1"/>
  <c r="M253" i="55" s="1"/>
  <c r="N253" i="55" s="1"/>
  <c r="O253" i="55" s="1"/>
  <c r="P253" i="55" s="1"/>
  <c r="Q253" i="55" s="1"/>
  <c r="R253" i="55" s="1"/>
  <c r="S253" i="55" s="1"/>
  <c r="T253" i="55" s="1"/>
  <c r="U253" i="55" s="1"/>
  <c r="V253" i="55" s="1"/>
  <c r="W253" i="55" s="1"/>
  <c r="X253" i="55" s="1"/>
  <c r="Y253" i="55" s="1"/>
  <c r="Z253" i="55" s="1"/>
  <c r="AA253" i="55" s="1"/>
  <c r="AB253" i="55" s="1"/>
  <c r="AC253" i="55" s="1"/>
  <c r="AD253" i="55" s="1"/>
  <c r="AE253" i="55" s="1"/>
  <c r="AF253" i="55" s="1"/>
  <c r="B253" i="55" s="1"/>
  <c r="D253" i="55"/>
  <c r="E252" i="55"/>
  <c r="F252" i="55" s="1"/>
  <c r="G252" i="55" s="1"/>
  <c r="H252" i="55" s="1"/>
  <c r="I252" i="55" s="1"/>
  <c r="J252" i="55" s="1"/>
  <c r="K252" i="55" s="1"/>
  <c r="L252" i="55" s="1"/>
  <c r="M252" i="55" s="1"/>
  <c r="N252" i="55" s="1"/>
  <c r="O252" i="55" s="1"/>
  <c r="P252" i="55" s="1"/>
  <c r="Q252" i="55" s="1"/>
  <c r="R252" i="55" s="1"/>
  <c r="S252" i="55" s="1"/>
  <c r="T252" i="55" s="1"/>
  <c r="U252" i="55" s="1"/>
  <c r="V252" i="55" s="1"/>
  <c r="W252" i="55" s="1"/>
  <c r="X252" i="55" s="1"/>
  <c r="Y252" i="55" s="1"/>
  <c r="Z252" i="55" s="1"/>
  <c r="AA252" i="55" s="1"/>
  <c r="AB252" i="55" s="1"/>
  <c r="AC252" i="55" s="1"/>
  <c r="AD252" i="55" s="1"/>
  <c r="AE252" i="55" s="1"/>
  <c r="AF252" i="55" s="1"/>
  <c r="B252" i="55" s="1"/>
  <c r="D252" i="55"/>
  <c r="F251" i="55"/>
  <c r="G251" i="55" s="1"/>
  <c r="H251" i="55" s="1"/>
  <c r="I251" i="55" s="1"/>
  <c r="J251" i="55" s="1"/>
  <c r="K251" i="55" s="1"/>
  <c r="L251" i="55" s="1"/>
  <c r="M251" i="55" s="1"/>
  <c r="N251" i="55" s="1"/>
  <c r="O251" i="55" s="1"/>
  <c r="P251" i="55" s="1"/>
  <c r="Q251" i="55" s="1"/>
  <c r="R251" i="55" s="1"/>
  <c r="S251" i="55" s="1"/>
  <c r="T251" i="55" s="1"/>
  <c r="U251" i="55" s="1"/>
  <c r="V251" i="55" s="1"/>
  <c r="W251" i="55" s="1"/>
  <c r="X251" i="55" s="1"/>
  <c r="Y251" i="55" s="1"/>
  <c r="Z251" i="55" s="1"/>
  <c r="AA251" i="55" s="1"/>
  <c r="AB251" i="55" s="1"/>
  <c r="AC251" i="55" s="1"/>
  <c r="AD251" i="55" s="1"/>
  <c r="AE251" i="55" s="1"/>
  <c r="AF251" i="55" s="1"/>
  <c r="B251" i="55" s="1"/>
  <c r="E251" i="55"/>
  <c r="D251" i="55"/>
  <c r="D250" i="55"/>
  <c r="E249" i="55"/>
  <c r="F249" i="55" s="1"/>
  <c r="D249" i="55"/>
  <c r="AG247" i="55"/>
  <c r="AF247" i="55"/>
  <c r="AE247" i="55"/>
  <c r="AD247" i="55"/>
  <c r="AC247" i="55"/>
  <c r="AB247" i="55"/>
  <c r="AA247" i="55"/>
  <c r="Z247" i="55"/>
  <c r="Y247" i="55"/>
  <c r="X247" i="55"/>
  <c r="W247" i="55"/>
  <c r="V247" i="55"/>
  <c r="U247" i="55"/>
  <c r="T247" i="55"/>
  <c r="S247" i="55"/>
  <c r="R247" i="55"/>
  <c r="Q247" i="55"/>
  <c r="P247" i="55"/>
  <c r="O247" i="55"/>
  <c r="N247" i="55"/>
  <c r="M247" i="55"/>
  <c r="L247" i="55"/>
  <c r="K247" i="55"/>
  <c r="J247" i="55"/>
  <c r="I247" i="55"/>
  <c r="H247" i="55"/>
  <c r="G247" i="55"/>
  <c r="F247" i="55"/>
  <c r="E247" i="55"/>
  <c r="D247" i="55"/>
  <c r="C247" i="55"/>
  <c r="B247" i="55"/>
  <c r="AI133" i="55"/>
  <c r="AH133" i="55"/>
  <c r="AI132" i="55"/>
  <c r="AH132" i="55"/>
  <c r="AI131" i="55"/>
  <c r="AH131" i="55"/>
  <c r="AI130" i="55"/>
  <c r="AH130" i="55"/>
  <c r="AI129" i="55"/>
  <c r="AH129" i="55"/>
  <c r="AI126" i="55"/>
  <c r="AH126" i="55"/>
  <c r="AI125" i="55"/>
  <c r="AH125" i="55"/>
  <c r="AI124" i="55"/>
  <c r="AH124" i="55"/>
  <c r="AI123" i="55"/>
  <c r="AH123" i="55"/>
  <c r="AI122" i="55"/>
  <c r="AH122" i="55"/>
  <c r="Z121" i="55"/>
  <c r="Y121" i="55"/>
  <c r="AI120" i="55"/>
  <c r="AH120" i="55"/>
  <c r="AI119" i="55"/>
  <c r="AH119" i="55"/>
  <c r="AI118" i="55"/>
  <c r="AH118" i="55"/>
  <c r="AI117" i="55"/>
  <c r="AH117" i="55"/>
  <c r="AI116" i="55"/>
  <c r="AH116" i="55"/>
  <c r="AI115" i="55"/>
  <c r="AH115" i="55"/>
  <c r="AI114" i="55"/>
  <c r="AH114" i="55"/>
  <c r="AI113" i="55"/>
  <c r="AH113" i="55"/>
  <c r="AI112" i="55"/>
  <c r="AH112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E109" i="55"/>
  <c r="AF108" i="55"/>
  <c r="AE108" i="55"/>
  <c r="AD108" i="55"/>
  <c r="AC108" i="55"/>
  <c r="AB108" i="55"/>
  <c r="AA108" i="55"/>
  <c r="Z108" i="55"/>
  <c r="Y108" i="55"/>
  <c r="X108" i="55"/>
  <c r="W108" i="55"/>
  <c r="V108" i="55"/>
  <c r="U108" i="55"/>
  <c r="T108" i="55"/>
  <c r="S108" i="55"/>
  <c r="R108" i="55"/>
  <c r="Q108" i="55"/>
  <c r="P108" i="55"/>
  <c r="O108" i="55"/>
  <c r="N108" i="55"/>
  <c r="M108" i="55"/>
  <c r="L108" i="55"/>
  <c r="K108" i="55"/>
  <c r="J108" i="55"/>
  <c r="I108" i="55"/>
  <c r="H108" i="55"/>
  <c r="G108" i="55"/>
  <c r="F108" i="55"/>
  <c r="E108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AI107" i="55" s="1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E106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F105" i="55"/>
  <c r="E105" i="55"/>
  <c r="AF104" i="55"/>
  <c r="AF110" i="55" s="1"/>
  <c r="BJ23" i="55" s="1"/>
  <c r="AE104" i="55"/>
  <c r="AE110" i="55" s="1"/>
  <c r="BI23" i="55" s="1"/>
  <c r="AD104" i="55"/>
  <c r="AD110" i="55" s="1"/>
  <c r="BH23" i="55" s="1"/>
  <c r="AC104" i="55"/>
  <c r="AB104" i="55"/>
  <c r="AB110" i="55" s="1"/>
  <c r="BG23" i="55" s="1"/>
  <c r="AA104" i="55"/>
  <c r="Z104" i="55"/>
  <c r="Z110" i="55" s="1"/>
  <c r="BF23" i="55" s="1"/>
  <c r="Y104" i="55"/>
  <c r="X104" i="55"/>
  <c r="X110" i="55" s="1"/>
  <c r="W104" i="55"/>
  <c r="V104" i="55"/>
  <c r="V110" i="55" s="1"/>
  <c r="U104" i="55"/>
  <c r="T104" i="55"/>
  <c r="S104" i="55"/>
  <c r="R104" i="55"/>
  <c r="R110" i="55" s="1"/>
  <c r="AZ23" i="55" s="1"/>
  <c r="Q104" i="55"/>
  <c r="P104" i="55"/>
  <c r="P110" i="55" s="1"/>
  <c r="AX23" i="55" s="1"/>
  <c r="O104" i="55"/>
  <c r="O110" i="55" s="1"/>
  <c r="N104" i="55"/>
  <c r="N110" i="55" s="1"/>
  <c r="M104" i="55"/>
  <c r="L104" i="55"/>
  <c r="L110" i="55" s="1"/>
  <c r="K104" i="55"/>
  <c r="J104" i="55"/>
  <c r="J110" i="55" s="1"/>
  <c r="I104" i="55"/>
  <c r="H104" i="55"/>
  <c r="H110" i="55" s="1"/>
  <c r="G104" i="55"/>
  <c r="G110" i="55" s="1"/>
  <c r="F104" i="55"/>
  <c r="F110" i="55" s="1"/>
  <c r="E104" i="55"/>
  <c r="AI101" i="55"/>
  <c r="AH101" i="55"/>
  <c r="AI99" i="55"/>
  <c r="AH99" i="55"/>
  <c r="AG99" i="55"/>
  <c r="AI98" i="55"/>
  <c r="AH98" i="55"/>
  <c r="AI97" i="55"/>
  <c r="AH97" i="55"/>
  <c r="AI96" i="55"/>
  <c r="AH96" i="55"/>
  <c r="AG95" i="55"/>
  <c r="AF95" i="55"/>
  <c r="AF111" i="55" s="1"/>
  <c r="AE95" i="55"/>
  <c r="AD5" i="55" s="1"/>
  <c r="AD95" i="55"/>
  <c r="AD111" i="55" s="1"/>
  <c r="AC95" i="55"/>
  <c r="AB5" i="55" s="1"/>
  <c r="AB95" i="55"/>
  <c r="BG19" i="55" s="1"/>
  <c r="AA95" i="55"/>
  <c r="Z5" i="55" s="1"/>
  <c r="Z95" i="55"/>
  <c r="Z111" i="55" s="1"/>
  <c r="Y95" i="55"/>
  <c r="X5" i="55" s="1"/>
  <c r="X95" i="55"/>
  <c r="W5" i="55" s="1"/>
  <c r="W95" i="55"/>
  <c r="W100" i="55" s="1"/>
  <c r="W102" i="55" s="1"/>
  <c r="V95" i="55"/>
  <c r="V111" i="55" s="1"/>
  <c r="U95" i="55"/>
  <c r="T5" i="55" s="1"/>
  <c r="T95" i="55"/>
  <c r="S5" i="55" s="1"/>
  <c r="S95" i="55"/>
  <c r="BA19" i="55" s="1"/>
  <c r="R95" i="55"/>
  <c r="R111" i="55" s="1"/>
  <c r="Q95" i="55"/>
  <c r="P5" i="55" s="1"/>
  <c r="P95" i="55"/>
  <c r="AX19" i="55" s="1"/>
  <c r="O95" i="55"/>
  <c r="N95" i="55"/>
  <c r="N111" i="55" s="1"/>
  <c r="M95" i="55"/>
  <c r="L95" i="55"/>
  <c r="K5" i="55" s="1"/>
  <c r="K95" i="55"/>
  <c r="AT19" i="55" s="1"/>
  <c r="J95" i="55"/>
  <c r="J111" i="55" s="1"/>
  <c r="I95" i="55"/>
  <c r="AS19" i="55" s="1"/>
  <c r="H95" i="55"/>
  <c r="G95" i="55"/>
  <c r="G100" i="55" s="1"/>
  <c r="G102" i="55" s="1"/>
  <c r="F95" i="55"/>
  <c r="F111" i="55" s="1"/>
  <c r="E95" i="55"/>
  <c r="D5" i="55" s="1"/>
  <c r="AI94" i="55"/>
  <c r="AH94" i="55"/>
  <c r="AI93" i="55"/>
  <c r="AH93" i="55"/>
  <c r="AI92" i="55"/>
  <c r="AH92" i="55"/>
  <c r="AI91" i="55"/>
  <c r="AH91" i="55"/>
  <c r="AI90" i="55"/>
  <c r="AH90" i="55"/>
  <c r="AI89" i="55"/>
  <c r="AH89" i="55"/>
  <c r="AI88" i="55"/>
  <c r="AH88" i="55"/>
  <c r="AI87" i="55"/>
  <c r="AH87" i="55"/>
  <c r="AI86" i="55"/>
  <c r="AH86" i="55"/>
  <c r="AI85" i="55"/>
  <c r="AH85" i="55"/>
  <c r="AI84" i="55"/>
  <c r="AH84" i="55"/>
  <c r="AG83" i="55"/>
  <c r="AG4" i="55" s="1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AS20" i="55"/>
  <c r="AI82" i="55"/>
  <c r="AH82" i="55"/>
  <c r="AI81" i="55"/>
  <c r="AH81" i="55"/>
  <c r="AI80" i="55"/>
  <c r="AH80" i="55"/>
  <c r="AF79" i="55"/>
  <c r="BJ18" i="55" s="1"/>
  <c r="AE79" i="55"/>
  <c r="AD79" i="55"/>
  <c r="AC79" i="55"/>
  <c r="AB79" i="55"/>
  <c r="AA79" i="55"/>
  <c r="Z79" i="55"/>
  <c r="Y79" i="55"/>
  <c r="X79" i="55"/>
  <c r="BE18" i="55" s="1"/>
  <c r="W79" i="55"/>
  <c r="V79" i="55"/>
  <c r="U79" i="55"/>
  <c r="BC18" i="55" s="1"/>
  <c r="T79" i="55"/>
  <c r="S79" i="55"/>
  <c r="BA18" i="55" s="1"/>
  <c r="R79" i="55"/>
  <c r="Q79" i="55"/>
  <c r="P79" i="55"/>
  <c r="AX18" i="55" s="1"/>
  <c r="O79" i="55"/>
  <c r="N79" i="55"/>
  <c r="M79" i="55"/>
  <c r="AU18" i="55" s="1"/>
  <c r="BT78" i="55"/>
  <c r="BS78" i="55"/>
  <c r="BP78" i="55"/>
  <c r="BK78" i="55"/>
  <c r="BD78" i="55"/>
  <c r="BC78" i="55"/>
  <c r="AI78" i="55"/>
  <c r="AH78" i="55"/>
  <c r="AG78" i="55"/>
  <c r="AG79" i="55" s="1"/>
  <c r="BT77" i="55"/>
  <c r="BS77" i="55"/>
  <c r="BO77" i="55"/>
  <c r="BG77" i="55"/>
  <c r="BF77" i="55"/>
  <c r="BC77" i="55"/>
  <c r="AI77" i="55"/>
  <c r="AH77" i="55"/>
  <c r="BU76" i="55"/>
  <c r="BS76" i="55"/>
  <c r="BM76" i="55"/>
  <c r="BH76" i="55"/>
  <c r="BF76" i="55"/>
  <c r="BE76" i="55"/>
  <c r="BD76" i="55"/>
  <c r="BA76" i="55"/>
  <c r="AI76" i="55"/>
  <c r="AH76" i="55"/>
  <c r="BG75" i="55"/>
  <c r="BC75" i="55"/>
  <c r="AI75" i="55"/>
  <c r="AH75" i="55"/>
  <c r="BR74" i="55"/>
  <c r="BQ74" i="55"/>
  <c r="BP74" i="55"/>
  <c r="BI74" i="55"/>
  <c r="BH74" i="55"/>
  <c r="AI74" i="55"/>
  <c r="AH74" i="55"/>
  <c r="BK73" i="55"/>
  <c r="BJ73" i="55"/>
  <c r="BC73" i="55"/>
  <c r="AI73" i="55"/>
  <c r="AH73" i="55"/>
  <c r="AI72" i="55"/>
  <c r="AH72" i="55"/>
  <c r="BW71" i="55"/>
  <c r="BW78" i="55" s="1"/>
  <c r="BV71" i="55"/>
  <c r="BV78" i="55" s="1"/>
  <c r="BU71" i="55"/>
  <c r="BU78" i="55" s="1"/>
  <c r="BT71" i="55"/>
  <c r="BS71" i="55"/>
  <c r="BR71" i="55"/>
  <c r="BR78" i="55" s="1"/>
  <c r="BQ71" i="55"/>
  <c r="BQ78" i="55" s="1"/>
  <c r="BP71" i="55"/>
  <c r="BO71" i="55"/>
  <c r="BO78" i="55" s="1"/>
  <c r="BN71" i="55"/>
  <c r="BN78" i="55" s="1"/>
  <c r="BM71" i="55"/>
  <c r="BM78" i="55" s="1"/>
  <c r="BL71" i="55"/>
  <c r="BL78" i="55" s="1"/>
  <c r="BK71" i="55"/>
  <c r="BJ71" i="55"/>
  <c r="BJ78" i="55" s="1"/>
  <c r="BI71" i="55"/>
  <c r="BI78" i="55" s="1"/>
  <c r="BH71" i="55"/>
  <c r="BH78" i="55" s="1"/>
  <c r="BG71" i="55"/>
  <c r="BG78" i="55" s="1"/>
  <c r="BF71" i="55"/>
  <c r="BF78" i="55" s="1"/>
  <c r="BE71" i="55"/>
  <c r="BE78" i="55" s="1"/>
  <c r="BD71" i="55"/>
  <c r="BC71" i="55"/>
  <c r="BB71" i="55"/>
  <c r="BB78" i="55" s="1"/>
  <c r="BA71" i="55"/>
  <c r="BA78" i="55" s="1"/>
  <c r="AZ71" i="55"/>
  <c r="AZ78" i="55" s="1"/>
  <c r="AI71" i="55"/>
  <c r="AH71" i="55"/>
  <c r="BW70" i="55"/>
  <c r="BW77" i="55" s="1"/>
  <c r="BV70" i="55"/>
  <c r="BV77" i="55" s="1"/>
  <c r="BU70" i="55"/>
  <c r="BU77" i="55" s="1"/>
  <c r="BT70" i="55"/>
  <c r="BS70" i="55"/>
  <c r="BR70" i="55"/>
  <c r="BR77" i="55" s="1"/>
  <c r="BQ70" i="55"/>
  <c r="BQ77" i="55" s="1"/>
  <c r="BP70" i="55"/>
  <c r="BP77" i="55" s="1"/>
  <c r="BO70" i="55"/>
  <c r="BN70" i="55"/>
  <c r="BN77" i="55" s="1"/>
  <c r="BM70" i="55"/>
  <c r="BM77" i="55" s="1"/>
  <c r="BL70" i="55"/>
  <c r="BL77" i="55" s="1"/>
  <c r="BK70" i="55"/>
  <c r="BK77" i="55" s="1"/>
  <c r="BJ70" i="55"/>
  <c r="BJ77" i="55" s="1"/>
  <c r="BI70" i="55"/>
  <c r="BI77" i="55" s="1"/>
  <c r="BH70" i="55"/>
  <c r="BH77" i="55" s="1"/>
  <c r="BG70" i="55"/>
  <c r="BF70" i="55"/>
  <c r="BE70" i="55"/>
  <c r="BE77" i="55" s="1"/>
  <c r="BD70" i="55"/>
  <c r="BD77" i="55" s="1"/>
  <c r="BC70" i="55"/>
  <c r="BB70" i="55"/>
  <c r="BB77" i="55" s="1"/>
  <c r="BA70" i="55"/>
  <c r="BA77" i="55" s="1"/>
  <c r="AZ70" i="55"/>
  <c r="AZ77" i="55" s="1"/>
  <c r="AI70" i="55"/>
  <c r="AH70" i="55"/>
  <c r="BW69" i="55"/>
  <c r="BW76" i="55" s="1"/>
  <c r="BV69" i="55"/>
  <c r="BV76" i="55" s="1"/>
  <c r="BU69" i="55"/>
  <c r="BT69" i="55"/>
  <c r="BT76" i="55" s="1"/>
  <c r="BS69" i="55"/>
  <c r="BR69" i="55"/>
  <c r="BR76" i="55" s="1"/>
  <c r="BQ69" i="55"/>
  <c r="BQ76" i="55" s="1"/>
  <c r="BP69" i="55"/>
  <c r="BP76" i="55" s="1"/>
  <c r="BO69" i="55"/>
  <c r="BO76" i="55" s="1"/>
  <c r="BN69" i="55"/>
  <c r="BN76" i="55" s="1"/>
  <c r="BM69" i="55"/>
  <c r="BL69" i="55"/>
  <c r="BL76" i="55" s="1"/>
  <c r="BK69" i="55"/>
  <c r="BK76" i="55" s="1"/>
  <c r="BJ69" i="55"/>
  <c r="BJ76" i="55" s="1"/>
  <c r="BI69" i="55"/>
  <c r="BI76" i="55" s="1"/>
  <c r="BH69" i="55"/>
  <c r="BG69" i="55"/>
  <c r="BG76" i="55" s="1"/>
  <c r="BF69" i="55"/>
  <c r="BE69" i="55"/>
  <c r="BD69" i="55"/>
  <c r="BC69" i="55"/>
  <c r="BC76" i="55" s="1"/>
  <c r="BB69" i="55"/>
  <c r="BB76" i="55" s="1"/>
  <c r="BA69" i="55"/>
  <c r="AZ69" i="55"/>
  <c r="AZ76" i="55" s="1"/>
  <c r="AI69" i="55"/>
  <c r="AH69" i="55"/>
  <c r="BW68" i="55"/>
  <c r="BW75" i="55" s="1"/>
  <c r="BV68" i="55"/>
  <c r="BV75" i="55" s="1"/>
  <c r="BU68" i="55"/>
  <c r="BU75" i="55" s="1"/>
  <c r="BT68" i="55"/>
  <c r="BT75" i="55" s="1"/>
  <c r="BS68" i="55"/>
  <c r="BS75" i="55" s="1"/>
  <c r="BR68" i="55"/>
  <c r="BR75" i="55" s="1"/>
  <c r="BQ68" i="55"/>
  <c r="BQ75" i="55" s="1"/>
  <c r="BP68" i="55"/>
  <c r="BP75" i="55" s="1"/>
  <c r="BO68" i="55"/>
  <c r="BO75" i="55" s="1"/>
  <c r="BN68" i="55"/>
  <c r="BN75" i="55" s="1"/>
  <c r="BM68" i="55"/>
  <c r="BM75" i="55" s="1"/>
  <c r="BL68" i="55"/>
  <c r="BL75" i="55" s="1"/>
  <c r="BK68" i="55"/>
  <c r="BK75" i="55" s="1"/>
  <c r="BJ68" i="55"/>
  <c r="BJ75" i="55" s="1"/>
  <c r="BI68" i="55"/>
  <c r="BI75" i="55" s="1"/>
  <c r="BH68" i="55"/>
  <c r="BH75" i="55" s="1"/>
  <c r="BG68" i="55"/>
  <c r="BF68" i="55"/>
  <c r="BF75" i="55" s="1"/>
  <c r="BE68" i="55"/>
  <c r="BE75" i="55" s="1"/>
  <c r="BD68" i="55"/>
  <c r="BD75" i="55" s="1"/>
  <c r="BC68" i="55"/>
  <c r="BB68" i="55"/>
  <c r="BB75" i="55" s="1"/>
  <c r="BA68" i="55"/>
  <c r="BA75" i="55" s="1"/>
  <c r="AZ68" i="55"/>
  <c r="AZ75" i="55" s="1"/>
  <c r="AI68" i="55"/>
  <c r="AH68" i="55"/>
  <c r="BW67" i="55"/>
  <c r="BW74" i="55" s="1"/>
  <c r="BV67" i="55"/>
  <c r="BV74" i="55" s="1"/>
  <c r="BU67" i="55"/>
  <c r="BU74" i="55" s="1"/>
  <c r="BT67" i="55"/>
  <c r="BT74" i="55" s="1"/>
  <c r="BS67" i="55"/>
  <c r="BS74" i="55" s="1"/>
  <c r="BR67" i="55"/>
  <c r="BQ67" i="55"/>
  <c r="BP67" i="55"/>
  <c r="BO67" i="55"/>
  <c r="BO74" i="55" s="1"/>
  <c r="BN67" i="55"/>
  <c r="BN74" i="55" s="1"/>
  <c r="BM67" i="55"/>
  <c r="BM74" i="55" s="1"/>
  <c r="BL67" i="55"/>
  <c r="BL74" i="55" s="1"/>
  <c r="BK67" i="55"/>
  <c r="BK74" i="55" s="1"/>
  <c r="BJ67" i="55"/>
  <c r="BJ74" i="55" s="1"/>
  <c r="BI67" i="55"/>
  <c r="BH67" i="55"/>
  <c r="BG67" i="55"/>
  <c r="BG74" i="55" s="1"/>
  <c r="BF67" i="55"/>
  <c r="BF74" i="55" s="1"/>
  <c r="BE67" i="55"/>
  <c r="BE74" i="55" s="1"/>
  <c r="BD67" i="55"/>
  <c r="BD74" i="55" s="1"/>
  <c r="BC67" i="55"/>
  <c r="BC74" i="55" s="1"/>
  <c r="BB67" i="55"/>
  <c r="BB74" i="55" s="1"/>
  <c r="BA67" i="55"/>
  <c r="BA74" i="55" s="1"/>
  <c r="AZ67" i="55"/>
  <c r="AZ74" i="55" s="1"/>
  <c r="AI67" i="55"/>
  <c r="AH67" i="55"/>
  <c r="BW66" i="55"/>
  <c r="BW73" i="55" s="1"/>
  <c r="BV66" i="55"/>
  <c r="BV73" i="55" s="1"/>
  <c r="BU66" i="55"/>
  <c r="BU73" i="55" s="1"/>
  <c r="BT66" i="55"/>
  <c r="BT73" i="55" s="1"/>
  <c r="BS66" i="55"/>
  <c r="BS73" i="55" s="1"/>
  <c r="BR66" i="55"/>
  <c r="BR73" i="55" s="1"/>
  <c r="BQ66" i="55"/>
  <c r="BQ73" i="55" s="1"/>
  <c r="BP66" i="55"/>
  <c r="BP73" i="55" s="1"/>
  <c r="BO66" i="55"/>
  <c r="BO73" i="55" s="1"/>
  <c r="BN66" i="55"/>
  <c r="BN73" i="55" s="1"/>
  <c r="BM66" i="55"/>
  <c r="BM73" i="55" s="1"/>
  <c r="BL66" i="55"/>
  <c r="BL73" i="55" s="1"/>
  <c r="BK66" i="55"/>
  <c r="BJ66" i="55"/>
  <c r="BI66" i="55"/>
  <c r="BI73" i="55" s="1"/>
  <c r="BH66" i="55"/>
  <c r="BH73" i="55" s="1"/>
  <c r="BG66" i="55"/>
  <c r="BG73" i="55" s="1"/>
  <c r="BF66" i="55"/>
  <c r="BF73" i="55" s="1"/>
  <c r="BE66" i="55"/>
  <c r="BE73" i="55" s="1"/>
  <c r="BD66" i="55"/>
  <c r="BD73" i="55" s="1"/>
  <c r="BC66" i="55"/>
  <c r="BB66" i="55"/>
  <c r="BB73" i="55" s="1"/>
  <c r="BA66" i="55"/>
  <c r="BA73" i="55" s="1"/>
  <c r="AZ66" i="55"/>
  <c r="AI66" i="55"/>
  <c r="AH66" i="55"/>
  <c r="AG65" i="55"/>
  <c r="AF65" i="55"/>
  <c r="AE65" i="55"/>
  <c r="BI17" i="55" s="1"/>
  <c r="AD65" i="55"/>
  <c r="BH17" i="55" s="1"/>
  <c r="AC65" i="55"/>
  <c r="AB65" i="55"/>
  <c r="BG17" i="55" s="1"/>
  <c r="AA65" i="55"/>
  <c r="Z65" i="55"/>
  <c r="Y65" i="55"/>
  <c r="V65" i="55"/>
  <c r="BD17" i="55" s="1"/>
  <c r="T65" i="55"/>
  <c r="S65" i="55"/>
  <c r="R65" i="55"/>
  <c r="AZ17" i="55" s="1"/>
  <c r="Q65" i="55"/>
  <c r="P65" i="55"/>
  <c r="O65" i="55"/>
  <c r="N65" i="55"/>
  <c r="AV17" i="55" s="1"/>
  <c r="M65" i="55"/>
  <c r="AR17" i="55"/>
  <c r="AQ17" i="55"/>
  <c r="AI64" i="55"/>
  <c r="AH64" i="55"/>
  <c r="AI63" i="55"/>
  <c r="AH63" i="55"/>
  <c r="AI62" i="55"/>
  <c r="AH62" i="55"/>
  <c r="AG61" i="55"/>
  <c r="AG100" i="55" s="1"/>
  <c r="AF61" i="55"/>
  <c r="BJ16" i="55" s="1"/>
  <c r="AE61" i="55"/>
  <c r="AD61" i="55"/>
  <c r="AC61" i="55"/>
  <c r="AB61" i="55"/>
  <c r="BG16" i="55" s="1"/>
  <c r="AA61" i="55"/>
  <c r="Z61" i="55"/>
  <c r="Y61" i="55"/>
  <c r="V61" i="55"/>
  <c r="T61" i="55"/>
  <c r="S61" i="55"/>
  <c r="R61" i="55"/>
  <c r="Q61" i="55"/>
  <c r="P61" i="55"/>
  <c r="AX16" i="55" s="1"/>
  <c r="O61" i="55"/>
  <c r="N61" i="55"/>
  <c r="M61" i="55"/>
  <c r="M100" i="55" s="1"/>
  <c r="M102" i="55" s="1"/>
  <c r="K100" i="55"/>
  <c r="K102" i="55" s="1"/>
  <c r="E61" i="55"/>
  <c r="AP16" i="55" s="1"/>
  <c r="C61" i="55"/>
  <c r="AN16" i="55" s="1"/>
  <c r="AI60" i="55"/>
  <c r="AH60" i="55"/>
  <c r="AI59" i="55"/>
  <c r="AH59" i="55"/>
  <c r="AI58" i="55"/>
  <c r="AH58" i="55"/>
  <c r="AI57" i="55"/>
  <c r="AH57" i="55"/>
  <c r="AI56" i="55"/>
  <c r="AH56" i="55"/>
  <c r="AI55" i="55"/>
  <c r="AH55" i="55"/>
  <c r="AI54" i="55"/>
  <c r="AH54" i="55"/>
  <c r="AI53" i="55"/>
  <c r="AH53" i="55"/>
  <c r="AI52" i="55"/>
  <c r="AH52" i="55"/>
  <c r="AI51" i="55"/>
  <c r="AH51" i="55"/>
  <c r="AI50" i="55"/>
  <c r="AH50" i="55"/>
  <c r="AI49" i="55"/>
  <c r="AH49" i="55"/>
  <c r="AI48" i="55"/>
  <c r="AH48" i="55"/>
  <c r="AI47" i="55"/>
  <c r="AH47" i="55"/>
  <c r="AI46" i="55"/>
  <c r="AH46" i="55"/>
  <c r="AI45" i="55"/>
  <c r="AH45" i="55"/>
  <c r="AI44" i="55"/>
  <c r="AH44" i="55"/>
  <c r="AI43" i="55"/>
  <c r="AH43" i="55"/>
  <c r="AI42" i="55"/>
  <c r="AH42" i="55"/>
  <c r="AI41" i="55"/>
  <c r="AH41" i="55"/>
  <c r="AI40" i="55"/>
  <c r="AH40" i="55"/>
  <c r="AI39" i="55"/>
  <c r="AH39" i="55"/>
  <c r="AI38" i="55"/>
  <c r="AH38" i="55"/>
  <c r="AI37" i="55"/>
  <c r="AH37" i="55"/>
  <c r="AI36" i="55"/>
  <c r="AH36" i="55"/>
  <c r="AI35" i="55"/>
  <c r="AH35" i="55"/>
  <c r="AI34" i="55"/>
  <c r="AH34" i="55"/>
  <c r="AI33" i="55"/>
  <c r="AH33" i="55"/>
  <c r="AI32" i="55"/>
  <c r="AH32" i="55"/>
  <c r="AI31" i="55"/>
  <c r="AH31" i="55"/>
  <c r="AI30" i="55"/>
  <c r="AH30" i="55"/>
  <c r="AI29" i="55"/>
  <c r="AH29" i="55"/>
  <c r="AI28" i="55"/>
  <c r="AH28" i="55"/>
  <c r="AI27" i="55"/>
  <c r="AH27" i="55"/>
  <c r="AI26" i="55"/>
  <c r="AH26" i="55"/>
  <c r="AI25" i="55"/>
  <c r="AH25" i="55"/>
  <c r="AI24" i="55"/>
  <c r="AH24" i="55"/>
  <c r="BE23" i="55"/>
  <c r="BD23" i="55"/>
  <c r="AW23" i="55"/>
  <c r="AV23" i="55"/>
  <c r="AR23" i="55"/>
  <c r="AQ23" i="55"/>
  <c r="AI23" i="55"/>
  <c r="AH23" i="55"/>
  <c r="AI22" i="55"/>
  <c r="AH22" i="55"/>
  <c r="BJ21" i="55"/>
  <c r="BI21" i="55"/>
  <c r="BH21" i="55"/>
  <c r="BG21" i="55"/>
  <c r="BF21" i="55"/>
  <c r="BE21" i="55"/>
  <c r="BD21" i="55"/>
  <c r="BC21" i="55"/>
  <c r="BB21" i="55"/>
  <c r="BA21" i="55"/>
  <c r="AZ21" i="55"/>
  <c r="AY21" i="55"/>
  <c r="AX21" i="55"/>
  <c r="AW21" i="55"/>
  <c r="AV21" i="55"/>
  <c r="AU21" i="55"/>
  <c r="AT21" i="55"/>
  <c r="AS21" i="55"/>
  <c r="AR21" i="55"/>
  <c r="AQ21" i="55"/>
  <c r="AP21" i="55"/>
  <c r="AO21" i="55"/>
  <c r="AN21" i="55"/>
  <c r="AM21" i="55"/>
  <c r="AI21" i="55"/>
  <c r="AH21" i="55"/>
  <c r="BJ20" i="55"/>
  <c r="BI20" i="55"/>
  <c r="BH20" i="55"/>
  <c r="BG20" i="55"/>
  <c r="BF20" i="55"/>
  <c r="BE20" i="55"/>
  <c r="BD20" i="55"/>
  <c r="BC20" i="55"/>
  <c r="BB20" i="55"/>
  <c r="BA20" i="55"/>
  <c r="AZ20" i="55"/>
  <c r="AY20" i="55"/>
  <c r="AX20" i="55"/>
  <c r="AW20" i="55"/>
  <c r="AV20" i="55"/>
  <c r="AU20" i="55"/>
  <c r="AT20" i="55"/>
  <c r="AR20" i="55"/>
  <c r="AQ20" i="55"/>
  <c r="AP20" i="55"/>
  <c r="AO20" i="55"/>
  <c r="AN20" i="55"/>
  <c r="AM20" i="55"/>
  <c r="AI20" i="55"/>
  <c r="AH20" i="55"/>
  <c r="BD19" i="55"/>
  <c r="BB19" i="55"/>
  <c r="AW19" i="55"/>
  <c r="AU19" i="55"/>
  <c r="AR19" i="55"/>
  <c r="AQ19" i="55"/>
  <c r="AO19" i="55"/>
  <c r="AN19" i="55"/>
  <c r="AI19" i="55"/>
  <c r="AH19" i="55"/>
  <c r="BI18" i="55"/>
  <c r="BH18" i="55"/>
  <c r="BG18" i="55"/>
  <c r="BF18" i="55"/>
  <c r="BD18" i="55"/>
  <c r="BB18" i="55"/>
  <c r="AZ18" i="55"/>
  <c r="AY18" i="55"/>
  <c r="AW18" i="55"/>
  <c r="AV18" i="55"/>
  <c r="AT18" i="55"/>
  <c r="AS18" i="55"/>
  <c r="AR18" i="55"/>
  <c r="AQ18" i="55"/>
  <c r="AP18" i="55"/>
  <c r="AO18" i="55"/>
  <c r="AN18" i="55"/>
  <c r="AM18" i="55"/>
  <c r="AI18" i="55"/>
  <c r="AH18" i="55"/>
  <c r="BJ17" i="55"/>
  <c r="BF17" i="55"/>
  <c r="BE17" i="55"/>
  <c r="BC17" i="55"/>
  <c r="BB17" i="55"/>
  <c r="BA17" i="55"/>
  <c r="AY17" i="55"/>
  <c r="AX17" i="55"/>
  <c r="AW17" i="55"/>
  <c r="AU17" i="55"/>
  <c r="AT17" i="55"/>
  <c r="AS17" i="55"/>
  <c r="AP17" i="55"/>
  <c r="AN17" i="55"/>
  <c r="AI17" i="55"/>
  <c r="AH17" i="55"/>
  <c r="BE16" i="55"/>
  <c r="AU16" i="55"/>
  <c r="AT16" i="55"/>
  <c r="AS16" i="55"/>
  <c r="AM16" i="55"/>
  <c r="AI16" i="55"/>
  <c r="AH16" i="55"/>
  <c r="AI15" i="55"/>
  <c r="AH15" i="55"/>
  <c r="AI14" i="55"/>
  <c r="AH14" i="55"/>
  <c r="AI13" i="55"/>
  <c r="AH13" i="55"/>
  <c r="AL12" i="55"/>
  <c r="AI12" i="55"/>
  <c r="AH12" i="55"/>
  <c r="AI11" i="55"/>
  <c r="AH11" i="55"/>
  <c r="O5" i="55"/>
  <c r="N5" i="55"/>
  <c r="L5" i="55"/>
  <c r="J5" i="55"/>
  <c r="G5" i="55"/>
  <c r="F5" i="55"/>
  <c r="E5" i="55"/>
  <c r="C5" i="55"/>
  <c r="B5" i="55"/>
  <c r="K4" i="55"/>
  <c r="E4" i="55"/>
  <c r="H4" i="55" s="1"/>
  <c r="B4" i="55"/>
  <c r="D261" i="55" s="1"/>
  <c r="AG3" i="55"/>
  <c r="AG2" i="55"/>
  <c r="AG6" i="55" s="1"/>
  <c r="AF61" i="54"/>
  <c r="AF65" i="54"/>
  <c r="AF79" i="54"/>
  <c r="AF83" i="54"/>
  <c r="AF95" i="54"/>
  <c r="AF104" i="54"/>
  <c r="AF105" i="54"/>
  <c r="AF106" i="54"/>
  <c r="AF107" i="54"/>
  <c r="AF108" i="54"/>
  <c r="AF109" i="54"/>
  <c r="AF121" i="54"/>
  <c r="AE61" i="54"/>
  <c r="AE65" i="54"/>
  <c r="AE79" i="54"/>
  <c r="AE83" i="54"/>
  <c r="AE95" i="54"/>
  <c r="AE104" i="54"/>
  <c r="AE105" i="54"/>
  <c r="AE106" i="54"/>
  <c r="AE107" i="54"/>
  <c r="AE108" i="54"/>
  <c r="AE109" i="54"/>
  <c r="AE121" i="54"/>
  <c r="AD61" i="54"/>
  <c r="AD65" i="54"/>
  <c r="AD79" i="54"/>
  <c r="AD83" i="54"/>
  <c r="AD95" i="54"/>
  <c r="AD104" i="54"/>
  <c r="AD110" i="54" s="1"/>
  <c r="AD105" i="54"/>
  <c r="AD106" i="54"/>
  <c r="AD107" i="54"/>
  <c r="AD108" i="54"/>
  <c r="AD109" i="54"/>
  <c r="AD121" i="54"/>
  <c r="AC61" i="54"/>
  <c r="AC65" i="54"/>
  <c r="AC79" i="54"/>
  <c r="AC83" i="54"/>
  <c r="AC95" i="54"/>
  <c r="AC104" i="54"/>
  <c r="AC105" i="54"/>
  <c r="AC106" i="54"/>
  <c r="AC107" i="54"/>
  <c r="AC108" i="54"/>
  <c r="AC109" i="54"/>
  <c r="AC121" i="54"/>
  <c r="AE5" i="55" l="1"/>
  <c r="BJ19" i="55"/>
  <c r="AE100" i="55"/>
  <c r="AE102" i="55" s="1"/>
  <c r="AE103" i="55" s="1"/>
  <c r="AE7" i="55" s="1"/>
  <c r="BI19" i="55"/>
  <c r="AD100" i="55"/>
  <c r="AD102" i="55" s="1"/>
  <c r="AD103" i="55" s="1"/>
  <c r="AD7" i="55" s="1"/>
  <c r="BH19" i="55"/>
  <c r="AC5" i="55"/>
  <c r="AC100" i="55"/>
  <c r="AC102" i="55" s="1"/>
  <c r="BG22" i="55"/>
  <c r="BG24" i="55" s="1"/>
  <c r="AA5" i="55"/>
  <c r="AB100" i="55"/>
  <c r="AB102" i="55" s="1"/>
  <c r="AB103" i="55" s="1"/>
  <c r="AB7" i="55" s="1"/>
  <c r="AA100" i="55"/>
  <c r="AA102" i="55" s="1"/>
  <c r="AA103" i="55" s="1"/>
  <c r="AA7" i="55" s="1"/>
  <c r="BF19" i="55"/>
  <c r="Y5" i="55"/>
  <c r="Z100" i="55"/>
  <c r="Z102" i="55" s="1"/>
  <c r="Z103" i="55" s="1"/>
  <c r="Z7" i="55" s="1"/>
  <c r="BF16" i="55"/>
  <c r="BF22" i="55" s="1"/>
  <c r="BF24" i="55" s="1"/>
  <c r="Y110" i="55"/>
  <c r="Y100" i="55"/>
  <c r="Y102" i="55" s="1"/>
  <c r="Y103" i="55" s="1"/>
  <c r="Y7" i="55" s="1"/>
  <c r="W110" i="55"/>
  <c r="W103" i="55" s="1"/>
  <c r="W7" i="55" s="1"/>
  <c r="X111" i="55"/>
  <c r="BE19" i="55"/>
  <c r="V5" i="55"/>
  <c r="U5" i="55"/>
  <c r="BC19" i="55"/>
  <c r="U100" i="55"/>
  <c r="U102" i="55" s="1"/>
  <c r="BC16" i="55"/>
  <c r="T100" i="55"/>
  <c r="T102" i="55" s="1"/>
  <c r="T103" i="55" s="1"/>
  <c r="T7" i="55" s="1"/>
  <c r="T110" i="55"/>
  <c r="BB23" i="55" s="1"/>
  <c r="R5" i="55"/>
  <c r="S100" i="55"/>
  <c r="S102" i="55" s="1"/>
  <c r="BA16" i="55"/>
  <c r="BA22" i="55" s="1"/>
  <c r="Q5" i="55"/>
  <c r="R100" i="55"/>
  <c r="R102" i="55" s="1"/>
  <c r="R103" i="55" s="1"/>
  <c r="R7" i="55" s="1"/>
  <c r="AZ19" i="55"/>
  <c r="AZ16" i="55"/>
  <c r="AZ22" i="55" s="1"/>
  <c r="AZ24" i="55" s="1"/>
  <c r="Q110" i="55"/>
  <c r="AY23" i="55" s="1"/>
  <c r="AY19" i="55"/>
  <c r="AY22" i="55" s="1"/>
  <c r="Q100" i="55"/>
  <c r="Q102" i="55" s="1"/>
  <c r="Q103" i="55" s="1"/>
  <c r="Q7" i="55" s="1"/>
  <c r="AY16" i="55"/>
  <c r="P111" i="55"/>
  <c r="O100" i="55"/>
  <c r="O102" i="55" s="1"/>
  <c r="O103" i="55" s="1"/>
  <c r="O7" i="55" s="1"/>
  <c r="M5" i="55"/>
  <c r="AV19" i="55"/>
  <c r="AH79" i="55"/>
  <c r="AU22" i="55"/>
  <c r="L100" i="55"/>
  <c r="L102" i="55" s="1"/>
  <c r="L103" i="55" s="1"/>
  <c r="L7" i="55" s="1"/>
  <c r="I5" i="55"/>
  <c r="J100" i="55"/>
  <c r="J102" i="55" s="1"/>
  <c r="J103" i="55" s="1"/>
  <c r="J7" i="55" s="1"/>
  <c r="H5" i="55"/>
  <c r="I100" i="55"/>
  <c r="I102" i="55" s="1"/>
  <c r="I110" i="55"/>
  <c r="AS23" i="55" s="1"/>
  <c r="AS22" i="55"/>
  <c r="H111" i="55"/>
  <c r="F100" i="55"/>
  <c r="F102" i="55" s="1"/>
  <c r="F103" i="55" s="1"/>
  <c r="F7" i="55" s="1"/>
  <c r="AP19" i="55"/>
  <c r="E100" i="55"/>
  <c r="E102" i="55" s="1"/>
  <c r="D110" i="55"/>
  <c r="AI106" i="55"/>
  <c r="D100" i="55"/>
  <c r="D102" i="55" s="1"/>
  <c r="AO23" i="55"/>
  <c r="D111" i="55"/>
  <c r="D103" i="55"/>
  <c r="D7" i="55" s="1"/>
  <c r="AO16" i="55"/>
  <c r="AO22" i="55" s="1"/>
  <c r="AO24" i="55" s="1"/>
  <c r="C110" i="55"/>
  <c r="C111" i="55"/>
  <c r="C100" i="55"/>
  <c r="C102" i="55" s="1"/>
  <c r="C103" i="55" s="1"/>
  <c r="AN22" i="55"/>
  <c r="B110" i="55"/>
  <c r="B111" i="55" s="1"/>
  <c r="AF5" i="55"/>
  <c r="AM19" i="55"/>
  <c r="AM22" i="55" s="1"/>
  <c r="B100" i="55"/>
  <c r="B102" i="55" s="1"/>
  <c r="B103" i="55" s="1"/>
  <c r="AI104" i="55"/>
  <c r="AF100" i="54"/>
  <c r="AF102" i="54" s="1"/>
  <c r="AI65" i="55"/>
  <c r="N100" i="55"/>
  <c r="N102" i="55" s="1"/>
  <c r="N103" i="55" s="1"/>
  <c r="N7" i="55" s="1"/>
  <c r="AV16" i="55"/>
  <c r="AX22" i="55"/>
  <c r="AX24" i="55" s="1"/>
  <c r="BH16" i="55"/>
  <c r="BH22" i="55" s="1"/>
  <c r="BH24" i="55" s="1"/>
  <c r="AH105" i="55"/>
  <c r="G103" i="55"/>
  <c r="G7" i="55" s="1"/>
  <c r="BJ22" i="55"/>
  <c r="BJ24" i="55" s="1"/>
  <c r="BD16" i="55"/>
  <c r="BD22" i="55" s="1"/>
  <c r="BD24" i="55" s="1"/>
  <c r="V100" i="55"/>
  <c r="V102" i="55" s="1"/>
  <c r="V103" i="55" s="1"/>
  <c r="V7" i="55" s="1"/>
  <c r="AP22" i="55"/>
  <c r="AP24" i="55" s="1"/>
  <c r="AZ73" i="55"/>
  <c r="BG82" i="55" a="1"/>
  <c r="AQ16" i="55"/>
  <c r="AQ22" i="55" s="1"/>
  <c r="AQ24" i="55" s="1"/>
  <c r="AR16" i="55"/>
  <c r="AR22" i="55" s="1"/>
  <c r="AR24" i="55" s="1"/>
  <c r="AI61" i="55"/>
  <c r="BE22" i="55"/>
  <c r="BE24" i="55" s="1"/>
  <c r="AT22" i="55"/>
  <c r="BI16" i="55"/>
  <c r="BI22" i="55" s="1"/>
  <c r="BI24" i="55" s="1"/>
  <c r="H100" i="55"/>
  <c r="H102" i="55" s="1"/>
  <c r="H103" i="55" s="1"/>
  <c r="H7" i="55" s="1"/>
  <c r="P100" i="55"/>
  <c r="P102" i="55" s="1"/>
  <c r="P103" i="55" s="1"/>
  <c r="P7" i="55" s="1"/>
  <c r="X100" i="55"/>
  <c r="X102" i="55" s="1"/>
  <c r="X103" i="55" s="1"/>
  <c r="X7" i="55" s="1"/>
  <c r="AF100" i="55"/>
  <c r="AF102" i="55" s="1"/>
  <c r="AF103" i="55" s="1"/>
  <c r="AF7" i="55" s="1"/>
  <c r="AI83" i="55"/>
  <c r="L111" i="55"/>
  <c r="T111" i="55"/>
  <c r="AB111" i="55"/>
  <c r="K110" i="55"/>
  <c r="S110" i="55"/>
  <c r="AA110" i="55"/>
  <c r="AA111" i="55" s="1"/>
  <c r="AH106" i="55"/>
  <c r="E103" i="55"/>
  <c r="E7" i="55" s="1"/>
  <c r="AH104" i="55"/>
  <c r="AI105" i="55"/>
  <c r="BB16" i="55"/>
  <c r="BB22" i="55" s="1"/>
  <c r="BB24" i="55" s="1"/>
  <c r="AI79" i="55"/>
  <c r="U111" i="55"/>
  <c r="AH61" i="55"/>
  <c r="AH65" i="55"/>
  <c r="E110" i="55"/>
  <c r="AP23" i="55" s="1"/>
  <c r="M110" i="55"/>
  <c r="AU23" i="55" s="1"/>
  <c r="AU24" i="55" s="1"/>
  <c r="U110" i="55"/>
  <c r="BC23" i="55" s="1"/>
  <c r="AC110" i="55"/>
  <c r="AL13" i="55"/>
  <c r="G111" i="55"/>
  <c r="O111" i="55"/>
  <c r="W111" i="55"/>
  <c r="AE111" i="55"/>
  <c r="AW16" i="55"/>
  <c r="AW22" i="55" s="1"/>
  <c r="AW24" i="55" s="1"/>
  <c r="AG102" i="55"/>
  <c r="AH109" i="55"/>
  <c r="D255" i="55"/>
  <c r="E250" i="55"/>
  <c r="E254" i="55"/>
  <c r="I111" i="55"/>
  <c r="Q111" i="55"/>
  <c r="Y111" i="55"/>
  <c r="AI108" i="55"/>
  <c r="G249" i="55"/>
  <c r="AH83" i="55"/>
  <c r="AH95" i="55"/>
  <c r="AI95" i="55"/>
  <c r="AH107" i="55"/>
  <c r="AF110" i="54"/>
  <c r="AF103" i="54" s="1"/>
  <c r="AE110" i="54"/>
  <c r="AE100" i="54"/>
  <c r="AE102" i="54" s="1"/>
  <c r="AE103" i="54" s="1"/>
  <c r="AE111" i="54"/>
  <c r="AD100" i="54"/>
  <c r="AD102" i="54" s="1"/>
  <c r="AD103" i="54" s="1"/>
  <c r="AD111" i="54"/>
  <c r="AC110" i="54"/>
  <c r="AC100" i="54"/>
  <c r="AC102" i="54" s="1"/>
  <c r="AC103" i="54" s="1"/>
  <c r="AC111" i="54"/>
  <c r="AC103" i="55" l="1"/>
  <c r="AC7" i="55" s="1"/>
  <c r="AC111" i="55"/>
  <c r="BC22" i="55"/>
  <c r="BC24" i="55" s="1"/>
  <c r="S103" i="55"/>
  <c r="S7" i="55" s="1"/>
  <c r="AY24" i="55"/>
  <c r="AV22" i="55"/>
  <c r="AV24" i="55" s="1"/>
  <c r="M111" i="55"/>
  <c r="I103" i="55"/>
  <c r="I7" i="55" s="1"/>
  <c r="AS24" i="55"/>
  <c r="E111" i="55"/>
  <c r="BK105" i="55"/>
  <c r="BI104" i="55"/>
  <c r="BG103" i="55"/>
  <c r="BK101" i="55"/>
  <c r="BI100" i="55"/>
  <c r="BG99" i="55"/>
  <c r="BK97" i="55"/>
  <c r="BI96" i="55"/>
  <c r="BG95" i="55"/>
  <c r="BK93" i="55"/>
  <c r="BI92" i="55"/>
  <c r="BG91" i="55"/>
  <c r="BK89" i="55"/>
  <c r="BI88" i="55"/>
  <c r="BG87" i="55"/>
  <c r="BK85" i="55"/>
  <c r="BI84" i="55"/>
  <c r="BG83" i="55"/>
  <c r="BI105" i="55"/>
  <c r="BG104" i="55"/>
  <c r="BK102" i="55"/>
  <c r="BI101" i="55"/>
  <c r="BG100" i="55"/>
  <c r="BK98" i="55"/>
  <c r="BI97" i="55"/>
  <c r="BG96" i="55"/>
  <c r="BK94" i="55"/>
  <c r="BI93" i="55"/>
  <c r="BG92" i="55"/>
  <c r="BK90" i="55"/>
  <c r="BI89" i="55"/>
  <c r="BG88" i="55"/>
  <c r="BK86" i="55"/>
  <c r="BI85" i="55"/>
  <c r="BG84" i="55"/>
  <c r="BK82" i="55"/>
  <c r="BL104" i="55"/>
  <c r="BJ103" i="55"/>
  <c r="BH102" i="55"/>
  <c r="BL100" i="55"/>
  <c r="BJ99" i="55"/>
  <c r="BH98" i="55"/>
  <c r="BL96" i="55"/>
  <c r="BJ95" i="55"/>
  <c r="BH94" i="55"/>
  <c r="BL92" i="55"/>
  <c r="BJ91" i="55"/>
  <c r="BH90" i="55"/>
  <c r="BL88" i="55"/>
  <c r="BJ87" i="55"/>
  <c r="BH86" i="55"/>
  <c r="BL84" i="55"/>
  <c r="BJ83" i="55"/>
  <c r="BH82" i="55"/>
  <c r="BK104" i="55"/>
  <c r="BI103" i="55"/>
  <c r="BG102" i="55"/>
  <c r="BK100" i="55"/>
  <c r="BI99" i="55"/>
  <c r="BG98" i="55"/>
  <c r="BK96" i="55"/>
  <c r="BI95" i="55"/>
  <c r="BG94" i="55"/>
  <c r="BK92" i="55"/>
  <c r="BI91" i="55"/>
  <c r="BG90" i="55"/>
  <c r="BK88" i="55"/>
  <c r="BI87" i="55"/>
  <c r="BG86" i="55"/>
  <c r="BK84" i="55"/>
  <c r="BI83" i="55"/>
  <c r="BG82" i="55"/>
  <c r="BH105" i="55"/>
  <c r="BJ102" i="55"/>
  <c r="BL99" i="55"/>
  <c r="BH97" i="55"/>
  <c r="BJ94" i="55"/>
  <c r="BL91" i="55"/>
  <c r="BH89" i="55"/>
  <c r="BJ86" i="55"/>
  <c r="BL83" i="55"/>
  <c r="BG105" i="55"/>
  <c r="BI102" i="55"/>
  <c r="BK99" i="55"/>
  <c r="BG97" i="55"/>
  <c r="BI94" i="55"/>
  <c r="BK91" i="55"/>
  <c r="BG89" i="55"/>
  <c r="BI86" i="55"/>
  <c r="BK83" i="55"/>
  <c r="BJ104" i="55"/>
  <c r="BL101" i="55"/>
  <c r="BH99" i="55"/>
  <c r="BJ96" i="55"/>
  <c r="BL93" i="55"/>
  <c r="BH91" i="55"/>
  <c r="BJ88" i="55"/>
  <c r="BL85" i="55"/>
  <c r="BH83" i="55"/>
  <c r="BH104" i="55"/>
  <c r="BJ101" i="55"/>
  <c r="BL98" i="55"/>
  <c r="BH96" i="55"/>
  <c r="BJ93" i="55"/>
  <c r="BL90" i="55"/>
  <c r="BH88" i="55"/>
  <c r="BJ85" i="55"/>
  <c r="BL82" i="55"/>
  <c r="BL103" i="55"/>
  <c r="BH101" i="55"/>
  <c r="BJ98" i="55"/>
  <c r="BL95" i="55"/>
  <c r="BH93" i="55"/>
  <c r="BJ90" i="55"/>
  <c r="BL87" i="55"/>
  <c r="BH85" i="55"/>
  <c r="BJ82" i="55"/>
  <c r="BL105" i="55"/>
  <c r="BH103" i="55"/>
  <c r="BJ100" i="55"/>
  <c r="BL97" i="55"/>
  <c r="BH95" i="55"/>
  <c r="BJ92" i="55"/>
  <c r="BL89" i="55"/>
  <c r="BH87" i="55"/>
  <c r="BJ84" i="55"/>
  <c r="BK103" i="55"/>
  <c r="BG101" i="55"/>
  <c r="BI98" i="55"/>
  <c r="BK95" i="55"/>
  <c r="BG93" i="55"/>
  <c r="BI90" i="55"/>
  <c r="BK87" i="55"/>
  <c r="BG85" i="55"/>
  <c r="BI82" i="55"/>
  <c r="BL94" i="55"/>
  <c r="BH92" i="55"/>
  <c r="BJ89" i="55"/>
  <c r="BL86" i="55"/>
  <c r="BJ97" i="55"/>
  <c r="BJ105" i="55"/>
  <c r="BH84" i="55"/>
  <c r="BL102" i="55"/>
  <c r="BH100" i="55"/>
  <c r="AH100" i="55"/>
  <c r="AI102" i="55"/>
  <c r="B259" i="55"/>
  <c r="AT23" i="55"/>
  <c r="AT24" i="55" s="1"/>
  <c r="K111" i="55"/>
  <c r="AH102" i="55"/>
  <c r="F254" i="55"/>
  <c r="E121" i="55"/>
  <c r="AT8" i="55"/>
  <c r="H249" i="55"/>
  <c r="AI110" i="55"/>
  <c r="AH110" i="55"/>
  <c r="AM23" i="55"/>
  <c r="AM24" i="55" s="1"/>
  <c r="AN23" i="55"/>
  <c r="AN24" i="55" s="1"/>
  <c r="C7" i="55"/>
  <c r="AI100" i="55"/>
  <c r="C259" i="55"/>
  <c r="U103" i="55"/>
  <c r="U7" i="55" s="1"/>
  <c r="F250" i="55"/>
  <c r="E255" i="55"/>
  <c r="S111" i="55"/>
  <c r="BA23" i="55"/>
  <c r="BA24" i="55" s="1"/>
  <c r="M103" i="55"/>
  <c r="M7" i="55" s="1"/>
  <c r="K103" i="55"/>
  <c r="K7" i="55" s="1"/>
  <c r="AF111" i="54"/>
  <c r="AI111" i="55" l="1"/>
  <c r="AH111" i="55"/>
  <c r="AI103" i="55"/>
  <c r="AH103" i="55"/>
  <c r="B7" i="55"/>
  <c r="A7" i="55" s="1"/>
  <c r="AT9" i="55"/>
  <c r="I249" i="55"/>
  <c r="K6" i="55"/>
  <c r="G254" i="55"/>
  <c r="F121" i="55"/>
  <c r="G250" i="55"/>
  <c r="F255" i="55"/>
  <c r="H250" i="55" l="1"/>
  <c r="G255" i="55"/>
  <c r="J249" i="55"/>
  <c r="H254" i="55"/>
  <c r="G121" i="55"/>
  <c r="I254" i="55" l="1"/>
  <c r="H121" i="55"/>
  <c r="K249" i="55"/>
  <c r="I250" i="55"/>
  <c r="H255" i="55"/>
  <c r="AB61" i="54"/>
  <c r="AB65" i="54"/>
  <c r="AB79" i="54"/>
  <c r="AB83" i="54"/>
  <c r="J250" i="55" l="1"/>
  <c r="I255" i="55"/>
  <c r="L249" i="55"/>
  <c r="J254" i="55"/>
  <c r="I121" i="55"/>
  <c r="U60" i="54"/>
  <c r="T60" i="54"/>
  <c r="P60" i="54"/>
  <c r="P61" i="54"/>
  <c r="P65" i="54"/>
  <c r="N60" i="54"/>
  <c r="O60" i="54"/>
  <c r="K254" i="55" l="1"/>
  <c r="J121" i="55"/>
  <c r="M249" i="55"/>
  <c r="K250" i="55"/>
  <c r="J255" i="55"/>
  <c r="M60" i="54"/>
  <c r="L124" i="54"/>
  <c r="L60" i="54"/>
  <c r="K124" i="54"/>
  <c r="K60" i="54"/>
  <c r="J124" i="54"/>
  <c r="J60" i="54"/>
  <c r="I32" i="54"/>
  <c r="I60" i="54"/>
  <c r="I61" i="54"/>
  <c r="I65" i="54"/>
  <c r="H124" i="54"/>
  <c r="H60" i="54"/>
  <c r="H32" i="54"/>
  <c r="G60" i="54"/>
  <c r="G32" i="54"/>
  <c r="F124" i="54"/>
  <c r="F32" i="54"/>
  <c r="F60" i="54"/>
  <c r="E124" i="54"/>
  <c r="E60" i="54"/>
  <c r="E61" i="54"/>
  <c r="E65" i="54"/>
  <c r="D124" i="54"/>
  <c r="D60" i="54"/>
  <c r="D121" i="54"/>
  <c r="D109" i="54"/>
  <c r="D108" i="54"/>
  <c r="D107" i="54"/>
  <c r="D106" i="54"/>
  <c r="D105" i="54"/>
  <c r="D104" i="54"/>
  <c r="D95" i="54"/>
  <c r="D83" i="54"/>
  <c r="D79" i="54"/>
  <c r="D65" i="54"/>
  <c r="D61" i="54"/>
  <c r="B124" i="54"/>
  <c r="B60" i="54"/>
  <c r="B121" i="54"/>
  <c r="B109" i="54"/>
  <c r="B108" i="54"/>
  <c r="B107" i="54"/>
  <c r="B106" i="54"/>
  <c r="B105" i="54"/>
  <c r="B104" i="54"/>
  <c r="B95" i="54"/>
  <c r="B83" i="54"/>
  <c r="B79" i="54"/>
  <c r="B65" i="54"/>
  <c r="B61" i="54"/>
  <c r="AG255" i="54"/>
  <c r="C255" i="54"/>
  <c r="D254" i="54"/>
  <c r="D253" i="54"/>
  <c r="E253" i="54" s="1"/>
  <c r="F253" i="54" s="1"/>
  <c r="G253" i="54" s="1"/>
  <c r="H253" i="54" s="1"/>
  <c r="I253" i="54" s="1"/>
  <c r="J253" i="54" s="1"/>
  <c r="K253" i="54" s="1"/>
  <c r="L253" i="54" s="1"/>
  <c r="M253" i="54" s="1"/>
  <c r="N253" i="54" s="1"/>
  <c r="O253" i="54" s="1"/>
  <c r="P253" i="54" s="1"/>
  <c r="Q253" i="54" s="1"/>
  <c r="R253" i="54" s="1"/>
  <c r="S253" i="54" s="1"/>
  <c r="T253" i="54" s="1"/>
  <c r="U253" i="54" s="1"/>
  <c r="V253" i="54" s="1"/>
  <c r="W253" i="54" s="1"/>
  <c r="X253" i="54" s="1"/>
  <c r="Y253" i="54" s="1"/>
  <c r="Z253" i="54" s="1"/>
  <c r="AA253" i="54" s="1"/>
  <c r="AB253" i="54" s="1"/>
  <c r="AC253" i="54" s="1"/>
  <c r="AD253" i="54" s="1"/>
  <c r="AE253" i="54" s="1"/>
  <c r="AF253" i="54" s="1"/>
  <c r="B253" i="54" s="1"/>
  <c r="E252" i="54"/>
  <c r="F252" i="54" s="1"/>
  <c r="G252" i="54" s="1"/>
  <c r="H252" i="54" s="1"/>
  <c r="I252" i="54" s="1"/>
  <c r="J252" i="54" s="1"/>
  <c r="K252" i="54" s="1"/>
  <c r="L252" i="54" s="1"/>
  <c r="M252" i="54" s="1"/>
  <c r="N252" i="54" s="1"/>
  <c r="O252" i="54" s="1"/>
  <c r="P252" i="54" s="1"/>
  <c r="Q252" i="54" s="1"/>
  <c r="R252" i="54" s="1"/>
  <c r="S252" i="54" s="1"/>
  <c r="T252" i="54" s="1"/>
  <c r="U252" i="54" s="1"/>
  <c r="V252" i="54" s="1"/>
  <c r="W252" i="54" s="1"/>
  <c r="X252" i="54" s="1"/>
  <c r="Y252" i="54" s="1"/>
  <c r="Z252" i="54" s="1"/>
  <c r="AA252" i="54" s="1"/>
  <c r="AB252" i="54" s="1"/>
  <c r="AC252" i="54" s="1"/>
  <c r="AD252" i="54" s="1"/>
  <c r="AE252" i="54" s="1"/>
  <c r="AF252" i="54" s="1"/>
  <c r="B252" i="54" s="1"/>
  <c r="D252" i="54"/>
  <c r="F251" i="54"/>
  <c r="G251" i="54" s="1"/>
  <c r="H251" i="54" s="1"/>
  <c r="I251" i="54" s="1"/>
  <c r="J251" i="54" s="1"/>
  <c r="K251" i="54" s="1"/>
  <c r="L251" i="54" s="1"/>
  <c r="M251" i="54" s="1"/>
  <c r="N251" i="54" s="1"/>
  <c r="O251" i="54" s="1"/>
  <c r="P251" i="54" s="1"/>
  <c r="Q251" i="54" s="1"/>
  <c r="R251" i="54" s="1"/>
  <c r="S251" i="54" s="1"/>
  <c r="T251" i="54" s="1"/>
  <c r="U251" i="54" s="1"/>
  <c r="V251" i="54" s="1"/>
  <c r="W251" i="54" s="1"/>
  <c r="X251" i="54" s="1"/>
  <c r="Y251" i="54" s="1"/>
  <c r="Z251" i="54" s="1"/>
  <c r="AA251" i="54" s="1"/>
  <c r="AB251" i="54" s="1"/>
  <c r="AC251" i="54" s="1"/>
  <c r="AD251" i="54" s="1"/>
  <c r="AE251" i="54" s="1"/>
  <c r="AF251" i="54" s="1"/>
  <c r="B251" i="54" s="1"/>
  <c r="D251" i="54"/>
  <c r="E251" i="54" s="1"/>
  <c r="T250" i="54"/>
  <c r="U250" i="54" s="1"/>
  <c r="V250" i="54" s="1"/>
  <c r="W250" i="54" s="1"/>
  <c r="X250" i="54" s="1"/>
  <c r="Y250" i="54" s="1"/>
  <c r="Z250" i="54" s="1"/>
  <c r="AA250" i="54" s="1"/>
  <c r="AB250" i="54" s="1"/>
  <c r="AC250" i="54" s="1"/>
  <c r="AD250" i="54" s="1"/>
  <c r="AE250" i="54" s="1"/>
  <c r="AF250" i="54" s="1"/>
  <c r="B250" i="54" s="1"/>
  <c r="L250" i="54"/>
  <c r="M250" i="54" s="1"/>
  <c r="N250" i="54" s="1"/>
  <c r="O250" i="54" s="1"/>
  <c r="P250" i="54" s="1"/>
  <c r="Q250" i="54" s="1"/>
  <c r="R250" i="54" s="1"/>
  <c r="S250" i="54" s="1"/>
  <c r="D250" i="54"/>
  <c r="E250" i="54" s="1"/>
  <c r="F250" i="54" s="1"/>
  <c r="G250" i="54" s="1"/>
  <c r="H250" i="54" s="1"/>
  <c r="I250" i="54" s="1"/>
  <c r="J250" i="54" s="1"/>
  <c r="K250" i="54" s="1"/>
  <c r="D249" i="54"/>
  <c r="AG247" i="54"/>
  <c r="AF247" i="54"/>
  <c r="AE247" i="54"/>
  <c r="AD247" i="54"/>
  <c r="AC247" i="54"/>
  <c r="AB247" i="54"/>
  <c r="AA247" i="54"/>
  <c r="Z247" i="54"/>
  <c r="Y247" i="54"/>
  <c r="Y121" i="54" s="1"/>
  <c r="X247" i="54"/>
  <c r="W247" i="54"/>
  <c r="V247" i="54"/>
  <c r="U247" i="54"/>
  <c r="T247" i="54"/>
  <c r="S247" i="54"/>
  <c r="R247" i="54"/>
  <c r="Q247" i="54"/>
  <c r="P247" i="54"/>
  <c r="O247" i="54"/>
  <c r="N247" i="54"/>
  <c r="M247" i="54"/>
  <c r="L247" i="54"/>
  <c r="K247" i="54"/>
  <c r="J247" i="54"/>
  <c r="I247" i="54"/>
  <c r="H247" i="54"/>
  <c r="G247" i="54"/>
  <c r="F247" i="54"/>
  <c r="E247" i="54"/>
  <c r="D247" i="54"/>
  <c r="C247" i="54"/>
  <c r="B247" i="54"/>
  <c r="Z121" i="54"/>
  <c r="C121" i="54"/>
  <c r="AB109" i="54"/>
  <c r="AA109" i="54"/>
  <c r="Z109" i="54"/>
  <c r="Y109" i="54"/>
  <c r="X109" i="54"/>
  <c r="W109" i="54"/>
  <c r="V109" i="54"/>
  <c r="U109" i="54"/>
  <c r="T109" i="54"/>
  <c r="S109" i="54"/>
  <c r="R109" i="54"/>
  <c r="Q109" i="54"/>
  <c r="P109" i="54"/>
  <c r="O109" i="54"/>
  <c r="N109" i="54"/>
  <c r="M109" i="54"/>
  <c r="L109" i="54"/>
  <c r="K109" i="54"/>
  <c r="J109" i="54"/>
  <c r="I109" i="54"/>
  <c r="H109" i="54"/>
  <c r="G109" i="54"/>
  <c r="F109" i="54"/>
  <c r="E109" i="54"/>
  <c r="C109" i="54"/>
  <c r="AB108" i="54"/>
  <c r="AA108" i="54"/>
  <c r="Z108" i="54"/>
  <c r="Y108" i="54"/>
  <c r="X108" i="54"/>
  <c r="W108" i="54"/>
  <c r="V108" i="54"/>
  <c r="U108" i="54"/>
  <c r="T108" i="54"/>
  <c r="S108" i="54"/>
  <c r="R108" i="54"/>
  <c r="Q108" i="54"/>
  <c r="P108" i="54"/>
  <c r="O108" i="54"/>
  <c r="N108" i="54"/>
  <c r="M108" i="54"/>
  <c r="L108" i="54"/>
  <c r="K108" i="54"/>
  <c r="J108" i="54"/>
  <c r="I108" i="54"/>
  <c r="H108" i="54"/>
  <c r="G108" i="54"/>
  <c r="F108" i="54"/>
  <c r="E108" i="54"/>
  <c r="C108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C107" i="54"/>
  <c r="AB106" i="54"/>
  <c r="AA106" i="54"/>
  <c r="Z106" i="54"/>
  <c r="Y106" i="54"/>
  <c r="X106" i="54"/>
  <c r="W106" i="54"/>
  <c r="V106" i="54"/>
  <c r="U106" i="54"/>
  <c r="T106" i="54"/>
  <c r="S106" i="54"/>
  <c r="R106" i="54"/>
  <c r="Q106" i="54"/>
  <c r="P106" i="54"/>
  <c r="O106" i="54"/>
  <c r="N106" i="54"/>
  <c r="M106" i="54"/>
  <c r="L106" i="54"/>
  <c r="K106" i="54"/>
  <c r="J106" i="54"/>
  <c r="I106" i="54"/>
  <c r="I110" i="54" s="1"/>
  <c r="AS23" i="54" s="1"/>
  <c r="H106" i="54"/>
  <c r="G106" i="54"/>
  <c r="F106" i="54"/>
  <c r="E106" i="54"/>
  <c r="C106" i="54"/>
  <c r="AB105" i="54"/>
  <c r="AA105" i="54"/>
  <c r="Z105" i="54"/>
  <c r="Y105" i="54"/>
  <c r="X105" i="54"/>
  <c r="W105" i="54"/>
  <c r="V105" i="54"/>
  <c r="U105" i="54"/>
  <c r="T105" i="54"/>
  <c r="S105" i="54"/>
  <c r="R105" i="54"/>
  <c r="Q105" i="54"/>
  <c r="P105" i="54"/>
  <c r="O105" i="54"/>
  <c r="N105" i="54"/>
  <c r="M105" i="54"/>
  <c r="L105" i="54"/>
  <c r="K105" i="54"/>
  <c r="J105" i="54"/>
  <c r="I105" i="54"/>
  <c r="H105" i="54"/>
  <c r="G105" i="54"/>
  <c r="F105" i="54"/>
  <c r="E105" i="54"/>
  <c r="C105" i="54"/>
  <c r="AB104" i="54"/>
  <c r="AB110" i="54" s="1"/>
  <c r="BG23" i="54" s="1"/>
  <c r="AA104" i="54"/>
  <c r="Z104" i="54"/>
  <c r="Z110" i="54" s="1"/>
  <c r="BF23" i="54" s="1"/>
  <c r="Y104" i="54"/>
  <c r="X104" i="54"/>
  <c r="W104" i="54"/>
  <c r="V104" i="54"/>
  <c r="U104" i="54"/>
  <c r="U110" i="54" s="1"/>
  <c r="BC23" i="54" s="1"/>
  <c r="T104" i="54"/>
  <c r="S104" i="54"/>
  <c r="R104" i="54"/>
  <c r="R110" i="54" s="1"/>
  <c r="AZ23" i="54" s="1"/>
  <c r="Q104" i="54"/>
  <c r="P104" i="54"/>
  <c r="O104" i="54"/>
  <c r="N104" i="54"/>
  <c r="M104" i="54"/>
  <c r="L104" i="54"/>
  <c r="K104" i="54"/>
  <c r="J104" i="54"/>
  <c r="I104" i="54"/>
  <c r="H104" i="54"/>
  <c r="G104" i="54"/>
  <c r="G110" i="54" s="1"/>
  <c r="AR23" i="54" s="1"/>
  <c r="F104" i="54"/>
  <c r="E104" i="54"/>
  <c r="E110" i="54" s="1"/>
  <c r="AP23" i="54" s="1"/>
  <c r="C104" i="54"/>
  <c r="AG99" i="54"/>
  <c r="AG95" i="54"/>
  <c r="AB95" i="54"/>
  <c r="AB111" i="54" s="1"/>
  <c r="AA95" i="54"/>
  <c r="Z95" i="54"/>
  <c r="Z111" i="54" s="1"/>
  <c r="Y95" i="54"/>
  <c r="X95" i="54"/>
  <c r="BE19" i="54" s="1"/>
  <c r="W95" i="54"/>
  <c r="V95" i="54"/>
  <c r="BD19" i="54" s="1"/>
  <c r="U95" i="54"/>
  <c r="T95" i="54"/>
  <c r="S95" i="54"/>
  <c r="R5" i="54" s="1"/>
  <c r="R95" i="54"/>
  <c r="R111" i="54" s="1"/>
  <c r="Q95" i="54"/>
  <c r="P95" i="54"/>
  <c r="O95" i="54"/>
  <c r="N95" i="54"/>
  <c r="AV19" i="54" s="1"/>
  <c r="M95" i="54"/>
  <c r="AU19" i="54" s="1"/>
  <c r="L95" i="54"/>
  <c r="K95" i="54"/>
  <c r="J95" i="54"/>
  <c r="I5" i="54" s="1"/>
  <c r="I95" i="54"/>
  <c r="H95" i="54"/>
  <c r="G5" i="54" s="1"/>
  <c r="G95" i="54"/>
  <c r="F5" i="54" s="1"/>
  <c r="F95" i="54"/>
  <c r="E5" i="54" s="1"/>
  <c r="E95" i="54"/>
  <c r="C95" i="54"/>
  <c r="AG83" i="54"/>
  <c r="AA83" i="54"/>
  <c r="Z83" i="54"/>
  <c r="Y83" i="54"/>
  <c r="X83" i="54"/>
  <c r="W83" i="54"/>
  <c r="V83" i="54"/>
  <c r="U83" i="54"/>
  <c r="T83" i="54"/>
  <c r="S83" i="54"/>
  <c r="R83" i="54"/>
  <c r="Q83" i="54"/>
  <c r="P83" i="54"/>
  <c r="O83" i="54"/>
  <c r="N83" i="54"/>
  <c r="M83" i="54"/>
  <c r="L83" i="54"/>
  <c r="K83" i="54"/>
  <c r="J83" i="54"/>
  <c r="I83" i="54"/>
  <c r="H83" i="54"/>
  <c r="G83" i="54"/>
  <c r="F83" i="54"/>
  <c r="E83" i="54"/>
  <c r="C83" i="54"/>
  <c r="AA79" i="54"/>
  <c r="Z79" i="54"/>
  <c r="Y79" i="54"/>
  <c r="X79" i="54"/>
  <c r="BE18" i="54" s="1"/>
  <c r="W79" i="54"/>
  <c r="V79" i="54"/>
  <c r="BD18" i="54" s="1"/>
  <c r="U79" i="54"/>
  <c r="T79" i="54"/>
  <c r="S79" i="54"/>
  <c r="R79" i="54"/>
  <c r="AZ18" i="54" s="1"/>
  <c r="Q79" i="54"/>
  <c r="AY18" i="54" s="1"/>
  <c r="P79" i="54"/>
  <c r="O79" i="54"/>
  <c r="N79" i="54"/>
  <c r="M79" i="54"/>
  <c r="AU18" i="54" s="1"/>
  <c r="L79" i="54"/>
  <c r="K79" i="54"/>
  <c r="AT18" i="54" s="1"/>
  <c r="J79" i="54"/>
  <c r="I79" i="54"/>
  <c r="H79" i="54"/>
  <c r="G79" i="54"/>
  <c r="F79" i="54"/>
  <c r="E79" i="54"/>
  <c r="C79" i="54"/>
  <c r="BP78" i="54"/>
  <c r="BH78" i="54"/>
  <c r="AG78" i="54"/>
  <c r="AG79" i="54" s="1"/>
  <c r="BK74" i="54"/>
  <c r="BF74" i="54"/>
  <c r="BD74" i="54"/>
  <c r="BM73" i="54"/>
  <c r="BW71" i="54"/>
  <c r="BW78" i="54" s="1"/>
  <c r="BV71" i="54"/>
  <c r="BV78" i="54" s="1"/>
  <c r="BU71" i="54"/>
  <c r="BU78" i="54" s="1"/>
  <c r="BT71" i="54"/>
  <c r="BT78" i="54" s="1"/>
  <c r="BS71" i="54"/>
  <c r="BS78" i="54" s="1"/>
  <c r="BR71" i="54"/>
  <c r="BR78" i="54" s="1"/>
  <c r="BQ71" i="54"/>
  <c r="BQ78" i="54" s="1"/>
  <c r="BP71" i="54"/>
  <c r="BO71" i="54"/>
  <c r="BO78" i="54" s="1"/>
  <c r="BN71" i="54"/>
  <c r="BN78" i="54" s="1"/>
  <c r="BM71" i="54"/>
  <c r="BM78" i="54" s="1"/>
  <c r="BL71" i="54"/>
  <c r="BL78" i="54" s="1"/>
  <c r="BK71" i="54"/>
  <c r="BK78" i="54" s="1"/>
  <c r="BJ71" i="54"/>
  <c r="BJ78" i="54" s="1"/>
  <c r="BI71" i="54"/>
  <c r="BI78" i="54" s="1"/>
  <c r="BH71" i="54"/>
  <c r="BG71" i="54"/>
  <c r="BG78" i="54" s="1"/>
  <c r="BF71" i="54"/>
  <c r="BF78" i="54" s="1"/>
  <c r="BE71" i="54"/>
  <c r="BE78" i="54" s="1"/>
  <c r="BD71" i="54"/>
  <c r="BD78" i="54" s="1"/>
  <c r="BC71" i="54"/>
  <c r="BC78" i="54" s="1"/>
  <c r="BB71" i="54"/>
  <c r="BB78" i="54" s="1"/>
  <c r="BA71" i="54"/>
  <c r="BA78" i="54" s="1"/>
  <c r="AZ71" i="54"/>
  <c r="AZ78" i="54" s="1"/>
  <c r="BW70" i="54"/>
  <c r="BW77" i="54" s="1"/>
  <c r="BV70" i="54"/>
  <c r="BV77" i="54" s="1"/>
  <c r="BU70" i="54"/>
  <c r="BU77" i="54" s="1"/>
  <c r="BT70" i="54"/>
  <c r="BT77" i="54" s="1"/>
  <c r="BS70" i="54"/>
  <c r="BS77" i="54" s="1"/>
  <c r="BR70" i="54"/>
  <c r="BR77" i="54" s="1"/>
  <c r="BQ70" i="54"/>
  <c r="BQ77" i="54" s="1"/>
  <c r="BP70" i="54"/>
  <c r="BP77" i="54" s="1"/>
  <c r="BO70" i="54"/>
  <c r="BO77" i="54" s="1"/>
  <c r="BN70" i="54"/>
  <c r="BN77" i="54" s="1"/>
  <c r="BM70" i="54"/>
  <c r="BM77" i="54" s="1"/>
  <c r="BL70" i="54"/>
  <c r="BL77" i="54" s="1"/>
  <c r="BK70" i="54"/>
  <c r="BK77" i="54" s="1"/>
  <c r="BJ70" i="54"/>
  <c r="BJ77" i="54" s="1"/>
  <c r="BI70" i="54"/>
  <c r="BI77" i="54" s="1"/>
  <c r="BH70" i="54"/>
  <c r="BH77" i="54" s="1"/>
  <c r="BG70" i="54"/>
  <c r="BG77" i="54" s="1"/>
  <c r="BF70" i="54"/>
  <c r="BF77" i="54" s="1"/>
  <c r="BE70" i="54"/>
  <c r="BE77" i="54" s="1"/>
  <c r="BD70" i="54"/>
  <c r="BD77" i="54" s="1"/>
  <c r="BC70" i="54"/>
  <c r="BC77" i="54" s="1"/>
  <c r="BB70" i="54"/>
  <c r="BB77" i="54" s="1"/>
  <c r="BA70" i="54"/>
  <c r="BA77" i="54" s="1"/>
  <c r="AZ70" i="54"/>
  <c r="AZ77" i="54" s="1"/>
  <c r="BW69" i="54"/>
  <c r="BW76" i="54" s="1"/>
  <c r="BV69" i="54"/>
  <c r="BV76" i="54" s="1"/>
  <c r="BU69" i="54"/>
  <c r="BU76" i="54" s="1"/>
  <c r="BT69" i="54"/>
  <c r="BT76" i="54" s="1"/>
  <c r="BS69" i="54"/>
  <c r="BS76" i="54" s="1"/>
  <c r="BR69" i="54"/>
  <c r="BR76" i="54" s="1"/>
  <c r="BQ69" i="54"/>
  <c r="BQ76" i="54" s="1"/>
  <c r="BP69" i="54"/>
  <c r="BP76" i="54" s="1"/>
  <c r="BO69" i="54"/>
  <c r="BO76" i="54" s="1"/>
  <c r="BN69" i="54"/>
  <c r="BN76" i="54" s="1"/>
  <c r="BM69" i="54"/>
  <c r="BM76" i="54" s="1"/>
  <c r="BL69" i="54"/>
  <c r="BL76" i="54" s="1"/>
  <c r="BK69" i="54"/>
  <c r="BK76" i="54" s="1"/>
  <c r="BJ69" i="54"/>
  <c r="BJ76" i="54" s="1"/>
  <c r="BI69" i="54"/>
  <c r="BI76" i="54" s="1"/>
  <c r="BH69" i="54"/>
  <c r="BH76" i="54" s="1"/>
  <c r="BG69" i="54"/>
  <c r="BG76" i="54" s="1"/>
  <c r="BF69" i="54"/>
  <c r="BF76" i="54" s="1"/>
  <c r="BE69" i="54"/>
  <c r="BE76" i="54" s="1"/>
  <c r="BD69" i="54"/>
  <c r="BD76" i="54" s="1"/>
  <c r="BC69" i="54"/>
  <c r="BC76" i="54" s="1"/>
  <c r="BB69" i="54"/>
  <c r="BB76" i="54" s="1"/>
  <c r="BA69" i="54"/>
  <c r="BA76" i="54" s="1"/>
  <c r="AZ69" i="54"/>
  <c r="AZ76" i="54" s="1"/>
  <c r="BW68" i="54"/>
  <c r="BW75" i="54" s="1"/>
  <c r="BV68" i="54"/>
  <c r="BV75" i="54" s="1"/>
  <c r="BU68" i="54"/>
  <c r="BU75" i="54" s="1"/>
  <c r="BT68" i="54"/>
  <c r="BT75" i="54" s="1"/>
  <c r="BS68" i="54"/>
  <c r="BS75" i="54" s="1"/>
  <c r="BR68" i="54"/>
  <c r="BR75" i="54" s="1"/>
  <c r="BQ68" i="54"/>
  <c r="BQ75" i="54" s="1"/>
  <c r="BP68" i="54"/>
  <c r="BP75" i="54" s="1"/>
  <c r="BO68" i="54"/>
  <c r="BO75" i="54" s="1"/>
  <c r="BN68" i="54"/>
  <c r="BN75" i="54" s="1"/>
  <c r="BM68" i="54"/>
  <c r="BM75" i="54" s="1"/>
  <c r="BL68" i="54"/>
  <c r="BL75" i="54" s="1"/>
  <c r="BK68" i="54"/>
  <c r="BK75" i="54" s="1"/>
  <c r="BJ68" i="54"/>
  <c r="BJ75" i="54" s="1"/>
  <c r="BI68" i="54"/>
  <c r="BI75" i="54" s="1"/>
  <c r="BH68" i="54"/>
  <c r="BH75" i="54" s="1"/>
  <c r="BG68" i="54"/>
  <c r="BG75" i="54" s="1"/>
  <c r="BF68" i="54"/>
  <c r="BF75" i="54" s="1"/>
  <c r="BE68" i="54"/>
  <c r="BE75" i="54" s="1"/>
  <c r="BD68" i="54"/>
  <c r="BD75" i="54" s="1"/>
  <c r="BC68" i="54"/>
  <c r="BC75" i="54" s="1"/>
  <c r="BB68" i="54"/>
  <c r="BB75" i="54" s="1"/>
  <c r="BA68" i="54"/>
  <c r="BA75" i="54" s="1"/>
  <c r="AZ68" i="54"/>
  <c r="BW67" i="54"/>
  <c r="BW74" i="54" s="1"/>
  <c r="BV67" i="54"/>
  <c r="BV74" i="54" s="1"/>
  <c r="BU67" i="54"/>
  <c r="BU74" i="54" s="1"/>
  <c r="BT67" i="54"/>
  <c r="BT74" i="54" s="1"/>
  <c r="BS67" i="54"/>
  <c r="BS74" i="54" s="1"/>
  <c r="BR67" i="54"/>
  <c r="BR74" i="54" s="1"/>
  <c r="BQ67" i="54"/>
  <c r="BQ74" i="54" s="1"/>
  <c r="BP67" i="54"/>
  <c r="BP74" i="54" s="1"/>
  <c r="BO67" i="54"/>
  <c r="BO74" i="54" s="1"/>
  <c r="BN67" i="54"/>
  <c r="BN74" i="54" s="1"/>
  <c r="BM67" i="54"/>
  <c r="BM74" i="54" s="1"/>
  <c r="BL67" i="54"/>
  <c r="BL74" i="54" s="1"/>
  <c r="BK67" i="54"/>
  <c r="BJ67" i="54"/>
  <c r="BJ74" i="54" s="1"/>
  <c r="BI67" i="54"/>
  <c r="BI74" i="54" s="1"/>
  <c r="BH67" i="54"/>
  <c r="BH74" i="54" s="1"/>
  <c r="BG67" i="54"/>
  <c r="BG74" i="54" s="1"/>
  <c r="BF67" i="54"/>
  <c r="BE67" i="54"/>
  <c r="BE74" i="54" s="1"/>
  <c r="BD67" i="54"/>
  <c r="BC67" i="54"/>
  <c r="BC74" i="54" s="1"/>
  <c r="BB67" i="54"/>
  <c r="BB74" i="54" s="1"/>
  <c r="BA67" i="54"/>
  <c r="BA74" i="54" s="1"/>
  <c r="AZ67" i="54"/>
  <c r="AZ74" i="54" s="1"/>
  <c r="BW66" i="54"/>
  <c r="BW73" i="54" s="1"/>
  <c r="BV66" i="54"/>
  <c r="BV73" i="54" s="1"/>
  <c r="BU66" i="54"/>
  <c r="BU73" i="54" s="1"/>
  <c r="BT66" i="54"/>
  <c r="BT73" i="54" s="1"/>
  <c r="BS66" i="54"/>
  <c r="BS73" i="54" s="1"/>
  <c r="BR66" i="54"/>
  <c r="BR73" i="54" s="1"/>
  <c r="BQ66" i="54"/>
  <c r="BQ73" i="54" s="1"/>
  <c r="BP66" i="54"/>
  <c r="BP73" i="54" s="1"/>
  <c r="BO66" i="54"/>
  <c r="BO73" i="54" s="1"/>
  <c r="BN66" i="54"/>
  <c r="BN73" i="54" s="1"/>
  <c r="BM66" i="54"/>
  <c r="BL66" i="54"/>
  <c r="BL73" i="54" s="1"/>
  <c r="BK66" i="54"/>
  <c r="BK73" i="54" s="1"/>
  <c r="BJ66" i="54"/>
  <c r="BJ73" i="54" s="1"/>
  <c r="BI66" i="54"/>
  <c r="BI73" i="54" s="1"/>
  <c r="BH66" i="54"/>
  <c r="BH73" i="54" s="1"/>
  <c r="BG66" i="54"/>
  <c r="BG73" i="54" s="1"/>
  <c r="BF66" i="54"/>
  <c r="BF73" i="54" s="1"/>
  <c r="BE66" i="54"/>
  <c r="BE73" i="54" s="1"/>
  <c r="BD66" i="54"/>
  <c r="BD73" i="54" s="1"/>
  <c r="BC66" i="54"/>
  <c r="BC73" i="54" s="1"/>
  <c r="BB66" i="54"/>
  <c r="BB73" i="54" s="1"/>
  <c r="BA66" i="54"/>
  <c r="BA73" i="54" s="1"/>
  <c r="AZ66" i="54"/>
  <c r="AZ73" i="54" s="1"/>
  <c r="AG65" i="54"/>
  <c r="AA65" i="54"/>
  <c r="Z65" i="54"/>
  <c r="BF17" i="54" s="1"/>
  <c r="Y65" i="54"/>
  <c r="X65" i="54"/>
  <c r="BE17" i="54" s="1"/>
  <c r="W65" i="54"/>
  <c r="V65" i="54"/>
  <c r="U65" i="54"/>
  <c r="T65" i="54"/>
  <c r="BB17" i="54" s="1"/>
  <c r="S65" i="54"/>
  <c r="R65" i="54"/>
  <c r="AZ17" i="54" s="1"/>
  <c r="Q65" i="54"/>
  <c r="AY17" i="54" s="1"/>
  <c r="O65" i="54"/>
  <c r="N65" i="54"/>
  <c r="M65" i="54"/>
  <c r="L65" i="54"/>
  <c r="K65" i="54"/>
  <c r="J65" i="54"/>
  <c r="H65" i="54"/>
  <c r="G65" i="54"/>
  <c r="F65" i="54"/>
  <c r="C65" i="54"/>
  <c r="AG61" i="54"/>
  <c r="AG100" i="54" s="1"/>
  <c r="AF7" i="54"/>
  <c r="AA61" i="54"/>
  <c r="AA100" i="54" s="1"/>
  <c r="AA102" i="54" s="1"/>
  <c r="Z61" i="54"/>
  <c r="Z100" i="54" s="1"/>
  <c r="Z102" i="54" s="1"/>
  <c r="Z103" i="54" s="1"/>
  <c r="Z7" i="54" s="1"/>
  <c r="Y61" i="54"/>
  <c r="X61" i="54"/>
  <c r="W61" i="54"/>
  <c r="V61" i="54"/>
  <c r="U61" i="54"/>
  <c r="BC16" i="54" s="1"/>
  <c r="T61" i="54"/>
  <c r="T100" i="54" s="1"/>
  <c r="T102" i="54" s="1"/>
  <c r="S61" i="54"/>
  <c r="R61" i="54"/>
  <c r="Q61" i="54"/>
  <c r="O61" i="54"/>
  <c r="N61" i="54"/>
  <c r="N100" i="54" s="1"/>
  <c r="N102" i="54" s="1"/>
  <c r="M61" i="54"/>
  <c r="L61" i="54"/>
  <c r="K61" i="54"/>
  <c r="AT16" i="54" s="1"/>
  <c r="J61" i="54"/>
  <c r="H61" i="54"/>
  <c r="G61" i="54"/>
  <c r="F61" i="54"/>
  <c r="C61" i="54"/>
  <c r="C100" i="54" s="1"/>
  <c r="C102" i="54" s="1"/>
  <c r="BJ23" i="54"/>
  <c r="BI23" i="54"/>
  <c r="BJ21" i="54"/>
  <c r="BI21" i="54"/>
  <c r="BH21" i="54"/>
  <c r="BG21" i="54"/>
  <c r="BF21" i="54"/>
  <c r="BE21" i="54"/>
  <c r="BD21" i="54"/>
  <c r="BC21" i="54"/>
  <c r="BB21" i="54"/>
  <c r="BA21" i="54"/>
  <c r="AZ21" i="54"/>
  <c r="AY21" i="54"/>
  <c r="AX21" i="54"/>
  <c r="AW21" i="54"/>
  <c r="AV21" i="54"/>
  <c r="AU21" i="54"/>
  <c r="AT21" i="54"/>
  <c r="AS21" i="54"/>
  <c r="AR21" i="54"/>
  <c r="AQ21" i="54"/>
  <c r="AP21" i="54"/>
  <c r="AO21" i="54"/>
  <c r="AN21" i="54"/>
  <c r="AM21" i="54"/>
  <c r="BJ20" i="54"/>
  <c r="BI20" i="54"/>
  <c r="BH20" i="54"/>
  <c r="BG20" i="54"/>
  <c r="BF20" i="54"/>
  <c r="BE20" i="54"/>
  <c r="BD20" i="54"/>
  <c r="BC20" i="54"/>
  <c r="BB20" i="54"/>
  <c r="BA20" i="54"/>
  <c r="AZ20" i="54"/>
  <c r="AY20" i="54"/>
  <c r="AX20" i="54"/>
  <c r="AW20" i="54"/>
  <c r="AV20" i="54"/>
  <c r="AU20" i="54"/>
  <c r="AT20" i="54"/>
  <c r="AS20" i="54"/>
  <c r="AR20" i="54"/>
  <c r="AQ20" i="54"/>
  <c r="AP20" i="54"/>
  <c r="AO20" i="54"/>
  <c r="AN20" i="54"/>
  <c r="AM20" i="54"/>
  <c r="BJ19" i="54"/>
  <c r="BI19" i="54"/>
  <c r="BH19" i="54"/>
  <c r="BF19" i="54"/>
  <c r="BC19" i="54"/>
  <c r="AT19" i="54"/>
  <c r="AO19" i="54"/>
  <c r="AN19" i="54"/>
  <c r="AM19" i="54"/>
  <c r="BJ18" i="54"/>
  <c r="BI18" i="54"/>
  <c r="BH18" i="54"/>
  <c r="BG18" i="54"/>
  <c r="BF18" i="54"/>
  <c r="BC18" i="54"/>
  <c r="BB18" i="54"/>
  <c r="BA18" i="54"/>
  <c r="AX18" i="54"/>
  <c r="AW18" i="54"/>
  <c r="AV18" i="54"/>
  <c r="AS18" i="54"/>
  <c r="AR18" i="54"/>
  <c r="AQ18" i="54"/>
  <c r="AP18" i="54"/>
  <c r="AN18" i="54"/>
  <c r="AM18" i="54"/>
  <c r="BJ17" i="54"/>
  <c r="BI17" i="54"/>
  <c r="BH17" i="54"/>
  <c r="BG17" i="54"/>
  <c r="BD17" i="54"/>
  <c r="BC17" i="54"/>
  <c r="BA17" i="54"/>
  <c r="AX17" i="54"/>
  <c r="AW17" i="54"/>
  <c r="AV17" i="54"/>
  <c r="AU17" i="54"/>
  <c r="AT17" i="54"/>
  <c r="AS17" i="54"/>
  <c r="AR17" i="54"/>
  <c r="AQ17" i="54"/>
  <c r="AP17" i="54"/>
  <c r="AO17" i="54"/>
  <c r="AN17" i="54"/>
  <c r="BJ16" i="54"/>
  <c r="BI16" i="54"/>
  <c r="BH16" i="54"/>
  <c r="BG16" i="54"/>
  <c r="BE16" i="54"/>
  <c r="AW16" i="54"/>
  <c r="AL12" i="54"/>
  <c r="AI11" i="54"/>
  <c r="AH11" i="54"/>
  <c r="AE7" i="54"/>
  <c r="AC7" i="54"/>
  <c r="AF5" i="54"/>
  <c r="AE5" i="54"/>
  <c r="AD5" i="54"/>
  <c r="AC5" i="54"/>
  <c r="AB5" i="54"/>
  <c r="Z5" i="54"/>
  <c r="T5" i="54"/>
  <c r="S5" i="54"/>
  <c r="Q5" i="54"/>
  <c r="N5" i="54"/>
  <c r="M5" i="54"/>
  <c r="J5" i="54"/>
  <c r="C5" i="54"/>
  <c r="B5" i="54"/>
  <c r="AG4" i="54"/>
  <c r="K4" i="54"/>
  <c r="E4" i="54"/>
  <c r="H4" i="54" s="1"/>
  <c r="B4" i="54"/>
  <c r="D261" i="54" s="1"/>
  <c r="AG3" i="54"/>
  <c r="AG2" i="54"/>
  <c r="AG6" i="54" s="1"/>
  <c r="AF124" i="52"/>
  <c r="AF60" i="52"/>
  <c r="AF61" i="52"/>
  <c r="AF65" i="52"/>
  <c r="AF79" i="52"/>
  <c r="AF83" i="52"/>
  <c r="AF95" i="52"/>
  <c r="AF104" i="52"/>
  <c r="AF110" i="52" s="1"/>
  <c r="AF105" i="52"/>
  <c r="AF106" i="52"/>
  <c r="AF107" i="52"/>
  <c r="AF108" i="52"/>
  <c r="AF109" i="52"/>
  <c r="AE124" i="52"/>
  <c r="AE60" i="52"/>
  <c r="AE61" i="52"/>
  <c r="AE65" i="52"/>
  <c r="AE79" i="52"/>
  <c r="AE83" i="52"/>
  <c r="AE95" i="52"/>
  <c r="AE111" i="52" s="1"/>
  <c r="AE104" i="52"/>
  <c r="AE110" i="52" s="1"/>
  <c r="AE105" i="52"/>
  <c r="AE106" i="52"/>
  <c r="AE107" i="52"/>
  <c r="AE108" i="52"/>
  <c r="AE109" i="52"/>
  <c r="AD124" i="52"/>
  <c r="AD60" i="52"/>
  <c r="AC124" i="52"/>
  <c r="AC83" i="52"/>
  <c r="AC60" i="52"/>
  <c r="AB124" i="52"/>
  <c r="AB61" i="52"/>
  <c r="AB65" i="52"/>
  <c r="AA61" i="52"/>
  <c r="AA65" i="52"/>
  <c r="AA79" i="52"/>
  <c r="AA83" i="52"/>
  <c r="AA95" i="52"/>
  <c r="AA111" i="52" s="1"/>
  <c r="AA104" i="52"/>
  <c r="AA110" i="52" s="1"/>
  <c r="AA105" i="52"/>
  <c r="AA106" i="52"/>
  <c r="AA107" i="52"/>
  <c r="AA108" i="52"/>
  <c r="AA109" i="52"/>
  <c r="AA121" i="52"/>
  <c r="Z61" i="52"/>
  <c r="Z65" i="52"/>
  <c r="Z79" i="52"/>
  <c r="Z83" i="52"/>
  <c r="Z95" i="52"/>
  <c r="Z104" i="52"/>
  <c r="Z105" i="52"/>
  <c r="Z106" i="52"/>
  <c r="Z107" i="52"/>
  <c r="Z108" i="52"/>
  <c r="Z109" i="52"/>
  <c r="Z121" i="52"/>
  <c r="L250" i="55" l="1"/>
  <c r="K255" i="55"/>
  <c r="N249" i="55"/>
  <c r="L254" i="55"/>
  <c r="K121" i="55"/>
  <c r="BJ22" i="54"/>
  <c r="BJ24" i="54" s="1"/>
  <c r="BI22" i="54"/>
  <c r="BI24" i="54" s="1"/>
  <c r="BH22" i="54"/>
  <c r="AB100" i="54"/>
  <c r="AB102" i="54" s="1"/>
  <c r="AB103" i="54" s="1"/>
  <c r="AB7" i="54" s="1"/>
  <c r="AA5" i="54"/>
  <c r="BG19" i="54"/>
  <c r="BG22" i="54" s="1"/>
  <c r="BG24" i="54" s="1"/>
  <c r="Y5" i="54"/>
  <c r="Y110" i="54"/>
  <c r="Y111" i="54"/>
  <c r="Y100" i="54"/>
  <c r="Y102" i="54" s="1"/>
  <c r="Y103" i="54" s="1"/>
  <c r="Y7" i="54" s="1"/>
  <c r="X5" i="54"/>
  <c r="X110" i="54"/>
  <c r="BE23" i="54" s="1"/>
  <c r="W5" i="54"/>
  <c r="X100" i="54"/>
  <c r="X102" i="54" s="1"/>
  <c r="X103" i="54" s="1"/>
  <c r="X7" i="54" s="1"/>
  <c r="BE22" i="54"/>
  <c r="BE24" i="54" s="1"/>
  <c r="W110" i="54"/>
  <c r="W111" i="54"/>
  <c r="V5" i="54"/>
  <c r="W100" i="54"/>
  <c r="W102" i="54" s="1"/>
  <c r="W103" i="54" s="1"/>
  <c r="W7" i="54" s="1"/>
  <c r="U5" i="54"/>
  <c r="V100" i="54"/>
  <c r="V102" i="54" s="1"/>
  <c r="BD16" i="54"/>
  <c r="BD22" i="54" s="1"/>
  <c r="BC22" i="54"/>
  <c r="BC24" i="54"/>
  <c r="U100" i="54"/>
  <c r="U102" i="54" s="1"/>
  <c r="U103" i="54" s="1"/>
  <c r="U7" i="54" s="1"/>
  <c r="U111" i="54"/>
  <c r="T111" i="54"/>
  <c r="T110" i="54"/>
  <c r="BB23" i="54" s="1"/>
  <c r="BB19" i="54"/>
  <c r="BB16" i="54"/>
  <c r="BB22" i="54" s="1"/>
  <c r="BB24" i="54" s="1"/>
  <c r="BA19" i="54"/>
  <c r="S100" i="54"/>
  <c r="S102" i="54" s="1"/>
  <c r="BA16" i="54"/>
  <c r="BA22" i="54" s="1"/>
  <c r="BA24" i="54" s="1"/>
  <c r="AZ19" i="54"/>
  <c r="R100" i="54"/>
  <c r="R102" i="54" s="1"/>
  <c r="R103" i="54" s="1"/>
  <c r="R7" i="54" s="1"/>
  <c r="P100" i="54"/>
  <c r="P102" i="54" s="1"/>
  <c r="Q110" i="54"/>
  <c r="AY23" i="54" s="1"/>
  <c r="Q111" i="54"/>
  <c r="P5" i="54"/>
  <c r="Q100" i="54"/>
  <c r="Q102" i="54" s="1"/>
  <c r="Q103" i="54" s="1"/>
  <c r="Q7" i="54" s="1"/>
  <c r="AY19" i="54"/>
  <c r="P110" i="54"/>
  <c r="AX23" i="54" s="1"/>
  <c r="AX19" i="54"/>
  <c r="P111" i="54"/>
  <c r="O5" i="54"/>
  <c r="AX16" i="54"/>
  <c r="AX22" i="54" s="1"/>
  <c r="AX24" i="54" s="1"/>
  <c r="O110" i="54"/>
  <c r="AW23" i="54" s="1"/>
  <c r="O100" i="54"/>
  <c r="O102" i="54" s="1"/>
  <c r="O103" i="54" s="1"/>
  <c r="O7" i="54" s="1"/>
  <c r="AW19" i="54"/>
  <c r="AW22" i="54" s="1"/>
  <c r="AW24" i="54" s="1"/>
  <c r="AV16" i="54"/>
  <c r="AV22" i="54" s="1"/>
  <c r="M110" i="54"/>
  <c r="AU23" i="54" s="1"/>
  <c r="L5" i="54"/>
  <c r="M100" i="54"/>
  <c r="M102" i="54" s="1"/>
  <c r="M103" i="54" s="1"/>
  <c r="M7" i="54" s="1"/>
  <c r="AU16" i="54"/>
  <c r="AU22" i="54" s="1"/>
  <c r="AU24" i="54" s="1"/>
  <c r="L111" i="54"/>
  <c r="L110" i="54"/>
  <c r="K5" i="54"/>
  <c r="L100" i="54"/>
  <c r="L102" i="54" s="1"/>
  <c r="L103" i="54" s="1"/>
  <c r="L7" i="54" s="1"/>
  <c r="AT22" i="54"/>
  <c r="K100" i="54"/>
  <c r="K102" i="54" s="1"/>
  <c r="J100" i="54"/>
  <c r="J102" i="54" s="1"/>
  <c r="J110" i="54"/>
  <c r="J111" i="54" s="1"/>
  <c r="I111" i="54"/>
  <c r="I100" i="54"/>
  <c r="I102" i="54" s="1"/>
  <c r="I103" i="54" s="1"/>
  <c r="I7" i="54" s="1"/>
  <c r="AS19" i="54"/>
  <c r="H5" i="54"/>
  <c r="H110" i="54"/>
  <c r="H100" i="54"/>
  <c r="H102" i="54" s="1"/>
  <c r="H103" i="54" s="1"/>
  <c r="H7" i="54" s="1"/>
  <c r="H111" i="54"/>
  <c r="AR19" i="54"/>
  <c r="G100" i="54"/>
  <c r="G102" i="54" s="1"/>
  <c r="G111" i="54"/>
  <c r="AR16" i="54"/>
  <c r="AR22" i="54" s="1"/>
  <c r="AR24" i="54" s="1"/>
  <c r="AQ19" i="54"/>
  <c r="F100" i="54"/>
  <c r="F102" i="54" s="1"/>
  <c r="AQ16" i="54"/>
  <c r="AQ22" i="54" s="1"/>
  <c r="E111" i="54"/>
  <c r="D5" i="54"/>
  <c r="AP19" i="54"/>
  <c r="E100" i="54"/>
  <c r="E102" i="54" s="1"/>
  <c r="E103" i="54" s="1"/>
  <c r="E7" i="54" s="1"/>
  <c r="AP16" i="54"/>
  <c r="AP22" i="54" s="1"/>
  <c r="AP24" i="54" s="1"/>
  <c r="D110" i="54"/>
  <c r="D111" i="54" s="1"/>
  <c r="AO23" i="54"/>
  <c r="AO18" i="54"/>
  <c r="D100" i="54"/>
  <c r="D102" i="54" s="1"/>
  <c r="D103" i="54" s="1"/>
  <c r="D7" i="54" s="1"/>
  <c r="AO16" i="54"/>
  <c r="AO22" i="54" s="1"/>
  <c r="AO24" i="54" s="1"/>
  <c r="AN16" i="54"/>
  <c r="AN22" i="54" s="1"/>
  <c r="AN24" i="54" s="1"/>
  <c r="B110" i="54"/>
  <c r="B111" i="54" s="1"/>
  <c r="BG82" i="54" a="1"/>
  <c r="BI100" i="54" s="1"/>
  <c r="B100" i="54"/>
  <c r="B102" i="54" s="1"/>
  <c r="B103" i="54" s="1"/>
  <c r="AM16" i="54"/>
  <c r="AD7" i="54"/>
  <c r="AL13" i="54"/>
  <c r="C111" i="54"/>
  <c r="K111" i="54"/>
  <c r="C110" i="54"/>
  <c r="AN23" i="54" s="1"/>
  <c r="K110" i="54"/>
  <c r="AT23" i="54" s="1"/>
  <c r="S110" i="54"/>
  <c r="BA23" i="54" s="1"/>
  <c r="AA110" i="54"/>
  <c r="AA111" i="54" s="1"/>
  <c r="AM17" i="54"/>
  <c r="BF16" i="54"/>
  <c r="BF22" i="54" s="1"/>
  <c r="BF24" i="54" s="1"/>
  <c r="AY16" i="54"/>
  <c r="AY22" i="54" s="1"/>
  <c r="AY24" i="54" s="1"/>
  <c r="F110" i="54"/>
  <c r="AQ23" i="54" s="1"/>
  <c r="N110" i="54"/>
  <c r="AV23" i="54" s="1"/>
  <c r="V110" i="54"/>
  <c r="BD23" i="54" s="1"/>
  <c r="BD24" i="54" s="1"/>
  <c r="BH23" i="54"/>
  <c r="BH24" i="54" s="1"/>
  <c r="AZ16" i="54"/>
  <c r="AZ22" i="54" s="1"/>
  <c r="AZ24" i="54" s="1"/>
  <c r="G103" i="54"/>
  <c r="G7" i="54" s="1"/>
  <c r="AZ75" i="54"/>
  <c r="AS16" i="54"/>
  <c r="AS22" i="54" s="1"/>
  <c r="AS24" i="54" s="1"/>
  <c r="AG102" i="54"/>
  <c r="E254" i="54"/>
  <c r="F254" i="54" s="1"/>
  <c r="G254" i="54" s="1"/>
  <c r="H254" i="54" s="1"/>
  <c r="I254" i="54" s="1"/>
  <c r="J254" i="54" s="1"/>
  <c r="K254" i="54" s="1"/>
  <c r="L254" i="54" s="1"/>
  <c r="M254" i="54" s="1"/>
  <c r="N254" i="54" s="1"/>
  <c r="O254" i="54" s="1"/>
  <c r="P254" i="54" s="1"/>
  <c r="Q254" i="54" s="1"/>
  <c r="R254" i="54" s="1"/>
  <c r="S254" i="54" s="1"/>
  <c r="T254" i="54" s="1"/>
  <c r="U254" i="54" s="1"/>
  <c r="V254" i="54" s="1"/>
  <c r="W254" i="54" s="1"/>
  <c r="X254" i="54" s="1"/>
  <c r="Y254" i="54" s="1"/>
  <c r="Z254" i="54" s="1"/>
  <c r="AA254" i="54" s="1"/>
  <c r="AB254" i="54" s="1"/>
  <c r="AC254" i="54" s="1"/>
  <c r="AD254" i="54" s="1"/>
  <c r="AE254" i="54" s="1"/>
  <c r="AF254" i="54" s="1"/>
  <c r="B254" i="54" s="1"/>
  <c r="D255" i="54"/>
  <c r="E249" i="54"/>
  <c r="AF111" i="52"/>
  <c r="AF100" i="52"/>
  <c r="AF102" i="52" s="1"/>
  <c r="AF103" i="52" s="1"/>
  <c r="AE100" i="52"/>
  <c r="AE102" i="52" s="1"/>
  <c r="AE103" i="52" s="1"/>
  <c r="AA100" i="52"/>
  <c r="AA102" i="52" s="1"/>
  <c r="AA103" i="52" s="1"/>
  <c r="Z110" i="52"/>
  <c r="Z111" i="52" s="1"/>
  <c r="Z100" i="52"/>
  <c r="Z102" i="52" s="1"/>
  <c r="Z103" i="52" s="1"/>
  <c r="M254" i="55" l="1"/>
  <c r="L121" i="55"/>
  <c r="O249" i="55"/>
  <c r="M250" i="55"/>
  <c r="L255" i="55"/>
  <c r="X111" i="54"/>
  <c r="V111" i="54"/>
  <c r="T103" i="54"/>
  <c r="T7" i="54" s="1"/>
  <c r="P103" i="54"/>
  <c r="P7" i="54" s="1"/>
  <c r="AV24" i="54"/>
  <c r="O111" i="54"/>
  <c r="M111" i="54"/>
  <c r="AM22" i="54"/>
  <c r="AT24" i="54"/>
  <c r="J103" i="54"/>
  <c r="J7" i="54" s="1"/>
  <c r="C259" i="54"/>
  <c r="B259" i="54"/>
  <c r="AQ24" i="54"/>
  <c r="BJ100" i="54"/>
  <c r="BL92" i="54"/>
  <c r="BL87" i="54"/>
  <c r="BL82" i="54"/>
  <c r="BK101" i="54"/>
  <c r="BL101" i="54"/>
  <c r="BL96" i="54"/>
  <c r="BL91" i="54"/>
  <c r="BL86" i="54"/>
  <c r="BK105" i="54"/>
  <c r="BJ98" i="54"/>
  <c r="BK88" i="54"/>
  <c r="BK83" i="54"/>
  <c r="BJ102" i="54"/>
  <c r="BJ97" i="54"/>
  <c r="BI95" i="54"/>
  <c r="BI90" i="54"/>
  <c r="BI85" i="54"/>
  <c r="BH104" i="54"/>
  <c r="BK84" i="54"/>
  <c r="BJ93" i="54"/>
  <c r="BI99" i="54"/>
  <c r="BI94" i="54"/>
  <c r="BI89" i="54"/>
  <c r="BI84" i="54"/>
  <c r="BJ103" i="54"/>
  <c r="BL85" i="54"/>
  <c r="BH82" i="54"/>
  <c r="BG101" i="54"/>
  <c r="BG96" i="54"/>
  <c r="BG91" i="54"/>
  <c r="BL97" i="54"/>
  <c r="BH86" i="54"/>
  <c r="BG105" i="54"/>
  <c r="BG100" i="54"/>
  <c r="BG95" i="54"/>
  <c r="BJ96" i="54"/>
  <c r="BH83" i="54"/>
  <c r="BG86" i="54"/>
  <c r="BK96" i="54"/>
  <c r="BJ83" i="54"/>
  <c r="BH94" i="54"/>
  <c r="BL104" i="54"/>
  <c r="BK91" i="54"/>
  <c r="BI102" i="54"/>
  <c r="BH89" i="54"/>
  <c r="BL99" i="54"/>
  <c r="BK86" i="54"/>
  <c r="BI97" i="54"/>
  <c r="BH84" i="54"/>
  <c r="BL94" i="54"/>
  <c r="BJ105" i="54"/>
  <c r="BI92" i="54"/>
  <c r="BG103" i="54"/>
  <c r="BH87" i="54"/>
  <c r="BH91" i="54"/>
  <c r="BI87" i="54"/>
  <c r="BG98" i="54"/>
  <c r="BL84" i="54"/>
  <c r="BJ95" i="54"/>
  <c r="BI82" i="54"/>
  <c r="BG93" i="54"/>
  <c r="BK103" i="54"/>
  <c r="BJ90" i="54"/>
  <c r="BH101" i="54"/>
  <c r="BG88" i="54"/>
  <c r="BK98" i="54"/>
  <c r="BJ85" i="54"/>
  <c r="BH96" i="54"/>
  <c r="BG83" i="54"/>
  <c r="BK93" i="54"/>
  <c r="BI104" i="54"/>
  <c r="BJ92" i="54"/>
  <c r="BH98" i="54"/>
  <c r="BH93" i="54"/>
  <c r="BI101" i="54"/>
  <c r="BI96" i="54"/>
  <c r="BJ84" i="54"/>
  <c r="BJ88" i="54"/>
  <c r="BH103" i="54"/>
  <c r="BI91" i="54"/>
  <c r="BG102" i="54"/>
  <c r="BL88" i="54"/>
  <c r="BJ99" i="54"/>
  <c r="BI86" i="54"/>
  <c r="BG97" i="54"/>
  <c r="BL83" i="54"/>
  <c r="BJ94" i="54"/>
  <c r="BH105" i="54"/>
  <c r="BG92" i="54"/>
  <c r="BK102" i="54"/>
  <c r="BJ89" i="54"/>
  <c r="BH100" i="54"/>
  <c r="BG87" i="54"/>
  <c r="BK97" i="54"/>
  <c r="BL93" i="54"/>
  <c r="BK100" i="54"/>
  <c r="BG85" i="54"/>
  <c r="BJ82" i="54"/>
  <c r="BL103" i="54"/>
  <c r="BL98" i="54"/>
  <c r="BH95" i="54"/>
  <c r="BH99" i="54"/>
  <c r="BG82" i="54"/>
  <c r="BK92" i="54"/>
  <c r="BI103" i="54"/>
  <c r="BH90" i="54"/>
  <c r="BL100" i="54"/>
  <c r="BK87" i="54"/>
  <c r="BI98" i="54"/>
  <c r="BH85" i="54"/>
  <c r="BL95" i="54"/>
  <c r="BK82" i="54"/>
  <c r="BI93" i="54"/>
  <c r="BG104" i="54"/>
  <c r="BL90" i="54"/>
  <c r="BJ101" i="54"/>
  <c r="BI88" i="54"/>
  <c r="BG99" i="54"/>
  <c r="BJ104" i="54"/>
  <c r="BG90" i="54"/>
  <c r="BJ87" i="54"/>
  <c r="BK95" i="54"/>
  <c r="BK90" i="54"/>
  <c r="BH88" i="54"/>
  <c r="BK85" i="54"/>
  <c r="BL105" i="54"/>
  <c r="BL89" i="54"/>
  <c r="BI83" i="54"/>
  <c r="BG94" i="54"/>
  <c r="BK104" i="54"/>
  <c r="BJ91" i="54"/>
  <c r="BH102" i="54"/>
  <c r="BG89" i="54"/>
  <c r="BK99" i="54"/>
  <c r="BJ86" i="54"/>
  <c r="BH97" i="54"/>
  <c r="BG84" i="54"/>
  <c r="BK94" i="54"/>
  <c r="BI105" i="54"/>
  <c r="BH92" i="54"/>
  <c r="BL102" i="54"/>
  <c r="BK89" i="54"/>
  <c r="AT8" i="54"/>
  <c r="N103" i="54"/>
  <c r="N7" i="54" s="1"/>
  <c r="N111" i="54"/>
  <c r="AA103" i="54"/>
  <c r="AA7" i="54" s="1"/>
  <c r="F111" i="54"/>
  <c r="S103" i="54"/>
  <c r="S7" i="54" s="1"/>
  <c r="K103" i="54"/>
  <c r="K7" i="54" s="1"/>
  <c r="F103" i="54"/>
  <c r="F7" i="54" s="1"/>
  <c r="F249" i="54"/>
  <c r="E121" i="54"/>
  <c r="E255" i="54"/>
  <c r="AM23" i="54"/>
  <c r="AM24" i="54" s="1"/>
  <c r="S111" i="54"/>
  <c r="C103" i="54"/>
  <c r="C7" i="54" s="1"/>
  <c r="V103" i="54"/>
  <c r="V7" i="54" s="1"/>
  <c r="N250" i="55" l="1"/>
  <c r="M255" i="55"/>
  <c r="P249" i="55"/>
  <c r="N254" i="55"/>
  <c r="M121" i="55"/>
  <c r="K6" i="54"/>
  <c r="AT9" i="54"/>
  <c r="B7" i="54"/>
  <c r="A7" i="54" s="1"/>
  <c r="G249" i="54"/>
  <c r="F255" i="54"/>
  <c r="F121" i="54"/>
  <c r="O254" i="55" l="1"/>
  <c r="N121" i="55"/>
  <c r="Q249" i="55"/>
  <c r="O250" i="55"/>
  <c r="N255" i="55"/>
  <c r="H249" i="54"/>
  <c r="G255" i="54"/>
  <c r="G121" i="54"/>
  <c r="Q121" i="55" l="1"/>
  <c r="R249" i="55"/>
  <c r="P250" i="55"/>
  <c r="O255" i="55"/>
  <c r="P254" i="55"/>
  <c r="Q254" i="55" s="1"/>
  <c r="R254" i="55" s="1"/>
  <c r="S254" i="55" s="1"/>
  <c r="T254" i="55" s="1"/>
  <c r="U254" i="55" s="1"/>
  <c r="V254" i="55" s="1"/>
  <c r="W254" i="55" s="1"/>
  <c r="X254" i="55" s="1"/>
  <c r="Y254" i="55" s="1"/>
  <c r="Z254" i="55" s="1"/>
  <c r="AA254" i="55" s="1"/>
  <c r="AB254" i="55" s="1"/>
  <c r="AC254" i="55" s="1"/>
  <c r="AD254" i="55" s="1"/>
  <c r="AE254" i="55" s="1"/>
  <c r="AF254" i="55" s="1"/>
  <c r="B254" i="55" s="1"/>
  <c r="O121" i="55"/>
  <c r="I249" i="54"/>
  <c r="H255" i="54"/>
  <c r="H121" i="54"/>
  <c r="Q250" i="55" l="1"/>
  <c r="P255" i="55"/>
  <c r="R121" i="55"/>
  <c r="S249" i="55"/>
  <c r="I255" i="54"/>
  <c r="I121" i="54"/>
  <c r="J249" i="54"/>
  <c r="S121" i="55" l="1"/>
  <c r="T249" i="55"/>
  <c r="R250" i="55"/>
  <c r="Q255" i="55"/>
  <c r="J255" i="54"/>
  <c r="J121" i="54"/>
  <c r="K249" i="54"/>
  <c r="S250" i="55" l="1"/>
  <c r="R255" i="55"/>
  <c r="T121" i="55"/>
  <c r="U249" i="55"/>
  <c r="K255" i="54"/>
  <c r="K121" i="54"/>
  <c r="L249" i="54"/>
  <c r="T250" i="55" l="1"/>
  <c r="S255" i="55"/>
  <c r="U121" i="55"/>
  <c r="V249" i="55"/>
  <c r="L255" i="54"/>
  <c r="L121" i="54"/>
  <c r="M249" i="54"/>
  <c r="W249" i="55" l="1"/>
  <c r="V121" i="55"/>
  <c r="U250" i="55"/>
  <c r="T255" i="55"/>
  <c r="N249" i="54"/>
  <c r="M121" i="54"/>
  <c r="M255" i="54"/>
  <c r="X249" i="55" l="1"/>
  <c r="W121" i="55"/>
  <c r="V250" i="55"/>
  <c r="U255" i="55"/>
  <c r="O249" i="54"/>
  <c r="N255" i="54"/>
  <c r="N121" i="54"/>
  <c r="Y249" i="55" l="1"/>
  <c r="X121" i="55"/>
  <c r="W250" i="55"/>
  <c r="V255" i="55"/>
  <c r="P249" i="54"/>
  <c r="O255" i="54"/>
  <c r="O121" i="54"/>
  <c r="Z249" i="55" l="1"/>
  <c r="X250" i="55"/>
  <c r="W255" i="55"/>
  <c r="Q249" i="54"/>
  <c r="P255" i="54"/>
  <c r="Y250" i="55" l="1"/>
  <c r="X255" i="55"/>
  <c r="AA249" i="55"/>
  <c r="Q255" i="54"/>
  <c r="Q121" i="54"/>
  <c r="R249" i="54"/>
  <c r="AA121" i="55" l="1"/>
  <c r="AB249" i="55"/>
  <c r="Z250" i="55"/>
  <c r="Y255" i="55"/>
  <c r="R255" i="54"/>
  <c r="R121" i="54"/>
  <c r="S249" i="54"/>
  <c r="AA250" i="55" l="1"/>
  <c r="Z255" i="55"/>
  <c r="AB121" i="55"/>
  <c r="AC249" i="55"/>
  <c r="S255" i="54"/>
  <c r="S121" i="54"/>
  <c r="T249" i="54"/>
  <c r="AC121" i="55" l="1"/>
  <c r="AD249" i="55"/>
  <c r="AB250" i="55"/>
  <c r="AA255" i="55"/>
  <c r="T255" i="54"/>
  <c r="T121" i="54"/>
  <c r="U249" i="54"/>
  <c r="AC250" i="55" l="1"/>
  <c r="AB255" i="55"/>
  <c r="AE249" i="55"/>
  <c r="AD121" i="55"/>
  <c r="U121" i="54"/>
  <c r="V249" i="54"/>
  <c r="U255" i="54"/>
  <c r="AF249" i="55" l="1"/>
  <c r="AE121" i="55"/>
  <c r="AD250" i="55"/>
  <c r="AC255" i="55"/>
  <c r="W249" i="54"/>
  <c r="V255" i="54"/>
  <c r="V121" i="54"/>
  <c r="AE250" i="55" l="1"/>
  <c r="AD255" i="55"/>
  <c r="AF121" i="55"/>
  <c r="B249" i="55"/>
  <c r="X249" i="54"/>
  <c r="W255" i="54"/>
  <c r="W121" i="54"/>
  <c r="AF250" i="55" l="1"/>
  <c r="AE255" i="55"/>
  <c r="Y249" i="54"/>
  <c r="X255" i="54"/>
  <c r="X121" i="54"/>
  <c r="B250" i="55" l="1"/>
  <c r="B255" i="55" s="1"/>
  <c r="AF255" i="55"/>
  <c r="AI121" i="55"/>
  <c r="AH121" i="55"/>
  <c r="Y255" i="54"/>
  <c r="Z249" i="54"/>
  <c r="Z255" i="54" l="1"/>
  <c r="AA249" i="54"/>
  <c r="AA255" i="54" l="1"/>
  <c r="AA121" i="54"/>
  <c r="AB249" i="54"/>
  <c r="AB255" i="54" l="1"/>
  <c r="AB121" i="54"/>
  <c r="AC249" i="54"/>
  <c r="AD249" i="54" l="1"/>
  <c r="AC255" i="54"/>
  <c r="AE249" i="54" l="1"/>
  <c r="AD255" i="54"/>
  <c r="AF249" i="54" l="1"/>
  <c r="AE255" i="54"/>
  <c r="AF255" i="54" l="1"/>
  <c r="B249" i="54"/>
  <c r="B255" i="54" l="1"/>
  <c r="Y61" i="52" l="1"/>
  <c r="Y65" i="52"/>
  <c r="Y79" i="52"/>
  <c r="Y83" i="52"/>
  <c r="Y95" i="52"/>
  <c r="Y104" i="52"/>
  <c r="Y105" i="52"/>
  <c r="Y106" i="52"/>
  <c r="Y107" i="52"/>
  <c r="Y108" i="52"/>
  <c r="Y109" i="52"/>
  <c r="Y110" i="52"/>
  <c r="Y121" i="52"/>
  <c r="X61" i="52"/>
  <c r="X65" i="52"/>
  <c r="X79" i="52"/>
  <c r="X83" i="52"/>
  <c r="X95" i="52"/>
  <c r="X104" i="52"/>
  <c r="X105" i="52"/>
  <c r="X106" i="52"/>
  <c r="X107" i="52"/>
  <c r="X108" i="52"/>
  <c r="X109" i="52"/>
  <c r="X121" i="52"/>
  <c r="W95" i="52"/>
  <c r="W61" i="52"/>
  <c r="W65" i="52"/>
  <c r="W79" i="52"/>
  <c r="W83" i="52"/>
  <c r="W104" i="52"/>
  <c r="W105" i="52"/>
  <c r="W106" i="52"/>
  <c r="W107" i="52"/>
  <c r="W108" i="52"/>
  <c r="W109" i="52"/>
  <c r="W121" i="52"/>
  <c r="Y100" i="52" l="1"/>
  <c r="Y102" i="52" s="1"/>
  <c r="Y103" i="52" s="1"/>
  <c r="Y111" i="52"/>
  <c r="X110" i="52"/>
  <c r="X100" i="52"/>
  <c r="X102" i="52" s="1"/>
  <c r="X103" i="52" s="1"/>
  <c r="X111" i="52"/>
  <c r="W100" i="52"/>
  <c r="W102" i="52" s="1"/>
  <c r="W110" i="52"/>
  <c r="W111" i="52" s="1"/>
  <c r="W103" i="52" l="1"/>
  <c r="V61" i="52" l="1"/>
  <c r="V65" i="52"/>
  <c r="V79" i="52"/>
  <c r="V83" i="52"/>
  <c r="V95" i="52"/>
  <c r="V104" i="52"/>
  <c r="V105" i="52"/>
  <c r="V106" i="52"/>
  <c r="V107" i="52"/>
  <c r="V108" i="52"/>
  <c r="V109" i="52"/>
  <c r="V121" i="52"/>
  <c r="U61" i="52"/>
  <c r="U65" i="52"/>
  <c r="U79" i="52"/>
  <c r="U83" i="52"/>
  <c r="U95" i="52"/>
  <c r="U104" i="52"/>
  <c r="U105" i="52"/>
  <c r="U106" i="52"/>
  <c r="U107" i="52"/>
  <c r="U108" i="52"/>
  <c r="U109" i="52"/>
  <c r="U121" i="52"/>
  <c r="T61" i="52"/>
  <c r="T65" i="52"/>
  <c r="T79" i="52"/>
  <c r="T83" i="52"/>
  <c r="T95" i="52"/>
  <c r="T104" i="52"/>
  <c r="T105" i="52"/>
  <c r="T106" i="52"/>
  <c r="T107" i="52"/>
  <c r="T108" i="52"/>
  <c r="T109" i="52"/>
  <c r="T121" i="52"/>
  <c r="S121" i="52"/>
  <c r="S109" i="52"/>
  <c r="S108" i="52"/>
  <c r="S107" i="52"/>
  <c r="S106" i="52"/>
  <c r="S105" i="52"/>
  <c r="S104" i="52"/>
  <c r="S95" i="52"/>
  <c r="S83" i="52"/>
  <c r="S79" i="52"/>
  <c r="S65" i="52"/>
  <c r="S61" i="52"/>
  <c r="V110" i="52" l="1"/>
  <c r="V111" i="52" s="1"/>
  <c r="V100" i="52"/>
  <c r="V102" i="52" s="1"/>
  <c r="V103" i="52" s="1"/>
  <c r="U110" i="52"/>
  <c r="U111" i="52"/>
  <c r="U100" i="52"/>
  <c r="U102" i="52" s="1"/>
  <c r="U103" i="52" s="1"/>
  <c r="T110" i="52"/>
  <c r="T111" i="52"/>
  <c r="T100" i="52"/>
  <c r="T102" i="52" s="1"/>
  <c r="T103" i="52" s="1"/>
  <c r="S110" i="52"/>
  <c r="S100" i="52"/>
  <c r="S102" i="52" s="1"/>
  <c r="S103" i="52" s="1"/>
  <c r="S111" i="52"/>
  <c r="L124" i="52" l="1"/>
  <c r="M124" i="52"/>
  <c r="L60" i="52"/>
  <c r="M60" i="52"/>
  <c r="N60" i="52"/>
  <c r="K124" i="52"/>
  <c r="K60" i="52"/>
  <c r="J124" i="52"/>
  <c r="J60" i="52"/>
  <c r="I124" i="52" l="1"/>
  <c r="I60" i="52"/>
  <c r="H124" i="52"/>
  <c r="H60" i="52"/>
  <c r="G124" i="52"/>
  <c r="G60" i="52"/>
  <c r="F124" i="52"/>
  <c r="F60" i="52"/>
  <c r="AH128" i="52"/>
  <c r="AI128" i="52"/>
  <c r="AH127" i="52"/>
  <c r="AI127" i="52"/>
  <c r="E124" i="52"/>
  <c r="AI124" i="52" s="1"/>
  <c r="E60" i="52"/>
  <c r="D61" i="52"/>
  <c r="D65" i="52"/>
  <c r="D79" i="52"/>
  <c r="D83" i="52"/>
  <c r="AO20" i="52" s="1"/>
  <c r="D95" i="52"/>
  <c r="AO19" i="52" s="1"/>
  <c r="D104" i="52"/>
  <c r="D105" i="52"/>
  <c r="D106" i="52"/>
  <c r="D107" i="52"/>
  <c r="D108" i="52"/>
  <c r="D109" i="52"/>
  <c r="AI109" i="52" s="1"/>
  <c r="D121" i="52"/>
  <c r="C61" i="52"/>
  <c r="C65" i="52"/>
  <c r="C79" i="52"/>
  <c r="AN18" i="52" s="1"/>
  <c r="C83" i="52"/>
  <c r="C95" i="52"/>
  <c r="B5" i="52" s="1"/>
  <c r="C104" i="52"/>
  <c r="C105" i="52"/>
  <c r="AI105" i="52" s="1"/>
  <c r="C106" i="52"/>
  <c r="C107" i="52"/>
  <c r="C108" i="52"/>
  <c r="C109" i="52"/>
  <c r="C121" i="52"/>
  <c r="B121" i="52"/>
  <c r="B109" i="52"/>
  <c r="B108" i="52"/>
  <c r="B107" i="52"/>
  <c r="B106" i="52"/>
  <c r="B105" i="52"/>
  <c r="B104" i="52"/>
  <c r="B110" i="52" s="1"/>
  <c r="B95" i="52"/>
  <c r="B111" i="52" s="1"/>
  <c r="B83" i="52"/>
  <c r="AM20" i="52" s="1"/>
  <c r="B79" i="52"/>
  <c r="B65" i="52"/>
  <c r="B61" i="52"/>
  <c r="AG255" i="52"/>
  <c r="C255" i="52"/>
  <c r="D254" i="52"/>
  <c r="D253" i="52"/>
  <c r="E253" i="52" s="1"/>
  <c r="F253" i="52" s="1"/>
  <c r="G253" i="52" s="1"/>
  <c r="H253" i="52" s="1"/>
  <c r="I253" i="52" s="1"/>
  <c r="J253" i="52" s="1"/>
  <c r="K253" i="52" s="1"/>
  <c r="L253" i="52" s="1"/>
  <c r="M253" i="52" s="1"/>
  <c r="N253" i="52" s="1"/>
  <c r="O253" i="52" s="1"/>
  <c r="P253" i="52" s="1"/>
  <c r="Q253" i="52" s="1"/>
  <c r="R253" i="52" s="1"/>
  <c r="S253" i="52" s="1"/>
  <c r="T253" i="52" s="1"/>
  <c r="U253" i="52" s="1"/>
  <c r="V253" i="52" s="1"/>
  <c r="W253" i="52" s="1"/>
  <c r="X253" i="52" s="1"/>
  <c r="Y253" i="52" s="1"/>
  <c r="Z253" i="52" s="1"/>
  <c r="AA253" i="52" s="1"/>
  <c r="AB253" i="52" s="1"/>
  <c r="AC253" i="52" s="1"/>
  <c r="AD253" i="52" s="1"/>
  <c r="AE253" i="52" s="1"/>
  <c r="AF253" i="52" s="1"/>
  <c r="B253" i="52" s="1"/>
  <c r="D252" i="52"/>
  <c r="E252" i="52" s="1"/>
  <c r="F252" i="52" s="1"/>
  <c r="G252" i="52" s="1"/>
  <c r="H252" i="52" s="1"/>
  <c r="I252" i="52" s="1"/>
  <c r="J252" i="52" s="1"/>
  <c r="K252" i="52" s="1"/>
  <c r="L252" i="52" s="1"/>
  <c r="M252" i="52" s="1"/>
  <c r="N252" i="52" s="1"/>
  <c r="O252" i="52" s="1"/>
  <c r="P252" i="52" s="1"/>
  <c r="Q252" i="52" s="1"/>
  <c r="R252" i="52" s="1"/>
  <c r="S252" i="52" s="1"/>
  <c r="T252" i="52" s="1"/>
  <c r="U252" i="52" s="1"/>
  <c r="V252" i="52" s="1"/>
  <c r="W252" i="52" s="1"/>
  <c r="X252" i="52" s="1"/>
  <c r="Y252" i="52" s="1"/>
  <c r="Z252" i="52" s="1"/>
  <c r="AA252" i="52" s="1"/>
  <c r="AB252" i="52" s="1"/>
  <c r="AC252" i="52" s="1"/>
  <c r="AD252" i="52" s="1"/>
  <c r="AE252" i="52" s="1"/>
  <c r="AF252" i="52" s="1"/>
  <c r="B252" i="52" s="1"/>
  <c r="N251" i="52"/>
  <c r="O251" i="52" s="1"/>
  <c r="P251" i="52" s="1"/>
  <c r="Q251" i="52" s="1"/>
  <c r="R251" i="52" s="1"/>
  <c r="S251" i="52" s="1"/>
  <c r="T251" i="52" s="1"/>
  <c r="U251" i="52" s="1"/>
  <c r="V251" i="52" s="1"/>
  <c r="W251" i="52" s="1"/>
  <c r="X251" i="52" s="1"/>
  <c r="Y251" i="52" s="1"/>
  <c r="Z251" i="52" s="1"/>
  <c r="AA251" i="52" s="1"/>
  <c r="AB251" i="52" s="1"/>
  <c r="AC251" i="52" s="1"/>
  <c r="AD251" i="52" s="1"/>
  <c r="AE251" i="52" s="1"/>
  <c r="AF251" i="52" s="1"/>
  <c r="B251" i="52" s="1"/>
  <c r="F251" i="52"/>
  <c r="G251" i="52" s="1"/>
  <c r="H251" i="52" s="1"/>
  <c r="I251" i="52" s="1"/>
  <c r="J251" i="52" s="1"/>
  <c r="K251" i="52" s="1"/>
  <c r="L251" i="52" s="1"/>
  <c r="M251" i="52" s="1"/>
  <c r="D251" i="52"/>
  <c r="E251" i="52" s="1"/>
  <c r="L250" i="52"/>
  <c r="M250" i="52" s="1"/>
  <c r="N250" i="52" s="1"/>
  <c r="O250" i="52" s="1"/>
  <c r="P250" i="52" s="1"/>
  <c r="Q250" i="52" s="1"/>
  <c r="R250" i="52" s="1"/>
  <c r="S250" i="52" s="1"/>
  <c r="T250" i="52" s="1"/>
  <c r="U250" i="52" s="1"/>
  <c r="V250" i="52" s="1"/>
  <c r="W250" i="52" s="1"/>
  <c r="X250" i="52" s="1"/>
  <c r="Y250" i="52" s="1"/>
  <c r="Z250" i="52" s="1"/>
  <c r="AA250" i="52" s="1"/>
  <c r="AB250" i="52" s="1"/>
  <c r="AC250" i="52" s="1"/>
  <c r="AD250" i="52" s="1"/>
  <c r="AE250" i="52" s="1"/>
  <c r="AF250" i="52" s="1"/>
  <c r="B250" i="52" s="1"/>
  <c r="D250" i="52"/>
  <c r="E250" i="52" s="1"/>
  <c r="F250" i="52" s="1"/>
  <c r="G250" i="52" s="1"/>
  <c r="H250" i="52" s="1"/>
  <c r="I250" i="52" s="1"/>
  <c r="J250" i="52" s="1"/>
  <c r="K250" i="52" s="1"/>
  <c r="D249" i="52"/>
  <c r="D255" i="52" s="1"/>
  <c r="AG247" i="52"/>
  <c r="AF247" i="52"/>
  <c r="AE247" i="52"/>
  <c r="AD247" i="52"/>
  <c r="AC247" i="52"/>
  <c r="AB247" i="52"/>
  <c r="AA247" i="52"/>
  <c r="Z247" i="52"/>
  <c r="Y247" i="52"/>
  <c r="X247" i="52"/>
  <c r="W247" i="52"/>
  <c r="V247" i="52"/>
  <c r="U247" i="52"/>
  <c r="T247" i="52"/>
  <c r="S247" i="52"/>
  <c r="R247" i="52"/>
  <c r="Q247" i="52"/>
  <c r="P247" i="52"/>
  <c r="O247" i="52"/>
  <c r="N247" i="52"/>
  <c r="M247" i="52"/>
  <c r="L247" i="52"/>
  <c r="K247" i="52"/>
  <c r="J247" i="52"/>
  <c r="I247" i="52"/>
  <c r="H247" i="52"/>
  <c r="G247" i="52"/>
  <c r="F247" i="52"/>
  <c r="E247" i="52"/>
  <c r="D247" i="52"/>
  <c r="C247" i="52"/>
  <c r="B247" i="52"/>
  <c r="AI133" i="52"/>
  <c r="AH133" i="52"/>
  <c r="AI132" i="52"/>
  <c r="AH132" i="52"/>
  <c r="AI131" i="52"/>
  <c r="AH131" i="52"/>
  <c r="AI130" i="52"/>
  <c r="AH130" i="52"/>
  <c r="AI129" i="52"/>
  <c r="AH129" i="52"/>
  <c r="AI126" i="52"/>
  <c r="AH126" i="52"/>
  <c r="AI125" i="52"/>
  <c r="AH125" i="52"/>
  <c r="AH124" i="52"/>
  <c r="AI123" i="52"/>
  <c r="AH123" i="52"/>
  <c r="AI122" i="52"/>
  <c r="AH122" i="52"/>
  <c r="AI120" i="52"/>
  <c r="AH120" i="52"/>
  <c r="AI119" i="52"/>
  <c r="AH119" i="52"/>
  <c r="AI118" i="52"/>
  <c r="AH118" i="52"/>
  <c r="AI117" i="52"/>
  <c r="AH117" i="52"/>
  <c r="AI116" i="52"/>
  <c r="AH116" i="52"/>
  <c r="AI115" i="52"/>
  <c r="AH115" i="52"/>
  <c r="AI114" i="52"/>
  <c r="AH114" i="52"/>
  <c r="AI113" i="52"/>
  <c r="AH113" i="52"/>
  <c r="AI112" i="52"/>
  <c r="AH112" i="52"/>
  <c r="AD109" i="52"/>
  <c r="AC109" i="52"/>
  <c r="AB109" i="52"/>
  <c r="R109" i="52"/>
  <c r="Q109" i="52"/>
  <c r="P109" i="52"/>
  <c r="O109" i="52"/>
  <c r="N109" i="52"/>
  <c r="M109" i="52"/>
  <c r="L109" i="52"/>
  <c r="K109" i="52"/>
  <c r="J109" i="52"/>
  <c r="I109" i="52"/>
  <c r="H109" i="52"/>
  <c r="G109" i="52"/>
  <c r="F109" i="52"/>
  <c r="E109" i="52"/>
  <c r="AD108" i="52"/>
  <c r="AC108" i="52"/>
  <c r="AB108" i="52"/>
  <c r="R108" i="52"/>
  <c r="Q108" i="52"/>
  <c r="P108" i="52"/>
  <c r="O108" i="52"/>
  <c r="N108" i="52"/>
  <c r="M108" i="52"/>
  <c r="L108" i="52"/>
  <c r="K108" i="52"/>
  <c r="J108" i="52"/>
  <c r="I108" i="52"/>
  <c r="H108" i="52"/>
  <c r="G108" i="52"/>
  <c r="F108" i="52"/>
  <c r="E108" i="52"/>
  <c r="AI108" i="52"/>
  <c r="AD107" i="52"/>
  <c r="AC107" i="52"/>
  <c r="AB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AD106" i="52"/>
  <c r="AC106" i="52"/>
  <c r="AB106" i="52"/>
  <c r="R106" i="52"/>
  <c r="Q106" i="52"/>
  <c r="Q110" i="52" s="1"/>
  <c r="AY23" i="52" s="1"/>
  <c r="P106" i="52"/>
  <c r="O106" i="52"/>
  <c r="N106" i="52"/>
  <c r="M106" i="52"/>
  <c r="L106" i="52"/>
  <c r="K106" i="52"/>
  <c r="J106" i="52"/>
  <c r="I106" i="52"/>
  <c r="H106" i="52"/>
  <c r="G106" i="52"/>
  <c r="F106" i="52"/>
  <c r="E106" i="52"/>
  <c r="AD105" i="52"/>
  <c r="AC105" i="52"/>
  <c r="AB105" i="52"/>
  <c r="R105" i="52"/>
  <c r="Q105" i="52"/>
  <c r="P105" i="52"/>
  <c r="O105" i="52"/>
  <c r="N105" i="52"/>
  <c r="M105" i="52"/>
  <c r="L105" i="52"/>
  <c r="K105" i="52"/>
  <c r="J105" i="52"/>
  <c r="I105" i="52"/>
  <c r="H105" i="52"/>
  <c r="G105" i="52"/>
  <c r="F105" i="52"/>
  <c r="E105" i="52"/>
  <c r="AD104" i="52"/>
  <c r="AC104" i="52"/>
  <c r="AB104" i="52"/>
  <c r="AB110" i="52" s="1"/>
  <c r="BG23" i="52" s="1"/>
  <c r="BF23" i="52"/>
  <c r="BA23" i="52"/>
  <c r="R104" i="52"/>
  <c r="R110" i="52" s="1"/>
  <c r="AZ23" i="52" s="1"/>
  <c r="Q104" i="52"/>
  <c r="P104" i="52"/>
  <c r="P110" i="52" s="1"/>
  <c r="O104" i="52"/>
  <c r="N104" i="52"/>
  <c r="N110" i="52" s="1"/>
  <c r="AV23" i="52" s="1"/>
  <c r="M104" i="52"/>
  <c r="L104" i="52"/>
  <c r="K104" i="52"/>
  <c r="K110" i="52" s="1"/>
  <c r="AT23" i="52" s="1"/>
  <c r="J104" i="52"/>
  <c r="J110" i="52" s="1"/>
  <c r="I104" i="52"/>
  <c r="I110" i="52" s="1"/>
  <c r="AS23" i="52" s="1"/>
  <c r="H104" i="52"/>
  <c r="H110" i="52" s="1"/>
  <c r="G104" i="52"/>
  <c r="G110" i="52" s="1"/>
  <c r="F104" i="52"/>
  <c r="E104" i="52"/>
  <c r="AI101" i="52"/>
  <c r="AH101" i="52"/>
  <c r="AI99" i="52"/>
  <c r="AH99" i="52"/>
  <c r="AG99" i="52"/>
  <c r="AI98" i="52"/>
  <c r="AH98" i="52"/>
  <c r="AI97" i="52"/>
  <c r="AH97" i="52"/>
  <c r="AI96" i="52"/>
  <c r="AH96" i="52"/>
  <c r="AG95" i="52"/>
  <c r="AD95" i="52"/>
  <c r="AC95" i="52"/>
  <c r="AB5" i="52" s="1"/>
  <c r="AB95" i="52"/>
  <c r="R95" i="52"/>
  <c r="R111" i="52" s="1"/>
  <c r="Q95" i="52"/>
  <c r="P95" i="52"/>
  <c r="P111" i="52" s="1"/>
  <c r="O95" i="52"/>
  <c r="N95" i="52"/>
  <c r="N111" i="52" s="1"/>
  <c r="M95" i="52"/>
  <c r="AU19" i="52" s="1"/>
  <c r="L95" i="52"/>
  <c r="K95" i="52"/>
  <c r="J95" i="52"/>
  <c r="I95" i="52"/>
  <c r="H5" i="52" s="1"/>
  <c r="H95" i="52"/>
  <c r="H111" i="52" s="1"/>
  <c r="G95" i="52"/>
  <c r="G111" i="52" s="1"/>
  <c r="F95" i="52"/>
  <c r="E95" i="52"/>
  <c r="AP19" i="52" s="1"/>
  <c r="AI94" i="52"/>
  <c r="AH94" i="52"/>
  <c r="AI93" i="52"/>
  <c r="AH93" i="52"/>
  <c r="AI92" i="52"/>
  <c r="AH92" i="52"/>
  <c r="AI91" i="52"/>
  <c r="AH91" i="52"/>
  <c r="AI90" i="52"/>
  <c r="AH90" i="52"/>
  <c r="AI89" i="52"/>
  <c r="AH89" i="52"/>
  <c r="AI88" i="52"/>
  <c r="AH88" i="52"/>
  <c r="AI87" i="52"/>
  <c r="AH87" i="52"/>
  <c r="AI86" i="52"/>
  <c r="AH86" i="52"/>
  <c r="AI85" i="52"/>
  <c r="AH85" i="52"/>
  <c r="AI84" i="52"/>
  <c r="AH84" i="52"/>
  <c r="AG83" i="52"/>
  <c r="AD83" i="52"/>
  <c r="AB83" i="52"/>
  <c r="R83" i="52"/>
  <c r="Q83" i="52"/>
  <c r="AY20" i="52" s="1"/>
  <c r="P83" i="52"/>
  <c r="AX20" i="52" s="1"/>
  <c r="O83" i="52"/>
  <c r="N83" i="52"/>
  <c r="M83" i="52"/>
  <c r="L83" i="52"/>
  <c r="K83" i="52"/>
  <c r="J83" i="52"/>
  <c r="I83" i="52"/>
  <c r="H83" i="52"/>
  <c r="G83" i="52"/>
  <c r="F83" i="52"/>
  <c r="E83" i="52"/>
  <c r="AP20" i="52" s="1"/>
  <c r="AI82" i="52"/>
  <c r="AH82" i="52"/>
  <c r="AI81" i="52"/>
  <c r="AH81" i="52"/>
  <c r="AI80" i="52"/>
  <c r="AH80" i="52"/>
  <c r="AD79" i="52"/>
  <c r="AC79" i="52"/>
  <c r="AB79" i="52"/>
  <c r="BA18" i="52"/>
  <c r="R79" i="52"/>
  <c r="AZ18" i="52" s="1"/>
  <c r="Q79" i="52"/>
  <c r="P79" i="52"/>
  <c r="O79" i="52"/>
  <c r="N79" i="52"/>
  <c r="AV18" i="52" s="1"/>
  <c r="M79" i="52"/>
  <c r="L79" i="52"/>
  <c r="K79" i="52"/>
  <c r="AT18" i="52" s="1"/>
  <c r="J79" i="52"/>
  <c r="I79" i="52"/>
  <c r="H79" i="52"/>
  <c r="G79" i="52"/>
  <c r="F79" i="52"/>
  <c r="E79" i="52"/>
  <c r="AP18" i="52" s="1"/>
  <c r="AI78" i="52"/>
  <c r="AH78" i="52"/>
  <c r="AG78" i="52"/>
  <c r="AG79" i="52" s="1"/>
  <c r="BD77" i="52"/>
  <c r="BC77" i="52"/>
  <c r="AI77" i="52"/>
  <c r="AH77" i="52"/>
  <c r="BF76" i="52"/>
  <c r="BE76" i="52"/>
  <c r="AI76" i="52"/>
  <c r="AH76" i="52"/>
  <c r="AI75" i="52"/>
  <c r="AH75" i="52"/>
  <c r="BK74" i="52"/>
  <c r="BJ74" i="52"/>
  <c r="BC74" i="52"/>
  <c r="BB74" i="52"/>
  <c r="AI74" i="52"/>
  <c r="AH74" i="52"/>
  <c r="BT73" i="52"/>
  <c r="BL73" i="52"/>
  <c r="BD73" i="52"/>
  <c r="AI73" i="52"/>
  <c r="AH73" i="52"/>
  <c r="AI72" i="52"/>
  <c r="AH72" i="52"/>
  <c r="BW71" i="52"/>
  <c r="BW78" i="52" s="1"/>
  <c r="BV71" i="52"/>
  <c r="BV78" i="52" s="1"/>
  <c r="BU71" i="52"/>
  <c r="BU78" i="52" s="1"/>
  <c r="BT71" i="52"/>
  <c r="BT78" i="52" s="1"/>
  <c r="BS71" i="52"/>
  <c r="BS78" i="52" s="1"/>
  <c r="BR71" i="52"/>
  <c r="BR78" i="52" s="1"/>
  <c r="BQ71" i="52"/>
  <c r="BQ78" i="52" s="1"/>
  <c r="BP71" i="52"/>
  <c r="BP78" i="52" s="1"/>
  <c r="BO71" i="52"/>
  <c r="BO78" i="52" s="1"/>
  <c r="BN71" i="52"/>
  <c r="BN78" i="52" s="1"/>
  <c r="BM71" i="52"/>
  <c r="BM78" i="52" s="1"/>
  <c r="BL71" i="52"/>
  <c r="BL78" i="52" s="1"/>
  <c r="BK71" i="52"/>
  <c r="BK78" i="52" s="1"/>
  <c r="BJ71" i="52"/>
  <c r="BJ78" i="52" s="1"/>
  <c r="BI71" i="52"/>
  <c r="BI78" i="52" s="1"/>
  <c r="BH71" i="52"/>
  <c r="BH78" i="52" s="1"/>
  <c r="BG71" i="52"/>
  <c r="BG78" i="52" s="1"/>
  <c r="BF71" i="52"/>
  <c r="BF78" i="52" s="1"/>
  <c r="BE71" i="52"/>
  <c r="BE78" i="52" s="1"/>
  <c r="BD71" i="52"/>
  <c r="BD78" i="52" s="1"/>
  <c r="BC71" i="52"/>
  <c r="BC78" i="52" s="1"/>
  <c r="BB71" i="52"/>
  <c r="BB78" i="52" s="1"/>
  <c r="BA71" i="52"/>
  <c r="BA78" i="52" s="1"/>
  <c r="AZ71" i="52"/>
  <c r="AZ78" i="52" s="1"/>
  <c r="AI71" i="52"/>
  <c r="AH71" i="52"/>
  <c r="BW70" i="52"/>
  <c r="BW77" i="52" s="1"/>
  <c r="BV70" i="52"/>
  <c r="BV77" i="52" s="1"/>
  <c r="BU70" i="52"/>
  <c r="BU77" i="52" s="1"/>
  <c r="BT70" i="52"/>
  <c r="BT77" i="52" s="1"/>
  <c r="BS70" i="52"/>
  <c r="BS77" i="52" s="1"/>
  <c r="BR70" i="52"/>
  <c r="BR77" i="52" s="1"/>
  <c r="BQ70" i="52"/>
  <c r="BQ77" i="52" s="1"/>
  <c r="BP70" i="52"/>
  <c r="BP77" i="52" s="1"/>
  <c r="BO70" i="52"/>
  <c r="BO77" i="52" s="1"/>
  <c r="BN70" i="52"/>
  <c r="BN77" i="52" s="1"/>
  <c r="BM70" i="52"/>
  <c r="BM77" i="52" s="1"/>
  <c r="BL70" i="52"/>
  <c r="BL77" i="52" s="1"/>
  <c r="BK70" i="52"/>
  <c r="BK77" i="52" s="1"/>
  <c r="BJ70" i="52"/>
  <c r="BJ77" i="52" s="1"/>
  <c r="BI70" i="52"/>
  <c r="BI77" i="52" s="1"/>
  <c r="BH70" i="52"/>
  <c r="BH77" i="52" s="1"/>
  <c r="BG70" i="52"/>
  <c r="BG77" i="52" s="1"/>
  <c r="BF70" i="52"/>
  <c r="BF77" i="52" s="1"/>
  <c r="BE70" i="52"/>
  <c r="BE77" i="52" s="1"/>
  <c r="BD70" i="52"/>
  <c r="BC70" i="52"/>
  <c r="BB70" i="52"/>
  <c r="BB77" i="52" s="1"/>
  <c r="BA70" i="52"/>
  <c r="BA77" i="52" s="1"/>
  <c r="AZ70" i="52"/>
  <c r="AZ77" i="52" s="1"/>
  <c r="AI70" i="52"/>
  <c r="AH70" i="52"/>
  <c r="BW69" i="52"/>
  <c r="BW76" i="52" s="1"/>
  <c r="BV69" i="52"/>
  <c r="BV76" i="52" s="1"/>
  <c r="BU69" i="52"/>
  <c r="BU76" i="52" s="1"/>
  <c r="BT69" i="52"/>
  <c r="BT76" i="52" s="1"/>
  <c r="BS69" i="52"/>
  <c r="BS76" i="52" s="1"/>
  <c r="BR69" i="52"/>
  <c r="BR76" i="52" s="1"/>
  <c r="BQ69" i="52"/>
  <c r="BQ76" i="52" s="1"/>
  <c r="BP69" i="52"/>
  <c r="BP76" i="52" s="1"/>
  <c r="BO69" i="52"/>
  <c r="BO76" i="52" s="1"/>
  <c r="BN69" i="52"/>
  <c r="BN76" i="52" s="1"/>
  <c r="BM69" i="52"/>
  <c r="BM76" i="52" s="1"/>
  <c r="BL69" i="52"/>
  <c r="BL76" i="52" s="1"/>
  <c r="BK69" i="52"/>
  <c r="BK76" i="52" s="1"/>
  <c r="BJ69" i="52"/>
  <c r="BJ76" i="52" s="1"/>
  <c r="BI69" i="52"/>
  <c r="BI76" i="52" s="1"/>
  <c r="BH69" i="52"/>
  <c r="BH76" i="52" s="1"/>
  <c r="BG69" i="52"/>
  <c r="BG76" i="52" s="1"/>
  <c r="BF69" i="52"/>
  <c r="BE69" i="52"/>
  <c r="BD69" i="52"/>
  <c r="BD76" i="52" s="1"/>
  <c r="BC69" i="52"/>
  <c r="BC76" i="52" s="1"/>
  <c r="BB69" i="52"/>
  <c r="BB76" i="52" s="1"/>
  <c r="BA69" i="52"/>
  <c r="BA76" i="52" s="1"/>
  <c r="AZ69" i="52"/>
  <c r="AZ76" i="52" s="1"/>
  <c r="AI69" i="52"/>
  <c r="AH69" i="52"/>
  <c r="BW68" i="52"/>
  <c r="BW75" i="52" s="1"/>
  <c r="BV68" i="52"/>
  <c r="BV75" i="52" s="1"/>
  <c r="BU68" i="52"/>
  <c r="BU75" i="52" s="1"/>
  <c r="BT68" i="52"/>
  <c r="BT75" i="52" s="1"/>
  <c r="BS68" i="52"/>
  <c r="BS75" i="52" s="1"/>
  <c r="BR68" i="52"/>
  <c r="BR75" i="52" s="1"/>
  <c r="BQ68" i="52"/>
  <c r="BQ75" i="52" s="1"/>
  <c r="BP68" i="52"/>
  <c r="BP75" i="52" s="1"/>
  <c r="BO68" i="52"/>
  <c r="BO75" i="52" s="1"/>
  <c r="BN68" i="52"/>
  <c r="BN75" i="52" s="1"/>
  <c r="BM68" i="52"/>
  <c r="BM75" i="52" s="1"/>
  <c r="BL68" i="52"/>
  <c r="BL75" i="52" s="1"/>
  <c r="BK68" i="52"/>
  <c r="BK75" i="52" s="1"/>
  <c r="BJ68" i="52"/>
  <c r="BJ75" i="52" s="1"/>
  <c r="BI68" i="52"/>
  <c r="BI75" i="52" s="1"/>
  <c r="BH68" i="52"/>
  <c r="BH75" i="52" s="1"/>
  <c r="BG68" i="52"/>
  <c r="BG75" i="52" s="1"/>
  <c r="BF68" i="52"/>
  <c r="BF75" i="52" s="1"/>
  <c r="BE68" i="52"/>
  <c r="BE75" i="52" s="1"/>
  <c r="BD68" i="52"/>
  <c r="BD75" i="52" s="1"/>
  <c r="BC68" i="52"/>
  <c r="BC75" i="52" s="1"/>
  <c r="BB68" i="52"/>
  <c r="BB75" i="52" s="1"/>
  <c r="BA68" i="52"/>
  <c r="BA75" i="52" s="1"/>
  <c r="AZ68" i="52"/>
  <c r="AZ75" i="52" s="1"/>
  <c r="AI68" i="52"/>
  <c r="AH68" i="52"/>
  <c r="BW67" i="52"/>
  <c r="BW74" i="52" s="1"/>
  <c r="BV67" i="52"/>
  <c r="BV74" i="52" s="1"/>
  <c r="BU67" i="52"/>
  <c r="BU74" i="52" s="1"/>
  <c r="BT67" i="52"/>
  <c r="BT74" i="52" s="1"/>
  <c r="BS67" i="52"/>
  <c r="BS74" i="52" s="1"/>
  <c r="BR67" i="52"/>
  <c r="BR74" i="52" s="1"/>
  <c r="BQ67" i="52"/>
  <c r="BQ74" i="52" s="1"/>
  <c r="BP67" i="52"/>
  <c r="BP74" i="52" s="1"/>
  <c r="BO67" i="52"/>
  <c r="BO74" i="52" s="1"/>
  <c r="BN67" i="52"/>
  <c r="BN74" i="52" s="1"/>
  <c r="BM67" i="52"/>
  <c r="BM74" i="52" s="1"/>
  <c r="BL67" i="52"/>
  <c r="BL74" i="52" s="1"/>
  <c r="BK67" i="52"/>
  <c r="BJ67" i="52"/>
  <c r="BI67" i="52"/>
  <c r="BI74" i="52" s="1"/>
  <c r="BH67" i="52"/>
  <c r="BH74" i="52" s="1"/>
  <c r="BG67" i="52"/>
  <c r="BG74" i="52" s="1"/>
  <c r="BF67" i="52"/>
  <c r="BF74" i="52" s="1"/>
  <c r="BE67" i="52"/>
  <c r="BE74" i="52" s="1"/>
  <c r="BD67" i="52"/>
  <c r="BD74" i="52" s="1"/>
  <c r="BC67" i="52"/>
  <c r="BB67" i="52"/>
  <c r="BA67" i="52"/>
  <c r="BA74" i="52" s="1"/>
  <c r="AZ67" i="52"/>
  <c r="AZ74" i="52" s="1"/>
  <c r="AI67" i="52"/>
  <c r="AH67" i="52"/>
  <c r="BW66" i="52"/>
  <c r="BW73" i="52" s="1"/>
  <c r="BV66" i="52"/>
  <c r="BV73" i="52" s="1"/>
  <c r="BU66" i="52"/>
  <c r="BU73" i="52" s="1"/>
  <c r="BT66" i="52"/>
  <c r="BS66" i="52"/>
  <c r="BS73" i="52" s="1"/>
  <c r="BR66" i="52"/>
  <c r="BR73" i="52" s="1"/>
  <c r="BQ66" i="52"/>
  <c r="BQ73" i="52" s="1"/>
  <c r="BP66" i="52"/>
  <c r="BP73" i="52" s="1"/>
  <c r="BO66" i="52"/>
  <c r="BO73" i="52" s="1"/>
  <c r="BN66" i="52"/>
  <c r="BN73" i="52" s="1"/>
  <c r="BM66" i="52"/>
  <c r="BM73" i="52" s="1"/>
  <c r="BL66" i="52"/>
  <c r="BK66" i="52"/>
  <c r="BK73" i="52" s="1"/>
  <c r="BJ66" i="52"/>
  <c r="BJ73" i="52" s="1"/>
  <c r="BI66" i="52"/>
  <c r="BI73" i="52" s="1"/>
  <c r="BH66" i="52"/>
  <c r="BH73" i="52" s="1"/>
  <c r="BG66" i="52"/>
  <c r="BG73" i="52" s="1"/>
  <c r="BF66" i="52"/>
  <c r="BF73" i="52" s="1"/>
  <c r="BE66" i="52"/>
  <c r="BE73" i="52" s="1"/>
  <c r="BD66" i="52"/>
  <c r="BC66" i="52"/>
  <c r="BC73" i="52" s="1"/>
  <c r="BB66" i="52"/>
  <c r="BB73" i="52" s="1"/>
  <c r="BA66" i="52"/>
  <c r="BA73" i="52" s="1"/>
  <c r="AZ66" i="52"/>
  <c r="AZ73" i="52" s="1"/>
  <c r="AI66" i="52"/>
  <c r="AH66" i="52"/>
  <c r="AG65" i="52"/>
  <c r="BJ17" i="52"/>
  <c r="BI17" i="52"/>
  <c r="AD65" i="52"/>
  <c r="AC65" i="52"/>
  <c r="BE17" i="52"/>
  <c r="R65" i="52"/>
  <c r="Q65" i="52"/>
  <c r="AY17" i="52" s="1"/>
  <c r="P65" i="52"/>
  <c r="AX17" i="52" s="1"/>
  <c r="O65" i="52"/>
  <c r="AW17" i="52" s="1"/>
  <c r="N65" i="52"/>
  <c r="M65" i="52"/>
  <c r="L65" i="52"/>
  <c r="K65" i="52"/>
  <c r="AT17" i="52" s="1"/>
  <c r="J65" i="52"/>
  <c r="I65" i="52"/>
  <c r="AS17" i="52" s="1"/>
  <c r="H65" i="52"/>
  <c r="G65" i="52"/>
  <c r="F65" i="52"/>
  <c r="AQ17" i="52" s="1"/>
  <c r="E65" i="52"/>
  <c r="AI64" i="52"/>
  <c r="AH64" i="52"/>
  <c r="AI63" i="52"/>
  <c r="AH63" i="52"/>
  <c r="AI62" i="52"/>
  <c r="AH62" i="52"/>
  <c r="AG61" i="52"/>
  <c r="AF7" i="52"/>
  <c r="AD61" i="52"/>
  <c r="AD100" i="52" s="1"/>
  <c r="AD102" i="52" s="1"/>
  <c r="AC61" i="52"/>
  <c r="X7" i="52"/>
  <c r="V7" i="52"/>
  <c r="R61" i="52"/>
  <c r="AZ16" i="52" s="1"/>
  <c r="AZ22" i="52" s="1"/>
  <c r="AZ24" i="52" s="1"/>
  <c r="Q61" i="52"/>
  <c r="AY16" i="52" s="1"/>
  <c r="P61" i="52"/>
  <c r="O61" i="52"/>
  <c r="N61" i="52"/>
  <c r="AV16" i="52" s="1"/>
  <c r="M61" i="52"/>
  <c r="AU16" i="52" s="1"/>
  <c r="L61" i="52"/>
  <c r="K61" i="52"/>
  <c r="J61" i="52"/>
  <c r="I61" i="52"/>
  <c r="AS16" i="52" s="1"/>
  <c r="H61" i="52"/>
  <c r="G61" i="52"/>
  <c r="F61" i="52"/>
  <c r="E61" i="52"/>
  <c r="AI60" i="52"/>
  <c r="AH60" i="52"/>
  <c r="AI59" i="52"/>
  <c r="AH59" i="52"/>
  <c r="AI58" i="52"/>
  <c r="AH58" i="52"/>
  <c r="AI57" i="52"/>
  <c r="AH57" i="52"/>
  <c r="AI56" i="52"/>
  <c r="AH56" i="52"/>
  <c r="AI55" i="52"/>
  <c r="AH55" i="52"/>
  <c r="AI54" i="52"/>
  <c r="AH54" i="52"/>
  <c r="AI53" i="52"/>
  <c r="AH53" i="52"/>
  <c r="AI52" i="52"/>
  <c r="AH52" i="52"/>
  <c r="AI51" i="52"/>
  <c r="AH51" i="52"/>
  <c r="AI50" i="52"/>
  <c r="AH50" i="52"/>
  <c r="AI49" i="52"/>
  <c r="AH49" i="52"/>
  <c r="AI48" i="52"/>
  <c r="AH48" i="52"/>
  <c r="AI47" i="52"/>
  <c r="AH47" i="52"/>
  <c r="AI46" i="52"/>
  <c r="AH46" i="52"/>
  <c r="AI45" i="52"/>
  <c r="AH45" i="52"/>
  <c r="AI44" i="52"/>
  <c r="AH44" i="52"/>
  <c r="AI43" i="52"/>
  <c r="AH43" i="52"/>
  <c r="AI42" i="52"/>
  <c r="AH42" i="52"/>
  <c r="AI41" i="52"/>
  <c r="AH41" i="52"/>
  <c r="AI40" i="52"/>
  <c r="AH40" i="52"/>
  <c r="AI39" i="52"/>
  <c r="AH39" i="52"/>
  <c r="AI38" i="52"/>
  <c r="AH38" i="52"/>
  <c r="AI37" i="52"/>
  <c r="AH37" i="52"/>
  <c r="AI36" i="52"/>
  <c r="AH36" i="52"/>
  <c r="AI35" i="52"/>
  <c r="AH35" i="52"/>
  <c r="AI34" i="52"/>
  <c r="AH34" i="52"/>
  <c r="AI33" i="52"/>
  <c r="AH33" i="52"/>
  <c r="AI32" i="52"/>
  <c r="AH32" i="52"/>
  <c r="AI31" i="52"/>
  <c r="AH31" i="52"/>
  <c r="AI30" i="52"/>
  <c r="AH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BJ23" i="52"/>
  <c r="BI23" i="52"/>
  <c r="BE23" i="52"/>
  <c r="BD23" i="52"/>
  <c r="BB23" i="52"/>
  <c r="AX23" i="52"/>
  <c r="AR23" i="52"/>
  <c r="AI23" i="52"/>
  <c r="AH23" i="52"/>
  <c r="AI22" i="52"/>
  <c r="AH22" i="52"/>
  <c r="BJ21" i="52"/>
  <c r="BI21" i="52"/>
  <c r="BH21" i="52"/>
  <c r="BG21" i="52"/>
  <c r="BF21" i="52"/>
  <c r="BE21" i="52"/>
  <c r="BD21" i="52"/>
  <c r="BC21" i="52"/>
  <c r="BB21" i="52"/>
  <c r="BA21" i="52"/>
  <c r="AZ21" i="52"/>
  <c r="AY21" i="52"/>
  <c r="AX21" i="52"/>
  <c r="AW21" i="52"/>
  <c r="AV21" i="52"/>
  <c r="AU21" i="52"/>
  <c r="AT21" i="52"/>
  <c r="AS21" i="52"/>
  <c r="AR21" i="52"/>
  <c r="AQ21" i="52"/>
  <c r="AP21" i="52"/>
  <c r="AO21" i="52"/>
  <c r="AN21" i="52"/>
  <c r="AM21" i="52"/>
  <c r="AI21" i="52"/>
  <c r="AH21" i="52"/>
  <c r="BJ20" i="52"/>
  <c r="BI20" i="52"/>
  <c r="BH20" i="52"/>
  <c r="BG20" i="52"/>
  <c r="BF20" i="52"/>
  <c r="BE20" i="52"/>
  <c r="BD20" i="52"/>
  <c r="BC20" i="52"/>
  <c r="BB20" i="52"/>
  <c r="BA20" i="52"/>
  <c r="AZ20" i="52"/>
  <c r="AW20" i="52"/>
  <c r="AV20" i="52"/>
  <c r="AU20" i="52"/>
  <c r="AT20" i="52"/>
  <c r="AS20" i="52"/>
  <c r="AR20" i="52"/>
  <c r="AQ20" i="52"/>
  <c r="AN20" i="52"/>
  <c r="AI20" i="52"/>
  <c r="AH20" i="52"/>
  <c r="BJ19" i="52"/>
  <c r="BI19" i="52"/>
  <c r="BH19" i="52"/>
  <c r="BF19" i="52"/>
  <c r="BE19" i="52"/>
  <c r="BD19" i="52"/>
  <c r="BC19" i="52"/>
  <c r="BB19" i="52"/>
  <c r="BA19" i="52"/>
  <c r="AZ19" i="52"/>
  <c r="AX19" i="52"/>
  <c r="AI19" i="52"/>
  <c r="AH19" i="52"/>
  <c r="BJ18" i="52"/>
  <c r="BI18" i="52"/>
  <c r="BH18" i="52"/>
  <c r="BG18" i="52"/>
  <c r="BF18" i="52"/>
  <c r="BE18" i="52"/>
  <c r="BD18" i="52"/>
  <c r="BC18" i="52"/>
  <c r="BB18" i="52"/>
  <c r="AY18" i="52"/>
  <c r="AX18" i="52"/>
  <c r="AW18" i="52"/>
  <c r="AU18" i="52"/>
  <c r="AS18" i="52"/>
  <c r="AR18" i="52"/>
  <c r="AQ18" i="52"/>
  <c r="AO18" i="52"/>
  <c r="AM18" i="52"/>
  <c r="AI18" i="52"/>
  <c r="AH18" i="52"/>
  <c r="BH17" i="52"/>
  <c r="BG17" i="52"/>
  <c r="BF17" i="52"/>
  <c r="BD17" i="52"/>
  <c r="BC17" i="52"/>
  <c r="BB17" i="52"/>
  <c r="BA17" i="52"/>
  <c r="AZ17" i="52"/>
  <c r="AV17" i="52"/>
  <c r="AU17" i="52"/>
  <c r="AR17" i="52"/>
  <c r="AP17" i="52"/>
  <c r="AO17" i="52"/>
  <c r="AN17" i="52"/>
  <c r="AM17" i="52"/>
  <c r="AI17" i="52"/>
  <c r="AH17" i="52"/>
  <c r="BI16" i="52"/>
  <c r="BG16" i="52"/>
  <c r="BF16" i="52"/>
  <c r="BD16" i="52"/>
  <c r="BC16" i="52"/>
  <c r="BB16" i="52"/>
  <c r="BA16" i="52"/>
  <c r="AT16" i="52"/>
  <c r="AO16" i="52"/>
  <c r="AM16" i="52"/>
  <c r="AI16" i="52"/>
  <c r="AH16" i="52"/>
  <c r="AI15" i="52"/>
  <c r="AH15" i="52"/>
  <c r="AI14" i="52"/>
  <c r="AH14" i="52"/>
  <c r="AI13" i="52"/>
  <c r="AH13" i="52"/>
  <c r="AL12" i="52"/>
  <c r="AI12" i="52"/>
  <c r="AH12" i="52"/>
  <c r="AI11" i="52"/>
  <c r="AH11" i="52"/>
  <c r="AE7" i="52"/>
  <c r="W7" i="52"/>
  <c r="AE5" i="52"/>
  <c r="AD5" i="52"/>
  <c r="AA5" i="52"/>
  <c r="Z5" i="52"/>
  <c r="Y5" i="52"/>
  <c r="X5" i="52"/>
  <c r="W5" i="52"/>
  <c r="V5" i="52"/>
  <c r="U5" i="52"/>
  <c r="T5" i="52"/>
  <c r="S5" i="52"/>
  <c r="R5" i="52"/>
  <c r="Q5" i="52"/>
  <c r="K5" i="52"/>
  <c r="I5" i="52"/>
  <c r="C5" i="52"/>
  <c r="AG4" i="52"/>
  <c r="K4" i="52"/>
  <c r="E4" i="52"/>
  <c r="H4" i="52" s="1"/>
  <c r="B4" i="52"/>
  <c r="D261" i="52" s="1"/>
  <c r="AG3" i="52"/>
  <c r="AF61" i="51"/>
  <c r="AF65" i="51"/>
  <c r="AF79" i="51"/>
  <c r="AF83" i="51"/>
  <c r="AF95" i="51"/>
  <c r="AF104" i="51"/>
  <c r="AF105" i="51"/>
  <c r="AF106" i="51"/>
  <c r="AF107" i="51"/>
  <c r="AF108" i="51"/>
  <c r="AF109" i="51"/>
  <c r="AF121" i="51"/>
  <c r="AE61" i="51"/>
  <c r="AE65" i="51"/>
  <c r="AE79" i="51"/>
  <c r="AE83" i="51"/>
  <c r="AE95" i="51"/>
  <c r="AE104" i="51"/>
  <c r="AE105" i="51"/>
  <c r="AE106" i="51"/>
  <c r="AE107" i="51"/>
  <c r="AE108" i="51"/>
  <c r="AE109" i="51"/>
  <c r="AE121" i="51"/>
  <c r="BI22" i="52" l="1"/>
  <c r="BI24" i="52" s="1"/>
  <c r="AD110" i="52"/>
  <c r="BH23" i="52" s="1"/>
  <c r="AC5" i="52"/>
  <c r="BH16" i="52"/>
  <c r="BH22" i="52" s="1"/>
  <c r="BH24" i="52" s="1"/>
  <c r="AC100" i="52"/>
  <c r="AC102" i="52" s="1"/>
  <c r="AB111" i="52"/>
  <c r="BG19" i="52"/>
  <c r="AB100" i="52"/>
  <c r="AB102" i="52" s="1"/>
  <c r="AB103" i="52" s="1"/>
  <c r="AB7" i="52" s="1"/>
  <c r="BG22" i="52"/>
  <c r="BG24" i="52" s="1"/>
  <c r="BF22" i="52"/>
  <c r="BF24" i="52" s="1"/>
  <c r="BD22" i="52"/>
  <c r="BD24" i="52" s="1"/>
  <c r="BC22" i="52"/>
  <c r="BB22" i="52"/>
  <c r="BB24" i="52" s="1"/>
  <c r="BA22" i="52"/>
  <c r="BA24" i="52" s="1"/>
  <c r="Q111" i="52"/>
  <c r="AY19" i="52"/>
  <c r="P5" i="52"/>
  <c r="AY22" i="52"/>
  <c r="AY24" i="52" s="1"/>
  <c r="O5" i="52"/>
  <c r="O110" i="52"/>
  <c r="AW23" i="52" s="1"/>
  <c r="N5" i="52"/>
  <c r="AW19" i="52"/>
  <c r="O100" i="52"/>
  <c r="O102" i="52" s="1"/>
  <c r="O103" i="52" s="1"/>
  <c r="O7" i="52" s="1"/>
  <c r="M5" i="52"/>
  <c r="AV19" i="52"/>
  <c r="AV22" i="52" s="1"/>
  <c r="AV24" i="52" s="1"/>
  <c r="L5" i="52"/>
  <c r="L100" i="52"/>
  <c r="L102" i="52" s="1"/>
  <c r="M100" i="52"/>
  <c r="M102" i="52" s="1"/>
  <c r="L110" i="52"/>
  <c r="L111" i="52" s="1"/>
  <c r="N100" i="52"/>
  <c r="N102" i="52" s="1"/>
  <c r="N103" i="52" s="1"/>
  <c r="N7" i="52" s="1"/>
  <c r="AU22" i="52"/>
  <c r="K111" i="52"/>
  <c r="AT19" i="52"/>
  <c r="J5" i="52"/>
  <c r="AT22" i="52"/>
  <c r="AT24" i="52" s="1"/>
  <c r="J111" i="52"/>
  <c r="I111" i="52"/>
  <c r="AS19" i="52"/>
  <c r="G5" i="52"/>
  <c r="AH65" i="52"/>
  <c r="H100" i="52"/>
  <c r="H102" i="52" s="1"/>
  <c r="H103" i="52" s="1"/>
  <c r="H7" i="52" s="1"/>
  <c r="G100" i="52"/>
  <c r="G102" i="52" s="1"/>
  <c r="G103" i="52" s="1"/>
  <c r="G7" i="52" s="1"/>
  <c r="AR19" i="52"/>
  <c r="F5" i="52"/>
  <c r="AR16" i="52"/>
  <c r="F110" i="52"/>
  <c r="AQ23" i="52" s="1"/>
  <c r="AQ19" i="52"/>
  <c r="F100" i="52"/>
  <c r="F102" i="52" s="1"/>
  <c r="E5" i="52"/>
  <c r="AQ16" i="52"/>
  <c r="AQ22" i="52" s="1"/>
  <c r="AI104" i="52"/>
  <c r="D110" i="52"/>
  <c r="AO23" i="52" s="1"/>
  <c r="D5" i="52"/>
  <c r="D100" i="52"/>
  <c r="D102" i="52" s="1"/>
  <c r="D103" i="52" s="1"/>
  <c r="D7" i="52" s="1"/>
  <c r="E100" i="52"/>
  <c r="E102" i="52" s="1"/>
  <c r="AP16" i="52"/>
  <c r="AP22" i="52" s="1"/>
  <c r="AH109" i="52"/>
  <c r="D111" i="52"/>
  <c r="AO22" i="52"/>
  <c r="AO24" i="52" s="1"/>
  <c r="AI65" i="52"/>
  <c r="AN19" i="52"/>
  <c r="C100" i="52"/>
  <c r="C102" i="52" s="1"/>
  <c r="AN16" i="52"/>
  <c r="AN22" i="52" s="1"/>
  <c r="AI79" i="52"/>
  <c r="C110" i="52"/>
  <c r="AH106" i="52"/>
  <c r="B100" i="52"/>
  <c r="B102" i="52" s="1"/>
  <c r="B103" i="52" s="1"/>
  <c r="AF5" i="52"/>
  <c r="AM19" i="52"/>
  <c r="AM22" i="52" s="1"/>
  <c r="AS22" i="52"/>
  <c r="AS24" i="52" s="1"/>
  <c r="AG100" i="52"/>
  <c r="AH79" i="52"/>
  <c r="BG82" i="52" a="1"/>
  <c r="I100" i="52"/>
  <c r="I102" i="52" s="1"/>
  <c r="I103" i="52" s="1"/>
  <c r="I7" i="52" s="1"/>
  <c r="AI83" i="52"/>
  <c r="Y7" i="52"/>
  <c r="AG2" i="52"/>
  <c r="AG6" i="52" s="1"/>
  <c r="J100" i="52"/>
  <c r="J102" i="52" s="1"/>
  <c r="J103" i="52" s="1"/>
  <c r="J7" i="52" s="1"/>
  <c r="R100" i="52"/>
  <c r="R102" i="52" s="1"/>
  <c r="R103" i="52" s="1"/>
  <c r="R7" i="52" s="1"/>
  <c r="Z7" i="52"/>
  <c r="AH61" i="52"/>
  <c r="E111" i="52"/>
  <c r="E110" i="52"/>
  <c r="AP23" i="52" s="1"/>
  <c r="M110" i="52"/>
  <c r="AU23" i="52" s="1"/>
  <c r="BC23" i="52"/>
  <c r="AC110" i="52"/>
  <c r="AC111" i="52" s="1"/>
  <c r="P100" i="52"/>
  <c r="P102" i="52" s="1"/>
  <c r="P103" i="52" s="1"/>
  <c r="P7" i="52" s="1"/>
  <c r="BJ16" i="52"/>
  <c r="BJ22" i="52" s="1"/>
  <c r="BJ24" i="52" s="1"/>
  <c r="Q100" i="52"/>
  <c r="Q102" i="52" s="1"/>
  <c r="Q103" i="52" s="1"/>
  <c r="Q7" i="52" s="1"/>
  <c r="AL13" i="52"/>
  <c r="K100" i="52"/>
  <c r="K102" i="52" s="1"/>
  <c r="K103" i="52" s="1"/>
  <c r="K7" i="52" s="1"/>
  <c r="AA7" i="52"/>
  <c r="AI61" i="52"/>
  <c r="AW16" i="52"/>
  <c r="AW22" i="52" s="1"/>
  <c r="AW24" i="52" s="1"/>
  <c r="BE16" i="52"/>
  <c r="BE22" i="52" s="1"/>
  <c r="BE24" i="52" s="1"/>
  <c r="L103" i="52"/>
  <c r="L7" i="52" s="1"/>
  <c r="T7" i="52"/>
  <c r="AI107" i="52"/>
  <c r="E254" i="52"/>
  <c r="F254" i="52" s="1"/>
  <c r="G254" i="52" s="1"/>
  <c r="H254" i="52" s="1"/>
  <c r="I254" i="52" s="1"/>
  <c r="J254" i="52" s="1"/>
  <c r="K254" i="52" s="1"/>
  <c r="L254" i="52" s="1"/>
  <c r="M254" i="52" s="1"/>
  <c r="N254" i="52" s="1"/>
  <c r="O254" i="52" s="1"/>
  <c r="P254" i="52" s="1"/>
  <c r="Q254" i="52" s="1"/>
  <c r="R254" i="52" s="1"/>
  <c r="S254" i="52" s="1"/>
  <c r="T254" i="52" s="1"/>
  <c r="U254" i="52" s="1"/>
  <c r="V254" i="52" s="1"/>
  <c r="W254" i="52" s="1"/>
  <c r="X254" i="52" s="1"/>
  <c r="Y254" i="52" s="1"/>
  <c r="Z254" i="52" s="1"/>
  <c r="AA254" i="52" s="1"/>
  <c r="AB254" i="52" s="1"/>
  <c r="AC254" i="52" s="1"/>
  <c r="AD254" i="52" s="1"/>
  <c r="AE254" i="52" s="1"/>
  <c r="AF254" i="52" s="1"/>
  <c r="B254" i="52" s="1"/>
  <c r="AX16" i="52"/>
  <c r="AX22" i="52" s="1"/>
  <c r="AX24" i="52" s="1"/>
  <c r="AG102" i="52"/>
  <c r="AI106" i="52"/>
  <c r="AH83" i="52"/>
  <c r="AH95" i="52"/>
  <c r="AI95" i="52"/>
  <c r="AH104" i="52"/>
  <c r="AH105" i="52"/>
  <c r="E249" i="52"/>
  <c r="AH107" i="52"/>
  <c r="AH108" i="52"/>
  <c r="AF110" i="51"/>
  <c r="AF100" i="51"/>
  <c r="AF102" i="51" s="1"/>
  <c r="AF103" i="51" s="1"/>
  <c r="AF111" i="51"/>
  <c r="AE110" i="51"/>
  <c r="AE100" i="51"/>
  <c r="AE102" i="51" s="1"/>
  <c r="AE103" i="51" s="1"/>
  <c r="AE111" i="51"/>
  <c r="AD103" i="52" l="1"/>
  <c r="AD7" i="52" s="1"/>
  <c r="AD111" i="52"/>
  <c r="AH111" i="52" s="1"/>
  <c r="BC24" i="52"/>
  <c r="O111" i="52"/>
  <c r="AU24" i="52"/>
  <c r="M111" i="52"/>
  <c r="M103" i="52"/>
  <c r="M7" i="52" s="1"/>
  <c r="AR22" i="52"/>
  <c r="AR24" i="52" s="1"/>
  <c r="F111" i="52"/>
  <c r="AQ24" i="52"/>
  <c r="F103" i="52"/>
  <c r="F7" i="52" s="1"/>
  <c r="AP24" i="52"/>
  <c r="AN23" i="52"/>
  <c r="AN24" i="52" s="1"/>
  <c r="C111" i="52"/>
  <c r="C103" i="52"/>
  <c r="C7" i="52" s="1"/>
  <c r="BK105" i="52"/>
  <c r="BI104" i="52"/>
  <c r="BG103" i="52"/>
  <c r="BK101" i="52"/>
  <c r="BI100" i="52"/>
  <c r="BG99" i="52"/>
  <c r="BK97" i="52"/>
  <c r="BI96" i="52"/>
  <c r="BG95" i="52"/>
  <c r="BK93" i="52"/>
  <c r="BI92" i="52"/>
  <c r="BG91" i="52"/>
  <c r="BK89" i="52"/>
  <c r="BI88" i="52"/>
  <c r="BG87" i="52"/>
  <c r="BK85" i="52"/>
  <c r="BI84" i="52"/>
  <c r="BG83" i="52"/>
  <c r="BJ105" i="52"/>
  <c r="BH104" i="52"/>
  <c r="BL102" i="52"/>
  <c r="BJ101" i="52"/>
  <c r="BH100" i="52"/>
  <c r="BL98" i="52"/>
  <c r="BJ97" i="52"/>
  <c r="BH96" i="52"/>
  <c r="BL94" i="52"/>
  <c r="BJ93" i="52"/>
  <c r="BH92" i="52"/>
  <c r="BL90" i="52"/>
  <c r="BJ89" i="52"/>
  <c r="BH88" i="52"/>
  <c r="BL86" i="52"/>
  <c r="BJ85" i="52"/>
  <c r="BH84" i="52"/>
  <c r="BL82" i="52"/>
  <c r="BI105" i="52"/>
  <c r="BG104" i="52"/>
  <c r="BK102" i="52"/>
  <c r="BI101" i="52"/>
  <c r="BG100" i="52"/>
  <c r="BK98" i="52"/>
  <c r="BI97" i="52"/>
  <c r="BG96" i="52"/>
  <c r="BK94" i="52"/>
  <c r="BI93" i="52"/>
  <c r="BG92" i="52"/>
  <c r="BK90" i="52"/>
  <c r="BI89" i="52"/>
  <c r="BG88" i="52"/>
  <c r="BK86" i="52"/>
  <c r="BI85" i="52"/>
  <c r="BG84" i="52"/>
  <c r="BK82" i="52"/>
  <c r="BH105" i="52"/>
  <c r="BL103" i="52"/>
  <c r="BJ102" i="52"/>
  <c r="BH101" i="52"/>
  <c r="BL99" i="52"/>
  <c r="BJ98" i="52"/>
  <c r="BH97" i="52"/>
  <c r="BL95" i="52"/>
  <c r="BJ94" i="52"/>
  <c r="BH93" i="52"/>
  <c r="BL91" i="52"/>
  <c r="BJ90" i="52"/>
  <c r="BH89" i="52"/>
  <c r="BL87" i="52"/>
  <c r="BJ86" i="52"/>
  <c r="BH85" i="52"/>
  <c r="BL83" i="52"/>
  <c r="BJ82" i="52"/>
  <c r="BG105" i="52"/>
  <c r="BK103" i="52"/>
  <c r="BI102" i="52"/>
  <c r="BG101" i="52"/>
  <c r="BK99" i="52"/>
  <c r="BI98" i="52"/>
  <c r="BG97" i="52"/>
  <c r="BK95" i="52"/>
  <c r="BI94" i="52"/>
  <c r="BG93" i="52"/>
  <c r="BK91" i="52"/>
  <c r="BI90" i="52"/>
  <c r="BG89" i="52"/>
  <c r="BK87" i="52"/>
  <c r="BI86" i="52"/>
  <c r="BG85" i="52"/>
  <c r="BK83" i="52"/>
  <c r="BI82" i="52"/>
  <c r="BL104" i="52"/>
  <c r="BJ103" i="52"/>
  <c r="BH102" i="52"/>
  <c r="BL100" i="52"/>
  <c r="BJ99" i="52"/>
  <c r="BH98" i="52"/>
  <c r="BL96" i="52"/>
  <c r="BJ95" i="52"/>
  <c r="BH94" i="52"/>
  <c r="BL92" i="52"/>
  <c r="BJ91" i="52"/>
  <c r="BH90" i="52"/>
  <c r="BL88" i="52"/>
  <c r="BJ87" i="52"/>
  <c r="BH86" i="52"/>
  <c r="BL84" i="52"/>
  <c r="BJ83" i="52"/>
  <c r="BH82" i="52"/>
  <c r="BK104" i="52"/>
  <c r="BI103" i="52"/>
  <c r="BG102" i="52"/>
  <c r="BK100" i="52"/>
  <c r="BI99" i="52"/>
  <c r="BG98" i="52"/>
  <c r="BK96" i="52"/>
  <c r="BI95" i="52"/>
  <c r="BG94" i="52"/>
  <c r="BK92" i="52"/>
  <c r="BI91" i="52"/>
  <c r="BG90" i="52"/>
  <c r="BK88" i="52"/>
  <c r="BI87" i="52"/>
  <c r="BG86" i="52"/>
  <c r="BK84" i="52"/>
  <c r="BI83" i="52"/>
  <c r="BG82" i="52"/>
  <c r="BL101" i="52"/>
  <c r="BH91" i="52"/>
  <c r="BJ84" i="52"/>
  <c r="BJ100" i="52"/>
  <c r="BL89" i="52"/>
  <c r="BH99" i="52"/>
  <c r="BJ88" i="52"/>
  <c r="BL97" i="52"/>
  <c r="BH87" i="52"/>
  <c r="BH95" i="52"/>
  <c r="BL85" i="52"/>
  <c r="BJ104" i="52"/>
  <c r="BL93" i="52"/>
  <c r="BH83" i="52"/>
  <c r="BH103" i="52"/>
  <c r="BJ92" i="52"/>
  <c r="BJ96" i="52"/>
  <c r="BL105" i="52"/>
  <c r="AI111" i="52"/>
  <c r="U7" i="52"/>
  <c r="B259" i="52"/>
  <c r="F249" i="52"/>
  <c r="E121" i="52"/>
  <c r="E255" i="52"/>
  <c r="AT8" i="52"/>
  <c r="AC103" i="52"/>
  <c r="AC7" i="52" s="1"/>
  <c r="C259" i="52"/>
  <c r="AI110" i="52"/>
  <c r="AH110" i="52"/>
  <c r="AM23" i="52"/>
  <c r="AM24" i="52" s="1"/>
  <c r="E103" i="52"/>
  <c r="E7" i="52" s="1"/>
  <c r="AI100" i="52"/>
  <c r="AH100" i="52"/>
  <c r="AT9" i="52" l="1"/>
  <c r="G249" i="52"/>
  <c r="F255" i="52"/>
  <c r="F121" i="52"/>
  <c r="K6" i="52"/>
  <c r="AI102" i="52"/>
  <c r="AH102" i="52"/>
  <c r="AI103" i="52" l="1"/>
  <c r="AH103" i="52"/>
  <c r="B7" i="52"/>
  <c r="A7" i="52" s="1"/>
  <c r="H249" i="52"/>
  <c r="G255" i="52"/>
  <c r="G121" i="52"/>
  <c r="I249" i="52" l="1"/>
  <c r="H255" i="52"/>
  <c r="H121" i="52"/>
  <c r="I255" i="52" l="1"/>
  <c r="I121" i="52"/>
  <c r="J249" i="52"/>
  <c r="J255" i="52" l="1"/>
  <c r="J121" i="52"/>
  <c r="K249" i="52"/>
  <c r="K255" i="52" l="1"/>
  <c r="K121" i="52"/>
  <c r="L249" i="52"/>
  <c r="L255" i="52" l="1"/>
  <c r="L121" i="52"/>
  <c r="M249" i="52"/>
  <c r="N249" i="52" l="1"/>
  <c r="M255" i="52"/>
  <c r="M121" i="52"/>
  <c r="O249" i="52" l="1"/>
  <c r="N255" i="52"/>
  <c r="N121" i="52"/>
  <c r="P249" i="52" l="1"/>
  <c r="O255" i="52"/>
  <c r="O121" i="52"/>
  <c r="Q249" i="52" l="1"/>
  <c r="P255" i="52"/>
  <c r="Q255" i="52" l="1"/>
  <c r="Q121" i="52"/>
  <c r="R249" i="52"/>
  <c r="R255" i="52" l="1"/>
  <c r="R121" i="52"/>
  <c r="S249" i="52"/>
  <c r="S255" i="52" l="1"/>
  <c r="T249" i="52"/>
  <c r="AD61" i="51"/>
  <c r="AD65" i="51"/>
  <c r="AD79" i="51"/>
  <c r="AD83" i="51"/>
  <c r="AD95" i="51"/>
  <c r="AD104" i="51"/>
  <c r="AD105" i="51"/>
  <c r="AD106" i="51"/>
  <c r="AD107" i="51"/>
  <c r="AD108" i="51"/>
  <c r="AD109" i="51"/>
  <c r="AD121" i="51"/>
  <c r="AC61" i="51"/>
  <c r="AC65" i="51"/>
  <c r="AC79" i="51"/>
  <c r="AC83" i="51"/>
  <c r="AC95" i="51"/>
  <c r="AC104" i="51"/>
  <c r="AC105" i="51"/>
  <c r="AC106" i="51"/>
  <c r="AC107" i="51"/>
  <c r="AC108" i="51"/>
  <c r="AC109" i="51"/>
  <c r="AC121" i="51"/>
  <c r="AB61" i="51"/>
  <c r="AB65" i="51"/>
  <c r="AB79" i="51"/>
  <c r="AB83" i="51"/>
  <c r="AB95" i="51"/>
  <c r="AB104" i="51"/>
  <c r="AB105" i="51"/>
  <c r="AB106" i="51"/>
  <c r="AB107" i="51"/>
  <c r="AB108" i="51"/>
  <c r="AB109" i="51"/>
  <c r="AB121" i="51"/>
  <c r="AA61" i="51"/>
  <c r="AA65" i="51"/>
  <c r="AA79" i="51"/>
  <c r="AA83" i="51"/>
  <c r="Z61" i="51"/>
  <c r="Z65" i="51"/>
  <c r="Z79" i="51"/>
  <c r="Z83" i="51"/>
  <c r="Y61" i="51"/>
  <c r="Y65" i="51"/>
  <c r="Y79" i="51"/>
  <c r="Y83" i="51"/>
  <c r="X61" i="51"/>
  <c r="X65" i="51"/>
  <c r="X79" i="51"/>
  <c r="X83" i="51"/>
  <c r="W61" i="51"/>
  <c r="W65" i="51"/>
  <c r="W79" i="51"/>
  <c r="W83" i="51"/>
  <c r="V65" i="51"/>
  <c r="V79" i="51"/>
  <c r="V83" i="51"/>
  <c r="U61" i="51"/>
  <c r="U65" i="51"/>
  <c r="U79" i="51"/>
  <c r="U83" i="51"/>
  <c r="T60" i="51"/>
  <c r="T61" i="51"/>
  <c r="T65" i="51"/>
  <c r="T79" i="51"/>
  <c r="T83" i="51"/>
  <c r="S60" i="51"/>
  <c r="S61" i="51"/>
  <c r="S65" i="51"/>
  <c r="S79" i="51"/>
  <c r="S83" i="51"/>
  <c r="R124" i="51"/>
  <c r="R60" i="51"/>
  <c r="R61" i="51"/>
  <c r="R65" i="51"/>
  <c r="R79" i="51"/>
  <c r="R83" i="51"/>
  <c r="T255" i="52" l="1"/>
  <c r="U249" i="52"/>
  <c r="AD110" i="51"/>
  <c r="AD100" i="51"/>
  <c r="AD102" i="51" s="1"/>
  <c r="AD103" i="51" s="1"/>
  <c r="AD111" i="51"/>
  <c r="AC110" i="51"/>
  <c r="AC111" i="51" s="1"/>
  <c r="AC100" i="51"/>
  <c r="AC102" i="51" s="1"/>
  <c r="AC103" i="51" s="1"/>
  <c r="AB100" i="51"/>
  <c r="AB102" i="51" s="1"/>
  <c r="AB110" i="51"/>
  <c r="AB111" i="51" s="1"/>
  <c r="Q124" i="51"/>
  <c r="Q61" i="51"/>
  <c r="Q65" i="51"/>
  <c r="P124" i="51"/>
  <c r="N60" i="51"/>
  <c r="O60" i="51"/>
  <c r="N61" i="51"/>
  <c r="O61" i="51"/>
  <c r="P61" i="51"/>
  <c r="N65" i="51"/>
  <c r="O65" i="51"/>
  <c r="P65" i="51"/>
  <c r="N79" i="51"/>
  <c r="O79" i="51"/>
  <c r="P79" i="51"/>
  <c r="N83" i="51"/>
  <c r="O83" i="51"/>
  <c r="P83" i="51"/>
  <c r="V249" i="52" l="1"/>
  <c r="U255" i="52"/>
  <c r="AB103" i="51"/>
  <c r="W249" i="52" l="1"/>
  <c r="V255" i="52"/>
  <c r="X249" i="52" l="1"/>
  <c r="W255" i="52"/>
  <c r="Y249" i="52" l="1"/>
  <c r="X255" i="52"/>
  <c r="Y255" i="52" l="1"/>
  <c r="Z249" i="52"/>
  <c r="Z255" i="52" l="1"/>
  <c r="AA249" i="52"/>
  <c r="AA255" i="52" l="1"/>
  <c r="AB249" i="52"/>
  <c r="AB255" i="52" l="1"/>
  <c r="AB121" i="52"/>
  <c r="AC249" i="52"/>
  <c r="AC121" i="52" l="1"/>
  <c r="AD249" i="52"/>
  <c r="AC255" i="52"/>
  <c r="AE249" i="52" l="1"/>
  <c r="AD255" i="52"/>
  <c r="AD121" i="52"/>
  <c r="AF249" i="52" l="1"/>
  <c r="AE255" i="52"/>
  <c r="AE121" i="52"/>
  <c r="AF255" i="52" l="1"/>
  <c r="AF121" i="52"/>
  <c r="B249" i="52"/>
  <c r="B255" i="52" l="1"/>
  <c r="AI121" i="52" l="1"/>
  <c r="AH121" i="52"/>
  <c r="M124" i="51" l="1"/>
  <c r="M60" i="51"/>
  <c r="M61" i="51"/>
  <c r="M65" i="51"/>
  <c r="L61" i="51"/>
  <c r="L65" i="51"/>
  <c r="L79" i="51"/>
  <c r="J61" i="51" l="1"/>
  <c r="F61" i="51" l="1"/>
  <c r="F65" i="51"/>
  <c r="AG255" i="51" l="1"/>
  <c r="C255" i="51"/>
  <c r="D254" i="51"/>
  <c r="E254" i="51" s="1"/>
  <c r="F254" i="51" s="1"/>
  <c r="G254" i="51" s="1"/>
  <c r="H254" i="51" s="1"/>
  <c r="I254" i="51" s="1"/>
  <c r="J254" i="51" s="1"/>
  <c r="K254" i="51" s="1"/>
  <c r="L254" i="51" s="1"/>
  <c r="M254" i="51" s="1"/>
  <c r="N254" i="51" s="1"/>
  <c r="O254" i="51" s="1"/>
  <c r="P254" i="51" s="1"/>
  <c r="Q254" i="51" s="1"/>
  <c r="R254" i="51" s="1"/>
  <c r="S254" i="51" s="1"/>
  <c r="T254" i="51" s="1"/>
  <c r="U254" i="51" s="1"/>
  <c r="V254" i="51" s="1"/>
  <c r="W254" i="51" s="1"/>
  <c r="X254" i="51" s="1"/>
  <c r="Y254" i="51" s="1"/>
  <c r="Z254" i="51" s="1"/>
  <c r="AA254" i="51" s="1"/>
  <c r="AB254" i="51" s="1"/>
  <c r="AC254" i="51" s="1"/>
  <c r="AD254" i="51" s="1"/>
  <c r="AE254" i="51" s="1"/>
  <c r="AF254" i="51" s="1"/>
  <c r="B254" i="51" s="1"/>
  <c r="J253" i="51"/>
  <c r="K253" i="51" s="1"/>
  <c r="L253" i="51" s="1"/>
  <c r="M253" i="51" s="1"/>
  <c r="N253" i="51" s="1"/>
  <c r="O253" i="51" s="1"/>
  <c r="P253" i="51" s="1"/>
  <c r="Q253" i="51" s="1"/>
  <c r="R253" i="51" s="1"/>
  <c r="S253" i="51" s="1"/>
  <c r="T253" i="51" s="1"/>
  <c r="U253" i="51" s="1"/>
  <c r="V253" i="51" s="1"/>
  <c r="W253" i="51" s="1"/>
  <c r="X253" i="51" s="1"/>
  <c r="Y253" i="51" s="1"/>
  <c r="Z253" i="51" s="1"/>
  <c r="AA253" i="51" s="1"/>
  <c r="AB253" i="51" s="1"/>
  <c r="AC253" i="51" s="1"/>
  <c r="AD253" i="51" s="1"/>
  <c r="AE253" i="51" s="1"/>
  <c r="AF253" i="51" s="1"/>
  <c r="B253" i="51" s="1"/>
  <c r="D253" i="51"/>
  <c r="E253" i="51" s="1"/>
  <c r="F253" i="51" s="1"/>
  <c r="G253" i="51" s="1"/>
  <c r="H253" i="51" s="1"/>
  <c r="I253" i="51" s="1"/>
  <c r="H252" i="51"/>
  <c r="I252" i="51" s="1"/>
  <c r="J252" i="51" s="1"/>
  <c r="K252" i="51" s="1"/>
  <c r="L252" i="51" s="1"/>
  <c r="M252" i="51" s="1"/>
  <c r="N252" i="51" s="1"/>
  <c r="O252" i="51" s="1"/>
  <c r="P252" i="51" s="1"/>
  <c r="Q252" i="51" s="1"/>
  <c r="R252" i="51" s="1"/>
  <c r="S252" i="51" s="1"/>
  <c r="T252" i="51" s="1"/>
  <c r="U252" i="51" s="1"/>
  <c r="V252" i="51" s="1"/>
  <c r="W252" i="51" s="1"/>
  <c r="X252" i="51" s="1"/>
  <c r="Y252" i="51" s="1"/>
  <c r="Z252" i="51" s="1"/>
  <c r="AA252" i="51" s="1"/>
  <c r="AB252" i="51" s="1"/>
  <c r="AC252" i="51" s="1"/>
  <c r="AD252" i="51" s="1"/>
  <c r="AE252" i="51" s="1"/>
  <c r="AF252" i="51" s="1"/>
  <c r="B252" i="51" s="1"/>
  <c r="E252" i="51"/>
  <c r="F252" i="51" s="1"/>
  <c r="G252" i="51" s="1"/>
  <c r="D252" i="51"/>
  <c r="D251" i="51"/>
  <c r="E251" i="51" s="1"/>
  <c r="F251" i="51" s="1"/>
  <c r="G251" i="51" s="1"/>
  <c r="H251" i="51" s="1"/>
  <c r="I251" i="51" s="1"/>
  <c r="J251" i="51" s="1"/>
  <c r="K251" i="51" s="1"/>
  <c r="L251" i="51" s="1"/>
  <c r="M251" i="51" s="1"/>
  <c r="N251" i="51" s="1"/>
  <c r="O251" i="51" s="1"/>
  <c r="P251" i="51" s="1"/>
  <c r="Q251" i="51" s="1"/>
  <c r="R251" i="51" s="1"/>
  <c r="S251" i="51" s="1"/>
  <c r="T251" i="51" s="1"/>
  <c r="U251" i="51" s="1"/>
  <c r="V251" i="51" s="1"/>
  <c r="W251" i="51" s="1"/>
  <c r="X251" i="51" s="1"/>
  <c r="Y251" i="51" s="1"/>
  <c r="Z251" i="51" s="1"/>
  <c r="AA251" i="51" s="1"/>
  <c r="AB251" i="51" s="1"/>
  <c r="AC251" i="51" s="1"/>
  <c r="AD251" i="51" s="1"/>
  <c r="AE251" i="51" s="1"/>
  <c r="AF251" i="51" s="1"/>
  <c r="B251" i="51" s="1"/>
  <c r="N250" i="51"/>
  <c r="O250" i="51" s="1"/>
  <c r="P250" i="51" s="1"/>
  <c r="Q250" i="51" s="1"/>
  <c r="R250" i="51" s="1"/>
  <c r="S250" i="51" s="1"/>
  <c r="T250" i="51" s="1"/>
  <c r="U250" i="51" s="1"/>
  <c r="V250" i="51" s="1"/>
  <c r="W250" i="51" s="1"/>
  <c r="X250" i="51" s="1"/>
  <c r="Y250" i="51" s="1"/>
  <c r="Z250" i="51" s="1"/>
  <c r="AA250" i="51" s="1"/>
  <c r="AB250" i="51" s="1"/>
  <c r="AC250" i="51" s="1"/>
  <c r="AD250" i="51" s="1"/>
  <c r="AE250" i="51" s="1"/>
  <c r="AF250" i="51" s="1"/>
  <c r="B250" i="51" s="1"/>
  <c r="D250" i="51"/>
  <c r="E250" i="51" s="1"/>
  <c r="F250" i="51" s="1"/>
  <c r="G250" i="51" s="1"/>
  <c r="H250" i="51" s="1"/>
  <c r="I250" i="51" s="1"/>
  <c r="J250" i="51" s="1"/>
  <c r="K250" i="51" s="1"/>
  <c r="L250" i="51" s="1"/>
  <c r="M250" i="51" s="1"/>
  <c r="D249" i="51"/>
  <c r="AG247" i="51"/>
  <c r="AF247" i="51"/>
  <c r="AE247" i="51"/>
  <c r="AD247" i="51"/>
  <c r="AC247" i="51"/>
  <c r="AB247" i="51"/>
  <c r="AA247" i="51"/>
  <c r="Z247" i="51"/>
  <c r="Y247" i="51"/>
  <c r="Y121" i="51" s="1"/>
  <c r="X247" i="51"/>
  <c r="W247" i="51"/>
  <c r="V247" i="51"/>
  <c r="U247" i="51"/>
  <c r="T247" i="51"/>
  <c r="S247" i="51"/>
  <c r="R247" i="51"/>
  <c r="Q247" i="51"/>
  <c r="P247" i="51"/>
  <c r="O247" i="51"/>
  <c r="N247" i="51"/>
  <c r="M247" i="51"/>
  <c r="L247" i="51"/>
  <c r="K247" i="51"/>
  <c r="J247" i="51"/>
  <c r="I247" i="51"/>
  <c r="H247" i="51"/>
  <c r="G247" i="51"/>
  <c r="F247" i="51"/>
  <c r="E247" i="51"/>
  <c r="D247" i="51"/>
  <c r="C247" i="51"/>
  <c r="B247" i="51"/>
  <c r="AI133" i="51"/>
  <c r="AH133" i="51"/>
  <c r="AI132" i="51"/>
  <c r="AH132" i="51"/>
  <c r="AI131" i="51"/>
  <c r="AH131" i="51"/>
  <c r="AI130" i="51"/>
  <c r="AH130" i="51"/>
  <c r="AI129" i="51"/>
  <c r="AH129" i="51"/>
  <c r="AI126" i="51"/>
  <c r="AH126" i="51"/>
  <c r="AI125" i="51"/>
  <c r="AH125" i="51"/>
  <c r="AI124" i="51"/>
  <c r="AH124" i="51"/>
  <c r="AI123" i="51"/>
  <c r="AH123" i="51"/>
  <c r="AI122" i="51"/>
  <c r="AH122" i="51"/>
  <c r="Z121" i="51"/>
  <c r="C121" i="51"/>
  <c r="AI120" i="51"/>
  <c r="AH120" i="51"/>
  <c r="AI119" i="51"/>
  <c r="AH119" i="51"/>
  <c r="AI118" i="51"/>
  <c r="AH118" i="51"/>
  <c r="AI117" i="51"/>
  <c r="AH117" i="51"/>
  <c r="AI116" i="51"/>
  <c r="AH116" i="51"/>
  <c r="AI115" i="51"/>
  <c r="AH115" i="51"/>
  <c r="AI114" i="51"/>
  <c r="AH114" i="51"/>
  <c r="AI113" i="51"/>
  <c r="AH113" i="51"/>
  <c r="AI112" i="51"/>
  <c r="AH112" i="51"/>
  <c r="Q110" i="51"/>
  <c r="AY23" i="51" s="1"/>
  <c r="AA109" i="51"/>
  <c r="Z109" i="51"/>
  <c r="Y109" i="51"/>
  <c r="X109" i="51"/>
  <c r="W109" i="51"/>
  <c r="V109" i="51"/>
  <c r="U109" i="51"/>
  <c r="T109" i="51"/>
  <c r="S109" i="51"/>
  <c r="R109" i="51"/>
  <c r="Q109" i="51"/>
  <c r="P109" i="51"/>
  <c r="O109" i="51"/>
  <c r="N109" i="51"/>
  <c r="M109" i="51"/>
  <c r="L109" i="51"/>
  <c r="K109" i="51"/>
  <c r="J109" i="51"/>
  <c r="I109" i="51"/>
  <c r="H109" i="51"/>
  <c r="G109" i="51"/>
  <c r="F109" i="51"/>
  <c r="E109" i="51"/>
  <c r="D109" i="51"/>
  <c r="C109" i="51"/>
  <c r="B109" i="51"/>
  <c r="AH109" i="51" s="1"/>
  <c r="AA108" i="51"/>
  <c r="Z108" i="51"/>
  <c r="Y108" i="51"/>
  <c r="X108" i="51"/>
  <c r="W108" i="51"/>
  <c r="V108" i="51"/>
  <c r="U108" i="51"/>
  <c r="T108" i="51"/>
  <c r="S108" i="51"/>
  <c r="R108" i="51"/>
  <c r="Q108" i="51"/>
  <c r="P108" i="51"/>
  <c r="O108" i="51"/>
  <c r="N108" i="51"/>
  <c r="M108" i="51"/>
  <c r="L108" i="51"/>
  <c r="K108" i="51"/>
  <c r="K110" i="51" s="1"/>
  <c r="AT23" i="51" s="1"/>
  <c r="J108" i="51"/>
  <c r="I108" i="51"/>
  <c r="H108" i="51"/>
  <c r="G108" i="51"/>
  <c r="F108" i="51"/>
  <c r="E108" i="51"/>
  <c r="D108" i="51"/>
  <c r="C108" i="51"/>
  <c r="B108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AA106" i="51"/>
  <c r="Z106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C110" i="51" s="1"/>
  <c r="AN23" i="51" s="1"/>
  <c r="B106" i="51"/>
  <c r="AA105" i="51"/>
  <c r="Z105" i="51"/>
  <c r="Y105" i="51"/>
  <c r="X105" i="51"/>
  <c r="W105" i="51"/>
  <c r="V105" i="51"/>
  <c r="U105" i="51"/>
  <c r="T105" i="51"/>
  <c r="S105" i="51"/>
  <c r="R105" i="51"/>
  <c r="Q105" i="51"/>
  <c r="P105" i="51"/>
  <c r="O105" i="51"/>
  <c r="N105" i="51"/>
  <c r="N110" i="51" s="1"/>
  <c r="AV23" i="51" s="1"/>
  <c r="M105" i="51"/>
  <c r="L105" i="51"/>
  <c r="K105" i="51"/>
  <c r="J105" i="51"/>
  <c r="I105" i="51"/>
  <c r="H105" i="51"/>
  <c r="G105" i="51"/>
  <c r="F105" i="51"/>
  <c r="E105" i="51"/>
  <c r="D105" i="51"/>
  <c r="C105" i="51"/>
  <c r="B105" i="51"/>
  <c r="AA104" i="51"/>
  <c r="Z104" i="51"/>
  <c r="Z110" i="51" s="1"/>
  <c r="BF23" i="51" s="1"/>
  <c r="Y104" i="51"/>
  <c r="X104" i="51"/>
  <c r="W104" i="51"/>
  <c r="V104" i="51"/>
  <c r="U104" i="51"/>
  <c r="T104" i="51"/>
  <c r="S104" i="51"/>
  <c r="S110" i="51" s="1"/>
  <c r="BA23" i="51" s="1"/>
  <c r="R104" i="51"/>
  <c r="Q104" i="51"/>
  <c r="P104" i="51"/>
  <c r="O104" i="51"/>
  <c r="N104" i="51"/>
  <c r="M104" i="51"/>
  <c r="L104" i="51"/>
  <c r="K104" i="51"/>
  <c r="J104" i="51"/>
  <c r="I104" i="51"/>
  <c r="H104" i="51"/>
  <c r="H110" i="51" s="1"/>
  <c r="G104" i="51"/>
  <c r="F104" i="51"/>
  <c r="E104" i="51"/>
  <c r="D104" i="51"/>
  <c r="C104" i="51"/>
  <c r="B104" i="51"/>
  <c r="AI101" i="51"/>
  <c r="AH101" i="51"/>
  <c r="AI99" i="51"/>
  <c r="AH99" i="51"/>
  <c r="AG99" i="51"/>
  <c r="AI98" i="51"/>
  <c r="AH98" i="51"/>
  <c r="AI97" i="51"/>
  <c r="AH97" i="51"/>
  <c r="AI96" i="51"/>
  <c r="AH96" i="51"/>
  <c r="AG95" i="51"/>
  <c r="AA95" i="51"/>
  <c r="AA100" i="51" s="1"/>
  <c r="AA102" i="51" s="1"/>
  <c r="Z95" i="51"/>
  <c r="BF19" i="51" s="1"/>
  <c r="Y95" i="51"/>
  <c r="X5" i="51" s="1"/>
  <c r="X95" i="51"/>
  <c r="BE19" i="51" s="1"/>
  <c r="W95" i="51"/>
  <c r="V5" i="51" s="1"/>
  <c r="V95" i="51"/>
  <c r="BD19" i="51" s="1"/>
  <c r="U95" i="51"/>
  <c r="BC19" i="51" s="1"/>
  <c r="T95" i="51"/>
  <c r="BB19" i="51" s="1"/>
  <c r="S95" i="51"/>
  <c r="BA19" i="51" s="1"/>
  <c r="R95" i="51"/>
  <c r="R100" i="51" s="1"/>
  <c r="R102" i="51" s="1"/>
  <c r="Q95" i="51"/>
  <c r="P5" i="51" s="1"/>
  <c r="P95" i="51"/>
  <c r="P100" i="51" s="1"/>
  <c r="P102" i="51" s="1"/>
  <c r="O95" i="51"/>
  <c r="N95" i="51"/>
  <c r="M5" i="51" s="1"/>
  <c r="M95" i="51"/>
  <c r="AU19" i="51" s="1"/>
  <c r="L95" i="51"/>
  <c r="K5" i="51" s="1"/>
  <c r="K95" i="51"/>
  <c r="J5" i="51" s="1"/>
  <c r="J95" i="51"/>
  <c r="I95" i="51"/>
  <c r="AS19" i="51" s="1"/>
  <c r="H95" i="51"/>
  <c r="G5" i="51" s="1"/>
  <c r="G95" i="51"/>
  <c r="AR19" i="51" s="1"/>
  <c r="F95" i="51"/>
  <c r="F100" i="51" s="1"/>
  <c r="F102" i="51" s="1"/>
  <c r="E95" i="51"/>
  <c r="D95" i="51"/>
  <c r="C5" i="51" s="1"/>
  <c r="C95" i="51"/>
  <c r="B5" i="51" s="1"/>
  <c r="B95" i="51"/>
  <c r="AM19" i="51" s="1"/>
  <c r="AI94" i="51"/>
  <c r="AH94" i="51"/>
  <c r="AI93" i="51"/>
  <c r="AH93" i="51"/>
  <c r="AI92" i="51"/>
  <c r="AH92" i="51"/>
  <c r="AI91" i="51"/>
  <c r="AH91" i="51"/>
  <c r="AI90" i="51"/>
  <c r="AH90" i="51"/>
  <c r="AI89" i="51"/>
  <c r="AH89" i="51"/>
  <c r="AI88" i="51"/>
  <c r="AH88" i="51"/>
  <c r="AI87" i="51"/>
  <c r="AH87" i="51"/>
  <c r="AI86" i="51"/>
  <c r="AH86" i="51"/>
  <c r="AI85" i="51"/>
  <c r="AH85" i="51"/>
  <c r="AI84" i="51"/>
  <c r="AH84" i="51"/>
  <c r="AG83" i="51"/>
  <c r="BA20" i="51"/>
  <c r="Q83" i="51"/>
  <c r="AY20" i="51" s="1"/>
  <c r="M83" i="51"/>
  <c r="L83" i="51"/>
  <c r="K83" i="51"/>
  <c r="AT20" i="51" s="1"/>
  <c r="J83" i="51"/>
  <c r="I83" i="51"/>
  <c r="H83" i="51"/>
  <c r="G83" i="51"/>
  <c r="F83" i="51"/>
  <c r="E83" i="51"/>
  <c r="D83" i="51"/>
  <c r="C83" i="51"/>
  <c r="B83" i="51"/>
  <c r="AI82" i="51"/>
  <c r="AH82" i="51"/>
  <c r="AI81" i="51"/>
  <c r="AH81" i="51"/>
  <c r="AI80" i="51"/>
  <c r="AH80" i="51"/>
  <c r="Q79" i="51"/>
  <c r="AY18" i="51" s="1"/>
  <c r="M79" i="51"/>
  <c r="K79" i="51"/>
  <c r="J79" i="51"/>
  <c r="J100" i="51" s="1"/>
  <c r="J102" i="51" s="1"/>
  <c r="I79" i="51"/>
  <c r="AS18" i="51" s="1"/>
  <c r="H79" i="51"/>
  <c r="G79" i="51"/>
  <c r="F79" i="51"/>
  <c r="E79" i="51"/>
  <c r="AP18" i="51" s="1"/>
  <c r="D79" i="51"/>
  <c r="AO18" i="51" s="1"/>
  <c r="C79" i="51"/>
  <c r="B79" i="51"/>
  <c r="BP78" i="51"/>
  <c r="BO78" i="51"/>
  <c r="BD78" i="51"/>
  <c r="BB78" i="51"/>
  <c r="AZ78" i="51"/>
  <c r="AI78" i="51"/>
  <c r="AH78" i="51"/>
  <c r="AG78" i="51"/>
  <c r="AG79" i="51" s="1"/>
  <c r="AG3" i="51" s="1"/>
  <c r="BR77" i="51"/>
  <c r="BP77" i="51"/>
  <c r="BK77" i="51"/>
  <c r="BE77" i="51"/>
  <c r="BC77" i="51"/>
  <c r="AI77" i="51"/>
  <c r="AH77" i="51"/>
  <c r="BR76" i="51"/>
  <c r="BM76" i="51"/>
  <c r="BG76" i="51"/>
  <c r="BE76" i="51"/>
  <c r="AI76" i="51"/>
  <c r="AH76" i="51"/>
  <c r="BO75" i="51"/>
  <c r="BI75" i="51"/>
  <c r="BF75" i="51"/>
  <c r="AI75" i="51"/>
  <c r="AH75" i="51"/>
  <c r="BP74" i="51"/>
  <c r="BG74" i="51"/>
  <c r="BD74" i="51"/>
  <c r="BA74" i="51"/>
  <c r="AZ74" i="51"/>
  <c r="AI74" i="51"/>
  <c r="AH74" i="51"/>
  <c r="BR73" i="51"/>
  <c r="BI73" i="51"/>
  <c r="BB73" i="51"/>
  <c r="BA73" i="51"/>
  <c r="AI73" i="51"/>
  <c r="AH73" i="51"/>
  <c r="AI72" i="51"/>
  <c r="AH72" i="51"/>
  <c r="BW71" i="51"/>
  <c r="BW78" i="51" s="1"/>
  <c r="BV71" i="51"/>
  <c r="BV78" i="51" s="1"/>
  <c r="BU71" i="51"/>
  <c r="BU78" i="51" s="1"/>
  <c r="BT71" i="51"/>
  <c r="BT78" i="51" s="1"/>
  <c r="BS71" i="51"/>
  <c r="BS78" i="51" s="1"/>
  <c r="BR71" i="51"/>
  <c r="BR78" i="51" s="1"/>
  <c r="BQ71" i="51"/>
  <c r="BQ78" i="51" s="1"/>
  <c r="BP71" i="51"/>
  <c r="BO71" i="51"/>
  <c r="BN71" i="51"/>
  <c r="BN78" i="51" s="1"/>
  <c r="BM71" i="51"/>
  <c r="BM78" i="51" s="1"/>
  <c r="BL71" i="51"/>
  <c r="BL78" i="51" s="1"/>
  <c r="BK71" i="51"/>
  <c r="BK78" i="51" s="1"/>
  <c r="BJ71" i="51"/>
  <c r="BJ78" i="51" s="1"/>
  <c r="BI71" i="51"/>
  <c r="BI78" i="51" s="1"/>
  <c r="BH71" i="51"/>
  <c r="BH78" i="51" s="1"/>
  <c r="BG71" i="51"/>
  <c r="BG78" i="51" s="1"/>
  <c r="BF71" i="51"/>
  <c r="BF78" i="51" s="1"/>
  <c r="BE71" i="51"/>
  <c r="BE78" i="51" s="1"/>
  <c r="BD71" i="51"/>
  <c r="BC71" i="51"/>
  <c r="BC78" i="51" s="1"/>
  <c r="BB71" i="51"/>
  <c r="BA71" i="51"/>
  <c r="BA78" i="51" s="1"/>
  <c r="AZ71" i="51"/>
  <c r="AI71" i="51"/>
  <c r="AH71" i="51"/>
  <c r="BW70" i="51"/>
  <c r="BW77" i="51" s="1"/>
  <c r="BV70" i="51"/>
  <c r="BV77" i="51" s="1"/>
  <c r="BU70" i="51"/>
  <c r="BU77" i="51" s="1"/>
  <c r="BT70" i="51"/>
  <c r="BT77" i="51" s="1"/>
  <c r="BS70" i="51"/>
  <c r="BS77" i="51" s="1"/>
  <c r="BR70" i="51"/>
  <c r="BQ70" i="51"/>
  <c r="BQ77" i="51" s="1"/>
  <c r="BP70" i="51"/>
  <c r="BO70" i="51"/>
  <c r="BO77" i="51" s="1"/>
  <c r="BN70" i="51"/>
  <c r="BN77" i="51" s="1"/>
  <c r="BM70" i="51"/>
  <c r="BM77" i="51" s="1"/>
  <c r="BL70" i="51"/>
  <c r="BL77" i="51" s="1"/>
  <c r="BK70" i="51"/>
  <c r="BJ70" i="51"/>
  <c r="BJ77" i="51" s="1"/>
  <c r="BI70" i="51"/>
  <c r="BI77" i="51" s="1"/>
  <c r="BH70" i="51"/>
  <c r="BH77" i="51" s="1"/>
  <c r="BG70" i="51"/>
  <c r="BG77" i="51" s="1"/>
  <c r="BF70" i="51"/>
  <c r="BF77" i="51" s="1"/>
  <c r="BE70" i="51"/>
  <c r="BD70" i="51"/>
  <c r="BD77" i="51" s="1"/>
  <c r="BC70" i="51"/>
  <c r="BB70" i="51"/>
  <c r="BB77" i="51" s="1"/>
  <c r="BA70" i="51"/>
  <c r="BA77" i="51" s="1"/>
  <c r="AZ70" i="51"/>
  <c r="AZ77" i="51" s="1"/>
  <c r="AI70" i="51"/>
  <c r="AH70" i="51"/>
  <c r="BW69" i="51"/>
  <c r="BW76" i="51" s="1"/>
  <c r="BV69" i="51"/>
  <c r="BV76" i="51" s="1"/>
  <c r="BU69" i="51"/>
  <c r="BU76" i="51" s="1"/>
  <c r="BT69" i="51"/>
  <c r="BT76" i="51" s="1"/>
  <c r="BS69" i="51"/>
  <c r="BS76" i="51" s="1"/>
  <c r="BR69" i="51"/>
  <c r="BQ69" i="51"/>
  <c r="BQ76" i="51" s="1"/>
  <c r="BP69" i="51"/>
  <c r="BP76" i="51" s="1"/>
  <c r="BO69" i="51"/>
  <c r="BO76" i="51" s="1"/>
  <c r="BN69" i="51"/>
  <c r="BN76" i="51" s="1"/>
  <c r="BM69" i="51"/>
  <c r="BL69" i="51"/>
  <c r="BL76" i="51" s="1"/>
  <c r="BK69" i="51"/>
  <c r="BK76" i="51" s="1"/>
  <c r="BJ69" i="51"/>
  <c r="BJ76" i="51" s="1"/>
  <c r="BI69" i="51"/>
  <c r="BI76" i="51" s="1"/>
  <c r="BH69" i="51"/>
  <c r="BH76" i="51" s="1"/>
  <c r="BG69" i="51"/>
  <c r="BF69" i="51"/>
  <c r="BF76" i="51" s="1"/>
  <c r="BE69" i="51"/>
  <c r="BD69" i="51"/>
  <c r="BD76" i="51" s="1"/>
  <c r="BC69" i="51"/>
  <c r="BC76" i="51" s="1"/>
  <c r="BB69" i="51"/>
  <c r="BB76" i="51" s="1"/>
  <c r="BA69" i="51"/>
  <c r="BA76" i="51" s="1"/>
  <c r="AZ69" i="51"/>
  <c r="AZ76" i="51" s="1"/>
  <c r="AI69" i="51"/>
  <c r="AH69" i="51"/>
  <c r="BW68" i="51"/>
  <c r="BW75" i="51" s="1"/>
  <c r="BV68" i="51"/>
  <c r="BV75" i="51" s="1"/>
  <c r="BU68" i="51"/>
  <c r="BU75" i="51" s="1"/>
  <c r="BT68" i="51"/>
  <c r="BT75" i="51" s="1"/>
  <c r="BS68" i="51"/>
  <c r="BS75" i="51" s="1"/>
  <c r="BR68" i="51"/>
  <c r="BR75" i="51" s="1"/>
  <c r="BQ68" i="51"/>
  <c r="BQ75" i="51" s="1"/>
  <c r="BP68" i="51"/>
  <c r="BP75" i="51" s="1"/>
  <c r="BO68" i="51"/>
  <c r="BN68" i="51"/>
  <c r="BN75" i="51" s="1"/>
  <c r="BM68" i="51"/>
  <c r="BM75" i="51" s="1"/>
  <c r="BL68" i="51"/>
  <c r="BL75" i="51" s="1"/>
  <c r="BK68" i="51"/>
  <c r="BK75" i="51" s="1"/>
  <c r="BJ68" i="51"/>
  <c r="BJ75" i="51" s="1"/>
  <c r="BI68" i="51"/>
  <c r="BH68" i="51"/>
  <c r="BH75" i="51" s="1"/>
  <c r="BG68" i="51"/>
  <c r="BG75" i="51" s="1"/>
  <c r="BF68" i="51"/>
  <c r="BE68" i="51"/>
  <c r="BE75" i="51" s="1"/>
  <c r="BD68" i="51"/>
  <c r="BD75" i="51" s="1"/>
  <c r="BC68" i="51"/>
  <c r="BC75" i="51" s="1"/>
  <c r="BB68" i="51"/>
  <c r="BB75" i="51" s="1"/>
  <c r="BA68" i="51"/>
  <c r="BA75" i="51" s="1"/>
  <c r="AZ68" i="51"/>
  <c r="AZ75" i="51" s="1"/>
  <c r="AI68" i="51"/>
  <c r="AH68" i="51"/>
  <c r="BW67" i="51"/>
  <c r="BW74" i="51" s="1"/>
  <c r="BV67" i="51"/>
  <c r="BV74" i="51" s="1"/>
  <c r="BU67" i="51"/>
  <c r="BU74" i="51" s="1"/>
  <c r="BT67" i="51"/>
  <c r="BT74" i="51" s="1"/>
  <c r="BS67" i="51"/>
  <c r="BS74" i="51" s="1"/>
  <c r="BR67" i="51"/>
  <c r="BR74" i="51" s="1"/>
  <c r="BQ67" i="51"/>
  <c r="BQ74" i="51" s="1"/>
  <c r="BP67" i="51"/>
  <c r="BO67" i="51"/>
  <c r="BO74" i="51" s="1"/>
  <c r="BN67" i="51"/>
  <c r="BN74" i="51" s="1"/>
  <c r="BM67" i="51"/>
  <c r="BM74" i="51" s="1"/>
  <c r="BL67" i="51"/>
  <c r="BL74" i="51" s="1"/>
  <c r="BK67" i="51"/>
  <c r="BK74" i="51" s="1"/>
  <c r="BJ67" i="51"/>
  <c r="BJ74" i="51" s="1"/>
  <c r="BI67" i="51"/>
  <c r="BI74" i="51" s="1"/>
  <c r="BH67" i="51"/>
  <c r="BH74" i="51" s="1"/>
  <c r="BG67" i="51"/>
  <c r="BF67" i="51"/>
  <c r="BF74" i="51" s="1"/>
  <c r="BE67" i="51"/>
  <c r="BE74" i="51" s="1"/>
  <c r="BD67" i="51"/>
  <c r="BC67" i="51"/>
  <c r="BC74" i="51" s="1"/>
  <c r="BB67" i="51"/>
  <c r="BB74" i="51" s="1"/>
  <c r="BA67" i="51"/>
  <c r="AZ67" i="51"/>
  <c r="AI67" i="51"/>
  <c r="AH67" i="51"/>
  <c r="BW66" i="51"/>
  <c r="BW73" i="51" s="1"/>
  <c r="BV66" i="51"/>
  <c r="BV73" i="51" s="1"/>
  <c r="BU66" i="51"/>
  <c r="BU73" i="51" s="1"/>
  <c r="BT66" i="51"/>
  <c r="BT73" i="51" s="1"/>
  <c r="BS66" i="51"/>
  <c r="BS73" i="51" s="1"/>
  <c r="BR66" i="51"/>
  <c r="BQ66" i="51"/>
  <c r="BQ73" i="51" s="1"/>
  <c r="BP66" i="51"/>
  <c r="BP73" i="51" s="1"/>
  <c r="BO66" i="51"/>
  <c r="BO73" i="51" s="1"/>
  <c r="BN66" i="51"/>
  <c r="BN73" i="51" s="1"/>
  <c r="BM66" i="51"/>
  <c r="BM73" i="51" s="1"/>
  <c r="BL66" i="51"/>
  <c r="BL73" i="51" s="1"/>
  <c r="BK66" i="51"/>
  <c r="BK73" i="51" s="1"/>
  <c r="BJ66" i="51"/>
  <c r="BJ73" i="51" s="1"/>
  <c r="BI66" i="51"/>
  <c r="BH66" i="51"/>
  <c r="BH73" i="51" s="1"/>
  <c r="BG66" i="51"/>
  <c r="BG73" i="51" s="1"/>
  <c r="BF66" i="51"/>
  <c r="BF73" i="51" s="1"/>
  <c r="BE66" i="51"/>
  <c r="BE73" i="51" s="1"/>
  <c r="BD66" i="51"/>
  <c r="BD73" i="51" s="1"/>
  <c r="BC66" i="51"/>
  <c r="BC73" i="51" s="1"/>
  <c r="BB66" i="51"/>
  <c r="BA66" i="51"/>
  <c r="AZ66" i="51"/>
  <c r="AZ73" i="51" s="1"/>
  <c r="AI66" i="51"/>
  <c r="AH66" i="51"/>
  <c r="AG65" i="51"/>
  <c r="BH17" i="51"/>
  <c r="BF17" i="51"/>
  <c r="BC17" i="51"/>
  <c r="AZ17" i="51"/>
  <c r="AU17" i="51"/>
  <c r="K65" i="51"/>
  <c r="J65" i="51"/>
  <c r="I65" i="51"/>
  <c r="H65" i="51"/>
  <c r="G65" i="51"/>
  <c r="AR17" i="51" s="1"/>
  <c r="AQ17" i="51"/>
  <c r="E65" i="51"/>
  <c r="AP17" i="51" s="1"/>
  <c r="D65" i="51"/>
  <c r="C65" i="51"/>
  <c r="B65" i="51"/>
  <c r="AM17" i="51" s="1"/>
  <c r="AI64" i="51"/>
  <c r="AH64" i="51"/>
  <c r="AI63" i="51"/>
  <c r="AH63" i="51"/>
  <c r="AI62" i="51"/>
  <c r="AH62" i="51"/>
  <c r="AG61" i="51"/>
  <c r="AF7" i="51"/>
  <c r="AD7" i="51"/>
  <c r="V61" i="51"/>
  <c r="O100" i="51"/>
  <c r="O102" i="51" s="1"/>
  <c r="AV16" i="51"/>
  <c r="K61" i="51"/>
  <c r="AT16" i="51" s="1"/>
  <c r="I61" i="51"/>
  <c r="AS16" i="51" s="1"/>
  <c r="H61" i="51"/>
  <c r="G61" i="51"/>
  <c r="AR16" i="51" s="1"/>
  <c r="E61" i="51"/>
  <c r="D61" i="51"/>
  <c r="C61" i="51"/>
  <c r="AN16" i="51" s="1"/>
  <c r="B61" i="51"/>
  <c r="AM16" i="51" s="1"/>
  <c r="AI60" i="51"/>
  <c r="AH60" i="51"/>
  <c r="AI59" i="51"/>
  <c r="AH59" i="51"/>
  <c r="AI58" i="51"/>
  <c r="AH58" i="51"/>
  <c r="AI57" i="51"/>
  <c r="AH57" i="51"/>
  <c r="AI56" i="51"/>
  <c r="AH56" i="51"/>
  <c r="AI55" i="51"/>
  <c r="AH55" i="51"/>
  <c r="AI54" i="51"/>
  <c r="AH54" i="51"/>
  <c r="AI53" i="51"/>
  <c r="AH53" i="51"/>
  <c r="AI52" i="51"/>
  <c r="AH52" i="51"/>
  <c r="AI51" i="51"/>
  <c r="AH51" i="51"/>
  <c r="AI50" i="51"/>
  <c r="AH50" i="51"/>
  <c r="AI49" i="51"/>
  <c r="AH49" i="51"/>
  <c r="AI48" i="51"/>
  <c r="AH48" i="51"/>
  <c r="AI47" i="51"/>
  <c r="AH47" i="51"/>
  <c r="AI46" i="51"/>
  <c r="AH46" i="51"/>
  <c r="AI45" i="51"/>
  <c r="AH45" i="51"/>
  <c r="AI44" i="51"/>
  <c r="AH44" i="51"/>
  <c r="AI43" i="51"/>
  <c r="AH43" i="51"/>
  <c r="AI42" i="51"/>
  <c r="AH42" i="51"/>
  <c r="AI41" i="51"/>
  <c r="AH41" i="51"/>
  <c r="AI40" i="51"/>
  <c r="AH40" i="51"/>
  <c r="AI39" i="51"/>
  <c r="AH39" i="51"/>
  <c r="AI38" i="51"/>
  <c r="AH38" i="51"/>
  <c r="AI37" i="51"/>
  <c r="AH37" i="51"/>
  <c r="AI36" i="51"/>
  <c r="AH36" i="51"/>
  <c r="AI35" i="51"/>
  <c r="AH35" i="51"/>
  <c r="AI34" i="51"/>
  <c r="AH34" i="51"/>
  <c r="AI33" i="51"/>
  <c r="AH33" i="51"/>
  <c r="AI32" i="51"/>
  <c r="AH32" i="51"/>
  <c r="AI31" i="51"/>
  <c r="AH31" i="51"/>
  <c r="AI30" i="51"/>
  <c r="AH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BJ23" i="51"/>
  <c r="BH23" i="51"/>
  <c r="AI23" i="51"/>
  <c r="AH23" i="51"/>
  <c r="AI22" i="51"/>
  <c r="AH22" i="51"/>
  <c r="BJ21" i="51"/>
  <c r="BI21" i="51"/>
  <c r="BH21" i="51"/>
  <c r="BG21" i="51"/>
  <c r="BF21" i="51"/>
  <c r="BE21" i="51"/>
  <c r="BD21" i="51"/>
  <c r="BC21" i="51"/>
  <c r="BB21" i="51"/>
  <c r="BA21" i="51"/>
  <c r="AZ21" i="51"/>
  <c r="AY21" i="51"/>
  <c r="AX21" i="51"/>
  <c r="AW21" i="51"/>
  <c r="AV21" i="51"/>
  <c r="AU21" i="51"/>
  <c r="AT21" i="51"/>
  <c r="AS21" i="51"/>
  <c r="AR21" i="51"/>
  <c r="AQ21" i="51"/>
  <c r="AP21" i="51"/>
  <c r="AO21" i="51"/>
  <c r="AN21" i="51"/>
  <c r="AM21" i="51"/>
  <c r="AI21" i="51"/>
  <c r="AH21" i="51"/>
  <c r="BJ20" i="51"/>
  <c r="BI20" i="51"/>
  <c r="BH20" i="51"/>
  <c r="BG20" i="51"/>
  <c r="BF20" i="51"/>
  <c r="BE20" i="51"/>
  <c r="BD20" i="51"/>
  <c r="BC20" i="51"/>
  <c r="BB20" i="51"/>
  <c r="AZ20" i="51"/>
  <c r="AX20" i="51"/>
  <c r="AW20" i="51"/>
  <c r="AV20" i="51"/>
  <c r="AU20" i="51"/>
  <c r="AS20" i="51"/>
  <c r="AR20" i="51"/>
  <c r="AQ20" i="51"/>
  <c r="AP20" i="51"/>
  <c r="AO20" i="51"/>
  <c r="AM20" i="51"/>
  <c r="AI20" i="51"/>
  <c r="AH20" i="51"/>
  <c r="BJ19" i="51"/>
  <c r="BI19" i="51"/>
  <c r="BH19" i="51"/>
  <c r="BG19" i="51"/>
  <c r="AX19" i="51"/>
  <c r="AW19" i="51"/>
  <c r="AV19" i="51"/>
  <c r="AT19" i="51"/>
  <c r="AP19" i="51"/>
  <c r="AI19" i="51"/>
  <c r="AH19" i="51"/>
  <c r="BJ18" i="51"/>
  <c r="BI18" i="51"/>
  <c r="BH18" i="51"/>
  <c r="BG18" i="51"/>
  <c r="BF18" i="51"/>
  <c r="BE18" i="51"/>
  <c r="BD18" i="51"/>
  <c r="BC18" i="51"/>
  <c r="BB18" i="51"/>
  <c r="BA18" i="51"/>
  <c r="AZ18" i="51"/>
  <c r="AX18" i="51"/>
  <c r="AW18" i="51"/>
  <c r="AV18" i="51"/>
  <c r="AU18" i="51"/>
  <c r="AT18" i="51"/>
  <c r="AR18" i="51"/>
  <c r="AQ18" i="51"/>
  <c r="AN18" i="51"/>
  <c r="AM18" i="51"/>
  <c r="AI18" i="51"/>
  <c r="AH18" i="51"/>
  <c r="BJ17" i="51"/>
  <c r="BI17" i="51"/>
  <c r="BG17" i="51"/>
  <c r="BE17" i="51"/>
  <c r="BD17" i="51"/>
  <c r="BB17" i="51"/>
  <c r="BA17" i="51"/>
  <c r="AY17" i="51"/>
  <c r="AX17" i="51"/>
  <c r="AW17" i="51"/>
  <c r="AV17" i="51"/>
  <c r="AT17" i="51"/>
  <c r="AS17" i="51"/>
  <c r="AO17" i="51"/>
  <c r="AN17" i="51"/>
  <c r="AI17" i="51"/>
  <c r="AH17" i="51"/>
  <c r="BJ16" i="51"/>
  <c r="BG16" i="51"/>
  <c r="BF16" i="51"/>
  <c r="BE16" i="51"/>
  <c r="BB16" i="51"/>
  <c r="AY16" i="51"/>
  <c r="AX16" i="51"/>
  <c r="AQ16" i="51"/>
  <c r="AO16" i="51"/>
  <c r="AI16" i="51"/>
  <c r="AH16" i="51"/>
  <c r="AI15" i="51"/>
  <c r="AH15" i="51"/>
  <c r="AI14" i="51"/>
  <c r="AH14" i="51"/>
  <c r="AI13" i="51"/>
  <c r="AH13" i="51"/>
  <c r="AL12" i="51"/>
  <c r="AI12" i="51"/>
  <c r="AH12" i="51"/>
  <c r="AI11" i="51"/>
  <c r="AH11" i="51"/>
  <c r="AE5" i="51"/>
  <c r="AD5" i="51"/>
  <c r="AC5" i="51"/>
  <c r="AB5" i="51"/>
  <c r="AA5" i="51"/>
  <c r="Z5" i="51"/>
  <c r="Y5" i="51"/>
  <c r="U5" i="51"/>
  <c r="O5" i="51"/>
  <c r="N5" i="51"/>
  <c r="I5" i="51"/>
  <c r="D5" i="51"/>
  <c r="AG4" i="51"/>
  <c r="K4" i="51"/>
  <c r="E4" i="51"/>
  <c r="H4" i="51" s="1"/>
  <c r="B4" i="51"/>
  <c r="D261" i="51" s="1"/>
  <c r="AG2" i="51"/>
  <c r="AG6" i="51" s="1"/>
  <c r="BJ22" i="51" l="1"/>
  <c r="BJ24" i="51" s="1"/>
  <c r="BG22" i="51"/>
  <c r="AA110" i="51"/>
  <c r="AA103" i="51"/>
  <c r="AA7" i="51" s="1"/>
  <c r="Z100" i="51"/>
  <c r="Z102" i="51" s="1"/>
  <c r="Z103" i="51" s="1"/>
  <c r="Z7" i="51" s="1"/>
  <c r="Y110" i="51"/>
  <c r="W5" i="51"/>
  <c r="X100" i="51"/>
  <c r="X102" i="51" s="1"/>
  <c r="BE22" i="51"/>
  <c r="X110" i="51"/>
  <c r="BE23" i="51" s="1"/>
  <c r="W100" i="51"/>
  <c r="W102" i="51" s="1"/>
  <c r="V110" i="51"/>
  <c r="BD23" i="51" s="1"/>
  <c r="V100" i="51"/>
  <c r="V102" i="51" s="1"/>
  <c r="V103" i="51" s="1"/>
  <c r="V7" i="51" s="1"/>
  <c r="T5" i="51"/>
  <c r="S5" i="51"/>
  <c r="BB22" i="51"/>
  <c r="S100" i="51"/>
  <c r="S102" i="51" s="1"/>
  <c r="R5" i="51"/>
  <c r="S103" i="51"/>
  <c r="S7" i="51" s="1"/>
  <c r="AZ19" i="51"/>
  <c r="Q5" i="51"/>
  <c r="R110" i="51"/>
  <c r="AX22" i="51"/>
  <c r="P110" i="51"/>
  <c r="AX23" i="51" s="1"/>
  <c r="AI105" i="51"/>
  <c r="AH107" i="51"/>
  <c r="L5" i="51"/>
  <c r="AT22" i="51"/>
  <c r="AT24" i="51" s="1"/>
  <c r="J110" i="51"/>
  <c r="J103" i="51" s="1"/>
  <c r="J7" i="51" s="1"/>
  <c r="J111" i="51"/>
  <c r="H5" i="51"/>
  <c r="I110" i="51"/>
  <c r="AS23" i="51" s="1"/>
  <c r="AS22" i="51"/>
  <c r="AS24" i="51" s="1"/>
  <c r="H111" i="51"/>
  <c r="H100" i="51"/>
  <c r="H102" i="51" s="1"/>
  <c r="H103" i="51" s="1"/>
  <c r="H7" i="51" s="1"/>
  <c r="F5" i="51"/>
  <c r="G100" i="51"/>
  <c r="G102" i="51" s="1"/>
  <c r="AQ19" i="51"/>
  <c r="E5" i="51"/>
  <c r="F110" i="51"/>
  <c r="AQ23" i="51" s="1"/>
  <c r="AO19" i="51"/>
  <c r="AO22" i="51"/>
  <c r="AI106" i="51"/>
  <c r="AN19" i="51"/>
  <c r="C100" i="51"/>
  <c r="C102" i="51" s="1"/>
  <c r="C103" i="51" s="1"/>
  <c r="C7" i="51" s="1"/>
  <c r="AF5" i="51"/>
  <c r="B100" i="51"/>
  <c r="B102" i="51" s="1"/>
  <c r="AM22" i="51"/>
  <c r="AL13" i="51"/>
  <c r="E100" i="51"/>
  <c r="E102" i="51" s="1"/>
  <c r="U100" i="51"/>
  <c r="U102" i="51" s="1"/>
  <c r="BC16" i="51"/>
  <c r="BC22" i="51" s="1"/>
  <c r="M100" i="51"/>
  <c r="M102" i="51" s="1"/>
  <c r="AU16" i="51"/>
  <c r="AU22" i="51" s="1"/>
  <c r="AU24" i="51" s="1"/>
  <c r="AV22" i="51"/>
  <c r="AV24" i="51" s="1"/>
  <c r="AP16" i="51"/>
  <c r="AP22" i="51" s="1"/>
  <c r="BF22" i="51"/>
  <c r="BF24" i="51" s="1"/>
  <c r="AE7" i="51"/>
  <c r="AQ22" i="51"/>
  <c r="AQ24" i="51" s="1"/>
  <c r="AR22" i="51"/>
  <c r="AI83" i="51"/>
  <c r="AN20" i="51"/>
  <c r="AN22" i="51" s="1"/>
  <c r="AH104" i="51"/>
  <c r="AI104" i="51"/>
  <c r="BH16" i="51"/>
  <c r="BH22" i="51" s="1"/>
  <c r="BH24" i="51" s="1"/>
  <c r="N111" i="51"/>
  <c r="V111" i="51"/>
  <c r="AZ16" i="51"/>
  <c r="AZ22" i="51" s="1"/>
  <c r="BA16" i="51"/>
  <c r="BA22" i="51" s="1"/>
  <c r="BA24" i="51" s="1"/>
  <c r="K100" i="51"/>
  <c r="K102" i="51" s="1"/>
  <c r="K103" i="51" s="1"/>
  <c r="K7" i="51" s="1"/>
  <c r="D110" i="51"/>
  <c r="AO23" i="51" s="1"/>
  <c r="AO24" i="51" s="1"/>
  <c r="L110" i="51"/>
  <c r="L111" i="51" s="1"/>
  <c r="T110" i="51"/>
  <c r="BB23" i="51" s="1"/>
  <c r="BB24" i="51" s="1"/>
  <c r="BG23" i="51"/>
  <c r="BG24" i="51" s="1"/>
  <c r="Z111" i="51"/>
  <c r="BI16" i="51"/>
  <c r="BI22" i="51" s="1"/>
  <c r="I100" i="51"/>
  <c r="I102" i="51" s="1"/>
  <c r="I103" i="51" s="1"/>
  <c r="I7" i="51" s="1"/>
  <c r="Q100" i="51"/>
  <c r="Q102" i="51" s="1"/>
  <c r="Q103" i="51" s="1"/>
  <c r="Q7" i="51" s="1"/>
  <c r="Y100" i="51"/>
  <c r="Y102" i="51" s="1"/>
  <c r="Y103" i="51" s="1"/>
  <c r="Y7" i="51" s="1"/>
  <c r="AG100" i="51"/>
  <c r="N100" i="51"/>
  <c r="N102" i="51" s="1"/>
  <c r="N103" i="51" s="1"/>
  <c r="N7" i="51" s="1"/>
  <c r="E110" i="51"/>
  <c r="AP23" i="51" s="1"/>
  <c r="M110" i="51"/>
  <c r="AU23" i="51" s="1"/>
  <c r="U110" i="51"/>
  <c r="BC23" i="51" s="1"/>
  <c r="AI109" i="51"/>
  <c r="I111" i="51"/>
  <c r="Q111" i="51"/>
  <c r="Y111" i="51"/>
  <c r="AG102" i="51"/>
  <c r="AH61" i="51"/>
  <c r="AH65" i="51"/>
  <c r="BD16" i="51"/>
  <c r="BD22" i="51" s="1"/>
  <c r="BD24" i="51" s="1"/>
  <c r="AI61" i="51"/>
  <c r="AI65" i="51"/>
  <c r="BG82" i="51" a="1"/>
  <c r="AH95" i="51"/>
  <c r="AI95" i="51"/>
  <c r="G110" i="51"/>
  <c r="AR23" i="51" s="1"/>
  <c r="O110" i="51"/>
  <c r="AW23" i="51" s="1"/>
  <c r="W110" i="51"/>
  <c r="W111" i="51" s="1"/>
  <c r="BI23" i="51"/>
  <c r="AI108" i="51"/>
  <c r="D255" i="51"/>
  <c r="D121" i="51"/>
  <c r="E249" i="51"/>
  <c r="AW16" i="51"/>
  <c r="AW22" i="51" s="1"/>
  <c r="AY19" i="51"/>
  <c r="AY22" i="51" s="1"/>
  <c r="AY24" i="51" s="1"/>
  <c r="D100" i="51"/>
  <c r="D102" i="51" s="1"/>
  <c r="L100" i="51"/>
  <c r="L102" i="51" s="1"/>
  <c r="T100" i="51"/>
  <c r="T102" i="51" s="1"/>
  <c r="AB7" i="51"/>
  <c r="AI79" i="51"/>
  <c r="AH79" i="51"/>
  <c r="AH83" i="51"/>
  <c r="C111" i="51"/>
  <c r="K111" i="51"/>
  <c r="S111" i="51"/>
  <c r="AA111" i="51"/>
  <c r="AI107" i="51"/>
  <c r="B110" i="51"/>
  <c r="AH105" i="51"/>
  <c r="AH106" i="51"/>
  <c r="AH108" i="51"/>
  <c r="BI24" i="51" l="1"/>
  <c r="BE24" i="51"/>
  <c r="X111" i="51"/>
  <c r="X103" i="51"/>
  <c r="X7" i="51" s="1"/>
  <c r="R111" i="51"/>
  <c r="AZ23" i="51"/>
  <c r="AZ24" i="51" s="1"/>
  <c r="R103" i="51"/>
  <c r="R7" i="51" s="1"/>
  <c r="P111" i="51"/>
  <c r="AW24" i="51"/>
  <c r="AX24" i="51"/>
  <c r="P103" i="51"/>
  <c r="P7" i="51" s="1"/>
  <c r="M103" i="51"/>
  <c r="M7" i="51" s="1"/>
  <c r="F111" i="51"/>
  <c r="F103" i="51"/>
  <c r="F7" i="51" s="1"/>
  <c r="AN24" i="51"/>
  <c r="AT8" i="51"/>
  <c r="W103" i="51"/>
  <c r="W7" i="51" s="1"/>
  <c r="U111" i="51"/>
  <c r="F249" i="51"/>
  <c r="E255" i="51"/>
  <c r="E121" i="51"/>
  <c r="T111" i="51"/>
  <c r="O103" i="51"/>
  <c r="O7" i="51" s="1"/>
  <c r="BC24" i="51"/>
  <c r="AH100" i="51"/>
  <c r="C259" i="51"/>
  <c r="E111" i="51"/>
  <c r="AI102" i="51"/>
  <c r="B103" i="51"/>
  <c r="AH102" i="51"/>
  <c r="G103" i="51"/>
  <c r="G7" i="51" s="1"/>
  <c r="U103" i="51"/>
  <c r="U7" i="51" s="1"/>
  <c r="E103" i="51"/>
  <c r="E7" i="51" s="1"/>
  <c r="BK105" i="51"/>
  <c r="BI104" i="51"/>
  <c r="BG103" i="51"/>
  <c r="BK101" i="51"/>
  <c r="BI100" i="51"/>
  <c r="BG99" i="51"/>
  <c r="BK97" i="51"/>
  <c r="BI96" i="51"/>
  <c r="BG95" i="51"/>
  <c r="BK93" i="51"/>
  <c r="BI92" i="51"/>
  <c r="BG91" i="51"/>
  <c r="BK89" i="51"/>
  <c r="BJ105" i="51"/>
  <c r="BH104" i="51"/>
  <c r="BL102" i="51"/>
  <c r="BJ101" i="51"/>
  <c r="BH100" i="51"/>
  <c r="BL98" i="51"/>
  <c r="BJ97" i="51"/>
  <c r="BH96" i="51"/>
  <c r="BL94" i="51"/>
  <c r="BJ93" i="51"/>
  <c r="BH92" i="51"/>
  <c r="BL90" i="51"/>
  <c r="BJ89" i="51"/>
  <c r="BH88" i="51"/>
  <c r="BL86" i="51"/>
  <c r="BJ85" i="51"/>
  <c r="BH84" i="51"/>
  <c r="BL82" i="51"/>
  <c r="BH105" i="51"/>
  <c r="BL103" i="51"/>
  <c r="BJ102" i="51"/>
  <c r="BH101" i="51"/>
  <c r="BL99" i="51"/>
  <c r="BJ98" i="51"/>
  <c r="BH97" i="51"/>
  <c r="BL95" i="51"/>
  <c r="BJ94" i="51"/>
  <c r="BH93" i="51"/>
  <c r="BL91" i="51"/>
  <c r="BJ90" i="51"/>
  <c r="BH89" i="51"/>
  <c r="BG105" i="51"/>
  <c r="BK103" i="51"/>
  <c r="BI102" i="51"/>
  <c r="BG101" i="51"/>
  <c r="BK99" i="51"/>
  <c r="BI98" i="51"/>
  <c r="BG97" i="51"/>
  <c r="BK95" i="51"/>
  <c r="BI94" i="51"/>
  <c r="BG93" i="51"/>
  <c r="BK91" i="51"/>
  <c r="BI90" i="51"/>
  <c r="BG89" i="51"/>
  <c r="BK87" i="51"/>
  <c r="BI86" i="51"/>
  <c r="BG85" i="51"/>
  <c r="BK83" i="51"/>
  <c r="BI82" i="51"/>
  <c r="BK104" i="51"/>
  <c r="BI103" i="51"/>
  <c r="BG102" i="51"/>
  <c r="BK100" i="51"/>
  <c r="BI99" i="51"/>
  <c r="BG98" i="51"/>
  <c r="BK96" i="51"/>
  <c r="BI95" i="51"/>
  <c r="BG94" i="51"/>
  <c r="BK92" i="51"/>
  <c r="BI91" i="51"/>
  <c r="BG90" i="51"/>
  <c r="BK88" i="51"/>
  <c r="BI87" i="51"/>
  <c r="BG86" i="51"/>
  <c r="BK84" i="51"/>
  <c r="BI83" i="51"/>
  <c r="BG82" i="51"/>
  <c r="BK102" i="51"/>
  <c r="BH99" i="51"/>
  <c r="BJ95" i="51"/>
  <c r="BG92" i="51"/>
  <c r="BJ88" i="51"/>
  <c r="BJ86" i="51"/>
  <c r="BI84" i="51"/>
  <c r="BH82" i="51"/>
  <c r="BL105" i="51"/>
  <c r="BH102" i="51"/>
  <c r="BK98" i="51"/>
  <c r="BH95" i="51"/>
  <c r="BJ91" i="51"/>
  <c r="BI88" i="51"/>
  <c r="BH86" i="51"/>
  <c r="BG84" i="51"/>
  <c r="BI105" i="51"/>
  <c r="BL101" i="51"/>
  <c r="BH98" i="51"/>
  <c r="BK94" i="51"/>
  <c r="BH91" i="51"/>
  <c r="BG88" i="51"/>
  <c r="BL85" i="51"/>
  <c r="BL83" i="51"/>
  <c r="BL104" i="51"/>
  <c r="BI101" i="51"/>
  <c r="BL97" i="51"/>
  <c r="BH94" i="51"/>
  <c r="BK90" i="51"/>
  <c r="BL87" i="51"/>
  <c r="BK85" i="51"/>
  <c r="BJ83" i="51"/>
  <c r="BG100" i="51"/>
  <c r="BL92" i="51"/>
  <c r="BG87" i="51"/>
  <c r="BL84" i="51"/>
  <c r="BK82" i="51"/>
  <c r="BJ104" i="51"/>
  <c r="BL100" i="51"/>
  <c r="BI97" i="51"/>
  <c r="BL93" i="51"/>
  <c r="BH90" i="51"/>
  <c r="BJ87" i="51"/>
  <c r="BI85" i="51"/>
  <c r="BH83" i="51"/>
  <c r="BJ96" i="51"/>
  <c r="BG104" i="51"/>
  <c r="BJ100" i="51"/>
  <c r="BL96" i="51"/>
  <c r="BI93" i="51"/>
  <c r="BL89" i="51"/>
  <c r="BH87" i="51"/>
  <c r="BH85" i="51"/>
  <c r="BG83" i="51"/>
  <c r="BJ103" i="51"/>
  <c r="BI89" i="51"/>
  <c r="BJ84" i="51"/>
  <c r="BJ82" i="51"/>
  <c r="BH103" i="51"/>
  <c r="BJ99" i="51"/>
  <c r="BL88" i="51"/>
  <c r="BK86" i="51"/>
  <c r="BG96" i="51"/>
  <c r="BJ92" i="51"/>
  <c r="D111" i="51"/>
  <c r="AI100" i="51"/>
  <c r="AI110" i="51"/>
  <c r="B111" i="51"/>
  <c r="AH110" i="51"/>
  <c r="AM23" i="51"/>
  <c r="AM24" i="51" s="1"/>
  <c r="B259" i="51"/>
  <c r="T103" i="51"/>
  <c r="T7" i="51" s="1"/>
  <c r="M111" i="51"/>
  <c r="AP24" i="51"/>
  <c r="L103" i="51"/>
  <c r="L7" i="51" s="1"/>
  <c r="O111" i="51"/>
  <c r="AR24" i="51"/>
  <c r="D103" i="51"/>
  <c r="D7" i="51" s="1"/>
  <c r="G111" i="51"/>
  <c r="AC7" i="51"/>
  <c r="AH111" i="51" l="1"/>
  <c r="AI111" i="51"/>
  <c r="AH103" i="51"/>
  <c r="B7" i="51"/>
  <c r="A7" i="51" s="1"/>
  <c r="AI103" i="51"/>
  <c r="G249" i="51"/>
  <c r="F255" i="51"/>
  <c r="F121" i="51"/>
  <c r="K6" i="51"/>
  <c r="AT9" i="51"/>
  <c r="H249" i="51" l="1"/>
  <c r="G255" i="51"/>
  <c r="G121" i="51"/>
  <c r="AA121" i="50"/>
  <c r="AA109" i="50"/>
  <c r="AA108" i="50"/>
  <c r="AA107" i="50"/>
  <c r="AA106" i="50"/>
  <c r="AA105" i="50"/>
  <c r="AA104" i="50"/>
  <c r="AA110" i="50" s="1"/>
  <c r="AA95" i="50"/>
  <c r="AA111" i="50" s="1"/>
  <c r="AA83" i="50"/>
  <c r="AA79" i="50"/>
  <c r="AA65" i="50"/>
  <c r="AA100" i="50" s="1"/>
  <c r="AA102" i="50" s="1"/>
  <c r="AA61" i="50"/>
  <c r="Z28" i="50"/>
  <c r="Z32" i="50"/>
  <c r="Z61" i="50"/>
  <c r="Z65" i="50"/>
  <c r="Z79" i="50"/>
  <c r="Z83" i="50"/>
  <c r="Z95" i="50"/>
  <c r="Z104" i="50"/>
  <c r="Z105" i="50"/>
  <c r="Z106" i="50"/>
  <c r="Z107" i="50"/>
  <c r="Z108" i="50"/>
  <c r="Z109" i="50"/>
  <c r="Z121" i="50"/>
  <c r="Y28" i="50"/>
  <c r="Y61" i="50" s="1"/>
  <c r="Y32" i="50"/>
  <c r="Y65" i="50"/>
  <c r="Y79" i="50"/>
  <c r="Y83" i="50"/>
  <c r="Y95" i="50"/>
  <c r="Y104" i="50"/>
  <c r="Y105" i="50"/>
  <c r="Y106" i="50"/>
  <c r="Y107" i="50"/>
  <c r="Y108" i="50"/>
  <c r="Y109" i="50"/>
  <c r="Y121" i="50"/>
  <c r="I249" i="51" l="1"/>
  <c r="H255" i="51"/>
  <c r="H121" i="51"/>
  <c r="AA103" i="50"/>
  <c r="Z110" i="50"/>
  <c r="Z111" i="50" s="1"/>
  <c r="Z100" i="50"/>
  <c r="Z102" i="50" s="1"/>
  <c r="Z103" i="50" s="1"/>
  <c r="Y110" i="50"/>
  <c r="Y100" i="50"/>
  <c r="Y102" i="50" s="1"/>
  <c r="Y103" i="50" s="1"/>
  <c r="Y111" i="50"/>
  <c r="X28" i="50"/>
  <c r="X32" i="50"/>
  <c r="X61" i="50"/>
  <c r="X65" i="50"/>
  <c r="X79" i="50"/>
  <c r="X83" i="50"/>
  <c r="X95" i="50"/>
  <c r="X104" i="50"/>
  <c r="X110" i="50" s="1"/>
  <c r="X105" i="50"/>
  <c r="X106" i="50"/>
  <c r="X107" i="50"/>
  <c r="X108" i="50"/>
  <c r="X109" i="50"/>
  <c r="X121" i="50"/>
  <c r="W28" i="50"/>
  <c r="W61" i="50" s="1"/>
  <c r="W32" i="50"/>
  <c r="W65" i="50"/>
  <c r="W79" i="50"/>
  <c r="W83" i="50"/>
  <c r="W95" i="50"/>
  <c r="W104" i="50"/>
  <c r="W110" i="50" s="1"/>
  <c r="W105" i="50"/>
  <c r="W106" i="50"/>
  <c r="W107" i="50"/>
  <c r="W108" i="50"/>
  <c r="W109" i="50"/>
  <c r="W121" i="50"/>
  <c r="V28" i="50"/>
  <c r="V32" i="50"/>
  <c r="V61" i="50" s="1"/>
  <c r="V65" i="50"/>
  <c r="V79" i="50"/>
  <c r="V83" i="50"/>
  <c r="V95" i="50"/>
  <c r="V104" i="50"/>
  <c r="V110" i="50" s="1"/>
  <c r="V105" i="50"/>
  <c r="V106" i="50"/>
  <c r="V107" i="50"/>
  <c r="V108" i="50"/>
  <c r="V109" i="50"/>
  <c r="V121" i="50"/>
  <c r="U28" i="50"/>
  <c r="U32" i="50"/>
  <c r="U61" i="50"/>
  <c r="U65" i="50"/>
  <c r="U79" i="50"/>
  <c r="U83" i="50"/>
  <c r="U95" i="50"/>
  <c r="U104" i="50"/>
  <c r="U105" i="50"/>
  <c r="U106" i="50"/>
  <c r="U107" i="50"/>
  <c r="U108" i="50"/>
  <c r="U109" i="50"/>
  <c r="U121" i="50"/>
  <c r="I255" i="51" l="1"/>
  <c r="I121" i="51"/>
  <c r="J249" i="51"/>
  <c r="X111" i="50"/>
  <c r="X100" i="50"/>
  <c r="X102" i="50" s="1"/>
  <c r="X103" i="50" s="1"/>
  <c r="W111" i="50"/>
  <c r="W100" i="50"/>
  <c r="W102" i="50" s="1"/>
  <c r="W103" i="50" s="1"/>
  <c r="V100" i="50"/>
  <c r="V102" i="50" s="1"/>
  <c r="V103" i="50" s="1"/>
  <c r="V111" i="50"/>
  <c r="U110" i="50"/>
  <c r="U111" i="50"/>
  <c r="U100" i="50"/>
  <c r="U102" i="50" s="1"/>
  <c r="U103" i="50" s="1"/>
  <c r="T28" i="50"/>
  <c r="T32" i="50"/>
  <c r="T61" i="50"/>
  <c r="T65" i="50"/>
  <c r="T79" i="50"/>
  <c r="T83" i="50"/>
  <c r="T95" i="50"/>
  <c r="T104" i="50"/>
  <c r="T105" i="50"/>
  <c r="T106" i="50"/>
  <c r="T107" i="50"/>
  <c r="T108" i="50"/>
  <c r="T109" i="50"/>
  <c r="T121" i="50"/>
  <c r="J255" i="51" l="1"/>
  <c r="J121" i="51"/>
  <c r="K249" i="51"/>
  <c r="T110" i="50"/>
  <c r="T100" i="50"/>
  <c r="T102" i="50" s="1"/>
  <c r="T103" i="50" s="1"/>
  <c r="T111" i="50"/>
  <c r="K255" i="51" l="1"/>
  <c r="K121" i="51"/>
  <c r="L249" i="51"/>
  <c r="L255" i="51" l="1"/>
  <c r="L121" i="51"/>
  <c r="M249" i="51"/>
  <c r="N249" i="51" l="1"/>
  <c r="M255" i="51"/>
  <c r="M121" i="51"/>
  <c r="O249" i="51" l="1"/>
  <c r="N255" i="51"/>
  <c r="N121" i="51"/>
  <c r="S28" i="50"/>
  <c r="S61" i="50" s="1"/>
  <c r="S32" i="50"/>
  <c r="S65" i="50"/>
  <c r="S79" i="50"/>
  <c r="S83" i="50"/>
  <c r="S95" i="50"/>
  <c r="S104" i="50"/>
  <c r="S105" i="50"/>
  <c r="S106" i="50"/>
  <c r="S107" i="50"/>
  <c r="S108" i="50"/>
  <c r="S109" i="50"/>
  <c r="S124" i="50"/>
  <c r="S121" i="50" s="1"/>
  <c r="P249" i="51" l="1"/>
  <c r="O121" i="51"/>
  <c r="O255" i="51"/>
  <c r="S110" i="50"/>
  <c r="S111" i="50"/>
  <c r="S100" i="50"/>
  <c r="S102" i="50" s="1"/>
  <c r="Q249" i="51" l="1"/>
  <c r="P255" i="51"/>
  <c r="S103" i="50"/>
  <c r="Q255" i="51" l="1"/>
  <c r="Q121" i="51"/>
  <c r="R249" i="51"/>
  <c r="R255" i="51" l="1"/>
  <c r="R121" i="51"/>
  <c r="S249" i="51"/>
  <c r="S255" i="51" l="1"/>
  <c r="S121" i="51"/>
  <c r="T249" i="51"/>
  <c r="T255" i="51" l="1"/>
  <c r="T121" i="51"/>
  <c r="U249" i="51"/>
  <c r="U121" i="51" l="1"/>
  <c r="V249" i="51"/>
  <c r="U255" i="51"/>
  <c r="W249" i="51" l="1"/>
  <c r="V255" i="51"/>
  <c r="V121" i="51"/>
  <c r="X249" i="51" l="1"/>
  <c r="W121" i="51"/>
  <c r="W255" i="51"/>
  <c r="Y249" i="51" l="1"/>
  <c r="X255" i="51"/>
  <c r="X121" i="51"/>
  <c r="Y255" i="51" l="1"/>
  <c r="Z249" i="51"/>
  <c r="Z255" i="51" l="1"/>
  <c r="AA249" i="51"/>
  <c r="AA255" i="51" l="1"/>
  <c r="AA121" i="51"/>
  <c r="AB249" i="51"/>
  <c r="AB255" i="51" l="1"/>
  <c r="AC249" i="51"/>
  <c r="AD249" i="51" l="1"/>
  <c r="AC255" i="51"/>
  <c r="R124" i="50"/>
  <c r="R32" i="50"/>
  <c r="R28" i="50"/>
  <c r="R60" i="50"/>
  <c r="AE249" i="51" l="1"/>
  <c r="AD255" i="51"/>
  <c r="Q124" i="50"/>
  <c r="Q60" i="50"/>
  <c r="Q61" i="50"/>
  <c r="Q65" i="50"/>
  <c r="P124" i="50"/>
  <c r="P60" i="50"/>
  <c r="O124" i="50"/>
  <c r="O60" i="50"/>
  <c r="N124" i="50"/>
  <c r="N60" i="50"/>
  <c r="AF249" i="51" l="1"/>
  <c r="AE255" i="51"/>
  <c r="C100" i="50"/>
  <c r="AG255" i="50"/>
  <c r="C255" i="50"/>
  <c r="U254" i="50"/>
  <c r="V254" i="50" s="1"/>
  <c r="W254" i="50" s="1"/>
  <c r="X254" i="50" s="1"/>
  <c r="Y254" i="50" s="1"/>
  <c r="Z254" i="50" s="1"/>
  <c r="AA254" i="50" s="1"/>
  <c r="AB254" i="50" s="1"/>
  <c r="AC254" i="50" s="1"/>
  <c r="AD254" i="50" s="1"/>
  <c r="AE254" i="50" s="1"/>
  <c r="AF254" i="50" s="1"/>
  <c r="B254" i="50" s="1"/>
  <c r="E254" i="50"/>
  <c r="F254" i="50" s="1"/>
  <c r="G254" i="50" s="1"/>
  <c r="H254" i="50" s="1"/>
  <c r="I254" i="50" s="1"/>
  <c r="J254" i="50" s="1"/>
  <c r="K254" i="50" s="1"/>
  <c r="L254" i="50" s="1"/>
  <c r="M254" i="50" s="1"/>
  <c r="N254" i="50" s="1"/>
  <c r="O254" i="50" s="1"/>
  <c r="P254" i="50" s="1"/>
  <c r="Q254" i="50" s="1"/>
  <c r="R254" i="50" s="1"/>
  <c r="S254" i="50" s="1"/>
  <c r="T254" i="50" s="1"/>
  <c r="D254" i="50"/>
  <c r="D121" i="50" s="1"/>
  <c r="S253" i="50"/>
  <c r="T253" i="50" s="1"/>
  <c r="U253" i="50" s="1"/>
  <c r="V253" i="50" s="1"/>
  <c r="W253" i="50" s="1"/>
  <c r="X253" i="50" s="1"/>
  <c r="Y253" i="50" s="1"/>
  <c r="Z253" i="50" s="1"/>
  <c r="AA253" i="50" s="1"/>
  <c r="AB253" i="50" s="1"/>
  <c r="AC253" i="50" s="1"/>
  <c r="AD253" i="50" s="1"/>
  <c r="AE253" i="50" s="1"/>
  <c r="AF253" i="50" s="1"/>
  <c r="B253" i="50" s="1"/>
  <c r="E253" i="50"/>
  <c r="F253" i="50" s="1"/>
  <c r="G253" i="50" s="1"/>
  <c r="H253" i="50" s="1"/>
  <c r="I253" i="50" s="1"/>
  <c r="J253" i="50" s="1"/>
  <c r="K253" i="50" s="1"/>
  <c r="L253" i="50" s="1"/>
  <c r="M253" i="50" s="1"/>
  <c r="N253" i="50" s="1"/>
  <c r="O253" i="50" s="1"/>
  <c r="P253" i="50" s="1"/>
  <c r="Q253" i="50" s="1"/>
  <c r="R253" i="50" s="1"/>
  <c r="D253" i="50"/>
  <c r="E252" i="50"/>
  <c r="F252" i="50" s="1"/>
  <c r="G252" i="50" s="1"/>
  <c r="H252" i="50" s="1"/>
  <c r="I252" i="50" s="1"/>
  <c r="J252" i="50" s="1"/>
  <c r="K252" i="50" s="1"/>
  <c r="L252" i="50" s="1"/>
  <c r="M252" i="50" s="1"/>
  <c r="N252" i="50" s="1"/>
  <c r="O252" i="50" s="1"/>
  <c r="P252" i="50" s="1"/>
  <c r="Q252" i="50" s="1"/>
  <c r="R252" i="50" s="1"/>
  <c r="S252" i="50" s="1"/>
  <c r="T252" i="50" s="1"/>
  <c r="U252" i="50" s="1"/>
  <c r="V252" i="50" s="1"/>
  <c r="W252" i="50" s="1"/>
  <c r="X252" i="50" s="1"/>
  <c r="Y252" i="50" s="1"/>
  <c r="Z252" i="50" s="1"/>
  <c r="AA252" i="50" s="1"/>
  <c r="AB252" i="50" s="1"/>
  <c r="AC252" i="50" s="1"/>
  <c r="AD252" i="50" s="1"/>
  <c r="AE252" i="50" s="1"/>
  <c r="AF252" i="50" s="1"/>
  <c r="B252" i="50" s="1"/>
  <c r="D252" i="50"/>
  <c r="F251" i="50"/>
  <c r="G251" i="50" s="1"/>
  <c r="H251" i="50" s="1"/>
  <c r="I251" i="50" s="1"/>
  <c r="J251" i="50" s="1"/>
  <c r="K251" i="50" s="1"/>
  <c r="L251" i="50" s="1"/>
  <c r="M251" i="50" s="1"/>
  <c r="N251" i="50" s="1"/>
  <c r="O251" i="50" s="1"/>
  <c r="P251" i="50" s="1"/>
  <c r="Q251" i="50" s="1"/>
  <c r="R251" i="50" s="1"/>
  <c r="S251" i="50" s="1"/>
  <c r="T251" i="50" s="1"/>
  <c r="U251" i="50" s="1"/>
  <c r="V251" i="50" s="1"/>
  <c r="W251" i="50" s="1"/>
  <c r="X251" i="50" s="1"/>
  <c r="Y251" i="50" s="1"/>
  <c r="Z251" i="50" s="1"/>
  <c r="AA251" i="50" s="1"/>
  <c r="AB251" i="50" s="1"/>
  <c r="AC251" i="50" s="1"/>
  <c r="AD251" i="50" s="1"/>
  <c r="AE251" i="50" s="1"/>
  <c r="AF251" i="50" s="1"/>
  <c r="B251" i="50" s="1"/>
  <c r="E251" i="50"/>
  <c r="D251" i="50"/>
  <c r="E250" i="50"/>
  <c r="F250" i="50" s="1"/>
  <c r="D250" i="50"/>
  <c r="E249" i="50"/>
  <c r="F249" i="50" s="1"/>
  <c r="F121" i="50" s="1"/>
  <c r="D249" i="50"/>
  <c r="D255" i="50" s="1"/>
  <c r="AG247" i="50"/>
  <c r="AF247" i="50"/>
  <c r="AE247" i="50"/>
  <c r="AD247" i="50"/>
  <c r="AC247" i="50"/>
  <c r="AB247" i="50"/>
  <c r="AA247" i="50"/>
  <c r="Z247" i="50"/>
  <c r="Y247" i="50"/>
  <c r="X247" i="50"/>
  <c r="W247" i="50"/>
  <c r="V247" i="50"/>
  <c r="U247" i="50"/>
  <c r="T247" i="50"/>
  <c r="S247" i="50"/>
  <c r="R247" i="50"/>
  <c r="Q247" i="50"/>
  <c r="P247" i="50"/>
  <c r="O247" i="50"/>
  <c r="N247" i="50"/>
  <c r="M247" i="50"/>
  <c r="L247" i="50"/>
  <c r="K247" i="50"/>
  <c r="J247" i="50"/>
  <c r="I247" i="50"/>
  <c r="H247" i="50"/>
  <c r="G247" i="50"/>
  <c r="F247" i="50"/>
  <c r="E247" i="50"/>
  <c r="D247" i="50"/>
  <c r="C247" i="50"/>
  <c r="B247" i="50"/>
  <c r="AI133" i="50"/>
  <c r="AH133" i="50"/>
  <c r="AI132" i="50"/>
  <c r="AH132" i="50"/>
  <c r="AI131" i="50"/>
  <c r="AH131" i="50"/>
  <c r="AI130" i="50"/>
  <c r="AH130" i="50"/>
  <c r="AI129" i="50"/>
  <c r="AH129" i="50"/>
  <c r="AI126" i="50"/>
  <c r="AH126" i="50"/>
  <c r="AI125" i="50"/>
  <c r="AH125" i="50"/>
  <c r="AI124" i="50"/>
  <c r="AH124" i="50"/>
  <c r="AI123" i="50"/>
  <c r="AH123" i="50"/>
  <c r="AI122" i="50"/>
  <c r="AH122" i="50"/>
  <c r="C121" i="50"/>
  <c r="AI120" i="50"/>
  <c r="AH120" i="50"/>
  <c r="AI119" i="50"/>
  <c r="AH119" i="50"/>
  <c r="AI118" i="50"/>
  <c r="AH118" i="50"/>
  <c r="AI117" i="50"/>
  <c r="AH117" i="50"/>
  <c r="AI116" i="50"/>
  <c r="AH116" i="50"/>
  <c r="AI115" i="50"/>
  <c r="AH115" i="50"/>
  <c r="AI114" i="50"/>
  <c r="AH114" i="50"/>
  <c r="AI113" i="50"/>
  <c r="AH113" i="50"/>
  <c r="AI112" i="50"/>
  <c r="AH112" i="50"/>
  <c r="BD23" i="50"/>
  <c r="BB23" i="50"/>
  <c r="L110" i="50"/>
  <c r="F110" i="50"/>
  <c r="AQ23" i="50" s="1"/>
  <c r="AF109" i="50"/>
  <c r="AE109" i="50"/>
  <c r="AD109" i="50"/>
  <c r="AC109" i="50"/>
  <c r="AB109" i="50"/>
  <c r="R109" i="50"/>
  <c r="Q109" i="50"/>
  <c r="P109" i="50"/>
  <c r="O109" i="50"/>
  <c r="N109" i="50"/>
  <c r="M109" i="50"/>
  <c r="L109" i="50"/>
  <c r="K109" i="50"/>
  <c r="J109" i="50"/>
  <c r="I109" i="50"/>
  <c r="H109" i="50"/>
  <c r="G109" i="50"/>
  <c r="F109" i="50"/>
  <c r="E109" i="50"/>
  <c r="D109" i="50"/>
  <c r="C109" i="50"/>
  <c r="B109" i="50"/>
  <c r="AF108" i="50"/>
  <c r="AE108" i="50"/>
  <c r="AD108" i="50"/>
  <c r="AC108" i="50"/>
  <c r="AB108" i="50"/>
  <c r="R108" i="50"/>
  <c r="Q108" i="50"/>
  <c r="P108" i="50"/>
  <c r="O108" i="50"/>
  <c r="N108" i="50"/>
  <c r="M108" i="50"/>
  <c r="L108" i="50"/>
  <c r="K108" i="50"/>
  <c r="J108" i="50"/>
  <c r="I108" i="50"/>
  <c r="H108" i="50"/>
  <c r="G108" i="50"/>
  <c r="F108" i="50"/>
  <c r="E108" i="50"/>
  <c r="D108" i="50"/>
  <c r="C108" i="50"/>
  <c r="B108" i="50"/>
  <c r="AI108" i="50" s="1"/>
  <c r="AF107" i="50"/>
  <c r="AE107" i="50"/>
  <c r="AD107" i="50"/>
  <c r="AC107" i="50"/>
  <c r="AB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AH107" i="50" s="1"/>
  <c r="D107" i="50"/>
  <c r="C107" i="50"/>
  <c r="B107" i="50"/>
  <c r="AI107" i="50" s="1"/>
  <c r="AF106" i="50"/>
  <c r="AE106" i="50"/>
  <c r="AD106" i="50"/>
  <c r="AC106" i="50"/>
  <c r="AC110" i="50" s="1"/>
  <c r="AB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AF105" i="50"/>
  <c r="AE105" i="50"/>
  <c r="AD105" i="50"/>
  <c r="AD110" i="50" s="1"/>
  <c r="BH23" i="50" s="1"/>
  <c r="AC105" i="50"/>
  <c r="AB105" i="50"/>
  <c r="R105" i="50"/>
  <c r="Q105" i="50"/>
  <c r="P105" i="50"/>
  <c r="O105" i="50"/>
  <c r="N105" i="50"/>
  <c r="M105" i="50"/>
  <c r="L105" i="50"/>
  <c r="K105" i="50"/>
  <c r="J105" i="50"/>
  <c r="I105" i="50"/>
  <c r="H105" i="50"/>
  <c r="G105" i="50"/>
  <c r="F105" i="50"/>
  <c r="E105" i="50"/>
  <c r="D105" i="50"/>
  <c r="C105" i="50"/>
  <c r="AH105" i="50" s="1"/>
  <c r="B105" i="50"/>
  <c r="AI105" i="50" s="1"/>
  <c r="AF104" i="50"/>
  <c r="AE104" i="50"/>
  <c r="AD104" i="50"/>
  <c r="AC104" i="50"/>
  <c r="AB104" i="50"/>
  <c r="AB110" i="50" s="1"/>
  <c r="BG23" i="50" s="1"/>
  <c r="R104" i="50"/>
  <c r="Q104" i="50"/>
  <c r="P104" i="50"/>
  <c r="O104" i="50"/>
  <c r="N104" i="50"/>
  <c r="M104" i="50"/>
  <c r="L104" i="50"/>
  <c r="K104" i="50"/>
  <c r="J104" i="50"/>
  <c r="I104" i="50"/>
  <c r="H104" i="50"/>
  <c r="G104" i="50"/>
  <c r="F104" i="50"/>
  <c r="E104" i="50"/>
  <c r="D104" i="50"/>
  <c r="C104" i="50"/>
  <c r="B104" i="50"/>
  <c r="U7" i="50"/>
  <c r="AI101" i="50"/>
  <c r="AH101" i="50"/>
  <c r="AI99" i="50"/>
  <c r="AH99" i="50"/>
  <c r="AG99" i="50"/>
  <c r="AG102" i="50" s="1"/>
  <c r="AI98" i="50"/>
  <c r="AH98" i="50"/>
  <c r="AI97" i="50"/>
  <c r="AH97" i="50"/>
  <c r="AI96" i="50"/>
  <c r="AH96" i="50"/>
  <c r="AG95" i="50"/>
  <c r="AF95" i="50"/>
  <c r="BJ19" i="50" s="1"/>
  <c r="AE95" i="50"/>
  <c r="BI19" i="50" s="1"/>
  <c r="AD95" i="50"/>
  <c r="BH19" i="50" s="1"/>
  <c r="AC95" i="50"/>
  <c r="AB5" i="50" s="1"/>
  <c r="AB95" i="50"/>
  <c r="BG19" i="50" s="1"/>
  <c r="R95" i="50"/>
  <c r="AZ19" i="50" s="1"/>
  <c r="Q95" i="50"/>
  <c r="AY19" i="50" s="1"/>
  <c r="P95" i="50"/>
  <c r="AX19" i="50" s="1"/>
  <c r="O95" i="50"/>
  <c r="AW19" i="50" s="1"/>
  <c r="N95" i="50"/>
  <c r="M5" i="50" s="1"/>
  <c r="M95" i="50"/>
  <c r="L5" i="50" s="1"/>
  <c r="L95" i="50"/>
  <c r="K5" i="50" s="1"/>
  <c r="K95" i="50"/>
  <c r="AT19" i="50" s="1"/>
  <c r="J95" i="50"/>
  <c r="I95" i="50"/>
  <c r="H95" i="50"/>
  <c r="G5" i="50" s="1"/>
  <c r="G95" i="50"/>
  <c r="AR19" i="50" s="1"/>
  <c r="F95" i="50"/>
  <c r="E95" i="50"/>
  <c r="AP19" i="50" s="1"/>
  <c r="D95" i="50"/>
  <c r="C95" i="50"/>
  <c r="B95" i="50"/>
  <c r="AI94" i="50"/>
  <c r="AH94" i="50"/>
  <c r="AI93" i="50"/>
  <c r="AH93" i="50"/>
  <c r="AI92" i="50"/>
  <c r="AH92" i="50"/>
  <c r="AI91" i="50"/>
  <c r="AH91" i="50"/>
  <c r="AI90" i="50"/>
  <c r="AH90" i="50"/>
  <c r="AI89" i="50"/>
  <c r="AH89" i="50"/>
  <c r="AI88" i="50"/>
  <c r="AH88" i="50"/>
  <c r="AI87" i="50"/>
  <c r="AH87" i="50"/>
  <c r="AI86" i="50"/>
  <c r="AH86" i="50"/>
  <c r="AI85" i="50"/>
  <c r="AH85" i="50"/>
  <c r="AI84" i="50"/>
  <c r="AH84" i="50"/>
  <c r="AG83" i="50"/>
  <c r="AG4" i="50" s="1"/>
  <c r="AF83" i="50"/>
  <c r="AE83" i="50"/>
  <c r="AD83" i="50"/>
  <c r="AC83" i="50"/>
  <c r="AB83" i="50"/>
  <c r="R83" i="50"/>
  <c r="Q83" i="50"/>
  <c r="AY20" i="50" s="1"/>
  <c r="P83" i="50"/>
  <c r="AX20" i="50" s="1"/>
  <c r="O83" i="50"/>
  <c r="N83" i="50"/>
  <c r="M83" i="50"/>
  <c r="L83" i="50"/>
  <c r="K83" i="50"/>
  <c r="AT20" i="50" s="1"/>
  <c r="J83" i="50"/>
  <c r="I83" i="50"/>
  <c r="AS20" i="50" s="1"/>
  <c r="H83" i="50"/>
  <c r="G83" i="50"/>
  <c r="F83" i="50"/>
  <c r="AQ20" i="50" s="1"/>
  <c r="E83" i="50"/>
  <c r="AP20" i="50" s="1"/>
  <c r="D83" i="50"/>
  <c r="AO20" i="50" s="1"/>
  <c r="C83" i="50"/>
  <c r="B83" i="50"/>
  <c r="AI82" i="50"/>
  <c r="AH82" i="50"/>
  <c r="AI81" i="50"/>
  <c r="AH81" i="50"/>
  <c r="AI80" i="50"/>
  <c r="AH80" i="50"/>
  <c r="AF79" i="50"/>
  <c r="BJ18" i="50" s="1"/>
  <c r="AE79" i="50"/>
  <c r="AD79" i="50"/>
  <c r="AC79" i="50"/>
  <c r="AB79" i="50"/>
  <c r="BF18" i="50"/>
  <c r="R79" i="50"/>
  <c r="Q79" i="50"/>
  <c r="P79" i="50"/>
  <c r="AX18" i="50" s="1"/>
  <c r="O79" i="50"/>
  <c r="AW18" i="50" s="1"/>
  <c r="N79" i="50"/>
  <c r="AV18" i="50" s="1"/>
  <c r="M79" i="50"/>
  <c r="L79" i="50"/>
  <c r="K79" i="50"/>
  <c r="AT18" i="50" s="1"/>
  <c r="J79" i="50"/>
  <c r="I79" i="50"/>
  <c r="H79" i="50"/>
  <c r="G79" i="50"/>
  <c r="AR18" i="50" s="1"/>
  <c r="F79" i="50"/>
  <c r="AQ18" i="50" s="1"/>
  <c r="E79" i="50"/>
  <c r="D79" i="50"/>
  <c r="AO18" i="50" s="1"/>
  <c r="C79" i="50"/>
  <c r="AN18" i="50" s="1"/>
  <c r="BU78" i="50"/>
  <c r="BE78" i="50"/>
  <c r="BA78" i="50"/>
  <c r="AZ78" i="50"/>
  <c r="AI78" i="50"/>
  <c r="AH78" i="50"/>
  <c r="AG78" i="50"/>
  <c r="AG79" i="50" s="1"/>
  <c r="BW77" i="50"/>
  <c r="BT77" i="50"/>
  <c r="BS77" i="50"/>
  <c r="BQ77" i="50"/>
  <c r="BI77" i="50"/>
  <c r="BH77" i="50"/>
  <c r="BG77" i="50"/>
  <c r="BA77" i="50"/>
  <c r="AI77" i="50"/>
  <c r="AH77" i="50"/>
  <c r="BM76" i="50"/>
  <c r="BK76" i="50"/>
  <c r="BC76" i="50"/>
  <c r="BB76" i="50"/>
  <c r="BA76" i="50"/>
  <c r="AI76" i="50"/>
  <c r="AH76" i="50"/>
  <c r="BT75" i="50"/>
  <c r="BG75" i="50"/>
  <c r="AI75" i="50"/>
  <c r="AH75" i="50"/>
  <c r="BW74" i="50"/>
  <c r="BN74" i="50"/>
  <c r="BM74" i="50"/>
  <c r="BI74" i="50"/>
  <c r="BF74" i="50"/>
  <c r="BE74" i="50"/>
  <c r="AZ74" i="50"/>
  <c r="AI74" i="50"/>
  <c r="AH74" i="50"/>
  <c r="BR73" i="50"/>
  <c r="AZ73" i="50"/>
  <c r="AI73" i="50"/>
  <c r="AH73" i="50"/>
  <c r="AI72" i="50"/>
  <c r="AH72" i="50"/>
  <c r="BW71" i="50"/>
  <c r="BW78" i="50" s="1"/>
  <c r="BV71" i="50"/>
  <c r="BV78" i="50" s="1"/>
  <c r="BU71" i="50"/>
  <c r="BT71" i="50"/>
  <c r="BT78" i="50" s="1"/>
  <c r="BS71" i="50"/>
  <c r="BS78" i="50" s="1"/>
  <c r="BR71" i="50"/>
  <c r="BR78" i="50" s="1"/>
  <c r="BQ71" i="50"/>
  <c r="BQ78" i="50" s="1"/>
  <c r="BP71" i="50"/>
  <c r="BP78" i="50" s="1"/>
  <c r="BO71" i="50"/>
  <c r="BO78" i="50" s="1"/>
  <c r="BN71" i="50"/>
  <c r="BN78" i="50" s="1"/>
  <c r="BM71" i="50"/>
  <c r="BM78" i="50" s="1"/>
  <c r="BL71" i="50"/>
  <c r="BL78" i="50" s="1"/>
  <c r="BK71" i="50"/>
  <c r="BK78" i="50" s="1"/>
  <c r="BJ71" i="50"/>
  <c r="BJ78" i="50" s="1"/>
  <c r="BI71" i="50"/>
  <c r="BI78" i="50" s="1"/>
  <c r="BH71" i="50"/>
  <c r="BH78" i="50" s="1"/>
  <c r="BG71" i="50"/>
  <c r="BG78" i="50" s="1"/>
  <c r="BF71" i="50"/>
  <c r="BF78" i="50" s="1"/>
  <c r="BE71" i="50"/>
  <c r="BD71" i="50"/>
  <c r="BD78" i="50" s="1"/>
  <c r="BC71" i="50"/>
  <c r="BC78" i="50" s="1"/>
  <c r="BB71" i="50"/>
  <c r="BB78" i="50" s="1"/>
  <c r="BA71" i="50"/>
  <c r="AZ71" i="50"/>
  <c r="AI71" i="50"/>
  <c r="AH71" i="50"/>
  <c r="BW70" i="50"/>
  <c r="BV70" i="50"/>
  <c r="BV77" i="50" s="1"/>
  <c r="BU70" i="50"/>
  <c r="BU77" i="50" s="1"/>
  <c r="BT70" i="50"/>
  <c r="BS70" i="50"/>
  <c r="BR70" i="50"/>
  <c r="BR77" i="50" s="1"/>
  <c r="BQ70" i="50"/>
  <c r="BP70" i="50"/>
  <c r="BP77" i="50" s="1"/>
  <c r="BO70" i="50"/>
  <c r="BO77" i="50" s="1"/>
  <c r="BN70" i="50"/>
  <c r="BN77" i="50" s="1"/>
  <c r="BM70" i="50"/>
  <c r="BM77" i="50" s="1"/>
  <c r="BL70" i="50"/>
  <c r="BL77" i="50" s="1"/>
  <c r="BK70" i="50"/>
  <c r="BK77" i="50" s="1"/>
  <c r="BJ70" i="50"/>
  <c r="BJ77" i="50" s="1"/>
  <c r="BI70" i="50"/>
  <c r="BH70" i="50"/>
  <c r="BG70" i="50"/>
  <c r="BF70" i="50"/>
  <c r="BF77" i="50" s="1"/>
  <c r="BE70" i="50"/>
  <c r="BE77" i="50" s="1"/>
  <c r="BD70" i="50"/>
  <c r="BD77" i="50" s="1"/>
  <c r="BC70" i="50"/>
  <c r="BC77" i="50" s="1"/>
  <c r="BB70" i="50"/>
  <c r="BB77" i="50" s="1"/>
  <c r="BA70" i="50"/>
  <c r="AZ70" i="50"/>
  <c r="AZ77" i="50" s="1"/>
  <c r="AI70" i="50"/>
  <c r="AH70" i="50"/>
  <c r="BW69" i="50"/>
  <c r="BW76" i="50" s="1"/>
  <c r="BV69" i="50"/>
  <c r="BV76" i="50" s="1"/>
  <c r="BU69" i="50"/>
  <c r="BU76" i="50" s="1"/>
  <c r="BT69" i="50"/>
  <c r="BT76" i="50" s="1"/>
  <c r="BS69" i="50"/>
  <c r="BS76" i="50" s="1"/>
  <c r="BR69" i="50"/>
  <c r="BR76" i="50" s="1"/>
  <c r="BQ69" i="50"/>
  <c r="BQ76" i="50" s="1"/>
  <c r="BP69" i="50"/>
  <c r="BP76" i="50" s="1"/>
  <c r="BO69" i="50"/>
  <c r="BO76" i="50" s="1"/>
  <c r="BN69" i="50"/>
  <c r="BN76" i="50" s="1"/>
  <c r="BM69" i="50"/>
  <c r="BL69" i="50"/>
  <c r="BL76" i="50" s="1"/>
  <c r="BK69" i="50"/>
  <c r="BJ69" i="50"/>
  <c r="BJ76" i="50" s="1"/>
  <c r="BI69" i="50"/>
  <c r="BI76" i="50" s="1"/>
  <c r="BH69" i="50"/>
  <c r="BH76" i="50" s="1"/>
  <c r="BG69" i="50"/>
  <c r="BG76" i="50" s="1"/>
  <c r="BF69" i="50"/>
  <c r="BF76" i="50" s="1"/>
  <c r="BE69" i="50"/>
  <c r="BE76" i="50" s="1"/>
  <c r="BD69" i="50"/>
  <c r="BD76" i="50" s="1"/>
  <c r="BC69" i="50"/>
  <c r="BB69" i="50"/>
  <c r="BA69" i="50"/>
  <c r="AZ69" i="50"/>
  <c r="AZ76" i="50" s="1"/>
  <c r="AI69" i="50"/>
  <c r="AH69" i="50"/>
  <c r="BW68" i="50"/>
  <c r="BW75" i="50" s="1"/>
  <c r="BV68" i="50"/>
  <c r="BV75" i="50" s="1"/>
  <c r="BU68" i="50"/>
  <c r="BU75" i="50" s="1"/>
  <c r="BT68" i="50"/>
  <c r="BS68" i="50"/>
  <c r="BS75" i="50" s="1"/>
  <c r="BR68" i="50"/>
  <c r="BR75" i="50" s="1"/>
  <c r="BQ68" i="50"/>
  <c r="BQ75" i="50" s="1"/>
  <c r="BP68" i="50"/>
  <c r="BP75" i="50" s="1"/>
  <c r="BO68" i="50"/>
  <c r="BO75" i="50" s="1"/>
  <c r="BN68" i="50"/>
  <c r="BN75" i="50" s="1"/>
  <c r="BM68" i="50"/>
  <c r="BM75" i="50" s="1"/>
  <c r="BL68" i="50"/>
  <c r="BL75" i="50" s="1"/>
  <c r="BK68" i="50"/>
  <c r="BK75" i="50" s="1"/>
  <c r="BJ68" i="50"/>
  <c r="BJ75" i="50" s="1"/>
  <c r="BI68" i="50"/>
  <c r="BI75" i="50" s="1"/>
  <c r="BH68" i="50"/>
  <c r="BH75" i="50" s="1"/>
  <c r="BG68" i="50"/>
  <c r="BF68" i="50"/>
  <c r="BF75" i="50" s="1"/>
  <c r="BE68" i="50"/>
  <c r="BE75" i="50" s="1"/>
  <c r="BD68" i="50"/>
  <c r="BD75" i="50" s="1"/>
  <c r="BC68" i="50"/>
  <c r="BC75" i="50" s="1"/>
  <c r="BB68" i="50"/>
  <c r="BB75" i="50" s="1"/>
  <c r="BA68" i="50"/>
  <c r="BA75" i="50" s="1"/>
  <c r="AZ68" i="50"/>
  <c r="AZ75" i="50" s="1"/>
  <c r="AI68" i="50"/>
  <c r="AH68" i="50"/>
  <c r="BW67" i="50"/>
  <c r="BV67" i="50"/>
  <c r="BV74" i="50" s="1"/>
  <c r="BU67" i="50"/>
  <c r="BU74" i="50" s="1"/>
  <c r="BT67" i="50"/>
  <c r="BT74" i="50" s="1"/>
  <c r="BS67" i="50"/>
  <c r="BS74" i="50" s="1"/>
  <c r="BR67" i="50"/>
  <c r="BR74" i="50" s="1"/>
  <c r="BQ67" i="50"/>
  <c r="BQ74" i="50" s="1"/>
  <c r="BP67" i="50"/>
  <c r="BP74" i="50" s="1"/>
  <c r="BO67" i="50"/>
  <c r="BO74" i="50" s="1"/>
  <c r="BN67" i="50"/>
  <c r="BM67" i="50"/>
  <c r="BL67" i="50"/>
  <c r="BL74" i="50" s="1"/>
  <c r="BK67" i="50"/>
  <c r="BK74" i="50" s="1"/>
  <c r="BJ67" i="50"/>
  <c r="BJ74" i="50" s="1"/>
  <c r="BI67" i="50"/>
  <c r="BH67" i="50"/>
  <c r="BH74" i="50" s="1"/>
  <c r="BG67" i="50"/>
  <c r="BG74" i="50" s="1"/>
  <c r="BF67" i="50"/>
  <c r="BE67" i="50"/>
  <c r="BD67" i="50"/>
  <c r="BD74" i="50" s="1"/>
  <c r="BC67" i="50"/>
  <c r="BC74" i="50" s="1"/>
  <c r="BB67" i="50"/>
  <c r="BB74" i="50" s="1"/>
  <c r="BA67" i="50"/>
  <c r="BA74" i="50" s="1"/>
  <c r="AZ67" i="50"/>
  <c r="AI67" i="50"/>
  <c r="AH67" i="50"/>
  <c r="BW66" i="50"/>
  <c r="BW73" i="50" s="1"/>
  <c r="BV66" i="50"/>
  <c r="BV73" i="50" s="1"/>
  <c r="BU66" i="50"/>
  <c r="BU73" i="50" s="1"/>
  <c r="BT66" i="50"/>
  <c r="BT73" i="50" s="1"/>
  <c r="BS66" i="50"/>
  <c r="BS73" i="50" s="1"/>
  <c r="BR66" i="50"/>
  <c r="BQ66" i="50"/>
  <c r="BQ73" i="50" s="1"/>
  <c r="BP66" i="50"/>
  <c r="BP73" i="50" s="1"/>
  <c r="BO66" i="50"/>
  <c r="BO73" i="50" s="1"/>
  <c r="BN66" i="50"/>
  <c r="BN73" i="50" s="1"/>
  <c r="BM66" i="50"/>
  <c r="BM73" i="50" s="1"/>
  <c r="BL66" i="50"/>
  <c r="BL73" i="50" s="1"/>
  <c r="BK66" i="50"/>
  <c r="BK73" i="50" s="1"/>
  <c r="BJ66" i="50"/>
  <c r="BJ73" i="50" s="1"/>
  <c r="BI66" i="50"/>
  <c r="BI73" i="50" s="1"/>
  <c r="BH66" i="50"/>
  <c r="BH73" i="50" s="1"/>
  <c r="BG66" i="50"/>
  <c r="BG73" i="50" s="1"/>
  <c r="BF66" i="50"/>
  <c r="BF73" i="50" s="1"/>
  <c r="BE66" i="50"/>
  <c r="BE73" i="50" s="1"/>
  <c r="BD66" i="50"/>
  <c r="BD73" i="50" s="1"/>
  <c r="BC66" i="50"/>
  <c r="BC73" i="50" s="1"/>
  <c r="BB66" i="50"/>
  <c r="BB73" i="50" s="1"/>
  <c r="BA66" i="50"/>
  <c r="BA73" i="50" s="1"/>
  <c r="AZ66" i="50"/>
  <c r="AI66" i="50"/>
  <c r="AH66" i="50"/>
  <c r="AG65" i="50"/>
  <c r="AF65" i="50"/>
  <c r="BJ17" i="50" s="1"/>
  <c r="AE65" i="50"/>
  <c r="AD65" i="50"/>
  <c r="BH17" i="50" s="1"/>
  <c r="AC65" i="50"/>
  <c r="AB65" i="50"/>
  <c r="BG17" i="50" s="1"/>
  <c r="BA17" i="50"/>
  <c r="R65" i="50"/>
  <c r="P65" i="50"/>
  <c r="O65" i="50"/>
  <c r="N65" i="50"/>
  <c r="AV17" i="50" s="1"/>
  <c r="M65" i="50"/>
  <c r="AU17" i="50" s="1"/>
  <c r="L65" i="50"/>
  <c r="K65" i="50"/>
  <c r="AT17" i="50" s="1"/>
  <c r="J65" i="50"/>
  <c r="I65" i="50"/>
  <c r="AS17" i="50" s="1"/>
  <c r="H65" i="50"/>
  <c r="G65" i="50"/>
  <c r="AR17" i="50" s="1"/>
  <c r="F65" i="50"/>
  <c r="AQ17" i="50" s="1"/>
  <c r="E65" i="50"/>
  <c r="AP17" i="50" s="1"/>
  <c r="D65" i="50"/>
  <c r="AO17" i="50" s="1"/>
  <c r="C65" i="50"/>
  <c r="AN17" i="50" s="1"/>
  <c r="B65" i="50"/>
  <c r="AI64" i="50"/>
  <c r="AH64" i="50"/>
  <c r="AI63" i="50"/>
  <c r="AH63" i="50"/>
  <c r="AI62" i="50"/>
  <c r="AH62" i="50"/>
  <c r="AG61" i="50"/>
  <c r="AG100" i="50" s="1"/>
  <c r="AF61" i="50"/>
  <c r="BJ16" i="50" s="1"/>
  <c r="AE61" i="50"/>
  <c r="BI16" i="50" s="1"/>
  <c r="AD61" i="50"/>
  <c r="AC61" i="50"/>
  <c r="AB61" i="50"/>
  <c r="X7" i="50"/>
  <c r="V7" i="50"/>
  <c r="R61" i="50"/>
  <c r="AZ16" i="50" s="1"/>
  <c r="P61" i="50"/>
  <c r="AX16" i="50" s="1"/>
  <c r="O61" i="50"/>
  <c r="N61" i="50"/>
  <c r="M61" i="50"/>
  <c r="AU16" i="50" s="1"/>
  <c r="L61" i="50"/>
  <c r="K61" i="50"/>
  <c r="J61" i="50"/>
  <c r="I61" i="50"/>
  <c r="H61" i="50"/>
  <c r="G61" i="50"/>
  <c r="F61" i="50"/>
  <c r="E61" i="50"/>
  <c r="AP16" i="50" s="1"/>
  <c r="D61" i="50"/>
  <c r="C61" i="50"/>
  <c r="AN16" i="50" s="1"/>
  <c r="B61" i="50"/>
  <c r="B100" i="50" s="1"/>
  <c r="AI60" i="50"/>
  <c r="AH60" i="50"/>
  <c r="AI59" i="50"/>
  <c r="AH59" i="50"/>
  <c r="AI58" i="50"/>
  <c r="AH58" i="50"/>
  <c r="AI57" i="50"/>
  <c r="AH57" i="50"/>
  <c r="AI56" i="50"/>
  <c r="AH56" i="50"/>
  <c r="AI55" i="50"/>
  <c r="AH55" i="50"/>
  <c r="AI54" i="50"/>
  <c r="AH54" i="50"/>
  <c r="AI53" i="50"/>
  <c r="AH53" i="50"/>
  <c r="AI52" i="50"/>
  <c r="AH52" i="50"/>
  <c r="AI51" i="50"/>
  <c r="AH51" i="50"/>
  <c r="AI50" i="50"/>
  <c r="AH50" i="50"/>
  <c r="AI49" i="50"/>
  <c r="AH49" i="50"/>
  <c r="AI48" i="50"/>
  <c r="AH48" i="50"/>
  <c r="AI47" i="50"/>
  <c r="AH47" i="50"/>
  <c r="AI46" i="50"/>
  <c r="AH46" i="50"/>
  <c r="AI45" i="50"/>
  <c r="AH45" i="50"/>
  <c r="AI44" i="50"/>
  <c r="AH44" i="50"/>
  <c r="AI43" i="50"/>
  <c r="AH43" i="50"/>
  <c r="AI42" i="50"/>
  <c r="AH42" i="50"/>
  <c r="AI41" i="50"/>
  <c r="AH41" i="50"/>
  <c r="AI40" i="50"/>
  <c r="AH40" i="50"/>
  <c r="AI39" i="50"/>
  <c r="AH39" i="50"/>
  <c r="AI38" i="50"/>
  <c r="AH38" i="50"/>
  <c r="AI37" i="50"/>
  <c r="AH37" i="50"/>
  <c r="AI36" i="50"/>
  <c r="AH36" i="50"/>
  <c r="AI35" i="50"/>
  <c r="AH35" i="50"/>
  <c r="AI34" i="50"/>
  <c r="AH34" i="50"/>
  <c r="AI33" i="50"/>
  <c r="AH33" i="50"/>
  <c r="AI32" i="50"/>
  <c r="AH32" i="50"/>
  <c r="AI31" i="50"/>
  <c r="AH31" i="50"/>
  <c r="AI30" i="50"/>
  <c r="AH30" i="50"/>
  <c r="AI29" i="50"/>
  <c r="AH29" i="50"/>
  <c r="AI28" i="50"/>
  <c r="AH28" i="50"/>
  <c r="AI27" i="50"/>
  <c r="AH27" i="50"/>
  <c r="AI26" i="50"/>
  <c r="AH26" i="50"/>
  <c r="AI25" i="50"/>
  <c r="AH25" i="50"/>
  <c r="AI24" i="50"/>
  <c r="AH24" i="50"/>
  <c r="BF23" i="50"/>
  <c r="BE23" i="50"/>
  <c r="BC23" i="50"/>
  <c r="AI23" i="50"/>
  <c r="AH23" i="50"/>
  <c r="AI22" i="50"/>
  <c r="AH22" i="50"/>
  <c r="BJ21" i="50"/>
  <c r="BI21" i="50"/>
  <c r="BH21" i="50"/>
  <c r="BG21" i="50"/>
  <c r="BF21" i="50"/>
  <c r="BE21" i="50"/>
  <c r="BD21" i="50"/>
  <c r="BC21" i="50"/>
  <c r="BB21" i="50"/>
  <c r="BA21" i="50"/>
  <c r="AZ21" i="50"/>
  <c r="AY21" i="50"/>
  <c r="AX21" i="50"/>
  <c r="AW21" i="50"/>
  <c r="AV21" i="50"/>
  <c r="AU21" i="50"/>
  <c r="AT21" i="50"/>
  <c r="AS21" i="50"/>
  <c r="AR21" i="50"/>
  <c r="AQ21" i="50"/>
  <c r="AP21" i="50"/>
  <c r="AO21" i="50"/>
  <c r="AN21" i="50"/>
  <c r="AM21" i="50"/>
  <c r="AI21" i="50"/>
  <c r="AH21" i="50"/>
  <c r="BJ20" i="50"/>
  <c r="BI20" i="50"/>
  <c r="BH20" i="50"/>
  <c r="BG20" i="50"/>
  <c r="BF20" i="50"/>
  <c r="BE20" i="50"/>
  <c r="BD20" i="50"/>
  <c r="BC20" i="50"/>
  <c r="BB20" i="50"/>
  <c r="BA20" i="50"/>
  <c r="AZ20" i="50"/>
  <c r="AW20" i="50"/>
  <c r="AV20" i="50"/>
  <c r="AU20" i="50"/>
  <c r="AR20" i="50"/>
  <c r="AN20" i="50"/>
  <c r="AM20" i="50"/>
  <c r="AI20" i="50"/>
  <c r="AH20" i="50"/>
  <c r="BF19" i="50"/>
  <c r="BE19" i="50"/>
  <c r="BD19" i="50"/>
  <c r="BC19" i="50"/>
  <c r="BB19" i="50"/>
  <c r="BA19" i="50"/>
  <c r="AQ19" i="50"/>
  <c r="AO19" i="50"/>
  <c r="AN19" i="50"/>
  <c r="AI19" i="50"/>
  <c r="AH19" i="50"/>
  <c r="BI18" i="50"/>
  <c r="BH18" i="50"/>
  <c r="BG18" i="50"/>
  <c r="BE18" i="50"/>
  <c r="BD18" i="50"/>
  <c r="BC18" i="50"/>
  <c r="BB18" i="50"/>
  <c r="BA18" i="50"/>
  <c r="AZ18" i="50"/>
  <c r="AY18" i="50"/>
  <c r="AU18" i="50"/>
  <c r="AS18" i="50"/>
  <c r="AP18" i="50"/>
  <c r="AI18" i="50"/>
  <c r="AH18" i="50"/>
  <c r="BI17" i="50"/>
  <c r="BF17" i="50"/>
  <c r="BE17" i="50"/>
  <c r="BD17" i="50"/>
  <c r="BC17" i="50"/>
  <c r="BB17" i="50"/>
  <c r="AZ17" i="50"/>
  <c r="AY17" i="50"/>
  <c r="AX17" i="50"/>
  <c r="AW17" i="50"/>
  <c r="AM17" i="50"/>
  <c r="AI17" i="50"/>
  <c r="AH17" i="50"/>
  <c r="BF16" i="50"/>
  <c r="BE16" i="50"/>
  <c r="BD16" i="50"/>
  <c r="BC16" i="50"/>
  <c r="AI16" i="50"/>
  <c r="AH16" i="50"/>
  <c r="AI15" i="50"/>
  <c r="AH15" i="50"/>
  <c r="AI14" i="50"/>
  <c r="AH14" i="50"/>
  <c r="AI13" i="50"/>
  <c r="AH13" i="50"/>
  <c r="AL12" i="50"/>
  <c r="AI12" i="50"/>
  <c r="AH12" i="50"/>
  <c r="AI11" i="50"/>
  <c r="AH11" i="50"/>
  <c r="AC5" i="50"/>
  <c r="Z5" i="50"/>
  <c r="W5" i="50"/>
  <c r="V5" i="50"/>
  <c r="U5" i="50"/>
  <c r="T5" i="50"/>
  <c r="S5" i="50"/>
  <c r="R5" i="50"/>
  <c r="O5" i="50"/>
  <c r="E5" i="50"/>
  <c r="C5" i="50"/>
  <c r="B5" i="50"/>
  <c r="K4" i="50"/>
  <c r="E4" i="50"/>
  <c r="H4" i="50" s="1"/>
  <c r="B4" i="50"/>
  <c r="D261" i="50" s="1"/>
  <c r="AG3" i="50"/>
  <c r="AG2" i="50"/>
  <c r="AF60" i="49"/>
  <c r="AE60" i="49"/>
  <c r="AC60" i="49"/>
  <c r="AD60" i="49"/>
  <c r="AB60" i="49"/>
  <c r="AA61" i="49"/>
  <c r="AA65" i="49"/>
  <c r="AA79" i="49"/>
  <c r="AA83" i="49"/>
  <c r="AA95" i="49"/>
  <c r="AA104" i="49"/>
  <c r="AA105" i="49"/>
  <c r="AA106" i="49"/>
  <c r="AA110" i="49" s="1"/>
  <c r="AA107" i="49"/>
  <c r="AA108" i="49"/>
  <c r="AA109" i="49"/>
  <c r="AA121" i="49"/>
  <c r="Z61" i="49"/>
  <c r="Z65" i="49"/>
  <c r="Z79" i="49"/>
  <c r="Z83" i="49"/>
  <c r="Z95" i="49"/>
  <c r="Z104" i="49"/>
  <c r="Z105" i="49"/>
  <c r="Z106" i="49"/>
  <c r="Z107" i="49"/>
  <c r="Z108" i="49"/>
  <c r="Z109" i="49"/>
  <c r="Z121" i="49"/>
  <c r="Y61" i="49"/>
  <c r="Y65" i="49"/>
  <c r="Y79" i="49"/>
  <c r="Y83" i="49"/>
  <c r="Y95" i="49"/>
  <c r="Y104" i="49"/>
  <c r="Y105" i="49"/>
  <c r="Y106" i="49"/>
  <c r="Y107" i="49"/>
  <c r="Y108" i="49"/>
  <c r="Y109" i="49"/>
  <c r="Y121" i="49"/>
  <c r="X61" i="49"/>
  <c r="X65" i="49"/>
  <c r="X79" i="49"/>
  <c r="X83" i="49"/>
  <c r="X95" i="49"/>
  <c r="X104" i="49"/>
  <c r="X105" i="49"/>
  <c r="X106" i="49"/>
  <c r="X107" i="49"/>
  <c r="X108" i="49"/>
  <c r="X109" i="49"/>
  <c r="X121" i="49"/>
  <c r="W61" i="49"/>
  <c r="W65" i="49"/>
  <c r="W79" i="49"/>
  <c r="W83" i="49"/>
  <c r="W95" i="49"/>
  <c r="W104" i="49"/>
  <c r="W105" i="49"/>
  <c r="W106" i="49"/>
  <c r="W107" i="49"/>
  <c r="W108" i="49"/>
  <c r="W109" i="49"/>
  <c r="W121" i="49"/>
  <c r="V61" i="49"/>
  <c r="V65" i="49"/>
  <c r="V79" i="49"/>
  <c r="V83" i="49"/>
  <c r="V95" i="49"/>
  <c r="V104" i="49"/>
  <c r="V105" i="49"/>
  <c r="V106" i="49"/>
  <c r="V107" i="49"/>
  <c r="V108" i="49"/>
  <c r="V109" i="49"/>
  <c r="V121" i="49"/>
  <c r="AF255" i="51" l="1"/>
  <c r="B249" i="51"/>
  <c r="AF110" i="50"/>
  <c r="AE5" i="50"/>
  <c r="AF100" i="50"/>
  <c r="AF102" i="50" s="1"/>
  <c r="AF103" i="50" s="1"/>
  <c r="AF7" i="50" s="1"/>
  <c r="BJ22" i="50"/>
  <c r="AD5" i="50"/>
  <c r="AD100" i="50"/>
  <c r="AD102" i="50" s="1"/>
  <c r="AD103" i="50" s="1"/>
  <c r="AD7" i="50" s="1"/>
  <c r="BH16" i="50"/>
  <c r="BH22" i="50"/>
  <c r="BH24" i="50" s="1"/>
  <c r="AE100" i="50"/>
  <c r="AE102" i="50" s="1"/>
  <c r="BI22" i="50"/>
  <c r="AC111" i="50"/>
  <c r="AB111" i="50"/>
  <c r="AA5" i="50"/>
  <c r="BD22" i="50"/>
  <c r="BD24" i="50" s="1"/>
  <c r="BC22" i="50"/>
  <c r="BC24" i="50" s="1"/>
  <c r="R110" i="50"/>
  <c r="AZ23" i="50" s="1"/>
  <c r="AZ22" i="50"/>
  <c r="AZ24" i="50" s="1"/>
  <c r="Q110" i="50"/>
  <c r="AY23" i="50" s="1"/>
  <c r="Q100" i="50"/>
  <c r="Q102" i="50" s="1"/>
  <c r="AY16" i="50"/>
  <c r="AY22" i="50" s="1"/>
  <c r="AY24" i="50" s="1"/>
  <c r="P110" i="50"/>
  <c r="AX23" i="50" s="1"/>
  <c r="AX22" i="50"/>
  <c r="P100" i="50"/>
  <c r="P102" i="50" s="1"/>
  <c r="P103" i="50" s="1"/>
  <c r="P7" i="50" s="1"/>
  <c r="N5" i="50"/>
  <c r="O100" i="50"/>
  <c r="O102" i="50" s="1"/>
  <c r="AV19" i="50"/>
  <c r="N110" i="50"/>
  <c r="AV23" i="50" s="1"/>
  <c r="N100" i="50"/>
  <c r="N102" i="50" s="1"/>
  <c r="AW16" i="50"/>
  <c r="AW22" i="50" s="1"/>
  <c r="AV16" i="50"/>
  <c r="AU19" i="50"/>
  <c r="M110" i="50"/>
  <c r="AU23" i="50" s="1"/>
  <c r="M100" i="50"/>
  <c r="M102" i="50" s="1"/>
  <c r="L100" i="50"/>
  <c r="L102" i="50" s="1"/>
  <c r="L103" i="50" s="1"/>
  <c r="L7" i="50" s="1"/>
  <c r="L111" i="50"/>
  <c r="J5" i="50"/>
  <c r="J110" i="50"/>
  <c r="J111" i="50" s="1"/>
  <c r="AI109" i="50"/>
  <c r="I110" i="50"/>
  <c r="AS23" i="50" s="1"/>
  <c r="I100" i="50"/>
  <c r="I102" i="50" s="1"/>
  <c r="AS16" i="50"/>
  <c r="H110" i="50"/>
  <c r="H111" i="50" s="1"/>
  <c r="H100" i="50"/>
  <c r="H102" i="50" s="1"/>
  <c r="F5" i="50"/>
  <c r="G100" i="50"/>
  <c r="G102" i="50" s="1"/>
  <c r="AR16" i="50"/>
  <c r="AR22" i="50" s="1"/>
  <c r="F100" i="50"/>
  <c r="F102" i="50" s="1"/>
  <c r="F103" i="50" s="1"/>
  <c r="F7" i="50" s="1"/>
  <c r="AQ16" i="50"/>
  <c r="AQ22" i="50" s="1"/>
  <c r="AQ24" i="50" s="1"/>
  <c r="D5" i="50"/>
  <c r="E110" i="50"/>
  <c r="AP23" i="50" s="1"/>
  <c r="E100" i="50"/>
  <c r="E102" i="50" s="1"/>
  <c r="E103" i="50" s="1"/>
  <c r="E7" i="50" s="1"/>
  <c r="AP22" i="50"/>
  <c r="D110" i="50"/>
  <c r="AO23" i="50" s="1"/>
  <c r="D100" i="50"/>
  <c r="D102" i="50" s="1"/>
  <c r="AO16" i="50"/>
  <c r="AO22" i="50" s="1"/>
  <c r="AI61" i="50"/>
  <c r="AM16" i="50"/>
  <c r="AH106" i="50"/>
  <c r="AI106" i="50"/>
  <c r="AG6" i="50"/>
  <c r="Q103" i="50"/>
  <c r="Q7" i="50" s="1"/>
  <c r="Y7" i="50"/>
  <c r="AH65" i="50"/>
  <c r="AI65" i="50"/>
  <c r="C102" i="50"/>
  <c r="K100" i="50"/>
  <c r="K102" i="50" s="1"/>
  <c r="AT16" i="50"/>
  <c r="AT22" i="50" s="1"/>
  <c r="BA16" i="50"/>
  <c r="BA22" i="50" s="1"/>
  <c r="S7" i="50"/>
  <c r="AA7" i="50"/>
  <c r="AI79" i="50"/>
  <c r="AU22" i="50"/>
  <c r="AU24" i="50" s="1"/>
  <c r="BE22" i="50"/>
  <c r="BE24" i="50" s="1"/>
  <c r="T7" i="50"/>
  <c r="BB16" i="50"/>
  <c r="BB22" i="50" s="1"/>
  <c r="BB24" i="50" s="1"/>
  <c r="AB100" i="50"/>
  <c r="AB102" i="50" s="1"/>
  <c r="AB103" i="50" s="1"/>
  <c r="AB7" i="50" s="1"/>
  <c r="BG16" i="50"/>
  <c r="BG22" i="50" s="1"/>
  <c r="BG24" i="50" s="1"/>
  <c r="BG82" i="50" a="1"/>
  <c r="AH79" i="50"/>
  <c r="AM18" i="50"/>
  <c r="G250" i="50"/>
  <c r="H250" i="50" s="1"/>
  <c r="I250" i="50" s="1"/>
  <c r="J250" i="50" s="1"/>
  <c r="K250" i="50" s="1"/>
  <c r="L250" i="50" s="1"/>
  <c r="M250" i="50" s="1"/>
  <c r="N250" i="50" s="1"/>
  <c r="O250" i="50" s="1"/>
  <c r="P250" i="50" s="1"/>
  <c r="Q250" i="50" s="1"/>
  <c r="R250" i="50" s="1"/>
  <c r="S250" i="50" s="1"/>
  <c r="T250" i="50" s="1"/>
  <c r="U250" i="50" s="1"/>
  <c r="V250" i="50" s="1"/>
  <c r="W250" i="50" s="1"/>
  <c r="X250" i="50" s="1"/>
  <c r="Y250" i="50" s="1"/>
  <c r="Z250" i="50" s="1"/>
  <c r="AA250" i="50" s="1"/>
  <c r="AB250" i="50" s="1"/>
  <c r="AC250" i="50" s="1"/>
  <c r="AD250" i="50" s="1"/>
  <c r="AE250" i="50" s="1"/>
  <c r="AF250" i="50" s="1"/>
  <c r="B250" i="50" s="1"/>
  <c r="F255" i="50"/>
  <c r="E255" i="50"/>
  <c r="BF22" i="50"/>
  <c r="BF24" i="50" s="1"/>
  <c r="AH104" i="50"/>
  <c r="B110" i="50"/>
  <c r="B111" i="50" s="1"/>
  <c r="AI104" i="50"/>
  <c r="AL13" i="50"/>
  <c r="AN22" i="50"/>
  <c r="H5" i="50"/>
  <c r="AS19" i="50"/>
  <c r="Q111" i="50"/>
  <c r="P5" i="50"/>
  <c r="X5" i="50"/>
  <c r="AI95" i="50"/>
  <c r="AH95" i="50"/>
  <c r="C110" i="50"/>
  <c r="AC100" i="50"/>
  <c r="AC102" i="50" s="1"/>
  <c r="AC103" i="50" s="1"/>
  <c r="AC7" i="50" s="1"/>
  <c r="AI83" i="50"/>
  <c r="AH83" i="50"/>
  <c r="G249" i="50"/>
  <c r="D111" i="50"/>
  <c r="AF5" i="50"/>
  <c r="E121" i="50"/>
  <c r="R111" i="50"/>
  <c r="K110" i="50"/>
  <c r="I5" i="50"/>
  <c r="Q5" i="50"/>
  <c r="Y5" i="50"/>
  <c r="AM19" i="50"/>
  <c r="F111" i="50"/>
  <c r="N111" i="50"/>
  <c r="AD111" i="50"/>
  <c r="G110" i="50"/>
  <c r="AR23" i="50" s="1"/>
  <c r="O110" i="50"/>
  <c r="AW23" i="50" s="1"/>
  <c r="AE110" i="50"/>
  <c r="BI23" i="50" s="1"/>
  <c r="J100" i="50"/>
  <c r="J102" i="50" s="1"/>
  <c r="J103" i="50" s="1"/>
  <c r="J7" i="50" s="1"/>
  <c r="R100" i="50"/>
  <c r="R102" i="50" s="1"/>
  <c r="R103" i="50" s="1"/>
  <c r="R7" i="50" s="1"/>
  <c r="Z7" i="50"/>
  <c r="AH61" i="50"/>
  <c r="AH109" i="50"/>
  <c r="AH108" i="50"/>
  <c r="AA100" i="49"/>
  <c r="AA102" i="49" s="1"/>
  <c r="AA103" i="49" s="1"/>
  <c r="AA111" i="49"/>
  <c r="Z110" i="49"/>
  <c r="Z111" i="49" s="1"/>
  <c r="Z100" i="49"/>
  <c r="Z102" i="49" s="1"/>
  <c r="Z103" i="49" s="1"/>
  <c r="Y110" i="49"/>
  <c r="Y111" i="49" s="1"/>
  <c r="Y100" i="49"/>
  <c r="Y102" i="49" s="1"/>
  <c r="Y103" i="49" s="1"/>
  <c r="X110" i="49"/>
  <c r="X111" i="49" s="1"/>
  <c r="X100" i="49"/>
  <c r="X102" i="49" s="1"/>
  <c r="X103" i="49" s="1"/>
  <c r="W110" i="49"/>
  <c r="W111" i="49" s="1"/>
  <c r="W100" i="49"/>
  <c r="W102" i="49" s="1"/>
  <c r="W103" i="49" s="1"/>
  <c r="V110" i="49"/>
  <c r="V111" i="49" s="1"/>
  <c r="V100" i="49"/>
  <c r="V102" i="49" s="1"/>
  <c r="V103" i="49" s="1"/>
  <c r="B255" i="51" l="1"/>
  <c r="B121" i="51"/>
  <c r="BJ24" i="50"/>
  <c r="AF111" i="50"/>
  <c r="BJ23" i="50"/>
  <c r="BI24" i="50"/>
  <c r="AX24" i="50"/>
  <c r="P111" i="50"/>
  <c r="AV22" i="50"/>
  <c r="AV24" i="50" s="1"/>
  <c r="N103" i="50"/>
  <c r="N7" i="50" s="1"/>
  <c r="M111" i="50"/>
  <c r="M103" i="50"/>
  <c r="M7" i="50" s="1"/>
  <c r="I111" i="50"/>
  <c r="I103" i="50"/>
  <c r="I7" i="50" s="1"/>
  <c r="AS22" i="50"/>
  <c r="AS24" i="50" s="1"/>
  <c r="H103" i="50"/>
  <c r="H7" i="50" s="1"/>
  <c r="AR24" i="50"/>
  <c r="AM22" i="50"/>
  <c r="AP24" i="50"/>
  <c r="E111" i="50"/>
  <c r="AO24" i="50"/>
  <c r="D103" i="50"/>
  <c r="D7" i="50" s="1"/>
  <c r="AH100" i="50"/>
  <c r="B102" i="50"/>
  <c r="B103" i="50" s="1"/>
  <c r="AI100" i="50"/>
  <c r="H249" i="50"/>
  <c r="G255" i="50"/>
  <c r="G121" i="50"/>
  <c r="AW24" i="50"/>
  <c r="BA24" i="50"/>
  <c r="W7" i="50"/>
  <c r="K111" i="50"/>
  <c r="AT23" i="50"/>
  <c r="AT24" i="50" s="1"/>
  <c r="K103" i="50"/>
  <c r="K7" i="50" s="1"/>
  <c r="C259" i="50"/>
  <c r="AE111" i="50"/>
  <c r="B259" i="50"/>
  <c r="O111" i="50"/>
  <c r="BA23" i="50"/>
  <c r="AI110" i="50"/>
  <c r="AH110" i="50"/>
  <c r="AM23" i="50"/>
  <c r="C103" i="50"/>
  <c r="C7" i="50" s="1"/>
  <c r="G103" i="50"/>
  <c r="G7" i="50" s="1"/>
  <c r="G111" i="50"/>
  <c r="AN23" i="50"/>
  <c r="AN24" i="50" s="1"/>
  <c r="C111" i="50"/>
  <c r="AE103" i="50"/>
  <c r="AE7" i="50" s="1"/>
  <c r="O103" i="50"/>
  <c r="O7" i="50" s="1"/>
  <c r="BK105" i="50"/>
  <c r="BI104" i="50"/>
  <c r="BG103" i="50"/>
  <c r="BK101" i="50"/>
  <c r="BI100" i="50"/>
  <c r="BG99" i="50"/>
  <c r="BK97" i="50"/>
  <c r="BI96" i="50"/>
  <c r="BG95" i="50"/>
  <c r="BK93" i="50"/>
  <c r="BI92" i="50"/>
  <c r="BG91" i="50"/>
  <c r="BK89" i="50"/>
  <c r="BI88" i="50"/>
  <c r="BG87" i="50"/>
  <c r="BK85" i="50"/>
  <c r="BI84" i="50"/>
  <c r="BG83" i="50"/>
  <c r="BJ105" i="50"/>
  <c r="BH104" i="50"/>
  <c r="BL102" i="50"/>
  <c r="BJ101" i="50"/>
  <c r="BH100" i="50"/>
  <c r="BL98" i="50"/>
  <c r="BJ97" i="50"/>
  <c r="BH96" i="50"/>
  <c r="BL94" i="50"/>
  <c r="BJ93" i="50"/>
  <c r="BH92" i="50"/>
  <c r="BL90" i="50"/>
  <c r="BJ89" i="50"/>
  <c r="BH88" i="50"/>
  <c r="BL86" i="50"/>
  <c r="BJ85" i="50"/>
  <c r="BH84" i="50"/>
  <c r="BL82" i="50"/>
  <c r="BL104" i="50"/>
  <c r="BJ103" i="50"/>
  <c r="BH102" i="50"/>
  <c r="BL100" i="50"/>
  <c r="BJ99" i="50"/>
  <c r="BH98" i="50"/>
  <c r="BL96" i="50"/>
  <c r="BJ95" i="50"/>
  <c r="BH94" i="50"/>
  <c r="BL92" i="50"/>
  <c r="BJ91" i="50"/>
  <c r="BH90" i="50"/>
  <c r="BL88" i="50"/>
  <c r="BJ87" i="50"/>
  <c r="BH86" i="50"/>
  <c r="BL84" i="50"/>
  <c r="BJ83" i="50"/>
  <c r="BH82" i="50"/>
  <c r="BH105" i="50"/>
  <c r="BH103" i="50"/>
  <c r="BG101" i="50"/>
  <c r="BK98" i="50"/>
  <c r="BK96" i="50"/>
  <c r="BJ94" i="50"/>
  <c r="BJ92" i="50"/>
  <c r="BI90" i="50"/>
  <c r="BG88" i="50"/>
  <c r="BG86" i="50"/>
  <c r="BL83" i="50"/>
  <c r="BG105" i="50"/>
  <c r="BK102" i="50"/>
  <c r="BK100" i="50"/>
  <c r="BJ98" i="50"/>
  <c r="BJ96" i="50"/>
  <c r="BI94" i="50"/>
  <c r="BG92" i="50"/>
  <c r="BG90" i="50"/>
  <c r="BL87" i="50"/>
  <c r="BL85" i="50"/>
  <c r="BK83" i="50"/>
  <c r="BK104" i="50"/>
  <c r="BJ102" i="50"/>
  <c r="BJ100" i="50"/>
  <c r="BI98" i="50"/>
  <c r="BG96" i="50"/>
  <c r="BG94" i="50"/>
  <c r="BL91" i="50"/>
  <c r="BL89" i="50"/>
  <c r="BK87" i="50"/>
  <c r="BI85" i="50"/>
  <c r="BI83" i="50"/>
  <c r="BL105" i="50"/>
  <c r="BJ104" i="50"/>
  <c r="BI102" i="50"/>
  <c r="BG100" i="50"/>
  <c r="BG98" i="50"/>
  <c r="BL95" i="50"/>
  <c r="BL93" i="50"/>
  <c r="BK91" i="50"/>
  <c r="BI89" i="50"/>
  <c r="BI87" i="50"/>
  <c r="BH85" i="50"/>
  <c r="BH83" i="50"/>
  <c r="BG104" i="50"/>
  <c r="BG102" i="50"/>
  <c r="BL99" i="50"/>
  <c r="BL97" i="50"/>
  <c r="BK95" i="50"/>
  <c r="BI93" i="50"/>
  <c r="BI91" i="50"/>
  <c r="BH89" i="50"/>
  <c r="BH87" i="50"/>
  <c r="BG85" i="50"/>
  <c r="BK82" i="50"/>
  <c r="BL103" i="50"/>
  <c r="BL101" i="50"/>
  <c r="BK99" i="50"/>
  <c r="BI97" i="50"/>
  <c r="BI95" i="50"/>
  <c r="BH93" i="50"/>
  <c r="BH91" i="50"/>
  <c r="BG89" i="50"/>
  <c r="BK86" i="50"/>
  <c r="BK84" i="50"/>
  <c r="BJ82" i="50"/>
  <c r="BI103" i="50"/>
  <c r="BK94" i="50"/>
  <c r="BI86" i="50"/>
  <c r="BH99" i="50"/>
  <c r="BJ90" i="50"/>
  <c r="BG82" i="50"/>
  <c r="BI101" i="50"/>
  <c r="BG93" i="50"/>
  <c r="BJ84" i="50"/>
  <c r="BH101" i="50"/>
  <c r="BK92" i="50"/>
  <c r="BG84" i="50"/>
  <c r="BI99" i="50"/>
  <c r="BK90" i="50"/>
  <c r="BI82" i="50"/>
  <c r="BH97" i="50"/>
  <c r="BK88" i="50"/>
  <c r="BI105" i="50"/>
  <c r="BG97" i="50"/>
  <c r="BJ88" i="50"/>
  <c r="BK103" i="50"/>
  <c r="BH95" i="50"/>
  <c r="BJ86" i="50"/>
  <c r="AI121" i="51" l="1"/>
  <c r="AH121" i="51"/>
  <c r="AT8" i="50"/>
  <c r="AI111" i="50"/>
  <c r="K6" i="50"/>
  <c r="AM24" i="50"/>
  <c r="AT9" i="50" s="1"/>
  <c r="I249" i="50"/>
  <c r="H121" i="50"/>
  <c r="H255" i="50"/>
  <c r="AI102" i="50"/>
  <c r="AH102" i="50"/>
  <c r="AH111" i="50"/>
  <c r="U61" i="49"/>
  <c r="U65" i="49"/>
  <c r="U79" i="49"/>
  <c r="U83" i="49"/>
  <c r="U95" i="49"/>
  <c r="U104" i="49"/>
  <c r="U105" i="49"/>
  <c r="U106" i="49"/>
  <c r="U107" i="49"/>
  <c r="U108" i="49"/>
  <c r="U109" i="49"/>
  <c r="U121" i="49"/>
  <c r="T61" i="49"/>
  <c r="T65" i="49"/>
  <c r="T79" i="49"/>
  <c r="T83" i="49"/>
  <c r="T95" i="49"/>
  <c r="T104" i="49"/>
  <c r="T105" i="49"/>
  <c r="T106" i="49"/>
  <c r="T107" i="49"/>
  <c r="T108" i="49"/>
  <c r="T109" i="49"/>
  <c r="T121" i="49"/>
  <c r="AI103" i="50" l="1"/>
  <c r="AH103" i="50"/>
  <c r="B7" i="50"/>
  <c r="A7" i="50" s="1"/>
  <c r="I255" i="50"/>
  <c r="I121" i="50"/>
  <c r="J249" i="50"/>
  <c r="U110" i="49"/>
  <c r="U100" i="49"/>
  <c r="U102" i="49" s="1"/>
  <c r="U103" i="49" s="1"/>
  <c r="U111" i="49"/>
  <c r="T110" i="49"/>
  <c r="T111" i="49" s="1"/>
  <c r="T100" i="49"/>
  <c r="T102" i="49" s="1"/>
  <c r="T103" i="49" s="1"/>
  <c r="J121" i="50" l="1"/>
  <c r="K249" i="50"/>
  <c r="J255" i="50"/>
  <c r="S61" i="49"/>
  <c r="S65" i="49"/>
  <c r="S79" i="49"/>
  <c r="S83" i="49"/>
  <c r="S95" i="49"/>
  <c r="S104" i="49"/>
  <c r="S105" i="49"/>
  <c r="S106" i="49"/>
  <c r="S107" i="49"/>
  <c r="S108" i="49"/>
  <c r="S109" i="49"/>
  <c r="S121" i="49"/>
  <c r="K255" i="50" l="1"/>
  <c r="K121" i="50"/>
  <c r="L249" i="50"/>
  <c r="S110" i="49"/>
  <c r="S111" i="49"/>
  <c r="S100" i="49"/>
  <c r="S102" i="49" s="1"/>
  <c r="S103" i="49" s="1"/>
  <c r="L255" i="50" l="1"/>
  <c r="L121" i="50"/>
  <c r="M249" i="50"/>
  <c r="N249" i="50" l="1"/>
  <c r="M255" i="50"/>
  <c r="M121" i="50"/>
  <c r="O249" i="50" l="1"/>
  <c r="N255" i="50"/>
  <c r="N121" i="50"/>
  <c r="P249" i="50" l="1"/>
  <c r="O255" i="50"/>
  <c r="O121" i="50"/>
  <c r="Q249" i="50" l="1"/>
  <c r="P255" i="50"/>
  <c r="Q255" i="50" l="1"/>
  <c r="R249" i="50"/>
  <c r="Q121" i="50"/>
  <c r="R121" i="50" l="1"/>
  <c r="R255" i="50"/>
  <c r="S249" i="50"/>
  <c r="S255" i="50" l="1"/>
  <c r="T249" i="50"/>
  <c r="T255" i="50" l="1"/>
  <c r="U249" i="50"/>
  <c r="V249" i="50" l="1"/>
  <c r="U255" i="50"/>
  <c r="W249" i="50" l="1"/>
  <c r="V255" i="50"/>
  <c r="X249" i="50" l="1"/>
  <c r="W255" i="50"/>
  <c r="Y249" i="50" l="1"/>
  <c r="X255" i="50"/>
  <c r="Y255" i="50" l="1"/>
  <c r="Z249" i="50"/>
  <c r="AA249" i="50" l="1"/>
  <c r="Z255" i="50"/>
  <c r="AA255" i="50" l="1"/>
  <c r="AB249" i="50"/>
  <c r="AB255" i="50" l="1"/>
  <c r="AB121" i="50"/>
  <c r="AC249" i="50"/>
  <c r="AC121" i="50" l="1"/>
  <c r="AD249" i="50"/>
  <c r="AC255" i="50"/>
  <c r="AE249" i="50" l="1"/>
  <c r="AD255" i="50"/>
  <c r="AD121" i="50"/>
  <c r="AF249" i="50" l="1"/>
  <c r="AE255" i="50"/>
  <c r="AE121" i="50"/>
  <c r="AF121" i="50" l="1"/>
  <c r="B249" i="50"/>
  <c r="AF255" i="50"/>
  <c r="B255" i="50" l="1"/>
  <c r="B121" i="50"/>
  <c r="AI121" i="50" l="1"/>
  <c r="AH121" i="50"/>
  <c r="P61" i="49" l="1"/>
  <c r="P65" i="49"/>
  <c r="I60" i="49" l="1"/>
  <c r="I61" i="49"/>
  <c r="I65" i="49"/>
  <c r="I79" i="49"/>
  <c r="I83" i="49"/>
  <c r="H60" i="49"/>
  <c r="H61" i="49"/>
  <c r="H65" i="49"/>
  <c r="H79" i="49"/>
  <c r="H83" i="49"/>
  <c r="G60" i="49"/>
  <c r="G61" i="49"/>
  <c r="G65" i="49"/>
  <c r="G79" i="49"/>
  <c r="G83" i="49"/>
  <c r="F60" i="49" l="1"/>
  <c r="D61" i="49"/>
  <c r="D65" i="49"/>
  <c r="D79" i="49"/>
  <c r="D83" i="49"/>
  <c r="D95" i="49"/>
  <c r="AO19" i="49" s="1"/>
  <c r="D104" i="49"/>
  <c r="D105" i="49"/>
  <c r="D106" i="49"/>
  <c r="D107" i="49"/>
  <c r="D108" i="49"/>
  <c r="D109" i="49"/>
  <c r="D121" i="49"/>
  <c r="C61" i="49"/>
  <c r="AN16" i="49" s="1"/>
  <c r="C65" i="49"/>
  <c r="C79" i="49"/>
  <c r="C83" i="49"/>
  <c r="C95" i="49"/>
  <c r="AN19" i="49" s="1"/>
  <c r="C104" i="49"/>
  <c r="C105" i="49"/>
  <c r="C106" i="49"/>
  <c r="C107" i="49"/>
  <c r="C108" i="49"/>
  <c r="C109" i="49"/>
  <c r="C121" i="49"/>
  <c r="B121" i="49"/>
  <c r="B109" i="49"/>
  <c r="B108" i="49"/>
  <c r="B107" i="49"/>
  <c r="B106" i="49"/>
  <c r="B105" i="49"/>
  <c r="B104" i="49"/>
  <c r="B110" i="49" s="1"/>
  <c r="B95" i="49"/>
  <c r="AF5" i="49" s="1"/>
  <c r="B83" i="49"/>
  <c r="B79" i="49"/>
  <c r="B65" i="49"/>
  <c r="B61" i="49"/>
  <c r="AG255" i="49"/>
  <c r="C255" i="49"/>
  <c r="L254" i="49"/>
  <c r="M254" i="49" s="1"/>
  <c r="N254" i="49" s="1"/>
  <c r="O254" i="49" s="1"/>
  <c r="P254" i="49" s="1"/>
  <c r="Q254" i="49" s="1"/>
  <c r="R254" i="49" s="1"/>
  <c r="S254" i="49" s="1"/>
  <c r="T254" i="49" s="1"/>
  <c r="U254" i="49" s="1"/>
  <c r="V254" i="49" s="1"/>
  <c r="W254" i="49" s="1"/>
  <c r="X254" i="49" s="1"/>
  <c r="Y254" i="49" s="1"/>
  <c r="Z254" i="49" s="1"/>
  <c r="AA254" i="49" s="1"/>
  <c r="AB254" i="49" s="1"/>
  <c r="AC254" i="49" s="1"/>
  <c r="AD254" i="49" s="1"/>
  <c r="AE254" i="49" s="1"/>
  <c r="AF254" i="49" s="1"/>
  <c r="B254" i="49" s="1"/>
  <c r="E254" i="49"/>
  <c r="F254" i="49" s="1"/>
  <c r="G254" i="49" s="1"/>
  <c r="H254" i="49" s="1"/>
  <c r="I254" i="49" s="1"/>
  <c r="J254" i="49" s="1"/>
  <c r="K254" i="49" s="1"/>
  <c r="D254" i="49"/>
  <c r="J253" i="49"/>
  <c r="K253" i="49" s="1"/>
  <c r="L253" i="49" s="1"/>
  <c r="M253" i="49" s="1"/>
  <c r="N253" i="49" s="1"/>
  <c r="O253" i="49" s="1"/>
  <c r="P253" i="49" s="1"/>
  <c r="Q253" i="49" s="1"/>
  <c r="R253" i="49" s="1"/>
  <c r="S253" i="49" s="1"/>
  <c r="T253" i="49" s="1"/>
  <c r="U253" i="49" s="1"/>
  <c r="V253" i="49" s="1"/>
  <c r="W253" i="49" s="1"/>
  <c r="X253" i="49" s="1"/>
  <c r="Y253" i="49" s="1"/>
  <c r="Z253" i="49" s="1"/>
  <c r="AA253" i="49" s="1"/>
  <c r="AB253" i="49" s="1"/>
  <c r="AC253" i="49" s="1"/>
  <c r="AD253" i="49" s="1"/>
  <c r="AE253" i="49" s="1"/>
  <c r="AF253" i="49" s="1"/>
  <c r="B253" i="49" s="1"/>
  <c r="E253" i="49"/>
  <c r="F253" i="49" s="1"/>
  <c r="G253" i="49" s="1"/>
  <c r="H253" i="49" s="1"/>
  <c r="I253" i="49" s="1"/>
  <c r="D253" i="49"/>
  <c r="D252" i="49"/>
  <c r="E252" i="49" s="1"/>
  <c r="F252" i="49" s="1"/>
  <c r="G252" i="49" s="1"/>
  <c r="H252" i="49" s="1"/>
  <c r="I252" i="49" s="1"/>
  <c r="J252" i="49" s="1"/>
  <c r="K252" i="49" s="1"/>
  <c r="L252" i="49" s="1"/>
  <c r="M252" i="49" s="1"/>
  <c r="N252" i="49" s="1"/>
  <c r="O252" i="49" s="1"/>
  <c r="P252" i="49" s="1"/>
  <c r="Q252" i="49" s="1"/>
  <c r="R252" i="49" s="1"/>
  <c r="S252" i="49" s="1"/>
  <c r="T252" i="49" s="1"/>
  <c r="U252" i="49" s="1"/>
  <c r="V252" i="49" s="1"/>
  <c r="W252" i="49" s="1"/>
  <c r="X252" i="49" s="1"/>
  <c r="Y252" i="49" s="1"/>
  <c r="Z252" i="49" s="1"/>
  <c r="AA252" i="49" s="1"/>
  <c r="AB252" i="49" s="1"/>
  <c r="AC252" i="49" s="1"/>
  <c r="AD252" i="49" s="1"/>
  <c r="AE252" i="49" s="1"/>
  <c r="AF252" i="49" s="1"/>
  <c r="B252" i="49" s="1"/>
  <c r="D251" i="49"/>
  <c r="E251" i="49" s="1"/>
  <c r="F251" i="49" s="1"/>
  <c r="G251" i="49" s="1"/>
  <c r="H251" i="49" s="1"/>
  <c r="I251" i="49" s="1"/>
  <c r="J251" i="49" s="1"/>
  <c r="K251" i="49" s="1"/>
  <c r="L251" i="49" s="1"/>
  <c r="M251" i="49" s="1"/>
  <c r="N251" i="49" s="1"/>
  <c r="O251" i="49" s="1"/>
  <c r="P251" i="49" s="1"/>
  <c r="Q251" i="49" s="1"/>
  <c r="R251" i="49" s="1"/>
  <c r="S251" i="49" s="1"/>
  <c r="T251" i="49" s="1"/>
  <c r="U251" i="49" s="1"/>
  <c r="V251" i="49" s="1"/>
  <c r="W251" i="49" s="1"/>
  <c r="X251" i="49" s="1"/>
  <c r="Y251" i="49" s="1"/>
  <c r="Z251" i="49" s="1"/>
  <c r="AA251" i="49" s="1"/>
  <c r="AB251" i="49" s="1"/>
  <c r="AC251" i="49" s="1"/>
  <c r="AD251" i="49" s="1"/>
  <c r="AE251" i="49" s="1"/>
  <c r="AF251" i="49" s="1"/>
  <c r="B251" i="49" s="1"/>
  <c r="D250" i="49"/>
  <c r="E250" i="49" s="1"/>
  <c r="E249" i="49"/>
  <c r="F249" i="49" s="1"/>
  <c r="G249" i="49" s="1"/>
  <c r="D249" i="49"/>
  <c r="D255" i="49" s="1"/>
  <c r="AG247" i="49"/>
  <c r="AF247" i="49"/>
  <c r="AE247" i="49"/>
  <c r="AD247" i="49"/>
  <c r="AC247" i="49"/>
  <c r="AB247" i="49"/>
  <c r="AA247" i="49"/>
  <c r="Z247" i="49"/>
  <c r="Y247" i="49"/>
  <c r="X247" i="49"/>
  <c r="W247" i="49"/>
  <c r="V247" i="49"/>
  <c r="U247" i="49"/>
  <c r="T247" i="49"/>
  <c r="S247" i="49"/>
  <c r="R247" i="49"/>
  <c r="Q247" i="49"/>
  <c r="P247" i="49"/>
  <c r="O247" i="49"/>
  <c r="N247" i="49"/>
  <c r="M247" i="49"/>
  <c r="L247" i="49"/>
  <c r="K247" i="49"/>
  <c r="J247" i="49"/>
  <c r="I247" i="49"/>
  <c r="H247" i="49"/>
  <c r="G247" i="49"/>
  <c r="F247" i="49"/>
  <c r="E247" i="49"/>
  <c r="D247" i="49"/>
  <c r="C247" i="49"/>
  <c r="B247" i="49"/>
  <c r="AI133" i="49"/>
  <c r="AH133" i="49"/>
  <c r="AI132" i="49"/>
  <c r="AH132" i="49"/>
  <c r="AI131" i="49"/>
  <c r="AH131" i="49"/>
  <c r="AI130" i="49"/>
  <c r="AH130" i="49"/>
  <c r="AI129" i="49"/>
  <c r="AH129" i="49"/>
  <c r="AI126" i="49"/>
  <c r="AH126" i="49"/>
  <c r="AI125" i="49"/>
  <c r="AH125" i="49"/>
  <c r="AI124" i="49"/>
  <c r="AH124" i="49"/>
  <c r="AI123" i="49"/>
  <c r="AH123" i="49"/>
  <c r="AI122" i="49"/>
  <c r="AH122" i="49"/>
  <c r="F121" i="49"/>
  <c r="E121" i="49"/>
  <c r="AI120" i="49"/>
  <c r="AH120" i="49"/>
  <c r="AI119" i="49"/>
  <c r="AH119" i="49"/>
  <c r="AI118" i="49"/>
  <c r="AH118" i="49"/>
  <c r="AI117" i="49"/>
  <c r="AH117" i="49"/>
  <c r="AI116" i="49"/>
  <c r="AH116" i="49"/>
  <c r="AI115" i="49"/>
  <c r="AH115" i="49"/>
  <c r="AI114" i="49"/>
  <c r="AH114" i="49"/>
  <c r="AI113" i="49"/>
  <c r="AH113" i="49"/>
  <c r="AI112" i="49"/>
  <c r="AH112" i="49"/>
  <c r="AF109" i="49"/>
  <c r="AE109" i="49"/>
  <c r="AD109" i="49"/>
  <c r="AC109" i="49"/>
  <c r="AB109" i="49"/>
  <c r="BF23" i="49"/>
  <c r="R109" i="49"/>
  <c r="Q109" i="49"/>
  <c r="P109" i="49"/>
  <c r="O109" i="49"/>
  <c r="N109" i="49"/>
  <c r="M109" i="49"/>
  <c r="L109" i="49"/>
  <c r="K109" i="49"/>
  <c r="J109" i="49"/>
  <c r="J110" i="49" s="1"/>
  <c r="I109" i="49"/>
  <c r="H109" i="49"/>
  <c r="G109" i="49"/>
  <c r="F109" i="49"/>
  <c r="E109" i="49"/>
  <c r="AF108" i="49"/>
  <c r="AE108" i="49"/>
  <c r="AD108" i="49"/>
  <c r="AC108" i="49"/>
  <c r="AB108" i="49"/>
  <c r="R108" i="49"/>
  <c r="Q108" i="49"/>
  <c r="P108" i="49"/>
  <c r="O108" i="49"/>
  <c r="N108" i="49"/>
  <c r="M108" i="49"/>
  <c r="L108" i="49"/>
  <c r="K108" i="49"/>
  <c r="J108" i="49"/>
  <c r="I108" i="49"/>
  <c r="H108" i="49"/>
  <c r="G108" i="49"/>
  <c r="F108" i="49"/>
  <c r="E108" i="49"/>
  <c r="AF107" i="49"/>
  <c r="AE107" i="49"/>
  <c r="AD107" i="49"/>
  <c r="AC107" i="49"/>
  <c r="AB107" i="49"/>
  <c r="BB23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AF106" i="49"/>
  <c r="AE106" i="49"/>
  <c r="AD106" i="49"/>
  <c r="AC106" i="49"/>
  <c r="AB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AF105" i="49"/>
  <c r="AE105" i="49"/>
  <c r="AD105" i="49"/>
  <c r="AC105" i="49"/>
  <c r="AB105" i="49"/>
  <c r="R105" i="49"/>
  <c r="Q105" i="49"/>
  <c r="P105" i="49"/>
  <c r="O105" i="49"/>
  <c r="N105" i="49"/>
  <c r="M105" i="49"/>
  <c r="L105" i="49"/>
  <c r="K105" i="49"/>
  <c r="J105" i="49"/>
  <c r="I105" i="49"/>
  <c r="H105" i="49"/>
  <c r="G105" i="49"/>
  <c r="F105" i="49"/>
  <c r="E105" i="49"/>
  <c r="AF104" i="49"/>
  <c r="AE104" i="49"/>
  <c r="AE110" i="49" s="1"/>
  <c r="BI23" i="49" s="1"/>
  <c r="AD104" i="49"/>
  <c r="AC104" i="49"/>
  <c r="AB104" i="49"/>
  <c r="R104" i="49"/>
  <c r="Q104" i="49"/>
  <c r="Q110" i="49" s="1"/>
  <c r="AY23" i="49" s="1"/>
  <c r="P104" i="49"/>
  <c r="O104" i="49"/>
  <c r="N104" i="49"/>
  <c r="M104" i="49"/>
  <c r="L104" i="49"/>
  <c r="K104" i="49"/>
  <c r="J104" i="49"/>
  <c r="I104" i="49"/>
  <c r="H104" i="49"/>
  <c r="G104" i="49"/>
  <c r="F104" i="49"/>
  <c r="E104" i="49"/>
  <c r="AI101" i="49"/>
  <c r="AH101" i="49"/>
  <c r="AI99" i="49"/>
  <c r="AH99" i="49"/>
  <c r="AG99" i="49"/>
  <c r="AI98" i="49"/>
  <c r="AH98" i="49"/>
  <c r="AI97" i="49"/>
  <c r="AH97" i="49"/>
  <c r="AI96" i="49"/>
  <c r="AH96" i="49"/>
  <c r="AG95" i="49"/>
  <c r="AF95" i="49"/>
  <c r="BJ19" i="49" s="1"/>
  <c r="AE95" i="49"/>
  <c r="AD95" i="49"/>
  <c r="BH19" i="49" s="1"/>
  <c r="AC95" i="49"/>
  <c r="AB5" i="49" s="1"/>
  <c r="AB95" i="49"/>
  <c r="BG19" i="49" s="1"/>
  <c r="R95" i="49"/>
  <c r="Q5" i="49" s="1"/>
  <c r="Q95" i="49"/>
  <c r="Q111" i="49" s="1"/>
  <c r="P95" i="49"/>
  <c r="AX19" i="49" s="1"/>
  <c r="O95" i="49"/>
  <c r="N95" i="49"/>
  <c r="M5" i="49" s="1"/>
  <c r="M95" i="49"/>
  <c r="L5" i="49" s="1"/>
  <c r="L95" i="49"/>
  <c r="L100" i="49" s="1"/>
  <c r="L102" i="49" s="1"/>
  <c r="K95" i="49"/>
  <c r="J95" i="49"/>
  <c r="I95" i="49"/>
  <c r="H5" i="49" s="1"/>
  <c r="H95" i="49"/>
  <c r="H100" i="49" s="1"/>
  <c r="H102" i="49" s="1"/>
  <c r="G95" i="49"/>
  <c r="F5" i="49" s="1"/>
  <c r="F95" i="49"/>
  <c r="E5" i="49" s="1"/>
  <c r="E95" i="49"/>
  <c r="AP19" i="49" s="1"/>
  <c r="AI94" i="49"/>
  <c r="AH94" i="49"/>
  <c r="AI93" i="49"/>
  <c r="AH93" i="49"/>
  <c r="AI92" i="49"/>
  <c r="AH92" i="49"/>
  <c r="AI91" i="49"/>
  <c r="AH91" i="49"/>
  <c r="AI90" i="49"/>
  <c r="AH90" i="49"/>
  <c r="AI89" i="49"/>
  <c r="AH89" i="49"/>
  <c r="AI88" i="49"/>
  <c r="AH88" i="49"/>
  <c r="AI87" i="49"/>
  <c r="AH87" i="49"/>
  <c r="AI86" i="49"/>
  <c r="AH86" i="49"/>
  <c r="AI85" i="49"/>
  <c r="AH85" i="49"/>
  <c r="AI84" i="49"/>
  <c r="AH84" i="49"/>
  <c r="AG83" i="49"/>
  <c r="AF83" i="49"/>
  <c r="BJ20" i="49" s="1"/>
  <c r="AE83" i="49"/>
  <c r="BI20" i="49" s="1"/>
  <c r="AD83" i="49"/>
  <c r="AC83" i="49"/>
  <c r="AB83" i="49"/>
  <c r="R83" i="49"/>
  <c r="AZ20" i="49" s="1"/>
  <c r="Q83" i="49"/>
  <c r="P83" i="49"/>
  <c r="P100" i="49" s="1"/>
  <c r="P102" i="49" s="1"/>
  <c r="O83" i="49"/>
  <c r="AW20" i="49" s="1"/>
  <c r="N83" i="49"/>
  <c r="M83" i="49"/>
  <c r="AU20" i="49" s="1"/>
  <c r="J83" i="49"/>
  <c r="F83" i="49"/>
  <c r="E83" i="49"/>
  <c r="AP20" i="49" s="1"/>
  <c r="AI82" i="49"/>
  <c r="AH82" i="49"/>
  <c r="AI81" i="49"/>
  <c r="AH81" i="49"/>
  <c r="AI80" i="49"/>
  <c r="AH80" i="49"/>
  <c r="AF79" i="49"/>
  <c r="AE79" i="49"/>
  <c r="AD79" i="49"/>
  <c r="BH18" i="49" s="1"/>
  <c r="AC79" i="49"/>
  <c r="AB79" i="49"/>
  <c r="BG18" i="49" s="1"/>
  <c r="BA18" i="49"/>
  <c r="R79" i="49"/>
  <c r="AZ18" i="49" s="1"/>
  <c r="Q79" i="49"/>
  <c r="AY18" i="49" s="1"/>
  <c r="P79" i="49"/>
  <c r="O79" i="49"/>
  <c r="N79" i="49"/>
  <c r="M79" i="49"/>
  <c r="AU18" i="49" s="1"/>
  <c r="AT18" i="49"/>
  <c r="J79" i="49"/>
  <c r="F79" i="49"/>
  <c r="E79" i="49"/>
  <c r="AN18" i="49"/>
  <c r="AI78" i="49"/>
  <c r="AH78" i="49"/>
  <c r="AG78" i="49"/>
  <c r="AG79" i="49" s="1"/>
  <c r="AI77" i="49"/>
  <c r="AH77" i="49"/>
  <c r="BI76" i="49"/>
  <c r="AI76" i="49"/>
  <c r="AH76" i="49"/>
  <c r="BK75" i="49"/>
  <c r="AI75" i="49"/>
  <c r="AH75" i="49"/>
  <c r="BU74" i="49"/>
  <c r="BR74" i="49"/>
  <c r="BJ74" i="49"/>
  <c r="BC74" i="49"/>
  <c r="BB74" i="49"/>
  <c r="AI74" i="49"/>
  <c r="AH74" i="49"/>
  <c r="BU73" i="49"/>
  <c r="BT73" i="49"/>
  <c r="AI73" i="49"/>
  <c r="AH73" i="49"/>
  <c r="AI72" i="49"/>
  <c r="AH72" i="49"/>
  <c r="BW71" i="49"/>
  <c r="BW78" i="49" s="1"/>
  <c r="BV71" i="49"/>
  <c r="BV78" i="49" s="1"/>
  <c r="BU71" i="49"/>
  <c r="BU78" i="49" s="1"/>
  <c r="BT71" i="49"/>
  <c r="BT78" i="49" s="1"/>
  <c r="BS71" i="49"/>
  <c r="BS78" i="49" s="1"/>
  <c r="BR71" i="49"/>
  <c r="BR78" i="49" s="1"/>
  <c r="BQ71" i="49"/>
  <c r="BQ78" i="49" s="1"/>
  <c r="BP71" i="49"/>
  <c r="BP78" i="49" s="1"/>
  <c r="BO71" i="49"/>
  <c r="BO78" i="49" s="1"/>
  <c r="BN71" i="49"/>
  <c r="BN78" i="49" s="1"/>
  <c r="BM71" i="49"/>
  <c r="BM78" i="49" s="1"/>
  <c r="BL71" i="49"/>
  <c r="BL78" i="49" s="1"/>
  <c r="BK71" i="49"/>
  <c r="BK78" i="49" s="1"/>
  <c r="BJ71" i="49"/>
  <c r="BJ78" i="49" s="1"/>
  <c r="BI71" i="49"/>
  <c r="BI78" i="49" s="1"/>
  <c r="BH71" i="49"/>
  <c r="BH78" i="49" s="1"/>
  <c r="BG71" i="49"/>
  <c r="BG78" i="49" s="1"/>
  <c r="BF71" i="49"/>
  <c r="BF78" i="49" s="1"/>
  <c r="BE71" i="49"/>
  <c r="BE78" i="49" s="1"/>
  <c r="BD71" i="49"/>
  <c r="BD78" i="49" s="1"/>
  <c r="BC71" i="49"/>
  <c r="BC78" i="49" s="1"/>
  <c r="BB71" i="49"/>
  <c r="BB78" i="49" s="1"/>
  <c r="BA71" i="49"/>
  <c r="BA78" i="49" s="1"/>
  <c r="AZ71" i="49"/>
  <c r="AZ78" i="49" s="1"/>
  <c r="AI71" i="49"/>
  <c r="AH71" i="49"/>
  <c r="BW70" i="49"/>
  <c r="BW77" i="49" s="1"/>
  <c r="BV70" i="49"/>
  <c r="BV77" i="49" s="1"/>
  <c r="BU70" i="49"/>
  <c r="BU77" i="49" s="1"/>
  <c r="BT70" i="49"/>
  <c r="BT77" i="49" s="1"/>
  <c r="BS70" i="49"/>
  <c r="BS77" i="49" s="1"/>
  <c r="BR70" i="49"/>
  <c r="BR77" i="49" s="1"/>
  <c r="BQ70" i="49"/>
  <c r="BQ77" i="49" s="1"/>
  <c r="BP70" i="49"/>
  <c r="BP77" i="49" s="1"/>
  <c r="BO70" i="49"/>
  <c r="BO77" i="49" s="1"/>
  <c r="BN70" i="49"/>
  <c r="BN77" i="49" s="1"/>
  <c r="BM70" i="49"/>
  <c r="BM77" i="49" s="1"/>
  <c r="BL70" i="49"/>
  <c r="BL77" i="49" s="1"/>
  <c r="BK70" i="49"/>
  <c r="BK77" i="49" s="1"/>
  <c r="BJ70" i="49"/>
  <c r="BJ77" i="49" s="1"/>
  <c r="BI70" i="49"/>
  <c r="BI77" i="49" s="1"/>
  <c r="BH70" i="49"/>
  <c r="BH77" i="49" s="1"/>
  <c r="BG70" i="49"/>
  <c r="BG77" i="49" s="1"/>
  <c r="BF70" i="49"/>
  <c r="BF77" i="49" s="1"/>
  <c r="BE70" i="49"/>
  <c r="BE77" i="49" s="1"/>
  <c r="BD70" i="49"/>
  <c r="BD77" i="49" s="1"/>
  <c r="BC70" i="49"/>
  <c r="BC77" i="49" s="1"/>
  <c r="BB70" i="49"/>
  <c r="BB77" i="49" s="1"/>
  <c r="BA70" i="49"/>
  <c r="BA77" i="49" s="1"/>
  <c r="AZ70" i="49"/>
  <c r="AZ77" i="49" s="1"/>
  <c r="AI70" i="49"/>
  <c r="AH70" i="49"/>
  <c r="BW69" i="49"/>
  <c r="BW76" i="49" s="1"/>
  <c r="BV69" i="49"/>
  <c r="BV76" i="49" s="1"/>
  <c r="BU69" i="49"/>
  <c r="BU76" i="49" s="1"/>
  <c r="BT69" i="49"/>
  <c r="BT76" i="49" s="1"/>
  <c r="BS69" i="49"/>
  <c r="BS76" i="49" s="1"/>
  <c r="BR69" i="49"/>
  <c r="BR76" i="49" s="1"/>
  <c r="BQ69" i="49"/>
  <c r="BQ76" i="49" s="1"/>
  <c r="BP69" i="49"/>
  <c r="BP76" i="49" s="1"/>
  <c r="BO69" i="49"/>
  <c r="BO76" i="49" s="1"/>
  <c r="BN69" i="49"/>
  <c r="BN76" i="49" s="1"/>
  <c r="BM69" i="49"/>
  <c r="BM76" i="49" s="1"/>
  <c r="BL69" i="49"/>
  <c r="BL76" i="49" s="1"/>
  <c r="BK69" i="49"/>
  <c r="BK76" i="49" s="1"/>
  <c r="BJ69" i="49"/>
  <c r="BJ76" i="49" s="1"/>
  <c r="BI69" i="49"/>
  <c r="BH69" i="49"/>
  <c r="BH76" i="49" s="1"/>
  <c r="BG69" i="49"/>
  <c r="BG76" i="49" s="1"/>
  <c r="BF69" i="49"/>
  <c r="BF76" i="49" s="1"/>
  <c r="BE69" i="49"/>
  <c r="BE76" i="49" s="1"/>
  <c r="BD69" i="49"/>
  <c r="BD76" i="49" s="1"/>
  <c r="BC69" i="49"/>
  <c r="BC76" i="49" s="1"/>
  <c r="BB69" i="49"/>
  <c r="BB76" i="49" s="1"/>
  <c r="BA69" i="49"/>
  <c r="BA76" i="49" s="1"/>
  <c r="AZ69" i="49"/>
  <c r="AZ76" i="49" s="1"/>
  <c r="AI69" i="49"/>
  <c r="AH69" i="49"/>
  <c r="BW68" i="49"/>
  <c r="BW75" i="49" s="1"/>
  <c r="BV68" i="49"/>
  <c r="BV75" i="49" s="1"/>
  <c r="BU68" i="49"/>
  <c r="BU75" i="49" s="1"/>
  <c r="BT68" i="49"/>
  <c r="BT75" i="49" s="1"/>
  <c r="BS68" i="49"/>
  <c r="BS75" i="49" s="1"/>
  <c r="BR68" i="49"/>
  <c r="BR75" i="49" s="1"/>
  <c r="BQ68" i="49"/>
  <c r="BQ75" i="49" s="1"/>
  <c r="BP68" i="49"/>
  <c r="BP75" i="49" s="1"/>
  <c r="BO68" i="49"/>
  <c r="BO75" i="49" s="1"/>
  <c r="BN68" i="49"/>
  <c r="BN75" i="49" s="1"/>
  <c r="BM68" i="49"/>
  <c r="BM75" i="49" s="1"/>
  <c r="BL68" i="49"/>
  <c r="BL75" i="49" s="1"/>
  <c r="BK68" i="49"/>
  <c r="BJ68" i="49"/>
  <c r="BJ75" i="49" s="1"/>
  <c r="BI68" i="49"/>
  <c r="BI75" i="49" s="1"/>
  <c r="BH68" i="49"/>
  <c r="BH75" i="49" s="1"/>
  <c r="BG68" i="49"/>
  <c r="BG75" i="49" s="1"/>
  <c r="BF68" i="49"/>
  <c r="BF75" i="49" s="1"/>
  <c r="BE68" i="49"/>
  <c r="BE75" i="49" s="1"/>
  <c r="BD68" i="49"/>
  <c r="BD75" i="49" s="1"/>
  <c r="BC68" i="49"/>
  <c r="BC75" i="49" s="1"/>
  <c r="BB68" i="49"/>
  <c r="BB75" i="49" s="1"/>
  <c r="BA68" i="49"/>
  <c r="BA75" i="49" s="1"/>
  <c r="AZ68" i="49"/>
  <c r="AZ75" i="49" s="1"/>
  <c r="AI68" i="49"/>
  <c r="AH68" i="49"/>
  <c r="BW67" i="49"/>
  <c r="BW74" i="49" s="1"/>
  <c r="BV67" i="49"/>
  <c r="BV74" i="49" s="1"/>
  <c r="BU67" i="49"/>
  <c r="BT67" i="49"/>
  <c r="BT74" i="49" s="1"/>
  <c r="BS67" i="49"/>
  <c r="BS74" i="49" s="1"/>
  <c r="BR67" i="49"/>
  <c r="BQ67" i="49"/>
  <c r="BQ74" i="49" s="1"/>
  <c r="BP67" i="49"/>
  <c r="BP74" i="49" s="1"/>
  <c r="BO67" i="49"/>
  <c r="BO74" i="49" s="1"/>
  <c r="BN67" i="49"/>
  <c r="BN74" i="49" s="1"/>
  <c r="BM67" i="49"/>
  <c r="BM74" i="49" s="1"/>
  <c r="BL67" i="49"/>
  <c r="BL74" i="49" s="1"/>
  <c r="BK67" i="49"/>
  <c r="BK74" i="49" s="1"/>
  <c r="BJ67" i="49"/>
  <c r="BI67" i="49"/>
  <c r="BI74" i="49" s="1"/>
  <c r="BH67" i="49"/>
  <c r="BH74" i="49" s="1"/>
  <c r="BG67" i="49"/>
  <c r="BG74" i="49" s="1"/>
  <c r="BF67" i="49"/>
  <c r="BF74" i="49" s="1"/>
  <c r="BE67" i="49"/>
  <c r="BE74" i="49" s="1"/>
  <c r="BD67" i="49"/>
  <c r="BD74" i="49" s="1"/>
  <c r="BC67" i="49"/>
  <c r="BB67" i="49"/>
  <c r="BA67" i="49"/>
  <c r="BA74" i="49" s="1"/>
  <c r="AZ67" i="49"/>
  <c r="AZ74" i="49" s="1"/>
  <c r="AI67" i="49"/>
  <c r="AH67" i="49"/>
  <c r="BW66" i="49"/>
  <c r="BW73" i="49" s="1"/>
  <c r="BV66" i="49"/>
  <c r="BV73" i="49" s="1"/>
  <c r="BU66" i="49"/>
  <c r="BT66" i="49"/>
  <c r="BS66" i="49"/>
  <c r="BS73" i="49" s="1"/>
  <c r="BR66" i="49"/>
  <c r="BR73" i="49" s="1"/>
  <c r="BQ66" i="49"/>
  <c r="BQ73" i="49" s="1"/>
  <c r="BP66" i="49"/>
  <c r="BP73" i="49" s="1"/>
  <c r="BO66" i="49"/>
  <c r="BO73" i="49" s="1"/>
  <c r="BN66" i="49"/>
  <c r="BN73" i="49" s="1"/>
  <c r="BM66" i="49"/>
  <c r="BM73" i="49" s="1"/>
  <c r="BL66" i="49"/>
  <c r="BL73" i="49" s="1"/>
  <c r="BK66" i="49"/>
  <c r="BK73" i="49" s="1"/>
  <c r="BJ66" i="49"/>
  <c r="BJ73" i="49" s="1"/>
  <c r="BI66" i="49"/>
  <c r="BI73" i="49" s="1"/>
  <c r="BH66" i="49"/>
  <c r="BH73" i="49" s="1"/>
  <c r="BG66" i="49"/>
  <c r="BG73" i="49" s="1"/>
  <c r="BF66" i="49"/>
  <c r="BF73" i="49" s="1"/>
  <c r="BE66" i="49"/>
  <c r="BE73" i="49" s="1"/>
  <c r="BD66" i="49"/>
  <c r="BD73" i="49" s="1"/>
  <c r="BC66" i="49"/>
  <c r="BC73" i="49" s="1"/>
  <c r="BB66" i="49"/>
  <c r="BB73" i="49" s="1"/>
  <c r="BA66" i="49"/>
  <c r="BA73" i="49" s="1"/>
  <c r="AZ66" i="49"/>
  <c r="AI66" i="49"/>
  <c r="AH66" i="49"/>
  <c r="AG65" i="49"/>
  <c r="AF65" i="49"/>
  <c r="BJ17" i="49" s="1"/>
  <c r="AE65" i="49"/>
  <c r="BI17" i="49" s="1"/>
  <c r="AD65" i="49"/>
  <c r="AC65" i="49"/>
  <c r="AB65" i="49"/>
  <c r="BE17" i="49"/>
  <c r="R65" i="49"/>
  <c r="Q65" i="49"/>
  <c r="AX17" i="49"/>
  <c r="O65" i="49"/>
  <c r="N65" i="49"/>
  <c r="AV17" i="49" s="1"/>
  <c r="M65" i="49"/>
  <c r="J65" i="49"/>
  <c r="AS17" i="49"/>
  <c r="F65" i="49"/>
  <c r="AQ17" i="49" s="1"/>
  <c r="E65" i="49"/>
  <c r="AI64" i="49"/>
  <c r="AH64" i="49"/>
  <c r="AI63" i="49"/>
  <c r="AH63" i="49"/>
  <c r="AI62" i="49"/>
  <c r="AH62" i="49"/>
  <c r="AG61" i="49"/>
  <c r="AG100" i="49" s="1"/>
  <c r="AF61" i="49"/>
  <c r="AE61" i="49"/>
  <c r="BI16" i="49" s="1"/>
  <c r="AD61" i="49"/>
  <c r="BH16" i="49" s="1"/>
  <c r="AC61" i="49"/>
  <c r="AB61" i="49"/>
  <c r="BG16" i="49" s="1"/>
  <c r="Y7" i="49"/>
  <c r="X7" i="49"/>
  <c r="W7" i="49"/>
  <c r="R61" i="49"/>
  <c r="AZ16" i="49" s="1"/>
  <c r="Q61" i="49"/>
  <c r="O61" i="49"/>
  <c r="AW16" i="49" s="1"/>
  <c r="N61" i="49"/>
  <c r="AV16" i="49" s="1"/>
  <c r="M61" i="49"/>
  <c r="AU16" i="49" s="1"/>
  <c r="J61" i="49"/>
  <c r="F61" i="49"/>
  <c r="E61" i="49"/>
  <c r="AI60" i="49"/>
  <c r="AH60" i="49"/>
  <c r="AI59" i="49"/>
  <c r="AH59" i="49"/>
  <c r="AI58" i="49"/>
  <c r="AH58" i="49"/>
  <c r="AI57" i="49"/>
  <c r="AH57" i="49"/>
  <c r="AI56" i="49"/>
  <c r="AH56" i="49"/>
  <c r="AI55" i="49"/>
  <c r="AH55" i="49"/>
  <c r="AI54" i="49"/>
  <c r="AH54" i="49"/>
  <c r="AI53" i="49"/>
  <c r="AH53" i="49"/>
  <c r="AI52" i="49"/>
  <c r="AH52" i="49"/>
  <c r="AI51" i="49"/>
  <c r="AH51" i="49"/>
  <c r="AI50" i="49"/>
  <c r="AH50" i="49"/>
  <c r="AI49" i="49"/>
  <c r="AH49" i="49"/>
  <c r="AI48" i="49"/>
  <c r="AH48" i="49"/>
  <c r="AI47" i="49"/>
  <c r="AH47" i="49"/>
  <c r="AI46" i="49"/>
  <c r="AH46" i="49"/>
  <c r="AI45" i="49"/>
  <c r="AH45" i="49"/>
  <c r="AI44" i="49"/>
  <c r="AH44" i="49"/>
  <c r="AI43" i="49"/>
  <c r="AH43" i="49"/>
  <c r="AI42" i="49"/>
  <c r="AH42" i="49"/>
  <c r="AI41" i="49"/>
  <c r="AH41" i="49"/>
  <c r="AI40" i="49"/>
  <c r="AH40" i="49"/>
  <c r="AI39" i="49"/>
  <c r="AH39" i="49"/>
  <c r="AI38" i="49"/>
  <c r="AH38" i="49"/>
  <c r="AI37" i="49"/>
  <c r="AH37" i="49"/>
  <c r="AI36" i="49"/>
  <c r="AH36" i="49"/>
  <c r="AI35" i="49"/>
  <c r="AH35" i="49"/>
  <c r="AI34" i="49"/>
  <c r="AH34" i="49"/>
  <c r="AI33" i="49"/>
  <c r="AH33" i="49"/>
  <c r="AI32" i="49"/>
  <c r="AH32" i="49"/>
  <c r="AI31" i="49"/>
  <c r="AH31" i="49"/>
  <c r="AI30" i="49"/>
  <c r="AH30" i="49"/>
  <c r="AI29" i="49"/>
  <c r="AH29" i="49"/>
  <c r="AI28" i="49"/>
  <c r="AH28" i="49"/>
  <c r="AI27" i="49"/>
  <c r="AH27" i="49"/>
  <c r="AI26" i="49"/>
  <c r="AH26" i="49"/>
  <c r="AI25" i="49"/>
  <c r="AH25" i="49"/>
  <c r="AI24" i="49"/>
  <c r="AH24" i="49"/>
  <c r="BE23" i="49"/>
  <c r="BA23" i="49"/>
  <c r="AI23" i="49"/>
  <c r="AH23" i="49"/>
  <c r="AI22" i="49"/>
  <c r="AH22" i="49"/>
  <c r="BJ21" i="49"/>
  <c r="BI21" i="49"/>
  <c r="BH21" i="49"/>
  <c r="BG21" i="49"/>
  <c r="BF21" i="49"/>
  <c r="BE21" i="49"/>
  <c r="BD21" i="49"/>
  <c r="BC21" i="49"/>
  <c r="BB21" i="49"/>
  <c r="BA21" i="49"/>
  <c r="AZ21" i="49"/>
  <c r="AY21" i="49"/>
  <c r="AX21" i="49"/>
  <c r="AW21" i="49"/>
  <c r="AV21" i="49"/>
  <c r="AU21" i="49"/>
  <c r="AT21" i="49"/>
  <c r="AS21" i="49"/>
  <c r="AR21" i="49"/>
  <c r="AQ21" i="49"/>
  <c r="AP21" i="49"/>
  <c r="AO21" i="49"/>
  <c r="AN21" i="49"/>
  <c r="AM21" i="49"/>
  <c r="AI21" i="49"/>
  <c r="AH21" i="49"/>
  <c r="BH20" i="49"/>
  <c r="BG20" i="49"/>
  <c r="BF20" i="49"/>
  <c r="BE20" i="49"/>
  <c r="BD20" i="49"/>
  <c r="BC20" i="49"/>
  <c r="BB20" i="49"/>
  <c r="BA20" i="49"/>
  <c r="AY20" i="49"/>
  <c r="AV20" i="49"/>
  <c r="AT20" i="49"/>
  <c r="AS20" i="49"/>
  <c r="AR20" i="49"/>
  <c r="AQ20" i="49"/>
  <c r="AO20" i="49"/>
  <c r="AN20" i="49"/>
  <c r="AM20" i="49"/>
  <c r="AI20" i="49"/>
  <c r="AH20" i="49"/>
  <c r="BF19" i="49"/>
  <c r="BE19" i="49"/>
  <c r="BD19" i="49"/>
  <c r="BC19" i="49"/>
  <c r="BB19" i="49"/>
  <c r="BA19" i="49"/>
  <c r="AY19" i="49"/>
  <c r="AV19" i="49"/>
  <c r="AT19" i="49"/>
  <c r="AI19" i="49"/>
  <c r="AH19" i="49"/>
  <c r="BJ18" i="49"/>
  <c r="BI18" i="49"/>
  <c r="BF18" i="49"/>
  <c r="BE18" i="49"/>
  <c r="BD18" i="49"/>
  <c r="BC18" i="49"/>
  <c r="BB18" i="49"/>
  <c r="AX18" i="49"/>
  <c r="AW18" i="49"/>
  <c r="AV18" i="49"/>
  <c r="AS18" i="49"/>
  <c r="AR18" i="49"/>
  <c r="AQ18" i="49"/>
  <c r="AP18" i="49"/>
  <c r="AO18" i="49"/>
  <c r="AI18" i="49"/>
  <c r="AH18" i="49"/>
  <c r="BH17" i="49"/>
  <c r="BG17" i="49"/>
  <c r="BF17" i="49"/>
  <c r="BD17" i="49"/>
  <c r="BC17" i="49"/>
  <c r="BB17" i="49"/>
  <c r="BA17" i="49"/>
  <c r="AZ17" i="49"/>
  <c r="AY17" i="49"/>
  <c r="AW17" i="49"/>
  <c r="AU17" i="49"/>
  <c r="AT17" i="49"/>
  <c r="AR17" i="49"/>
  <c r="AP17" i="49"/>
  <c r="AO17" i="49"/>
  <c r="AN17" i="49"/>
  <c r="AM17" i="49"/>
  <c r="AI17" i="49"/>
  <c r="AH17" i="49"/>
  <c r="BF16" i="49"/>
  <c r="BD16" i="49"/>
  <c r="BC16" i="49"/>
  <c r="BB16" i="49"/>
  <c r="BA16" i="49"/>
  <c r="AT16" i="49"/>
  <c r="AS16" i="49"/>
  <c r="AR16" i="49"/>
  <c r="AO16" i="49"/>
  <c r="AM16" i="49"/>
  <c r="AI16" i="49"/>
  <c r="AH16" i="49"/>
  <c r="AI15" i="49"/>
  <c r="AH15" i="49"/>
  <c r="AI14" i="49"/>
  <c r="AH14" i="49"/>
  <c r="AI13" i="49"/>
  <c r="AH13" i="49"/>
  <c r="AL12" i="49"/>
  <c r="AI12" i="49"/>
  <c r="AH12" i="49"/>
  <c r="AI11" i="49"/>
  <c r="AH11" i="49"/>
  <c r="Z5" i="49"/>
  <c r="Y5" i="49"/>
  <c r="X5" i="49"/>
  <c r="W5" i="49"/>
  <c r="V5" i="49"/>
  <c r="U5" i="49"/>
  <c r="T5" i="49"/>
  <c r="S5" i="49"/>
  <c r="R5" i="49"/>
  <c r="K5" i="49"/>
  <c r="J5" i="49"/>
  <c r="I5" i="49"/>
  <c r="AG4" i="49"/>
  <c r="K4" i="49"/>
  <c r="E4" i="49"/>
  <c r="H4" i="49" s="1"/>
  <c r="B4" i="49"/>
  <c r="D261" i="49" s="1"/>
  <c r="AG3" i="49"/>
  <c r="AL111" i="48"/>
  <c r="AF61" i="48"/>
  <c r="AF65" i="48"/>
  <c r="AF79" i="48"/>
  <c r="AF83" i="48"/>
  <c r="AF95" i="48"/>
  <c r="AF104" i="48"/>
  <c r="AF105" i="48"/>
  <c r="AF106" i="48"/>
  <c r="AF107" i="48"/>
  <c r="AF108" i="48"/>
  <c r="AF109" i="48"/>
  <c r="AF121" i="48"/>
  <c r="AF110" i="49" l="1"/>
  <c r="BJ23" i="49" s="1"/>
  <c r="AF111" i="49"/>
  <c r="AE5" i="49"/>
  <c r="AF100" i="49"/>
  <c r="AF102" i="49" s="1"/>
  <c r="AF103" i="49" s="1"/>
  <c r="AF7" i="49" s="1"/>
  <c r="AE111" i="49"/>
  <c r="AD5" i="49"/>
  <c r="BI22" i="49"/>
  <c r="BI24" i="49" s="1"/>
  <c r="BI19" i="49"/>
  <c r="AE100" i="49"/>
  <c r="AE102" i="49" s="1"/>
  <c r="AE103" i="49" s="1"/>
  <c r="AE7" i="49" s="1"/>
  <c r="AC5" i="49"/>
  <c r="BH22" i="49"/>
  <c r="AD100" i="49"/>
  <c r="AD102" i="49" s="1"/>
  <c r="AC100" i="49"/>
  <c r="AC102" i="49" s="1"/>
  <c r="AB110" i="49"/>
  <c r="BG23" i="49" s="1"/>
  <c r="AA5" i="49"/>
  <c r="AB100" i="49"/>
  <c r="AB102" i="49" s="1"/>
  <c r="AB103" i="49" s="1"/>
  <c r="AB7" i="49" s="1"/>
  <c r="BG22" i="49"/>
  <c r="BG24" i="49" s="1"/>
  <c r="BF22" i="49"/>
  <c r="BF24" i="49" s="1"/>
  <c r="BD22" i="49"/>
  <c r="BC22" i="49"/>
  <c r="BB22" i="49"/>
  <c r="BB24" i="49" s="1"/>
  <c r="AZ19" i="49"/>
  <c r="R110" i="49"/>
  <c r="AZ23" i="49" s="1"/>
  <c r="P5" i="49"/>
  <c r="AZ22" i="49"/>
  <c r="Q100" i="49"/>
  <c r="Q102" i="49" s="1"/>
  <c r="Q103" i="49" s="1"/>
  <c r="Q7" i="49" s="1"/>
  <c r="P110" i="49"/>
  <c r="AX23" i="49" s="1"/>
  <c r="P111" i="49"/>
  <c r="O5" i="49"/>
  <c r="AX20" i="49"/>
  <c r="O110" i="49"/>
  <c r="AW23" i="49" s="1"/>
  <c r="AW19" i="49"/>
  <c r="O100" i="49"/>
  <c r="O102" i="49" s="1"/>
  <c r="O103" i="49" s="1"/>
  <c r="O7" i="49" s="1"/>
  <c r="N5" i="49"/>
  <c r="AW22" i="49"/>
  <c r="AW24" i="49" s="1"/>
  <c r="N100" i="49"/>
  <c r="N102" i="49" s="1"/>
  <c r="AV22" i="49"/>
  <c r="AU19" i="49"/>
  <c r="AU22" i="49" s="1"/>
  <c r="M100" i="49"/>
  <c r="M102" i="49" s="1"/>
  <c r="L110" i="49"/>
  <c r="AI105" i="49"/>
  <c r="K110" i="49"/>
  <c r="AT23" i="49" s="1"/>
  <c r="I110" i="49"/>
  <c r="AS23" i="49" s="1"/>
  <c r="AI108" i="49"/>
  <c r="I100" i="49"/>
  <c r="I102" i="49" s="1"/>
  <c r="I103" i="49" s="1"/>
  <c r="I7" i="49" s="1"/>
  <c r="AS19" i="49"/>
  <c r="AS22" i="49" s="1"/>
  <c r="AS24" i="49" s="1"/>
  <c r="H110" i="49"/>
  <c r="H111" i="49" s="1"/>
  <c r="G5" i="49"/>
  <c r="H103" i="49"/>
  <c r="H7" i="49" s="1"/>
  <c r="AR19" i="49"/>
  <c r="AR22" i="49" s="1"/>
  <c r="G100" i="49"/>
  <c r="G102" i="49" s="1"/>
  <c r="G110" i="49"/>
  <c r="AR23" i="49" s="1"/>
  <c r="F100" i="49"/>
  <c r="F102" i="49" s="1"/>
  <c r="AQ19" i="49"/>
  <c r="AH79" i="49"/>
  <c r="AQ16" i="49"/>
  <c r="AQ22" i="49" s="1"/>
  <c r="D5" i="49"/>
  <c r="E100" i="49"/>
  <c r="E102" i="49" s="1"/>
  <c r="AH65" i="49"/>
  <c r="AP16" i="49"/>
  <c r="AP22" i="49" s="1"/>
  <c r="C5" i="49"/>
  <c r="D100" i="49"/>
  <c r="D102" i="49" s="1"/>
  <c r="D103" i="49" s="1"/>
  <c r="D7" i="49" s="1"/>
  <c r="D110" i="49"/>
  <c r="AO23" i="49"/>
  <c r="D111" i="49"/>
  <c r="AI109" i="49"/>
  <c r="AO22" i="49"/>
  <c r="B5" i="49"/>
  <c r="C100" i="49"/>
  <c r="C102" i="49" s="1"/>
  <c r="AH109" i="49"/>
  <c r="C110" i="49"/>
  <c r="AN23" i="49" s="1"/>
  <c r="AI104" i="49"/>
  <c r="B100" i="49"/>
  <c r="B102" i="49" s="1"/>
  <c r="B103" i="49" s="1"/>
  <c r="AH105" i="49"/>
  <c r="AM19" i="49"/>
  <c r="AI65" i="49"/>
  <c r="B111" i="49"/>
  <c r="BG82" i="49" a="1"/>
  <c r="BK97" i="49" s="1"/>
  <c r="BA22" i="49"/>
  <c r="BA24" i="49" s="1"/>
  <c r="AT22" i="49"/>
  <c r="F250" i="49"/>
  <c r="E255" i="49"/>
  <c r="AN22" i="49"/>
  <c r="AI79" i="49"/>
  <c r="BJ16" i="49"/>
  <c r="BJ22" i="49" s="1"/>
  <c r="BJ24" i="49" s="1"/>
  <c r="V7" i="49"/>
  <c r="AG2" i="49"/>
  <c r="AG6" i="49" s="1"/>
  <c r="J100" i="49"/>
  <c r="J102" i="49" s="1"/>
  <c r="J103" i="49" s="1"/>
  <c r="J7" i="49" s="1"/>
  <c r="R100" i="49"/>
  <c r="R102" i="49" s="1"/>
  <c r="R103" i="49" s="1"/>
  <c r="R7" i="49" s="1"/>
  <c r="Z7" i="49"/>
  <c r="AH61" i="49"/>
  <c r="AG102" i="49"/>
  <c r="AL13" i="49"/>
  <c r="K100" i="49"/>
  <c r="K102" i="49" s="1"/>
  <c r="K103" i="49" s="1"/>
  <c r="K7" i="49" s="1"/>
  <c r="S7" i="49"/>
  <c r="AA7" i="49"/>
  <c r="AI61" i="49"/>
  <c r="AI95" i="49"/>
  <c r="J111" i="49"/>
  <c r="R111" i="49"/>
  <c r="AH95" i="49"/>
  <c r="BE16" i="49"/>
  <c r="BE22" i="49" s="1"/>
  <c r="BE24" i="49" s="1"/>
  <c r="L103" i="49"/>
  <c r="L7" i="49" s="1"/>
  <c r="T7" i="49"/>
  <c r="AZ73" i="49"/>
  <c r="AI83" i="49"/>
  <c r="AH83" i="49"/>
  <c r="E110" i="49"/>
  <c r="AP23" i="49" s="1"/>
  <c r="M110" i="49"/>
  <c r="AU23" i="49" s="1"/>
  <c r="BC23" i="49"/>
  <c r="BC24" i="49" s="1"/>
  <c r="AC110" i="49"/>
  <c r="AC111" i="49" s="1"/>
  <c r="AX16" i="49"/>
  <c r="AX22" i="49" s="1"/>
  <c r="AX24" i="49" s="1"/>
  <c r="L111" i="49"/>
  <c r="AB111" i="49"/>
  <c r="F110" i="49"/>
  <c r="AQ23" i="49" s="1"/>
  <c r="N110" i="49"/>
  <c r="AV23" i="49" s="1"/>
  <c r="BD23" i="49"/>
  <c r="BD24" i="49" s="1"/>
  <c r="AD110" i="49"/>
  <c r="BH23" i="49" s="1"/>
  <c r="AY16" i="49"/>
  <c r="AY22" i="49" s="1"/>
  <c r="AY24" i="49" s="1"/>
  <c r="AM18" i="49"/>
  <c r="AM22" i="49" s="1"/>
  <c r="AI107" i="49"/>
  <c r="H249" i="49"/>
  <c r="G121" i="49"/>
  <c r="AI106" i="49"/>
  <c r="AH104" i="49"/>
  <c r="AH106" i="49"/>
  <c r="AH107" i="49"/>
  <c r="AH108" i="49"/>
  <c r="AF110" i="48"/>
  <c r="AF111" i="48" s="1"/>
  <c r="AF100" i="48"/>
  <c r="AF102" i="48" s="1"/>
  <c r="BH24" i="49" l="1"/>
  <c r="AZ24" i="49"/>
  <c r="P103" i="49"/>
  <c r="P7" i="49" s="1"/>
  <c r="O111" i="49"/>
  <c r="N111" i="49"/>
  <c r="AV24" i="49"/>
  <c r="AU24" i="49"/>
  <c r="M111" i="49"/>
  <c r="K111" i="49"/>
  <c r="AT24" i="49"/>
  <c r="I111" i="49"/>
  <c r="C259" i="49"/>
  <c r="G103" i="49"/>
  <c r="G7" i="49" s="1"/>
  <c r="AR24" i="49"/>
  <c r="B259" i="49"/>
  <c r="G111" i="49"/>
  <c r="AQ24" i="49"/>
  <c r="F111" i="49"/>
  <c r="E111" i="49"/>
  <c r="AP24" i="49"/>
  <c r="AO24" i="49"/>
  <c r="AN24" i="49"/>
  <c r="C111" i="49"/>
  <c r="C103" i="49"/>
  <c r="C7" i="49" s="1"/>
  <c r="BI103" i="49"/>
  <c r="BL93" i="49"/>
  <c r="BG86" i="49"/>
  <c r="BJ103" i="49"/>
  <c r="BI85" i="49"/>
  <c r="BK101" i="49"/>
  <c r="BI91" i="49"/>
  <c r="BL104" i="49"/>
  <c r="BI102" i="49"/>
  <c r="BK86" i="49"/>
  <c r="BL94" i="49"/>
  <c r="BJ105" i="49"/>
  <c r="BK92" i="49"/>
  <c r="BK104" i="49"/>
  <c r="BL105" i="49"/>
  <c r="BJ96" i="49"/>
  <c r="BL97" i="49"/>
  <c r="BH90" i="49"/>
  <c r="BL100" i="49"/>
  <c r="BK87" i="49"/>
  <c r="BI98" i="49"/>
  <c r="BH85" i="49"/>
  <c r="BL95" i="49"/>
  <c r="BK82" i="49"/>
  <c r="BI93" i="49"/>
  <c r="BG104" i="49"/>
  <c r="BL90" i="49"/>
  <c r="BJ101" i="49"/>
  <c r="BI88" i="49"/>
  <c r="BG99" i="49"/>
  <c r="BG98" i="49"/>
  <c r="BH83" i="49"/>
  <c r="BJ88" i="49"/>
  <c r="BL101" i="49"/>
  <c r="BH103" i="49"/>
  <c r="BJ91" i="49"/>
  <c r="BH102" i="49"/>
  <c r="BG89" i="49"/>
  <c r="BK99" i="49"/>
  <c r="BJ86" i="49"/>
  <c r="BH97" i="49"/>
  <c r="BG84" i="49"/>
  <c r="BK94" i="49"/>
  <c r="BI105" i="49"/>
  <c r="BH92" i="49"/>
  <c r="BL102" i="49"/>
  <c r="BK89" i="49"/>
  <c r="BI100" i="49"/>
  <c r="BK84" i="49"/>
  <c r="BL92" i="49"/>
  <c r="BI90" i="49"/>
  <c r="BL87" i="49"/>
  <c r="BG96" i="49"/>
  <c r="BG91" i="49"/>
  <c r="BJ104" i="49"/>
  <c r="BH94" i="49"/>
  <c r="BH89" i="49"/>
  <c r="BH84" i="49"/>
  <c r="BG103" i="49"/>
  <c r="BJ84" i="49"/>
  <c r="BL84" i="49"/>
  <c r="BG93" i="49"/>
  <c r="BH101" i="49"/>
  <c r="BJ85" i="49"/>
  <c r="BH96" i="49"/>
  <c r="BG83" i="49"/>
  <c r="BK93" i="49"/>
  <c r="BK88" i="49"/>
  <c r="BL89" i="49"/>
  <c r="BK100" i="49"/>
  <c r="BG102" i="49"/>
  <c r="BH86" i="49"/>
  <c r="BL96" i="49"/>
  <c r="BK83" i="49"/>
  <c r="BI94" i="49"/>
  <c r="BG105" i="49"/>
  <c r="BL91" i="49"/>
  <c r="BJ102" i="49"/>
  <c r="BI89" i="49"/>
  <c r="BG100" i="49"/>
  <c r="BL86" i="49"/>
  <c r="BJ97" i="49"/>
  <c r="BI84" i="49"/>
  <c r="BG95" i="49"/>
  <c r="BK105" i="49"/>
  <c r="BJ93" i="49"/>
  <c r="BI83" i="49"/>
  <c r="BK96" i="49"/>
  <c r="BI82" i="49"/>
  <c r="BJ90" i="49"/>
  <c r="BK98" i="49"/>
  <c r="BI104" i="49"/>
  <c r="BG82" i="49"/>
  <c r="BG94" i="49"/>
  <c r="BH95" i="49"/>
  <c r="BL85" i="49"/>
  <c r="BH87" i="49"/>
  <c r="BJ87" i="49"/>
  <c r="BH98" i="49"/>
  <c r="BG85" i="49"/>
  <c r="BK95" i="49"/>
  <c r="BJ82" i="49"/>
  <c r="BH93" i="49"/>
  <c r="BL103" i="49"/>
  <c r="BK90" i="49"/>
  <c r="BI101" i="49"/>
  <c r="BH88" i="49"/>
  <c r="BL98" i="49"/>
  <c r="BK85" i="49"/>
  <c r="BI96" i="49"/>
  <c r="BH82" i="49"/>
  <c r="BG101" i="49"/>
  <c r="BJ98" i="49"/>
  <c r="BL82" i="49"/>
  <c r="BH104" i="49"/>
  <c r="BH99" i="49"/>
  <c r="BG90" i="49"/>
  <c r="BJ83" i="49"/>
  <c r="BK91" i="49"/>
  <c r="BL99" i="49"/>
  <c r="BI97" i="49"/>
  <c r="BI92" i="49"/>
  <c r="BI95" i="49"/>
  <c r="BJ95" i="49"/>
  <c r="BK103" i="49"/>
  <c r="BG88" i="49"/>
  <c r="BI87" i="49"/>
  <c r="BI99" i="49"/>
  <c r="BJ100" i="49"/>
  <c r="BH91" i="49"/>
  <c r="BJ92" i="49"/>
  <c r="BL88" i="49"/>
  <c r="BJ99" i="49"/>
  <c r="BI86" i="49"/>
  <c r="BG97" i="49"/>
  <c r="BL83" i="49"/>
  <c r="BJ94" i="49"/>
  <c r="BH105" i="49"/>
  <c r="BG92" i="49"/>
  <c r="BK102" i="49"/>
  <c r="BJ89" i="49"/>
  <c r="BH100" i="49"/>
  <c r="BG87" i="49"/>
  <c r="AT8" i="49"/>
  <c r="AI110" i="49"/>
  <c r="AH110" i="49"/>
  <c r="AM23" i="49"/>
  <c r="AM24" i="49" s="1"/>
  <c r="I249" i="49"/>
  <c r="H121" i="49"/>
  <c r="AC103" i="49"/>
  <c r="AC7" i="49" s="1"/>
  <c r="G250" i="49"/>
  <c r="F255" i="49"/>
  <c r="AD103" i="49"/>
  <c r="AD7" i="49" s="1"/>
  <c r="U7" i="49"/>
  <c r="N103" i="49"/>
  <c r="N7" i="49" s="1"/>
  <c r="AD111" i="49"/>
  <c r="AI111" i="49" s="1"/>
  <c r="M103" i="49"/>
  <c r="M7" i="49" s="1"/>
  <c r="F103" i="49"/>
  <c r="F7" i="49" s="1"/>
  <c r="E103" i="49"/>
  <c r="E7" i="49" s="1"/>
  <c r="AI100" i="49"/>
  <c r="AH100" i="49"/>
  <c r="AF103" i="48"/>
  <c r="K6" i="49" l="1"/>
  <c r="AT9" i="49"/>
  <c r="H250" i="49"/>
  <c r="G255" i="49"/>
  <c r="AH111" i="49"/>
  <c r="I121" i="49"/>
  <c r="J249" i="49"/>
  <c r="AH102" i="49"/>
  <c r="AI102" i="49"/>
  <c r="AE61" i="48"/>
  <c r="AE65" i="48"/>
  <c r="AE79" i="48"/>
  <c r="AE83" i="48"/>
  <c r="AE95" i="48"/>
  <c r="AE104" i="48"/>
  <c r="AE105" i="48"/>
  <c r="AE106" i="48"/>
  <c r="AE107" i="48"/>
  <c r="AE108" i="48"/>
  <c r="AE109" i="48"/>
  <c r="AE121" i="48"/>
  <c r="AD61" i="48"/>
  <c r="AD65" i="48"/>
  <c r="AD79" i="48"/>
  <c r="AD83" i="48"/>
  <c r="AD95" i="48"/>
  <c r="AD104" i="48"/>
  <c r="AD105" i="48"/>
  <c r="AD106" i="48"/>
  <c r="AD107" i="48"/>
  <c r="AD108" i="48"/>
  <c r="AD109" i="48"/>
  <c r="AD121" i="48"/>
  <c r="AC61" i="48"/>
  <c r="AC65" i="48"/>
  <c r="AC79" i="48"/>
  <c r="AC83" i="48"/>
  <c r="AC95" i="48"/>
  <c r="AC104" i="48"/>
  <c r="AC105" i="48"/>
  <c r="AC106" i="48"/>
  <c r="AC110" i="48" s="1"/>
  <c r="AC107" i="48"/>
  <c r="AC108" i="48"/>
  <c r="AC109" i="48"/>
  <c r="AC121" i="48"/>
  <c r="Y61" i="48"/>
  <c r="Z61" i="48"/>
  <c r="Y65" i="48"/>
  <c r="Z65" i="48"/>
  <c r="J121" i="49" l="1"/>
  <c r="K249" i="49"/>
  <c r="AI103" i="49"/>
  <c r="B7" i="49"/>
  <c r="A7" i="49" s="1"/>
  <c r="AH103" i="49"/>
  <c r="I250" i="49"/>
  <c r="H255" i="49"/>
  <c r="AE110" i="48"/>
  <c r="AE111" i="48" s="1"/>
  <c r="AE100" i="48"/>
  <c r="AE102" i="48" s="1"/>
  <c r="AE103" i="48" s="1"/>
  <c r="AC100" i="48"/>
  <c r="AC102" i="48" s="1"/>
  <c r="AC103" i="48" s="1"/>
  <c r="AD110" i="48"/>
  <c r="AD111" i="48"/>
  <c r="AD100" i="48"/>
  <c r="AD102" i="48" s="1"/>
  <c r="AD103" i="48" s="1"/>
  <c r="AC111" i="48"/>
  <c r="J250" i="49" l="1"/>
  <c r="I255" i="49"/>
  <c r="K121" i="49"/>
  <c r="L249" i="49"/>
  <c r="L121" i="49" l="1"/>
  <c r="M249" i="49"/>
  <c r="K250" i="49"/>
  <c r="J255" i="49"/>
  <c r="L250" i="49" l="1"/>
  <c r="K255" i="49"/>
  <c r="N249" i="49"/>
  <c r="M121" i="49"/>
  <c r="O249" i="49" l="1"/>
  <c r="N121" i="49"/>
  <c r="M250" i="49"/>
  <c r="L255" i="49"/>
  <c r="N250" i="49" l="1"/>
  <c r="M255" i="49"/>
  <c r="P249" i="49"/>
  <c r="O121" i="49"/>
  <c r="O250" i="49" l="1"/>
  <c r="N255" i="49"/>
  <c r="Q249" i="49"/>
  <c r="Q121" i="49" l="1"/>
  <c r="R249" i="49"/>
  <c r="P250" i="49"/>
  <c r="O255" i="49"/>
  <c r="Q250" i="49" l="1"/>
  <c r="P255" i="49"/>
  <c r="R121" i="49"/>
  <c r="S249" i="49"/>
  <c r="T249" i="49" l="1"/>
  <c r="R250" i="49"/>
  <c r="Q255" i="49"/>
  <c r="S250" i="49" l="1"/>
  <c r="R255" i="49"/>
  <c r="U249" i="49"/>
  <c r="V249" i="49" l="1"/>
  <c r="T250" i="49"/>
  <c r="S255" i="49"/>
  <c r="U250" i="49" l="1"/>
  <c r="T255" i="49"/>
  <c r="W249" i="49"/>
  <c r="X249" i="49" l="1"/>
  <c r="V250" i="49"/>
  <c r="U255" i="49"/>
  <c r="W250" i="49" l="1"/>
  <c r="V255" i="49"/>
  <c r="Y249" i="49"/>
  <c r="Z249" i="49" l="1"/>
  <c r="X250" i="49"/>
  <c r="W255" i="49"/>
  <c r="AA249" i="49" l="1"/>
  <c r="Y250" i="49"/>
  <c r="X255" i="49"/>
  <c r="Z250" i="49" l="1"/>
  <c r="Y255" i="49"/>
  <c r="AB249" i="49"/>
  <c r="AB121" i="49" l="1"/>
  <c r="AC249" i="49"/>
  <c r="AA250" i="49"/>
  <c r="Z255" i="49"/>
  <c r="AB250" i="49" l="1"/>
  <c r="AA255" i="49"/>
  <c r="AC121" i="49"/>
  <c r="AD249" i="49"/>
  <c r="AE249" i="49" l="1"/>
  <c r="AD121" i="49"/>
  <c r="AC250" i="49"/>
  <c r="AB255" i="49"/>
  <c r="AD250" i="49" l="1"/>
  <c r="AC255" i="49"/>
  <c r="AF249" i="49"/>
  <c r="AE121" i="49"/>
  <c r="AF121" i="49" l="1"/>
  <c r="B249" i="49"/>
  <c r="AE250" i="49"/>
  <c r="AD255" i="49"/>
  <c r="AF250" i="49" l="1"/>
  <c r="AE255" i="49"/>
  <c r="AI121" i="49" l="1"/>
  <c r="AH121" i="49"/>
  <c r="B250" i="49"/>
  <c r="B255" i="49" s="1"/>
  <c r="AF255" i="49"/>
  <c r="Q60" i="48" l="1"/>
  <c r="P60" i="48"/>
  <c r="N60" i="48" l="1"/>
  <c r="O60" i="48"/>
  <c r="M60" i="48"/>
  <c r="L124" i="48" l="1"/>
  <c r="L60" i="48"/>
  <c r="K124" i="48" l="1"/>
  <c r="K60" i="48"/>
  <c r="K61" i="48"/>
  <c r="K65" i="48"/>
  <c r="I60" i="48"/>
  <c r="J60" i="48"/>
  <c r="H124" i="48"/>
  <c r="H60" i="48"/>
  <c r="G124" i="48" l="1"/>
  <c r="G60" i="48"/>
  <c r="F124" i="48"/>
  <c r="F60" i="48"/>
  <c r="E124" i="48"/>
  <c r="E60" i="48"/>
  <c r="E61" i="48"/>
  <c r="D124" i="48"/>
  <c r="D60" i="48"/>
  <c r="D61" i="48"/>
  <c r="D65" i="48"/>
  <c r="D79" i="48"/>
  <c r="AO18" i="48" s="1"/>
  <c r="D83" i="48"/>
  <c r="AO20" i="48" s="1"/>
  <c r="C124" i="48"/>
  <c r="C60" i="48"/>
  <c r="C61" i="48"/>
  <c r="AN16" i="48" s="1"/>
  <c r="C65" i="48"/>
  <c r="B124" i="48"/>
  <c r="B60" i="48"/>
  <c r="B121" i="48"/>
  <c r="B109" i="48"/>
  <c r="B108" i="48"/>
  <c r="B107" i="48"/>
  <c r="B106" i="48"/>
  <c r="B105" i="48"/>
  <c r="B104" i="48"/>
  <c r="B95" i="48"/>
  <c r="B83" i="48"/>
  <c r="AM20" i="48" s="1"/>
  <c r="B79" i="48"/>
  <c r="B65" i="48"/>
  <c r="B61" i="48"/>
  <c r="AG255" i="48"/>
  <c r="C255" i="48"/>
  <c r="D254" i="48"/>
  <c r="J253" i="48"/>
  <c r="K253" i="48" s="1"/>
  <c r="L253" i="48" s="1"/>
  <c r="M253" i="48" s="1"/>
  <c r="N253" i="48" s="1"/>
  <c r="O253" i="48" s="1"/>
  <c r="P253" i="48" s="1"/>
  <c r="Q253" i="48" s="1"/>
  <c r="R253" i="48" s="1"/>
  <c r="S253" i="48" s="1"/>
  <c r="T253" i="48" s="1"/>
  <c r="U253" i="48" s="1"/>
  <c r="V253" i="48" s="1"/>
  <c r="W253" i="48" s="1"/>
  <c r="X253" i="48" s="1"/>
  <c r="Y253" i="48" s="1"/>
  <c r="Z253" i="48" s="1"/>
  <c r="AA253" i="48" s="1"/>
  <c r="AB253" i="48" s="1"/>
  <c r="AC253" i="48" s="1"/>
  <c r="AD253" i="48" s="1"/>
  <c r="AE253" i="48" s="1"/>
  <c r="AF253" i="48" s="1"/>
  <c r="B253" i="48" s="1"/>
  <c r="D253" i="48"/>
  <c r="E253" i="48" s="1"/>
  <c r="F253" i="48" s="1"/>
  <c r="G253" i="48" s="1"/>
  <c r="H253" i="48" s="1"/>
  <c r="I253" i="48" s="1"/>
  <c r="AF252" i="48"/>
  <c r="B252" i="48" s="1"/>
  <c r="E252" i="48"/>
  <c r="F252" i="48" s="1"/>
  <c r="G252" i="48" s="1"/>
  <c r="H252" i="48" s="1"/>
  <c r="I252" i="48" s="1"/>
  <c r="J252" i="48" s="1"/>
  <c r="K252" i="48" s="1"/>
  <c r="L252" i="48" s="1"/>
  <c r="M252" i="48" s="1"/>
  <c r="N252" i="48" s="1"/>
  <c r="O252" i="48" s="1"/>
  <c r="P252" i="48" s="1"/>
  <c r="Q252" i="48" s="1"/>
  <c r="R252" i="48" s="1"/>
  <c r="S252" i="48" s="1"/>
  <c r="T252" i="48" s="1"/>
  <c r="U252" i="48" s="1"/>
  <c r="V252" i="48" s="1"/>
  <c r="W252" i="48" s="1"/>
  <c r="X252" i="48" s="1"/>
  <c r="Y252" i="48" s="1"/>
  <c r="Z252" i="48" s="1"/>
  <c r="AA252" i="48" s="1"/>
  <c r="AB252" i="48" s="1"/>
  <c r="AC252" i="48" s="1"/>
  <c r="AD252" i="48" s="1"/>
  <c r="AE252" i="48" s="1"/>
  <c r="D252" i="48"/>
  <c r="N251" i="48"/>
  <c r="O251" i="48" s="1"/>
  <c r="P251" i="48" s="1"/>
  <c r="Q251" i="48" s="1"/>
  <c r="R251" i="48" s="1"/>
  <c r="S251" i="48" s="1"/>
  <c r="T251" i="48" s="1"/>
  <c r="U251" i="48" s="1"/>
  <c r="V251" i="48" s="1"/>
  <c r="W251" i="48" s="1"/>
  <c r="X251" i="48" s="1"/>
  <c r="Y251" i="48" s="1"/>
  <c r="Z251" i="48" s="1"/>
  <c r="AA251" i="48" s="1"/>
  <c r="AB251" i="48" s="1"/>
  <c r="AC251" i="48" s="1"/>
  <c r="AD251" i="48" s="1"/>
  <c r="AE251" i="48" s="1"/>
  <c r="AF251" i="48" s="1"/>
  <c r="B251" i="48" s="1"/>
  <c r="F251" i="48"/>
  <c r="G251" i="48" s="1"/>
  <c r="H251" i="48" s="1"/>
  <c r="I251" i="48" s="1"/>
  <c r="J251" i="48" s="1"/>
  <c r="K251" i="48" s="1"/>
  <c r="L251" i="48" s="1"/>
  <c r="M251" i="48" s="1"/>
  <c r="D251" i="48"/>
  <c r="E251" i="48" s="1"/>
  <c r="D250" i="48"/>
  <c r="E250" i="48" s="1"/>
  <c r="F250" i="48" s="1"/>
  <c r="G250" i="48" s="1"/>
  <c r="H250" i="48" s="1"/>
  <c r="I250" i="48" s="1"/>
  <c r="J250" i="48" s="1"/>
  <c r="K250" i="48" s="1"/>
  <c r="L250" i="48" s="1"/>
  <c r="M250" i="48" s="1"/>
  <c r="N250" i="48" s="1"/>
  <c r="O250" i="48" s="1"/>
  <c r="P250" i="48" s="1"/>
  <c r="Q250" i="48" s="1"/>
  <c r="R250" i="48" s="1"/>
  <c r="S250" i="48" s="1"/>
  <c r="T250" i="48" s="1"/>
  <c r="U250" i="48" s="1"/>
  <c r="V250" i="48" s="1"/>
  <c r="W250" i="48" s="1"/>
  <c r="X250" i="48" s="1"/>
  <c r="Y250" i="48" s="1"/>
  <c r="Z250" i="48" s="1"/>
  <c r="AA250" i="48" s="1"/>
  <c r="AB250" i="48" s="1"/>
  <c r="AC250" i="48" s="1"/>
  <c r="AD250" i="48" s="1"/>
  <c r="AE250" i="48" s="1"/>
  <c r="AF250" i="48" s="1"/>
  <c r="B250" i="48" s="1"/>
  <c r="D249" i="48"/>
  <c r="D255" i="48" s="1"/>
  <c r="AG247" i="48"/>
  <c r="AF247" i="48"/>
  <c r="AE247" i="48"/>
  <c r="AD247" i="48"/>
  <c r="AC247" i="48"/>
  <c r="AB247" i="48"/>
  <c r="AA247" i="48"/>
  <c r="Z247" i="48"/>
  <c r="Y247" i="48"/>
  <c r="Y121" i="48" s="1"/>
  <c r="X247" i="48"/>
  <c r="W247" i="48"/>
  <c r="V247" i="48"/>
  <c r="U247" i="48"/>
  <c r="T247" i="48"/>
  <c r="S247" i="48"/>
  <c r="R247" i="48"/>
  <c r="Q247" i="48"/>
  <c r="P247" i="48"/>
  <c r="O247" i="48"/>
  <c r="N247" i="48"/>
  <c r="M247" i="48"/>
  <c r="L247" i="48"/>
  <c r="K247" i="48"/>
  <c r="J247" i="48"/>
  <c r="I247" i="48"/>
  <c r="H247" i="48"/>
  <c r="G247" i="48"/>
  <c r="F247" i="48"/>
  <c r="E247" i="48"/>
  <c r="D247" i="48"/>
  <c r="C247" i="48"/>
  <c r="B247" i="48"/>
  <c r="AI133" i="48"/>
  <c r="AH133" i="48"/>
  <c r="AI132" i="48"/>
  <c r="AH132" i="48"/>
  <c r="AI131" i="48"/>
  <c r="AH131" i="48"/>
  <c r="AI130" i="48"/>
  <c r="AH130" i="48"/>
  <c r="AI129" i="48"/>
  <c r="AH129" i="48"/>
  <c r="AI126" i="48"/>
  <c r="AH126" i="48"/>
  <c r="AI125" i="48"/>
  <c r="AH125" i="48"/>
  <c r="AI124" i="48"/>
  <c r="AH124" i="48"/>
  <c r="AI123" i="48"/>
  <c r="AH123" i="48"/>
  <c r="AI122" i="48"/>
  <c r="AH122" i="48"/>
  <c r="Z121" i="48"/>
  <c r="C121" i="48"/>
  <c r="AI120" i="48"/>
  <c r="AH120" i="48"/>
  <c r="AI119" i="48"/>
  <c r="AH119" i="48"/>
  <c r="AI118" i="48"/>
  <c r="AH118" i="48"/>
  <c r="AI117" i="48"/>
  <c r="AH117" i="48"/>
  <c r="AI116" i="48"/>
  <c r="AH116" i="48"/>
  <c r="AI115" i="48"/>
  <c r="AH115" i="48"/>
  <c r="AI114" i="48"/>
  <c r="AH114" i="48"/>
  <c r="AI113" i="48"/>
  <c r="AH113" i="48"/>
  <c r="AI112" i="48"/>
  <c r="AH112" i="48"/>
  <c r="AB109" i="48"/>
  <c r="AA109" i="48"/>
  <c r="Z109" i="48"/>
  <c r="Y109" i="48"/>
  <c r="X109" i="48"/>
  <c r="W109" i="48"/>
  <c r="V109" i="48"/>
  <c r="U109" i="48"/>
  <c r="T109" i="48"/>
  <c r="S109" i="48"/>
  <c r="R109" i="48"/>
  <c r="Q109" i="48"/>
  <c r="P109" i="48"/>
  <c r="O109" i="48"/>
  <c r="N109" i="48"/>
  <c r="M109" i="48"/>
  <c r="L109" i="48"/>
  <c r="K109" i="48"/>
  <c r="J109" i="48"/>
  <c r="I109" i="48"/>
  <c r="H109" i="48"/>
  <c r="G109" i="48"/>
  <c r="F109" i="48"/>
  <c r="E109" i="48"/>
  <c r="D109" i="48"/>
  <c r="C109" i="48"/>
  <c r="AB108" i="48"/>
  <c r="AA108" i="48"/>
  <c r="Z108" i="48"/>
  <c r="Y108" i="48"/>
  <c r="X108" i="48"/>
  <c r="W108" i="48"/>
  <c r="V108" i="48"/>
  <c r="U108" i="48"/>
  <c r="T108" i="48"/>
  <c r="S108" i="48"/>
  <c r="R108" i="48"/>
  <c r="Q108" i="48"/>
  <c r="P108" i="48"/>
  <c r="O108" i="48"/>
  <c r="N108" i="48"/>
  <c r="M108" i="48"/>
  <c r="L108" i="48"/>
  <c r="K108" i="48"/>
  <c r="J108" i="48"/>
  <c r="I108" i="48"/>
  <c r="H108" i="48"/>
  <c r="G108" i="48"/>
  <c r="F108" i="48"/>
  <c r="E108" i="48"/>
  <c r="D108" i="48"/>
  <c r="C108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C107" i="48"/>
  <c r="AB106" i="48"/>
  <c r="AA106" i="48"/>
  <c r="Z106" i="48"/>
  <c r="Y106" i="48"/>
  <c r="X106" i="48"/>
  <c r="W106" i="48"/>
  <c r="V106" i="48"/>
  <c r="U106" i="48"/>
  <c r="T106" i="48"/>
  <c r="S106" i="48"/>
  <c r="R106" i="48"/>
  <c r="Q106" i="48"/>
  <c r="P106" i="48"/>
  <c r="O106" i="48"/>
  <c r="N106" i="48"/>
  <c r="M106" i="48"/>
  <c r="L106" i="48"/>
  <c r="K106" i="48"/>
  <c r="J106" i="48"/>
  <c r="I106" i="48"/>
  <c r="H106" i="48"/>
  <c r="G106" i="48"/>
  <c r="F106" i="48"/>
  <c r="E106" i="48"/>
  <c r="D106" i="48"/>
  <c r="C106" i="48"/>
  <c r="AB105" i="48"/>
  <c r="AA105" i="48"/>
  <c r="Z105" i="48"/>
  <c r="Y105" i="48"/>
  <c r="X105" i="48"/>
  <c r="W105" i="48"/>
  <c r="V105" i="48"/>
  <c r="U105" i="48"/>
  <c r="T105" i="48"/>
  <c r="S105" i="48"/>
  <c r="R105" i="48"/>
  <c r="Q105" i="48"/>
  <c r="P105" i="48"/>
  <c r="O105" i="48"/>
  <c r="N105" i="48"/>
  <c r="M105" i="48"/>
  <c r="L105" i="48"/>
  <c r="K105" i="48"/>
  <c r="J105" i="48"/>
  <c r="I105" i="48"/>
  <c r="H105" i="48"/>
  <c r="G105" i="48"/>
  <c r="F105" i="48"/>
  <c r="E105" i="48"/>
  <c r="D105" i="48"/>
  <c r="C105" i="48"/>
  <c r="BI23" i="48"/>
  <c r="AB104" i="48"/>
  <c r="AA104" i="48"/>
  <c r="Z104" i="48"/>
  <c r="Y104" i="48"/>
  <c r="Y110" i="48" s="1"/>
  <c r="X104" i="48"/>
  <c r="X110" i="48" s="1"/>
  <c r="BE23" i="48" s="1"/>
  <c r="W104" i="48"/>
  <c r="V104" i="48"/>
  <c r="U104" i="48"/>
  <c r="T104" i="48"/>
  <c r="S104" i="48"/>
  <c r="R104" i="48"/>
  <c r="Q104" i="48"/>
  <c r="P104" i="48"/>
  <c r="O104" i="48"/>
  <c r="N104" i="48"/>
  <c r="M104" i="48"/>
  <c r="L104" i="48"/>
  <c r="K104" i="48"/>
  <c r="J104" i="48"/>
  <c r="I104" i="48"/>
  <c r="H104" i="48"/>
  <c r="G104" i="48"/>
  <c r="F104" i="48"/>
  <c r="E104" i="48"/>
  <c r="D104" i="48"/>
  <c r="C104" i="48"/>
  <c r="AI101" i="48"/>
  <c r="AH101" i="48"/>
  <c r="AI99" i="48"/>
  <c r="AH99" i="48"/>
  <c r="AG99" i="48"/>
  <c r="AI98" i="48"/>
  <c r="AH98" i="48"/>
  <c r="AI97" i="48"/>
  <c r="AH97" i="48"/>
  <c r="AI96" i="48"/>
  <c r="AH96" i="48"/>
  <c r="AG95" i="48"/>
  <c r="AB95" i="48"/>
  <c r="BG19" i="48" s="1"/>
  <c r="AA95" i="48"/>
  <c r="Z95" i="48"/>
  <c r="Y5" i="48" s="1"/>
  <c r="Y95" i="48"/>
  <c r="X95" i="48"/>
  <c r="W95" i="48"/>
  <c r="V95" i="48"/>
  <c r="BD19" i="48" s="1"/>
  <c r="U95" i="48"/>
  <c r="T5" i="48" s="1"/>
  <c r="T95" i="48"/>
  <c r="S5" i="48" s="1"/>
  <c r="S95" i="48"/>
  <c r="BA19" i="48" s="1"/>
  <c r="R95" i="48"/>
  <c r="Q95" i="48"/>
  <c r="P95" i="48"/>
  <c r="O95" i="48"/>
  <c r="N5" i="48" s="1"/>
  <c r="N95" i="48"/>
  <c r="M95" i="48"/>
  <c r="L95" i="48"/>
  <c r="K95" i="48"/>
  <c r="AT19" i="48" s="1"/>
  <c r="J95" i="48"/>
  <c r="I5" i="48" s="1"/>
  <c r="I95" i="48"/>
  <c r="AS19" i="48" s="1"/>
  <c r="H95" i="48"/>
  <c r="G5" i="48" s="1"/>
  <c r="G95" i="48"/>
  <c r="F95" i="48"/>
  <c r="AQ19" i="48" s="1"/>
  <c r="E95" i="48"/>
  <c r="D95" i="48"/>
  <c r="AO19" i="48" s="1"/>
  <c r="C95" i="48"/>
  <c r="AN19" i="48" s="1"/>
  <c r="AI94" i="48"/>
  <c r="AH94" i="48"/>
  <c r="AI93" i="48"/>
  <c r="AH93" i="48"/>
  <c r="AI92" i="48"/>
  <c r="AH92" i="48"/>
  <c r="AI91" i="48"/>
  <c r="AH91" i="48"/>
  <c r="AI90" i="48"/>
  <c r="AH90" i="48"/>
  <c r="AI89" i="48"/>
  <c r="AH89" i="48"/>
  <c r="AI88" i="48"/>
  <c r="AH88" i="48"/>
  <c r="AI87" i="48"/>
  <c r="AH87" i="48"/>
  <c r="AI86" i="48"/>
  <c r="AH86" i="48"/>
  <c r="AI85" i="48"/>
  <c r="AH85" i="48"/>
  <c r="AI84" i="48"/>
  <c r="AH84" i="48"/>
  <c r="AG83" i="48"/>
  <c r="BJ20" i="48"/>
  <c r="AB83" i="48"/>
  <c r="AA83" i="48"/>
  <c r="Z83" i="48"/>
  <c r="Y83" i="48"/>
  <c r="X83" i="48"/>
  <c r="BE20" i="48" s="1"/>
  <c r="W83" i="48"/>
  <c r="V83" i="48"/>
  <c r="U83" i="48"/>
  <c r="T83" i="48"/>
  <c r="S83" i="48"/>
  <c r="R83" i="48"/>
  <c r="Q83" i="48"/>
  <c r="P83" i="48"/>
  <c r="AX20" i="48" s="1"/>
  <c r="O83" i="48"/>
  <c r="AW20" i="48" s="1"/>
  <c r="N83" i="48"/>
  <c r="M83" i="48"/>
  <c r="L83" i="48"/>
  <c r="K83" i="48"/>
  <c r="J83" i="48"/>
  <c r="I83" i="48"/>
  <c r="H83" i="48"/>
  <c r="G83" i="48"/>
  <c r="F83" i="48"/>
  <c r="E83" i="48"/>
  <c r="C83" i="48"/>
  <c r="AI82" i="48"/>
  <c r="AH82" i="48"/>
  <c r="AI81" i="48"/>
  <c r="AH81" i="48"/>
  <c r="AI80" i="48"/>
  <c r="AH80" i="48"/>
  <c r="AG79" i="48"/>
  <c r="AB79" i="48"/>
  <c r="BG18" i="48" s="1"/>
  <c r="AA79" i="48"/>
  <c r="Z79" i="48"/>
  <c r="BF18" i="48" s="1"/>
  <c r="Y79" i="48"/>
  <c r="X79" i="48"/>
  <c r="W79" i="48"/>
  <c r="V79" i="48"/>
  <c r="BD18" i="48" s="1"/>
  <c r="U79" i="48"/>
  <c r="BC18" i="48" s="1"/>
  <c r="T79" i="48"/>
  <c r="S79" i="48"/>
  <c r="BA18" i="48" s="1"/>
  <c r="R79" i="48"/>
  <c r="Q79" i="48"/>
  <c r="AY18" i="48" s="1"/>
  <c r="P79" i="48"/>
  <c r="O79" i="48"/>
  <c r="N79" i="48"/>
  <c r="AV18" i="48" s="1"/>
  <c r="M79" i="48"/>
  <c r="AU18" i="48" s="1"/>
  <c r="L79" i="48"/>
  <c r="K79" i="48"/>
  <c r="J79" i="48"/>
  <c r="I79" i="48"/>
  <c r="H79" i="48"/>
  <c r="G79" i="48"/>
  <c r="F79" i="48"/>
  <c r="AQ18" i="48" s="1"/>
  <c r="E79" i="48"/>
  <c r="C79" i="48"/>
  <c r="C100" i="48" s="1"/>
  <c r="C102" i="48" s="1"/>
  <c r="BR78" i="48"/>
  <c r="BQ78" i="48"/>
  <c r="BN78" i="48"/>
  <c r="BL78" i="48"/>
  <c r="BJ78" i="48"/>
  <c r="BD78" i="48"/>
  <c r="BB78" i="48"/>
  <c r="AI78" i="48"/>
  <c r="AH78" i="48"/>
  <c r="AG78" i="48"/>
  <c r="BT77" i="48"/>
  <c r="BS77" i="48"/>
  <c r="BQ77" i="48"/>
  <c r="BL77" i="48"/>
  <c r="BK77" i="48"/>
  <c r="BD77" i="48"/>
  <c r="BA77" i="48"/>
  <c r="AI77" i="48"/>
  <c r="AH77" i="48"/>
  <c r="BV76" i="48"/>
  <c r="BS76" i="48"/>
  <c r="BN76" i="48"/>
  <c r="BM76" i="48"/>
  <c r="BK76" i="48"/>
  <c r="BJ76" i="48"/>
  <c r="AI76" i="48"/>
  <c r="AH76" i="48"/>
  <c r="BP75" i="48"/>
  <c r="BL75" i="48"/>
  <c r="BC75" i="48"/>
  <c r="AI75" i="48"/>
  <c r="AH75" i="48"/>
  <c r="BQ74" i="48"/>
  <c r="BP74" i="48"/>
  <c r="BJ74" i="48"/>
  <c r="BG74" i="48"/>
  <c r="BB74" i="48"/>
  <c r="AI74" i="48"/>
  <c r="AH74" i="48"/>
  <c r="BQ73" i="48"/>
  <c r="BL73" i="48"/>
  <c r="AI73" i="48"/>
  <c r="AH73" i="48"/>
  <c r="AI72" i="48"/>
  <c r="AH72" i="48"/>
  <c r="BW71" i="48"/>
  <c r="BW78" i="48" s="1"/>
  <c r="BV71" i="48"/>
  <c r="BV78" i="48" s="1"/>
  <c r="BU71" i="48"/>
  <c r="BU78" i="48" s="1"/>
  <c r="BT71" i="48"/>
  <c r="BT78" i="48" s="1"/>
  <c r="BS71" i="48"/>
  <c r="BS78" i="48" s="1"/>
  <c r="BR71" i="48"/>
  <c r="BQ71" i="48"/>
  <c r="BP71" i="48"/>
  <c r="BP78" i="48" s="1"/>
  <c r="BO71" i="48"/>
  <c r="BO78" i="48" s="1"/>
  <c r="BN71" i="48"/>
  <c r="BM71" i="48"/>
  <c r="BM78" i="48" s="1"/>
  <c r="BL71" i="48"/>
  <c r="BK71" i="48"/>
  <c r="BK78" i="48" s="1"/>
  <c r="BJ71" i="48"/>
  <c r="BI71" i="48"/>
  <c r="BI78" i="48" s="1"/>
  <c r="BH71" i="48"/>
  <c r="BH78" i="48" s="1"/>
  <c r="BG71" i="48"/>
  <c r="BG78" i="48" s="1"/>
  <c r="BF71" i="48"/>
  <c r="BF78" i="48" s="1"/>
  <c r="BE71" i="48"/>
  <c r="BE78" i="48" s="1"/>
  <c r="BD71" i="48"/>
  <c r="BC71" i="48"/>
  <c r="BC78" i="48" s="1"/>
  <c r="BB71" i="48"/>
  <c r="BA71" i="48"/>
  <c r="BA78" i="48" s="1"/>
  <c r="AZ71" i="48"/>
  <c r="AZ78" i="48" s="1"/>
  <c r="AI71" i="48"/>
  <c r="AH71" i="48"/>
  <c r="BW70" i="48"/>
  <c r="BW77" i="48" s="1"/>
  <c r="BV70" i="48"/>
  <c r="BV77" i="48" s="1"/>
  <c r="BU70" i="48"/>
  <c r="BU77" i="48" s="1"/>
  <c r="BT70" i="48"/>
  <c r="BS70" i="48"/>
  <c r="BR70" i="48"/>
  <c r="BR77" i="48" s="1"/>
  <c r="BQ70" i="48"/>
  <c r="BP70" i="48"/>
  <c r="BP77" i="48" s="1"/>
  <c r="BO70" i="48"/>
  <c r="BO77" i="48" s="1"/>
  <c r="BN70" i="48"/>
  <c r="BN77" i="48" s="1"/>
  <c r="BM70" i="48"/>
  <c r="BM77" i="48" s="1"/>
  <c r="BL70" i="48"/>
  <c r="BK70" i="48"/>
  <c r="BJ70" i="48"/>
  <c r="BJ77" i="48" s="1"/>
  <c r="BI70" i="48"/>
  <c r="BI77" i="48" s="1"/>
  <c r="BH70" i="48"/>
  <c r="BH77" i="48" s="1"/>
  <c r="BG70" i="48"/>
  <c r="BG77" i="48" s="1"/>
  <c r="BF70" i="48"/>
  <c r="BF77" i="48" s="1"/>
  <c r="BE70" i="48"/>
  <c r="BE77" i="48" s="1"/>
  <c r="BD70" i="48"/>
  <c r="BC70" i="48"/>
  <c r="BC77" i="48" s="1"/>
  <c r="BB70" i="48"/>
  <c r="BB77" i="48" s="1"/>
  <c r="BA70" i="48"/>
  <c r="AZ70" i="48"/>
  <c r="AZ77" i="48" s="1"/>
  <c r="AI70" i="48"/>
  <c r="AH70" i="48"/>
  <c r="BW69" i="48"/>
  <c r="BW76" i="48" s="1"/>
  <c r="BV69" i="48"/>
  <c r="BU69" i="48"/>
  <c r="BU76" i="48" s="1"/>
  <c r="BT69" i="48"/>
  <c r="BT76" i="48" s="1"/>
  <c r="BS69" i="48"/>
  <c r="BR69" i="48"/>
  <c r="BR76" i="48" s="1"/>
  <c r="BQ69" i="48"/>
  <c r="BQ76" i="48" s="1"/>
  <c r="BP69" i="48"/>
  <c r="BP76" i="48" s="1"/>
  <c r="BO69" i="48"/>
  <c r="BO76" i="48" s="1"/>
  <c r="BN69" i="48"/>
  <c r="BM69" i="48"/>
  <c r="BL69" i="48"/>
  <c r="BL76" i="48" s="1"/>
  <c r="BK69" i="48"/>
  <c r="BJ69" i="48"/>
  <c r="BI69" i="48"/>
  <c r="BI76" i="48" s="1"/>
  <c r="BH69" i="48"/>
  <c r="BH76" i="48" s="1"/>
  <c r="BG69" i="48"/>
  <c r="BG76" i="48" s="1"/>
  <c r="BF69" i="48"/>
  <c r="BF76" i="48" s="1"/>
  <c r="BE69" i="48"/>
  <c r="BE76" i="48" s="1"/>
  <c r="BD69" i="48"/>
  <c r="BD76" i="48" s="1"/>
  <c r="BC69" i="48"/>
  <c r="BC76" i="48" s="1"/>
  <c r="BB69" i="48"/>
  <c r="BB76" i="48" s="1"/>
  <c r="BA69" i="48"/>
  <c r="BA76" i="48" s="1"/>
  <c r="AZ69" i="48"/>
  <c r="AZ76" i="48" s="1"/>
  <c r="AI69" i="48"/>
  <c r="AH69" i="48"/>
  <c r="BW68" i="48"/>
  <c r="BW75" i="48" s="1"/>
  <c r="BV68" i="48"/>
  <c r="BV75" i="48" s="1"/>
  <c r="BU68" i="48"/>
  <c r="BU75" i="48" s="1"/>
  <c r="BT68" i="48"/>
  <c r="BT75" i="48" s="1"/>
  <c r="BS68" i="48"/>
  <c r="BS75" i="48" s="1"/>
  <c r="BR68" i="48"/>
  <c r="BR75" i="48" s="1"/>
  <c r="BQ68" i="48"/>
  <c r="BQ75" i="48" s="1"/>
  <c r="BP68" i="48"/>
  <c r="BO68" i="48"/>
  <c r="BO75" i="48" s="1"/>
  <c r="BN68" i="48"/>
  <c r="BN75" i="48" s="1"/>
  <c r="BM68" i="48"/>
  <c r="BM75" i="48" s="1"/>
  <c r="BL68" i="48"/>
  <c r="BK68" i="48"/>
  <c r="BK75" i="48" s="1"/>
  <c r="BJ68" i="48"/>
  <c r="BJ75" i="48" s="1"/>
  <c r="BI68" i="48"/>
  <c r="BI75" i="48" s="1"/>
  <c r="BH68" i="48"/>
  <c r="BH75" i="48" s="1"/>
  <c r="BG68" i="48"/>
  <c r="BG75" i="48" s="1"/>
  <c r="BF68" i="48"/>
  <c r="BF75" i="48" s="1"/>
  <c r="BE68" i="48"/>
  <c r="BE75" i="48" s="1"/>
  <c r="BD68" i="48"/>
  <c r="BD75" i="48" s="1"/>
  <c r="BC68" i="48"/>
  <c r="BB68" i="48"/>
  <c r="BB75" i="48" s="1"/>
  <c r="BA68" i="48"/>
  <c r="BA75" i="48" s="1"/>
  <c r="AZ68" i="48"/>
  <c r="AZ75" i="48" s="1"/>
  <c r="AI68" i="48"/>
  <c r="AH68" i="48"/>
  <c r="BW67" i="48"/>
  <c r="BW74" i="48" s="1"/>
  <c r="BV67" i="48"/>
  <c r="BV74" i="48" s="1"/>
  <c r="BU67" i="48"/>
  <c r="BU74" i="48" s="1"/>
  <c r="BT67" i="48"/>
  <c r="BT74" i="48" s="1"/>
  <c r="BS67" i="48"/>
  <c r="BS74" i="48" s="1"/>
  <c r="BR67" i="48"/>
  <c r="BR74" i="48" s="1"/>
  <c r="BQ67" i="48"/>
  <c r="BP67" i="48"/>
  <c r="BO67" i="48"/>
  <c r="BO74" i="48" s="1"/>
  <c r="BN67" i="48"/>
  <c r="BN74" i="48" s="1"/>
  <c r="BM67" i="48"/>
  <c r="BM74" i="48" s="1"/>
  <c r="BL67" i="48"/>
  <c r="BL74" i="48" s="1"/>
  <c r="BK67" i="48"/>
  <c r="BK74" i="48" s="1"/>
  <c r="BJ67" i="48"/>
  <c r="BI67" i="48"/>
  <c r="BI74" i="48" s="1"/>
  <c r="BH67" i="48"/>
  <c r="BH74" i="48" s="1"/>
  <c r="BG67" i="48"/>
  <c r="BF67" i="48"/>
  <c r="BF74" i="48" s="1"/>
  <c r="BE67" i="48"/>
  <c r="BE74" i="48" s="1"/>
  <c r="BD67" i="48"/>
  <c r="BD74" i="48" s="1"/>
  <c r="BC67" i="48"/>
  <c r="BC74" i="48" s="1"/>
  <c r="BB67" i="48"/>
  <c r="BA67" i="48"/>
  <c r="BA74" i="48" s="1"/>
  <c r="AZ67" i="48"/>
  <c r="AZ74" i="48" s="1"/>
  <c r="AI67" i="48"/>
  <c r="AH67" i="48"/>
  <c r="BW66" i="48"/>
  <c r="BW73" i="48" s="1"/>
  <c r="BV66" i="48"/>
  <c r="BV73" i="48" s="1"/>
  <c r="BU66" i="48"/>
  <c r="BU73" i="48" s="1"/>
  <c r="BT66" i="48"/>
  <c r="BT73" i="48" s="1"/>
  <c r="BS66" i="48"/>
  <c r="BS73" i="48" s="1"/>
  <c r="BR66" i="48"/>
  <c r="BR73" i="48" s="1"/>
  <c r="BQ66" i="48"/>
  <c r="BP66" i="48"/>
  <c r="BP73" i="48" s="1"/>
  <c r="BO66" i="48"/>
  <c r="BO73" i="48" s="1"/>
  <c r="BN66" i="48"/>
  <c r="BN73" i="48" s="1"/>
  <c r="BM66" i="48"/>
  <c r="BM73" i="48" s="1"/>
  <c r="BL66" i="48"/>
  <c r="BK66" i="48"/>
  <c r="BK73" i="48" s="1"/>
  <c r="BJ66" i="48"/>
  <c r="BJ73" i="48" s="1"/>
  <c r="BI66" i="48"/>
  <c r="BI73" i="48" s="1"/>
  <c r="BH66" i="48"/>
  <c r="BH73" i="48" s="1"/>
  <c r="BG66" i="48"/>
  <c r="BG73" i="48" s="1"/>
  <c r="BF66" i="48"/>
  <c r="BF73" i="48" s="1"/>
  <c r="BE66" i="48"/>
  <c r="BE73" i="48" s="1"/>
  <c r="BD66" i="48"/>
  <c r="BD73" i="48" s="1"/>
  <c r="BC66" i="48"/>
  <c r="BC73" i="48" s="1"/>
  <c r="BB66" i="48"/>
  <c r="BB73" i="48" s="1"/>
  <c r="BA66" i="48"/>
  <c r="BA73" i="48" s="1"/>
  <c r="AZ66" i="48"/>
  <c r="AI66" i="48"/>
  <c r="AH66" i="48"/>
  <c r="AG65" i="48"/>
  <c r="BJ17" i="48"/>
  <c r="BI17" i="48"/>
  <c r="AB65" i="48"/>
  <c r="AA65" i="48"/>
  <c r="X65" i="48"/>
  <c r="BE17" i="48" s="1"/>
  <c r="W65" i="48"/>
  <c r="V65" i="48"/>
  <c r="U65" i="48"/>
  <c r="T65" i="48"/>
  <c r="BB17" i="48" s="1"/>
  <c r="S65" i="48"/>
  <c r="BA17" i="48" s="1"/>
  <c r="R65" i="48"/>
  <c r="Q65" i="48"/>
  <c r="P65" i="48"/>
  <c r="AX17" i="48" s="1"/>
  <c r="O65" i="48"/>
  <c r="AW17" i="48" s="1"/>
  <c r="N65" i="48"/>
  <c r="M65" i="48"/>
  <c r="L65" i="48"/>
  <c r="J65" i="48"/>
  <c r="I65" i="48"/>
  <c r="AS17" i="48" s="1"/>
  <c r="H65" i="48"/>
  <c r="G65" i="48"/>
  <c r="AR17" i="48" s="1"/>
  <c r="F65" i="48"/>
  <c r="AQ17" i="48" s="1"/>
  <c r="E65" i="48"/>
  <c r="AI64" i="48"/>
  <c r="AH64" i="48"/>
  <c r="AI63" i="48"/>
  <c r="AH63" i="48"/>
  <c r="AI62" i="48"/>
  <c r="AH62" i="48"/>
  <c r="AG61" i="48"/>
  <c r="AF7" i="48"/>
  <c r="AE7" i="48"/>
  <c r="AB61" i="48"/>
  <c r="AA61" i="48"/>
  <c r="X61" i="48"/>
  <c r="W61" i="48"/>
  <c r="V61" i="48"/>
  <c r="U61" i="48"/>
  <c r="T61" i="48"/>
  <c r="S61" i="48"/>
  <c r="R61" i="48"/>
  <c r="Q61" i="48"/>
  <c r="AY16" i="48" s="1"/>
  <c r="P61" i="48"/>
  <c r="O61" i="48"/>
  <c r="N61" i="48"/>
  <c r="M61" i="48"/>
  <c r="L61" i="48"/>
  <c r="J61" i="48"/>
  <c r="I61" i="48"/>
  <c r="H61" i="48"/>
  <c r="G61" i="48"/>
  <c r="F61" i="48"/>
  <c r="AI59" i="48"/>
  <c r="AH59" i="48"/>
  <c r="AI58" i="48"/>
  <c r="AH58" i="48"/>
  <c r="AI57" i="48"/>
  <c r="AH57" i="48"/>
  <c r="AI56" i="48"/>
  <c r="AH56" i="48"/>
  <c r="AI55" i="48"/>
  <c r="AH55" i="48"/>
  <c r="AI54" i="48"/>
  <c r="AH54" i="48"/>
  <c r="AI53" i="48"/>
  <c r="AH53" i="48"/>
  <c r="AI52" i="48"/>
  <c r="AH52" i="48"/>
  <c r="AI51" i="48"/>
  <c r="AH51" i="48"/>
  <c r="AI50" i="48"/>
  <c r="AH50" i="48"/>
  <c r="AI49" i="48"/>
  <c r="AH49" i="48"/>
  <c r="AI48" i="48"/>
  <c r="AH48" i="48"/>
  <c r="AI47" i="48"/>
  <c r="AH47" i="48"/>
  <c r="AI46" i="48"/>
  <c r="AH46" i="48"/>
  <c r="AI45" i="48"/>
  <c r="AH45" i="48"/>
  <c r="AI44" i="48"/>
  <c r="AH44" i="48"/>
  <c r="AI43" i="48"/>
  <c r="AH43" i="48"/>
  <c r="AI42" i="48"/>
  <c r="AH42" i="48"/>
  <c r="AI41" i="48"/>
  <c r="AH41" i="48"/>
  <c r="AI40" i="48"/>
  <c r="AH40" i="48"/>
  <c r="AI39" i="48"/>
  <c r="AH39" i="48"/>
  <c r="AI38" i="48"/>
  <c r="AH38" i="48"/>
  <c r="AI37" i="48"/>
  <c r="AH37" i="48"/>
  <c r="AI36" i="48"/>
  <c r="AH36" i="48"/>
  <c r="AI35" i="48"/>
  <c r="AH35" i="48"/>
  <c r="AI34" i="48"/>
  <c r="AH34" i="48"/>
  <c r="AI33" i="48"/>
  <c r="AH33" i="48"/>
  <c r="AI32" i="48"/>
  <c r="AH32" i="48"/>
  <c r="AI31" i="48"/>
  <c r="AH31" i="48"/>
  <c r="AI30" i="48"/>
  <c r="AH30" i="48"/>
  <c r="AI29" i="48"/>
  <c r="AH29" i="48"/>
  <c r="AI28" i="48"/>
  <c r="AH28" i="48"/>
  <c r="AI27" i="48"/>
  <c r="AH27" i="48"/>
  <c r="AI26" i="48"/>
  <c r="AH26" i="48"/>
  <c r="AI25" i="48"/>
  <c r="AH25" i="48"/>
  <c r="AI24" i="48"/>
  <c r="AH24" i="48"/>
  <c r="BJ23" i="48"/>
  <c r="BH23" i="48"/>
  <c r="AI23" i="48"/>
  <c r="AH23" i="48"/>
  <c r="AI22" i="48"/>
  <c r="AH22" i="48"/>
  <c r="BJ21" i="48"/>
  <c r="BI21" i="48"/>
  <c r="BH21" i="48"/>
  <c r="BG21" i="48"/>
  <c r="BF21" i="48"/>
  <c r="BE21" i="48"/>
  <c r="BD21" i="48"/>
  <c r="BC21" i="48"/>
  <c r="BB21" i="48"/>
  <c r="BA21" i="48"/>
  <c r="AZ21" i="48"/>
  <c r="AY21" i="48"/>
  <c r="AX21" i="48"/>
  <c r="AW21" i="48"/>
  <c r="AV21" i="48"/>
  <c r="AU21" i="48"/>
  <c r="AT21" i="48"/>
  <c r="AS21" i="48"/>
  <c r="AR21" i="48"/>
  <c r="AQ21" i="48"/>
  <c r="AP21" i="48"/>
  <c r="AO21" i="48"/>
  <c r="AN21" i="48"/>
  <c r="AM21" i="48"/>
  <c r="AI21" i="48"/>
  <c r="AH21" i="48"/>
  <c r="BI20" i="48"/>
  <c r="BH20" i="48"/>
  <c r="BG20" i="48"/>
  <c r="BF20" i="48"/>
  <c r="BD20" i="48"/>
  <c r="BC20" i="48"/>
  <c r="BB20" i="48"/>
  <c r="BA20" i="48"/>
  <c r="AZ20" i="48"/>
  <c r="AY20" i="48"/>
  <c r="AV20" i="48"/>
  <c r="AU20" i="48"/>
  <c r="AT20" i="48"/>
  <c r="AS20" i="48"/>
  <c r="AR20" i="48"/>
  <c r="AQ20" i="48"/>
  <c r="AP20" i="48"/>
  <c r="AN20" i="48"/>
  <c r="AI20" i="48"/>
  <c r="AH20" i="48"/>
  <c r="BJ19" i="48"/>
  <c r="BI19" i="48"/>
  <c r="BH19" i="48"/>
  <c r="AZ19" i="48"/>
  <c r="AY19" i="48"/>
  <c r="AV19" i="48"/>
  <c r="AM19" i="48"/>
  <c r="AI19" i="48"/>
  <c r="AH19" i="48"/>
  <c r="BJ18" i="48"/>
  <c r="BI18" i="48"/>
  <c r="BH18" i="48"/>
  <c r="BE18" i="48"/>
  <c r="AZ18" i="48"/>
  <c r="AX18" i="48"/>
  <c r="AW18" i="48"/>
  <c r="AT18" i="48"/>
  <c r="AS18" i="48"/>
  <c r="AR18" i="48"/>
  <c r="AP18" i="48"/>
  <c r="AM18" i="48"/>
  <c r="AI18" i="48"/>
  <c r="AH18" i="48"/>
  <c r="BH17" i="48"/>
  <c r="BG17" i="48"/>
  <c r="BF17" i="48"/>
  <c r="BD17" i="48"/>
  <c r="BC17" i="48"/>
  <c r="AZ17" i="48"/>
  <c r="AY17" i="48"/>
  <c r="AV17" i="48"/>
  <c r="AU17" i="48"/>
  <c r="AT17" i="48"/>
  <c r="AP17" i="48"/>
  <c r="AO17" i="48"/>
  <c r="AN17" i="48"/>
  <c r="AM17" i="48"/>
  <c r="AI17" i="48"/>
  <c r="AH17" i="48"/>
  <c r="BJ16" i="48"/>
  <c r="BG16" i="48"/>
  <c r="BF16" i="48"/>
  <c r="BE16" i="48"/>
  <c r="BB16" i="48"/>
  <c r="AZ16" i="48"/>
  <c r="AZ22" i="48" s="1"/>
  <c r="AT16" i="48"/>
  <c r="AO16" i="48"/>
  <c r="AI16" i="48"/>
  <c r="AH16" i="48"/>
  <c r="AI15" i="48"/>
  <c r="AH15" i="48"/>
  <c r="AI14" i="48"/>
  <c r="AH14" i="48"/>
  <c r="AI13" i="48"/>
  <c r="AH13" i="48"/>
  <c r="AL12" i="48"/>
  <c r="AI12" i="48"/>
  <c r="AH12" i="48"/>
  <c r="AI11" i="48"/>
  <c r="AH11" i="48"/>
  <c r="AD7" i="48"/>
  <c r="AC7" i="48"/>
  <c r="AF5" i="48"/>
  <c r="AE5" i="48"/>
  <c r="AD5" i="48"/>
  <c r="AC5" i="48"/>
  <c r="AB5" i="48"/>
  <c r="Z5" i="48"/>
  <c r="X5" i="48"/>
  <c r="W5" i="48"/>
  <c r="V5" i="48"/>
  <c r="U5" i="48"/>
  <c r="Q5" i="48"/>
  <c r="P5" i="48"/>
  <c r="M5" i="48"/>
  <c r="K5" i="48"/>
  <c r="F5" i="48"/>
  <c r="E5" i="48"/>
  <c r="C5" i="48"/>
  <c r="AG4" i="48"/>
  <c r="K4" i="48"/>
  <c r="E4" i="48"/>
  <c r="H4" i="48" s="1"/>
  <c r="B4" i="48"/>
  <c r="D261" i="48" s="1"/>
  <c r="AG3" i="48"/>
  <c r="AF124" i="47"/>
  <c r="AF60" i="47"/>
  <c r="AF61" i="47"/>
  <c r="AF65" i="47"/>
  <c r="AF79" i="47"/>
  <c r="AF83" i="47"/>
  <c r="AF95" i="47"/>
  <c r="AE124" i="47"/>
  <c r="AE60" i="47"/>
  <c r="AE61" i="47"/>
  <c r="AE65" i="47"/>
  <c r="AD124" i="47"/>
  <c r="AD60" i="47"/>
  <c r="AC124" i="47"/>
  <c r="AC60" i="47"/>
  <c r="AB124" i="47"/>
  <c r="AB60" i="47"/>
  <c r="AA109" i="47"/>
  <c r="AA108" i="47"/>
  <c r="AA107" i="47"/>
  <c r="AA106" i="47"/>
  <c r="AA105" i="47"/>
  <c r="AA104" i="47"/>
  <c r="AA95" i="47"/>
  <c r="AA83" i="47"/>
  <c r="AA79" i="47"/>
  <c r="AA65" i="47"/>
  <c r="AA61" i="47"/>
  <c r="AA100" i="47" s="1"/>
  <c r="AA102" i="47" s="1"/>
  <c r="Z61" i="47"/>
  <c r="Z65" i="47"/>
  <c r="Z79" i="47"/>
  <c r="Z83" i="47"/>
  <c r="Z95" i="47"/>
  <c r="Z104" i="47"/>
  <c r="Z105" i="47"/>
  <c r="Z106" i="47"/>
  <c r="Z107" i="47"/>
  <c r="Z108" i="47"/>
  <c r="Z109" i="47"/>
  <c r="Y61" i="47"/>
  <c r="Y65" i="47"/>
  <c r="Y79" i="47"/>
  <c r="Y83" i="47"/>
  <c r="Y95" i="47"/>
  <c r="Y104" i="47"/>
  <c r="Y105" i="47"/>
  <c r="Y106" i="47"/>
  <c r="Y107" i="47"/>
  <c r="Y108" i="47"/>
  <c r="Y109" i="47"/>
  <c r="W61" i="47"/>
  <c r="X61" i="47"/>
  <c r="W65" i="47"/>
  <c r="X65" i="47"/>
  <c r="W79" i="47"/>
  <c r="X79" i="47"/>
  <c r="W83" i="47"/>
  <c r="X83" i="47"/>
  <c r="W95" i="47"/>
  <c r="X95" i="47"/>
  <c r="W104" i="47"/>
  <c r="X104" i="47"/>
  <c r="W105" i="47"/>
  <c r="X105" i="47"/>
  <c r="W106" i="47"/>
  <c r="X106" i="47"/>
  <c r="W107" i="47"/>
  <c r="X107" i="47"/>
  <c r="W108" i="47"/>
  <c r="X108" i="47"/>
  <c r="W109" i="47"/>
  <c r="X109" i="47"/>
  <c r="BJ22" i="48" l="1"/>
  <c r="BJ24" i="48" s="1"/>
  <c r="AA5" i="48"/>
  <c r="AA100" i="48"/>
  <c r="AA102" i="48" s="1"/>
  <c r="BF19" i="48"/>
  <c r="BF22" i="48" s="1"/>
  <c r="Y111" i="48"/>
  <c r="W110" i="48"/>
  <c r="W111" i="48" s="1"/>
  <c r="W100" i="48"/>
  <c r="W102" i="48" s="1"/>
  <c r="W103" i="48" s="1"/>
  <c r="W7" i="48" s="1"/>
  <c r="V110" i="48"/>
  <c r="BD23" i="48" s="1"/>
  <c r="V100" i="48"/>
  <c r="V102" i="48" s="1"/>
  <c r="BD16" i="48"/>
  <c r="BD22" i="48" s="1"/>
  <c r="BD24" i="48" s="1"/>
  <c r="U110" i="48"/>
  <c r="BC23" i="48" s="1"/>
  <c r="BC19" i="48"/>
  <c r="BB19" i="48"/>
  <c r="T100" i="48"/>
  <c r="T102" i="48" s="1"/>
  <c r="R5" i="48"/>
  <c r="S100" i="48"/>
  <c r="S102" i="48" s="1"/>
  <c r="BA16" i="48"/>
  <c r="BA22" i="48" s="1"/>
  <c r="Q110" i="48"/>
  <c r="AY23" i="48" s="1"/>
  <c r="P110" i="48"/>
  <c r="AX23" i="48" s="1"/>
  <c r="O5" i="48"/>
  <c r="AX19" i="48"/>
  <c r="O110" i="48"/>
  <c r="AW23" i="48" s="1"/>
  <c r="O100" i="48"/>
  <c r="O102" i="48" s="1"/>
  <c r="O103" i="48" s="1"/>
  <c r="O7" i="48" s="1"/>
  <c r="N110" i="48"/>
  <c r="AV23" i="48" s="1"/>
  <c r="N100" i="48"/>
  <c r="N102" i="48" s="1"/>
  <c r="N103" i="48" s="1"/>
  <c r="N7" i="48" s="1"/>
  <c r="M110" i="48"/>
  <c r="AU23" i="48" s="1"/>
  <c r="M111" i="48"/>
  <c r="L5" i="48"/>
  <c r="AU19" i="48"/>
  <c r="H5" i="48"/>
  <c r="I110" i="48"/>
  <c r="AS23" i="48" s="1"/>
  <c r="J5" i="48"/>
  <c r="K100" i="48"/>
  <c r="K102" i="48" s="1"/>
  <c r="K103" i="48" s="1"/>
  <c r="K7" i="48" s="1"/>
  <c r="AT22" i="48"/>
  <c r="H110" i="48"/>
  <c r="H111" i="48" s="1"/>
  <c r="I100" i="48"/>
  <c r="I102" i="48" s="1"/>
  <c r="I103" i="48" s="1"/>
  <c r="I7" i="48" s="1"/>
  <c r="G110" i="48"/>
  <c r="AR23" i="48" s="1"/>
  <c r="AR19" i="48"/>
  <c r="G100" i="48"/>
  <c r="G102" i="48" s="1"/>
  <c r="G103" i="48" s="1"/>
  <c r="G7" i="48" s="1"/>
  <c r="AI60" i="48"/>
  <c r="AR16" i="48"/>
  <c r="AR22" i="48" s="1"/>
  <c r="AR24" i="48" s="1"/>
  <c r="F110" i="48"/>
  <c r="F111" i="48" s="1"/>
  <c r="E100" i="48"/>
  <c r="E102" i="48" s="1"/>
  <c r="F100" i="48"/>
  <c r="F102" i="48" s="1"/>
  <c r="F103" i="48" s="1"/>
  <c r="F7" i="48" s="1"/>
  <c r="AQ16" i="48"/>
  <c r="AQ22" i="48" s="1"/>
  <c r="E110" i="48"/>
  <c r="AP23" i="48" s="1"/>
  <c r="D5" i="48"/>
  <c r="AP19" i="48"/>
  <c r="AI65" i="48"/>
  <c r="AP16" i="48"/>
  <c r="AP22" i="48" s="1"/>
  <c r="AP24" i="48" s="1"/>
  <c r="AI107" i="48"/>
  <c r="AO22" i="48"/>
  <c r="AI104" i="48"/>
  <c r="AH108" i="48"/>
  <c r="B5" i="48"/>
  <c r="AI106" i="48"/>
  <c r="AN18" i="48"/>
  <c r="AN22" i="48" s="1"/>
  <c r="AH60" i="48"/>
  <c r="B110" i="48"/>
  <c r="B111" i="48" s="1"/>
  <c r="B100" i="48"/>
  <c r="B102" i="48" s="1"/>
  <c r="B103" i="48" s="1"/>
  <c r="AM16" i="48"/>
  <c r="AM22" i="48"/>
  <c r="BI16" i="48"/>
  <c r="BI22" i="48" s="1"/>
  <c r="BI24" i="48" s="1"/>
  <c r="BB18" i="48"/>
  <c r="BB22" i="48" s="1"/>
  <c r="V103" i="48"/>
  <c r="V7" i="48" s="1"/>
  <c r="AS16" i="48"/>
  <c r="AS22" i="48" s="1"/>
  <c r="AS24" i="48" s="1"/>
  <c r="H100" i="48"/>
  <c r="H102" i="48" s="1"/>
  <c r="P100" i="48"/>
  <c r="P102" i="48" s="1"/>
  <c r="P103" i="48" s="1"/>
  <c r="P7" i="48" s="1"/>
  <c r="X100" i="48"/>
  <c r="X102" i="48" s="1"/>
  <c r="X103" i="48" s="1"/>
  <c r="X7" i="48" s="1"/>
  <c r="AH65" i="48"/>
  <c r="AV16" i="48"/>
  <c r="AV22" i="48" s="1"/>
  <c r="AV24" i="48" s="1"/>
  <c r="AI61" i="48"/>
  <c r="C110" i="48"/>
  <c r="AN23" i="48" s="1"/>
  <c r="K110" i="48"/>
  <c r="AT23" i="48" s="1"/>
  <c r="S110" i="48"/>
  <c r="BA23" i="48" s="1"/>
  <c r="AA110" i="48"/>
  <c r="AA111" i="48" s="1"/>
  <c r="V111" i="48"/>
  <c r="AL13" i="48"/>
  <c r="AW16" i="48"/>
  <c r="AX16" i="48"/>
  <c r="AX22" i="48" s="1"/>
  <c r="AX24" i="48" s="1"/>
  <c r="BG22" i="48"/>
  <c r="D100" i="48"/>
  <c r="D102" i="48" s="1"/>
  <c r="L100" i="48"/>
  <c r="L102" i="48" s="1"/>
  <c r="L103" i="48" s="1"/>
  <c r="L7" i="48" s="1"/>
  <c r="AB100" i="48"/>
  <c r="AB102" i="48" s="1"/>
  <c r="AZ73" i="48"/>
  <c r="BG82" i="48" a="1"/>
  <c r="O111" i="48"/>
  <c r="AW19" i="48"/>
  <c r="AY22" i="48"/>
  <c r="AY24" i="48" s="1"/>
  <c r="BH16" i="48"/>
  <c r="BH22" i="48" s="1"/>
  <c r="BH24" i="48" s="1"/>
  <c r="M100" i="48"/>
  <c r="M102" i="48" s="1"/>
  <c r="M103" i="48" s="1"/>
  <c r="M7" i="48" s="1"/>
  <c r="AU16" i="48"/>
  <c r="U100" i="48"/>
  <c r="U102" i="48" s="1"/>
  <c r="U103" i="48" s="1"/>
  <c r="U7" i="48" s="1"/>
  <c r="BC16" i="48"/>
  <c r="BC22" i="48" s="1"/>
  <c r="BC24" i="48" s="1"/>
  <c r="AI79" i="48"/>
  <c r="X111" i="48"/>
  <c r="BE19" i="48"/>
  <c r="BE22" i="48" s="1"/>
  <c r="BE24" i="48" s="1"/>
  <c r="AI105" i="48"/>
  <c r="AI108" i="48"/>
  <c r="AH109" i="48"/>
  <c r="Q111" i="48"/>
  <c r="D110" i="48"/>
  <c r="AO23" i="48" s="1"/>
  <c r="L110" i="48"/>
  <c r="L111" i="48" s="1"/>
  <c r="T110" i="48"/>
  <c r="BB23" i="48" s="1"/>
  <c r="AB110" i="48"/>
  <c r="BG23" i="48" s="1"/>
  <c r="AH83" i="48"/>
  <c r="R111" i="48"/>
  <c r="AH95" i="48"/>
  <c r="AG102" i="48"/>
  <c r="Q100" i="48"/>
  <c r="Q102" i="48" s="1"/>
  <c r="Q103" i="48" s="1"/>
  <c r="Q7" i="48" s="1"/>
  <c r="Y100" i="48"/>
  <c r="Y102" i="48" s="1"/>
  <c r="Y103" i="48" s="1"/>
  <c r="Y7" i="48" s="1"/>
  <c r="AH79" i="48"/>
  <c r="AI83" i="48"/>
  <c r="AI95" i="48"/>
  <c r="AG100" i="48"/>
  <c r="AG2" i="48"/>
  <c r="AG6" i="48" s="1"/>
  <c r="J100" i="48"/>
  <c r="J102" i="48" s="1"/>
  <c r="R100" i="48"/>
  <c r="R102" i="48" s="1"/>
  <c r="Z100" i="48"/>
  <c r="Z102" i="48" s="1"/>
  <c r="AH61" i="48"/>
  <c r="AH107" i="48"/>
  <c r="D121" i="48"/>
  <c r="E254" i="48"/>
  <c r="F254" i="48" s="1"/>
  <c r="G254" i="48" s="1"/>
  <c r="H254" i="48" s="1"/>
  <c r="I254" i="48" s="1"/>
  <c r="J254" i="48" s="1"/>
  <c r="K254" i="48" s="1"/>
  <c r="L254" i="48" s="1"/>
  <c r="M254" i="48" s="1"/>
  <c r="N254" i="48" s="1"/>
  <c r="O254" i="48" s="1"/>
  <c r="P254" i="48" s="1"/>
  <c r="Q254" i="48" s="1"/>
  <c r="R254" i="48" s="1"/>
  <c r="S254" i="48" s="1"/>
  <c r="T254" i="48" s="1"/>
  <c r="U254" i="48" s="1"/>
  <c r="V254" i="48" s="1"/>
  <c r="W254" i="48" s="1"/>
  <c r="X254" i="48" s="1"/>
  <c r="Y254" i="48" s="1"/>
  <c r="Z254" i="48" s="1"/>
  <c r="AA254" i="48" s="1"/>
  <c r="AB254" i="48" s="1"/>
  <c r="AC254" i="48" s="1"/>
  <c r="AD254" i="48" s="1"/>
  <c r="AE254" i="48" s="1"/>
  <c r="AF254" i="48" s="1"/>
  <c r="B254" i="48" s="1"/>
  <c r="AH104" i="48"/>
  <c r="AH106" i="48"/>
  <c r="J110" i="48"/>
  <c r="J111" i="48" s="1"/>
  <c r="R110" i="48"/>
  <c r="AZ23" i="48" s="1"/>
  <c r="AZ24" i="48" s="1"/>
  <c r="Z110" i="48"/>
  <c r="BF23" i="48" s="1"/>
  <c r="AI109" i="48"/>
  <c r="AH105" i="48"/>
  <c r="E249" i="48"/>
  <c r="AF100" i="47"/>
  <c r="W100" i="47"/>
  <c r="W102" i="47" s="1"/>
  <c r="W110" i="47"/>
  <c r="W111" i="47" s="1"/>
  <c r="AA110" i="47"/>
  <c r="AA111" i="47" s="1"/>
  <c r="AA103" i="47"/>
  <c r="Z110" i="47"/>
  <c r="Z111" i="47" s="1"/>
  <c r="Z100" i="47"/>
  <c r="Z102" i="47" s="1"/>
  <c r="Y110" i="47"/>
  <c r="Y111" i="47" s="1"/>
  <c r="Y100" i="47"/>
  <c r="Y102" i="47" s="1"/>
  <c r="X110" i="47"/>
  <c r="X111" i="47" s="1"/>
  <c r="X100" i="47"/>
  <c r="X102" i="47" s="1"/>
  <c r="X103" i="47" s="1"/>
  <c r="AA103" i="48" l="1"/>
  <c r="AA7" i="48" s="1"/>
  <c r="BF24" i="48"/>
  <c r="U111" i="48"/>
  <c r="BB24" i="48"/>
  <c r="T111" i="48"/>
  <c r="S111" i="48"/>
  <c r="BA24" i="48"/>
  <c r="P111" i="48"/>
  <c r="N111" i="48"/>
  <c r="AU22" i="48"/>
  <c r="AU24" i="48" s="1"/>
  <c r="I111" i="48"/>
  <c r="J103" i="48"/>
  <c r="J7" i="48" s="1"/>
  <c r="K111" i="48"/>
  <c r="AT24" i="48"/>
  <c r="H103" i="48"/>
  <c r="H7" i="48" s="1"/>
  <c r="G111" i="48"/>
  <c r="AQ23" i="48"/>
  <c r="AQ24" i="48"/>
  <c r="E111" i="48"/>
  <c r="E103" i="48"/>
  <c r="E7" i="48" s="1"/>
  <c r="AO24" i="48"/>
  <c r="D111" i="48"/>
  <c r="D103" i="48"/>
  <c r="D7" i="48" s="1"/>
  <c r="C103" i="48"/>
  <c r="C7" i="48" s="1"/>
  <c r="C111" i="48"/>
  <c r="AN24" i="48"/>
  <c r="AB103" i="48"/>
  <c r="AB7" i="48" s="1"/>
  <c r="AI110" i="48"/>
  <c r="AH110" i="48"/>
  <c r="AM23" i="48"/>
  <c r="AM24" i="48" s="1"/>
  <c r="C259" i="48"/>
  <c r="B259" i="48"/>
  <c r="F249" i="48"/>
  <c r="E121" i="48"/>
  <c r="E255" i="48"/>
  <c r="BG24" i="48"/>
  <c r="T103" i="48"/>
  <c r="T7" i="48" s="1"/>
  <c r="Z103" i="48"/>
  <c r="Z7" i="48" s="1"/>
  <c r="R103" i="48"/>
  <c r="R7" i="48" s="1"/>
  <c r="Z111" i="48"/>
  <c r="AW22" i="48"/>
  <c r="AW24" i="48" s="1"/>
  <c r="S103" i="48"/>
  <c r="S7" i="48" s="1"/>
  <c r="BG105" i="48"/>
  <c r="BK103" i="48"/>
  <c r="BI102" i="48"/>
  <c r="BG101" i="48"/>
  <c r="BK99" i="48"/>
  <c r="BI98" i="48"/>
  <c r="BG97" i="48"/>
  <c r="BK95" i="48"/>
  <c r="BI94" i="48"/>
  <c r="BG93" i="48"/>
  <c r="BK91" i="48"/>
  <c r="BI90" i="48"/>
  <c r="BG89" i="48"/>
  <c r="BK87" i="48"/>
  <c r="BI86" i="48"/>
  <c r="BG85" i="48"/>
  <c r="BK83" i="48"/>
  <c r="BI82" i="48"/>
  <c r="BI105" i="48"/>
  <c r="BL103" i="48"/>
  <c r="BH102" i="48"/>
  <c r="BK100" i="48"/>
  <c r="BH99" i="48"/>
  <c r="BK97" i="48"/>
  <c r="BH96" i="48"/>
  <c r="BK94" i="48"/>
  <c r="BH93" i="48"/>
  <c r="BJ91" i="48"/>
  <c r="BG90" i="48"/>
  <c r="BJ88" i="48"/>
  <c r="BG87" i="48"/>
  <c r="BJ85" i="48"/>
  <c r="BG84" i="48"/>
  <c r="BJ82" i="48"/>
  <c r="BH105" i="48"/>
  <c r="BJ103" i="48"/>
  <c r="BG102" i="48"/>
  <c r="BJ100" i="48"/>
  <c r="BG99" i="48"/>
  <c r="BJ97" i="48"/>
  <c r="BG96" i="48"/>
  <c r="BJ94" i="48"/>
  <c r="BL92" i="48"/>
  <c r="BL104" i="48"/>
  <c r="BI103" i="48"/>
  <c r="BL101" i="48"/>
  <c r="BI100" i="48"/>
  <c r="BL98" i="48"/>
  <c r="BI97" i="48"/>
  <c r="BL95" i="48"/>
  <c r="BH94" i="48"/>
  <c r="BK92" i="48"/>
  <c r="BH91" i="48"/>
  <c r="BK89" i="48"/>
  <c r="BH88" i="48"/>
  <c r="BK86" i="48"/>
  <c r="BH85" i="48"/>
  <c r="BJ83" i="48"/>
  <c r="BG82" i="48"/>
  <c r="BK104" i="48"/>
  <c r="BH103" i="48"/>
  <c r="BK101" i="48"/>
  <c r="BH100" i="48"/>
  <c r="BK98" i="48"/>
  <c r="BH97" i="48"/>
  <c r="BJ95" i="48"/>
  <c r="BG94" i="48"/>
  <c r="BJ92" i="48"/>
  <c r="BG91" i="48"/>
  <c r="BJ89" i="48"/>
  <c r="BG88" i="48"/>
  <c r="BJ86" i="48"/>
  <c r="BL84" i="48"/>
  <c r="BI83" i="48"/>
  <c r="BJ104" i="48"/>
  <c r="BG103" i="48"/>
  <c r="BJ101" i="48"/>
  <c r="BG100" i="48"/>
  <c r="BJ98" i="48"/>
  <c r="BL96" i="48"/>
  <c r="BI95" i="48"/>
  <c r="BL93" i="48"/>
  <c r="BL105" i="48"/>
  <c r="BI104" i="48"/>
  <c r="BL102" i="48"/>
  <c r="BI101" i="48"/>
  <c r="BL99" i="48"/>
  <c r="BH98" i="48"/>
  <c r="BK96" i="48"/>
  <c r="BH95" i="48"/>
  <c r="BK93" i="48"/>
  <c r="BH92" i="48"/>
  <c r="BK90" i="48"/>
  <c r="BH89" i="48"/>
  <c r="BJ87" i="48"/>
  <c r="BG86" i="48"/>
  <c r="BJ84" i="48"/>
  <c r="BG83" i="48"/>
  <c r="BG104" i="48"/>
  <c r="BL97" i="48"/>
  <c r="BG92" i="48"/>
  <c r="BL88" i="48"/>
  <c r="BL85" i="48"/>
  <c r="BL82" i="48"/>
  <c r="BI99" i="48"/>
  <c r="BK102" i="48"/>
  <c r="BJ96" i="48"/>
  <c r="BL91" i="48"/>
  <c r="BK88" i="48"/>
  <c r="BK85" i="48"/>
  <c r="BK82" i="48"/>
  <c r="BJ105" i="48"/>
  <c r="BI93" i="48"/>
  <c r="BL89" i="48"/>
  <c r="BL86" i="48"/>
  <c r="BL83" i="48"/>
  <c r="BJ102" i="48"/>
  <c r="BI96" i="48"/>
  <c r="BI91" i="48"/>
  <c r="BI88" i="48"/>
  <c r="BI85" i="48"/>
  <c r="BH82" i="48"/>
  <c r="BH101" i="48"/>
  <c r="BG95" i="48"/>
  <c r="BL90" i="48"/>
  <c r="BL87" i="48"/>
  <c r="BK84" i="48"/>
  <c r="BL100" i="48"/>
  <c r="BL94" i="48"/>
  <c r="BJ90" i="48"/>
  <c r="BI87" i="48"/>
  <c r="BI84" i="48"/>
  <c r="BK105" i="48"/>
  <c r="BJ99" i="48"/>
  <c r="BJ93" i="48"/>
  <c r="BH90" i="48"/>
  <c r="BH87" i="48"/>
  <c r="BH84" i="48"/>
  <c r="BH104" i="48"/>
  <c r="BG98" i="48"/>
  <c r="BI92" i="48"/>
  <c r="BI89" i="48"/>
  <c r="BH86" i="48"/>
  <c r="BH83" i="48"/>
  <c r="AB111" i="48"/>
  <c r="AH100" i="48"/>
  <c r="AI100" i="48"/>
  <c r="W103" i="47"/>
  <c r="Z103" i="47"/>
  <c r="Y103" i="47"/>
  <c r="AH111" i="48" l="1"/>
  <c r="AT9" i="48"/>
  <c r="AI111" i="48"/>
  <c r="AI102" i="48"/>
  <c r="AH102" i="48"/>
  <c r="AT8" i="48"/>
  <c r="F255" i="48"/>
  <c r="F121" i="48"/>
  <c r="G249" i="48"/>
  <c r="K6" i="48"/>
  <c r="V61" i="47"/>
  <c r="V65" i="47"/>
  <c r="V79" i="47"/>
  <c r="V83" i="47"/>
  <c r="V95" i="47"/>
  <c r="V104" i="47"/>
  <c r="V105" i="47"/>
  <c r="V106" i="47"/>
  <c r="V107" i="47"/>
  <c r="V108" i="47"/>
  <c r="V109" i="47"/>
  <c r="U61" i="47"/>
  <c r="U65" i="47"/>
  <c r="U79" i="47"/>
  <c r="U83" i="47"/>
  <c r="U95" i="47"/>
  <c r="U104" i="47"/>
  <c r="U105" i="47"/>
  <c r="U106" i="47"/>
  <c r="U107" i="47"/>
  <c r="U108" i="47"/>
  <c r="U109" i="47"/>
  <c r="T61" i="47"/>
  <c r="T65" i="47"/>
  <c r="T79" i="47"/>
  <c r="T83" i="47"/>
  <c r="T95" i="47"/>
  <c r="T104" i="47"/>
  <c r="T105" i="47"/>
  <c r="T106" i="47"/>
  <c r="T107" i="47"/>
  <c r="T108" i="47"/>
  <c r="T109" i="47"/>
  <c r="H249" i="48" l="1"/>
  <c r="G255" i="48"/>
  <c r="G121" i="48"/>
  <c r="AI103" i="48"/>
  <c r="AH103" i="48"/>
  <c r="B7" i="48"/>
  <c r="A7" i="48" s="1"/>
  <c r="V110" i="47"/>
  <c r="V111" i="47" s="1"/>
  <c r="V100" i="47"/>
  <c r="V102" i="47" s="1"/>
  <c r="V103" i="47" s="1"/>
  <c r="U110" i="47"/>
  <c r="U111" i="47" s="1"/>
  <c r="U100" i="47"/>
  <c r="U102" i="47" s="1"/>
  <c r="U103" i="47" s="1"/>
  <c r="T110" i="47"/>
  <c r="T111" i="47" s="1"/>
  <c r="T100" i="47"/>
  <c r="T102" i="47" s="1"/>
  <c r="T103" i="47" s="1"/>
  <c r="S61" i="47"/>
  <c r="S65" i="47"/>
  <c r="S79" i="47"/>
  <c r="S83" i="47"/>
  <c r="S95" i="47"/>
  <c r="S104" i="47"/>
  <c r="S105" i="47"/>
  <c r="S106" i="47"/>
  <c r="S107" i="47"/>
  <c r="S108" i="47"/>
  <c r="S109" i="47"/>
  <c r="R60" i="47"/>
  <c r="I249" i="48" l="1"/>
  <c r="H255" i="48"/>
  <c r="H121" i="48"/>
  <c r="S110" i="47"/>
  <c r="S111" i="47" s="1"/>
  <c r="S100" i="47"/>
  <c r="S102" i="47" s="1"/>
  <c r="I255" i="48" l="1"/>
  <c r="I121" i="48"/>
  <c r="J249" i="48"/>
  <c r="S103" i="47"/>
  <c r="J255" i="48" l="1"/>
  <c r="K249" i="48"/>
  <c r="J121" i="48"/>
  <c r="K255" i="48" l="1"/>
  <c r="K121" i="48"/>
  <c r="L249" i="48"/>
  <c r="L255" i="48" l="1"/>
  <c r="L121" i="48"/>
  <c r="M249" i="48"/>
  <c r="N249" i="48" l="1"/>
  <c r="M255" i="48"/>
  <c r="M121" i="48"/>
  <c r="Q60" i="47"/>
  <c r="P124" i="47"/>
  <c r="P60" i="47"/>
  <c r="O124" i="47"/>
  <c r="O60" i="47"/>
  <c r="O61" i="47"/>
  <c r="O65" i="47"/>
  <c r="N255" i="48" l="1"/>
  <c r="N121" i="48"/>
  <c r="O249" i="48"/>
  <c r="P249" i="48" l="1"/>
  <c r="O255" i="48"/>
  <c r="O121" i="48"/>
  <c r="Q249" i="48" l="1"/>
  <c r="P255" i="48"/>
  <c r="N124" i="47"/>
  <c r="N60" i="47"/>
  <c r="Q255" i="48" l="1"/>
  <c r="Q121" i="48"/>
  <c r="R249" i="48"/>
  <c r="R255" i="48" l="1"/>
  <c r="R121" i="48"/>
  <c r="S249" i="48"/>
  <c r="S255" i="48" l="1"/>
  <c r="T249" i="48"/>
  <c r="S121" i="48"/>
  <c r="T255" i="48" l="1"/>
  <c r="T121" i="48"/>
  <c r="U249" i="48"/>
  <c r="U121" i="48" l="1"/>
  <c r="V249" i="48"/>
  <c r="U255" i="48"/>
  <c r="V255" i="48" l="1"/>
  <c r="V121" i="48"/>
  <c r="W249" i="48"/>
  <c r="X249" i="48" l="1"/>
  <c r="W255" i="48"/>
  <c r="W121" i="48"/>
  <c r="Y249" i="48" l="1"/>
  <c r="X255" i="48"/>
  <c r="X121" i="48"/>
  <c r="Y255" i="48" l="1"/>
  <c r="Z249" i="48"/>
  <c r="Z255" i="48" l="1"/>
  <c r="AA249" i="48"/>
  <c r="AA255" i="48" l="1"/>
  <c r="AB249" i="48"/>
  <c r="AA121" i="48"/>
  <c r="AB255" i="48" l="1"/>
  <c r="AB121" i="48"/>
  <c r="AC249" i="48"/>
  <c r="AD249" i="48" l="1"/>
  <c r="AC255" i="48"/>
  <c r="AD255" i="48" l="1"/>
  <c r="AE249" i="48"/>
  <c r="AF249" i="48" l="1"/>
  <c r="AE255" i="48"/>
  <c r="AF255" i="48" l="1"/>
  <c r="B249" i="48"/>
  <c r="B255" i="48" l="1"/>
  <c r="AI121" i="48" l="1"/>
  <c r="AH121" i="48"/>
  <c r="M124" i="47" l="1"/>
  <c r="M60" i="47"/>
  <c r="L124" i="47"/>
  <c r="K124" i="47"/>
  <c r="J124" i="47" l="1"/>
  <c r="J60" i="47"/>
  <c r="I124" i="47" l="1"/>
  <c r="I60" i="47"/>
  <c r="H124" i="47" l="1"/>
  <c r="H60" i="47"/>
  <c r="G124" i="47" l="1"/>
  <c r="G60" i="47"/>
  <c r="F124" i="47"/>
  <c r="F60" i="47"/>
  <c r="E124" i="47" l="1"/>
  <c r="AI124" i="47" s="1"/>
  <c r="E60" i="47"/>
  <c r="D95" i="47"/>
  <c r="D100" i="47" s="1"/>
  <c r="D102" i="47" s="1"/>
  <c r="D104" i="47"/>
  <c r="D105" i="47"/>
  <c r="D106" i="47"/>
  <c r="D107" i="47"/>
  <c r="D108" i="47"/>
  <c r="D109" i="47"/>
  <c r="C95" i="47"/>
  <c r="C100" i="47" s="1"/>
  <c r="C102" i="47" s="1"/>
  <c r="C104" i="47"/>
  <c r="C105" i="47"/>
  <c r="C106" i="47"/>
  <c r="C107" i="47"/>
  <c r="AI107" i="47" s="1"/>
  <c r="C108" i="47"/>
  <c r="C109" i="47"/>
  <c r="C121" i="47"/>
  <c r="B109" i="47"/>
  <c r="B108" i="47"/>
  <c r="B107" i="47"/>
  <c r="B106" i="47"/>
  <c r="B105" i="47"/>
  <c r="B104" i="47"/>
  <c r="B95" i="47"/>
  <c r="AF5" i="47" s="1"/>
  <c r="AG255" i="47"/>
  <c r="C255" i="47"/>
  <c r="E254" i="47"/>
  <c r="F254" i="47" s="1"/>
  <c r="G254" i="47" s="1"/>
  <c r="H254" i="47" s="1"/>
  <c r="I254" i="47" s="1"/>
  <c r="J254" i="47" s="1"/>
  <c r="K254" i="47" s="1"/>
  <c r="L254" i="47" s="1"/>
  <c r="M254" i="47" s="1"/>
  <c r="N254" i="47" s="1"/>
  <c r="O254" i="47" s="1"/>
  <c r="P254" i="47" s="1"/>
  <c r="Q254" i="47" s="1"/>
  <c r="R254" i="47" s="1"/>
  <c r="S254" i="47" s="1"/>
  <c r="T254" i="47" s="1"/>
  <c r="U254" i="47" s="1"/>
  <c r="V254" i="47" s="1"/>
  <c r="W254" i="47" s="1"/>
  <c r="X254" i="47" s="1"/>
  <c r="Y254" i="47" s="1"/>
  <c r="Z254" i="47" s="1"/>
  <c r="AA254" i="47" s="1"/>
  <c r="AB254" i="47" s="1"/>
  <c r="AC254" i="47" s="1"/>
  <c r="AD254" i="47" s="1"/>
  <c r="AE254" i="47" s="1"/>
  <c r="AF254" i="47" s="1"/>
  <c r="B254" i="47" s="1"/>
  <c r="D254" i="47"/>
  <c r="D253" i="47"/>
  <c r="E253" i="47" s="1"/>
  <c r="F253" i="47" s="1"/>
  <c r="G253" i="47" s="1"/>
  <c r="H253" i="47" s="1"/>
  <c r="I253" i="47" s="1"/>
  <c r="J253" i="47" s="1"/>
  <c r="K253" i="47" s="1"/>
  <c r="L253" i="47" s="1"/>
  <c r="M253" i="47" s="1"/>
  <c r="N253" i="47" s="1"/>
  <c r="O253" i="47" s="1"/>
  <c r="P253" i="47" s="1"/>
  <c r="Q253" i="47" s="1"/>
  <c r="R253" i="47" s="1"/>
  <c r="S253" i="47" s="1"/>
  <c r="T253" i="47" s="1"/>
  <c r="U253" i="47" s="1"/>
  <c r="V253" i="47" s="1"/>
  <c r="W253" i="47" s="1"/>
  <c r="X253" i="47" s="1"/>
  <c r="Y253" i="47" s="1"/>
  <c r="Z253" i="47" s="1"/>
  <c r="AA253" i="47" s="1"/>
  <c r="AB253" i="47" s="1"/>
  <c r="AC253" i="47" s="1"/>
  <c r="AD253" i="47" s="1"/>
  <c r="AE253" i="47" s="1"/>
  <c r="AF253" i="47" s="1"/>
  <c r="B253" i="47" s="1"/>
  <c r="E252" i="47"/>
  <c r="F252" i="47" s="1"/>
  <c r="G252" i="47" s="1"/>
  <c r="H252" i="47" s="1"/>
  <c r="I252" i="47" s="1"/>
  <c r="J252" i="47" s="1"/>
  <c r="K252" i="47" s="1"/>
  <c r="L252" i="47" s="1"/>
  <c r="M252" i="47" s="1"/>
  <c r="N252" i="47" s="1"/>
  <c r="O252" i="47" s="1"/>
  <c r="P252" i="47" s="1"/>
  <c r="Q252" i="47" s="1"/>
  <c r="R252" i="47" s="1"/>
  <c r="S252" i="47" s="1"/>
  <c r="T252" i="47" s="1"/>
  <c r="U252" i="47" s="1"/>
  <c r="V252" i="47" s="1"/>
  <c r="W252" i="47" s="1"/>
  <c r="X252" i="47" s="1"/>
  <c r="Y252" i="47" s="1"/>
  <c r="Z252" i="47" s="1"/>
  <c r="AA252" i="47" s="1"/>
  <c r="AB252" i="47" s="1"/>
  <c r="AC252" i="47" s="1"/>
  <c r="AD252" i="47" s="1"/>
  <c r="AE252" i="47" s="1"/>
  <c r="AF252" i="47" s="1"/>
  <c r="B252" i="47" s="1"/>
  <c r="D252" i="47"/>
  <c r="D251" i="47"/>
  <c r="E251" i="47" s="1"/>
  <c r="F251" i="47" s="1"/>
  <c r="G251" i="47" s="1"/>
  <c r="H251" i="47" s="1"/>
  <c r="I251" i="47" s="1"/>
  <c r="J251" i="47" s="1"/>
  <c r="K251" i="47" s="1"/>
  <c r="L251" i="47" s="1"/>
  <c r="M251" i="47" s="1"/>
  <c r="N251" i="47" s="1"/>
  <c r="O251" i="47" s="1"/>
  <c r="P251" i="47" s="1"/>
  <c r="Q251" i="47" s="1"/>
  <c r="R251" i="47" s="1"/>
  <c r="S251" i="47" s="1"/>
  <c r="T251" i="47" s="1"/>
  <c r="U251" i="47" s="1"/>
  <c r="V251" i="47" s="1"/>
  <c r="W251" i="47" s="1"/>
  <c r="X251" i="47" s="1"/>
  <c r="Y251" i="47" s="1"/>
  <c r="Z251" i="47" s="1"/>
  <c r="AA251" i="47" s="1"/>
  <c r="AB251" i="47" s="1"/>
  <c r="AC251" i="47" s="1"/>
  <c r="AD251" i="47" s="1"/>
  <c r="AE251" i="47" s="1"/>
  <c r="AF251" i="47" s="1"/>
  <c r="B251" i="47" s="1"/>
  <c r="D250" i="47"/>
  <c r="E250" i="47" s="1"/>
  <c r="F250" i="47" s="1"/>
  <c r="G250" i="47" s="1"/>
  <c r="H250" i="47" s="1"/>
  <c r="I250" i="47" s="1"/>
  <c r="J250" i="47" s="1"/>
  <c r="K250" i="47" s="1"/>
  <c r="L250" i="47" s="1"/>
  <c r="M250" i="47" s="1"/>
  <c r="N250" i="47" s="1"/>
  <c r="O250" i="47" s="1"/>
  <c r="P250" i="47" s="1"/>
  <c r="Q250" i="47" s="1"/>
  <c r="R250" i="47" s="1"/>
  <c r="S250" i="47" s="1"/>
  <c r="T250" i="47" s="1"/>
  <c r="U250" i="47" s="1"/>
  <c r="V250" i="47" s="1"/>
  <c r="W250" i="47" s="1"/>
  <c r="X250" i="47" s="1"/>
  <c r="Y250" i="47" s="1"/>
  <c r="Z250" i="47" s="1"/>
  <c r="AA250" i="47" s="1"/>
  <c r="AB250" i="47" s="1"/>
  <c r="AC250" i="47" s="1"/>
  <c r="AD250" i="47" s="1"/>
  <c r="AE250" i="47" s="1"/>
  <c r="AF250" i="47" s="1"/>
  <c r="B250" i="47" s="1"/>
  <c r="D249" i="47"/>
  <c r="AG247" i="47"/>
  <c r="AF247" i="47"/>
  <c r="AE247" i="47"/>
  <c r="AD247" i="47"/>
  <c r="AC247" i="47"/>
  <c r="AB247" i="47"/>
  <c r="AA247" i="47"/>
  <c r="Z247" i="47"/>
  <c r="Y247" i="47"/>
  <c r="X247" i="47"/>
  <c r="W247" i="47"/>
  <c r="V247" i="47"/>
  <c r="U247" i="47"/>
  <c r="T247" i="47"/>
  <c r="S247" i="47"/>
  <c r="R247" i="47"/>
  <c r="Q247" i="47"/>
  <c r="P247" i="47"/>
  <c r="O247" i="47"/>
  <c r="N247" i="47"/>
  <c r="M247" i="47"/>
  <c r="L247" i="47"/>
  <c r="K247" i="47"/>
  <c r="J247" i="47"/>
  <c r="I247" i="47"/>
  <c r="H247" i="47"/>
  <c r="G247" i="47"/>
  <c r="F247" i="47"/>
  <c r="E247" i="47"/>
  <c r="D247" i="47"/>
  <c r="C247" i="47"/>
  <c r="B247" i="47"/>
  <c r="AI133" i="47"/>
  <c r="AH133" i="47"/>
  <c r="AI132" i="47"/>
  <c r="AH132" i="47"/>
  <c r="AI131" i="47"/>
  <c r="AH131" i="47"/>
  <c r="AI130" i="47"/>
  <c r="AH130" i="47"/>
  <c r="AI129" i="47"/>
  <c r="AH129" i="47"/>
  <c r="AI126" i="47"/>
  <c r="AH126" i="47"/>
  <c r="AI125" i="47"/>
  <c r="AH125" i="47"/>
  <c r="AI123" i="47"/>
  <c r="AH123" i="47"/>
  <c r="AI122" i="47"/>
  <c r="AH122" i="47"/>
  <c r="AI120" i="47"/>
  <c r="AH120" i="47"/>
  <c r="AI119" i="47"/>
  <c r="AH119" i="47"/>
  <c r="AI118" i="47"/>
  <c r="AH118" i="47"/>
  <c r="AI117" i="47"/>
  <c r="AH117" i="47"/>
  <c r="AI116" i="47"/>
  <c r="AH116" i="47"/>
  <c r="AI115" i="47"/>
  <c r="AH115" i="47"/>
  <c r="AI114" i="47"/>
  <c r="AH114" i="47"/>
  <c r="AI113" i="47"/>
  <c r="AH113" i="47"/>
  <c r="AI112" i="47"/>
  <c r="AH112" i="47"/>
  <c r="BF23" i="47"/>
  <c r="AF109" i="47"/>
  <c r="AE109" i="47"/>
  <c r="AD109" i="47"/>
  <c r="AC109" i="47"/>
  <c r="AB109" i="47"/>
  <c r="R109" i="47"/>
  <c r="Q109" i="47"/>
  <c r="P109" i="47"/>
  <c r="O109" i="47"/>
  <c r="N109" i="47"/>
  <c r="M109" i="47"/>
  <c r="L109" i="47"/>
  <c r="K109" i="47"/>
  <c r="J109" i="47"/>
  <c r="I109" i="47"/>
  <c r="H109" i="47"/>
  <c r="G109" i="47"/>
  <c r="F109" i="47"/>
  <c r="E109" i="47"/>
  <c r="AF108" i="47"/>
  <c r="AE108" i="47"/>
  <c r="AD108" i="47"/>
  <c r="AC108" i="47"/>
  <c r="AB108" i="47"/>
  <c r="R108" i="47"/>
  <c r="Q108" i="47"/>
  <c r="P108" i="47"/>
  <c r="O108" i="47"/>
  <c r="N108" i="47"/>
  <c r="M108" i="47"/>
  <c r="L108" i="47"/>
  <c r="K108" i="47"/>
  <c r="J108" i="47"/>
  <c r="I108" i="47"/>
  <c r="H108" i="47"/>
  <c r="G108" i="47"/>
  <c r="F108" i="47"/>
  <c r="E108" i="47"/>
  <c r="AF107" i="47"/>
  <c r="AE107" i="47"/>
  <c r="AD107" i="47"/>
  <c r="AC107" i="47"/>
  <c r="AB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AF106" i="47"/>
  <c r="AE106" i="47"/>
  <c r="AD106" i="47"/>
  <c r="AC106" i="47"/>
  <c r="AB106" i="47"/>
  <c r="R106" i="47"/>
  <c r="Q106" i="47"/>
  <c r="P106" i="47"/>
  <c r="O106" i="47"/>
  <c r="N106" i="47"/>
  <c r="M106" i="47"/>
  <c r="L106" i="47"/>
  <c r="K106" i="47"/>
  <c r="J106" i="47"/>
  <c r="I106" i="47"/>
  <c r="H106" i="47"/>
  <c r="G106" i="47"/>
  <c r="F106" i="47"/>
  <c r="E106" i="47"/>
  <c r="AF105" i="47"/>
  <c r="AE105" i="47"/>
  <c r="AD105" i="47"/>
  <c r="AC105" i="47"/>
  <c r="AB105" i="47"/>
  <c r="R105" i="47"/>
  <c r="Q105" i="47"/>
  <c r="Q110" i="47" s="1"/>
  <c r="Q111" i="47" s="1"/>
  <c r="P105" i="47"/>
  <c r="O105" i="47"/>
  <c r="N105" i="47"/>
  <c r="M105" i="47"/>
  <c r="L105" i="47"/>
  <c r="K105" i="47"/>
  <c r="J105" i="47"/>
  <c r="I105" i="47"/>
  <c r="I110" i="47" s="1"/>
  <c r="I111" i="47" s="1"/>
  <c r="H105" i="47"/>
  <c r="G105" i="47"/>
  <c r="F105" i="47"/>
  <c r="E105" i="47"/>
  <c r="AF104" i="47"/>
  <c r="AE104" i="47"/>
  <c r="AD104" i="47"/>
  <c r="AC104" i="47"/>
  <c r="AB104" i="47"/>
  <c r="R104" i="47"/>
  <c r="Q104" i="47"/>
  <c r="P104" i="47"/>
  <c r="P110" i="47" s="1"/>
  <c r="AX23" i="47" s="1"/>
  <c r="O104" i="47"/>
  <c r="N104" i="47"/>
  <c r="M104" i="47"/>
  <c r="L104" i="47"/>
  <c r="K104" i="47"/>
  <c r="J104" i="47"/>
  <c r="I104" i="47"/>
  <c r="H104" i="47"/>
  <c r="G104" i="47"/>
  <c r="F104" i="47"/>
  <c r="E104" i="47"/>
  <c r="AI101" i="47"/>
  <c r="AH101" i="47"/>
  <c r="AI99" i="47"/>
  <c r="AH99" i="47"/>
  <c r="AG99" i="47"/>
  <c r="AI98" i="47"/>
  <c r="AH98" i="47"/>
  <c r="AI97" i="47"/>
  <c r="AH97" i="47"/>
  <c r="AI96" i="47"/>
  <c r="AH96" i="47"/>
  <c r="AG95" i="47"/>
  <c r="AE95" i="47"/>
  <c r="BI19" i="47" s="1"/>
  <c r="AD95" i="47"/>
  <c r="AC5" i="47" s="1"/>
  <c r="AC95" i="47"/>
  <c r="AB5" i="47" s="1"/>
  <c r="AB95" i="47"/>
  <c r="AA5" i="47" s="1"/>
  <c r="R95" i="47"/>
  <c r="Q5" i="47" s="1"/>
  <c r="Q95" i="47"/>
  <c r="AY19" i="47" s="1"/>
  <c r="P95" i="47"/>
  <c r="O95" i="47"/>
  <c r="AW19" i="47" s="1"/>
  <c r="N95" i="47"/>
  <c r="M5" i="47" s="1"/>
  <c r="M95" i="47"/>
  <c r="L5" i="47" s="1"/>
  <c r="L95" i="47"/>
  <c r="K95" i="47"/>
  <c r="J5" i="47" s="1"/>
  <c r="J95" i="47"/>
  <c r="I95" i="47"/>
  <c r="AS19" i="47" s="1"/>
  <c r="H95" i="47"/>
  <c r="G95" i="47"/>
  <c r="AR19" i="47" s="1"/>
  <c r="F95" i="47"/>
  <c r="AQ19" i="47" s="1"/>
  <c r="E95" i="47"/>
  <c r="D5" i="47" s="1"/>
  <c r="AI94" i="47"/>
  <c r="AH94" i="47"/>
  <c r="AI93" i="47"/>
  <c r="AH93" i="47"/>
  <c r="AI92" i="47"/>
  <c r="AH92" i="47"/>
  <c r="AI91" i="47"/>
  <c r="AH91" i="47"/>
  <c r="AI90" i="47"/>
  <c r="AH90" i="47"/>
  <c r="AI89" i="47"/>
  <c r="AH89" i="47"/>
  <c r="AI88" i="47"/>
  <c r="AH88" i="47"/>
  <c r="AI87" i="47"/>
  <c r="AH87" i="47"/>
  <c r="AI86" i="47"/>
  <c r="AH86" i="47"/>
  <c r="AI85" i="47"/>
  <c r="AH85" i="47"/>
  <c r="AI84" i="47"/>
  <c r="AH84" i="47"/>
  <c r="AG83" i="47"/>
  <c r="AE83" i="47"/>
  <c r="BI20" i="47" s="1"/>
  <c r="AD83" i="47"/>
  <c r="BH20" i="47" s="1"/>
  <c r="AC83" i="47"/>
  <c r="AB83" i="47"/>
  <c r="BG20" i="47" s="1"/>
  <c r="R83" i="47"/>
  <c r="Q83" i="47"/>
  <c r="AY20" i="47" s="1"/>
  <c r="P83" i="47"/>
  <c r="AX20" i="47" s="1"/>
  <c r="O83" i="47"/>
  <c r="N83" i="47"/>
  <c r="M83" i="47"/>
  <c r="L83" i="47"/>
  <c r="K83" i="47"/>
  <c r="AT20" i="47" s="1"/>
  <c r="J83" i="47"/>
  <c r="I83" i="47"/>
  <c r="H83" i="47"/>
  <c r="G83" i="47"/>
  <c r="F83" i="47"/>
  <c r="E83" i="47"/>
  <c r="AP20" i="47" s="1"/>
  <c r="AI82" i="47"/>
  <c r="AH82" i="47"/>
  <c r="AI81" i="47"/>
  <c r="AH81" i="47"/>
  <c r="AI80" i="47"/>
  <c r="AH80" i="47"/>
  <c r="AE79" i="47"/>
  <c r="BI18" i="47" s="1"/>
  <c r="AD79" i="47"/>
  <c r="AC79" i="47"/>
  <c r="AB79" i="47"/>
  <c r="R79" i="47"/>
  <c r="AZ18" i="47" s="1"/>
  <c r="Q79" i="47"/>
  <c r="AY18" i="47" s="1"/>
  <c r="P79" i="47"/>
  <c r="AX18" i="47" s="1"/>
  <c r="O79" i="47"/>
  <c r="N79" i="47"/>
  <c r="AV18" i="47" s="1"/>
  <c r="M79" i="47"/>
  <c r="L79" i="47"/>
  <c r="K79" i="47"/>
  <c r="AT18" i="47" s="1"/>
  <c r="J79" i="47"/>
  <c r="I79" i="47"/>
  <c r="H79" i="47"/>
  <c r="G79" i="47"/>
  <c r="F79" i="47"/>
  <c r="AQ18" i="47" s="1"/>
  <c r="E79" i="47"/>
  <c r="BP78" i="47"/>
  <c r="AI78" i="47"/>
  <c r="AH78" i="47"/>
  <c r="AG78" i="47"/>
  <c r="AG79" i="47" s="1"/>
  <c r="AI77" i="47"/>
  <c r="AH77" i="47"/>
  <c r="AI76" i="47"/>
  <c r="AH76" i="47"/>
  <c r="AI75" i="47"/>
  <c r="AH75" i="47"/>
  <c r="AI74" i="47"/>
  <c r="AH74" i="47"/>
  <c r="AI73" i="47"/>
  <c r="AH73" i="47"/>
  <c r="AI72" i="47"/>
  <c r="AH72" i="47"/>
  <c r="BW71" i="47"/>
  <c r="BW78" i="47" s="1"/>
  <c r="BV71" i="47"/>
  <c r="BV78" i="47" s="1"/>
  <c r="BU71" i="47"/>
  <c r="BU78" i="47" s="1"/>
  <c r="BT71" i="47"/>
  <c r="BT78" i="47" s="1"/>
  <c r="BS71" i="47"/>
  <c r="BS78" i="47" s="1"/>
  <c r="BR71" i="47"/>
  <c r="BR78" i="47" s="1"/>
  <c r="BQ71" i="47"/>
  <c r="BQ78" i="47" s="1"/>
  <c r="BP71" i="47"/>
  <c r="BO71" i="47"/>
  <c r="BO78" i="47" s="1"/>
  <c r="BN71" i="47"/>
  <c r="BN78" i="47" s="1"/>
  <c r="BM71" i="47"/>
  <c r="BM78" i="47" s="1"/>
  <c r="BL71" i="47"/>
  <c r="BL78" i="47" s="1"/>
  <c r="BK71" i="47"/>
  <c r="BK78" i="47" s="1"/>
  <c r="BJ71" i="47"/>
  <c r="BJ78" i="47" s="1"/>
  <c r="BI71" i="47"/>
  <c r="BI78" i="47" s="1"/>
  <c r="BH71" i="47"/>
  <c r="BH78" i="47" s="1"/>
  <c r="BG71" i="47"/>
  <c r="BG78" i="47" s="1"/>
  <c r="BF71" i="47"/>
  <c r="BF78" i="47" s="1"/>
  <c r="BE71" i="47"/>
  <c r="BE78" i="47" s="1"/>
  <c r="BD71" i="47"/>
  <c r="BD78" i="47" s="1"/>
  <c r="BC71" i="47"/>
  <c r="BC78" i="47" s="1"/>
  <c r="BB71" i="47"/>
  <c r="BB78" i="47" s="1"/>
  <c r="BA71" i="47"/>
  <c r="BA78" i="47" s="1"/>
  <c r="AZ71" i="47"/>
  <c r="AZ78" i="47" s="1"/>
  <c r="AI71" i="47"/>
  <c r="AH71" i="47"/>
  <c r="BW70" i="47"/>
  <c r="BW77" i="47" s="1"/>
  <c r="BV70" i="47"/>
  <c r="BV77" i="47" s="1"/>
  <c r="BU70" i="47"/>
  <c r="BU77" i="47" s="1"/>
  <c r="BT70" i="47"/>
  <c r="BT77" i="47" s="1"/>
  <c r="BS70" i="47"/>
  <c r="BS77" i="47" s="1"/>
  <c r="BR70" i="47"/>
  <c r="BR77" i="47" s="1"/>
  <c r="BQ70" i="47"/>
  <c r="BQ77" i="47" s="1"/>
  <c r="BP70" i="47"/>
  <c r="BP77" i="47" s="1"/>
  <c r="BO70" i="47"/>
  <c r="BO77" i="47" s="1"/>
  <c r="BN70" i="47"/>
  <c r="BN77" i="47" s="1"/>
  <c r="BM70" i="47"/>
  <c r="BM77" i="47" s="1"/>
  <c r="BL70" i="47"/>
  <c r="BL77" i="47" s="1"/>
  <c r="BK70" i="47"/>
  <c r="BK77" i="47" s="1"/>
  <c r="BJ70" i="47"/>
  <c r="BJ77" i="47" s="1"/>
  <c r="BI70" i="47"/>
  <c r="BI77" i="47" s="1"/>
  <c r="BH70" i="47"/>
  <c r="BH77" i="47" s="1"/>
  <c r="BG70" i="47"/>
  <c r="BG77" i="47" s="1"/>
  <c r="BF70" i="47"/>
  <c r="BF77" i="47" s="1"/>
  <c r="BE70" i="47"/>
  <c r="BE77" i="47" s="1"/>
  <c r="BD70" i="47"/>
  <c r="BD77" i="47" s="1"/>
  <c r="BC70" i="47"/>
  <c r="BC77" i="47" s="1"/>
  <c r="BB70" i="47"/>
  <c r="BB77" i="47" s="1"/>
  <c r="BA70" i="47"/>
  <c r="BA77" i="47" s="1"/>
  <c r="AZ70" i="47"/>
  <c r="AZ77" i="47" s="1"/>
  <c r="AI70" i="47"/>
  <c r="AH70" i="47"/>
  <c r="BW69" i="47"/>
  <c r="BW76" i="47" s="1"/>
  <c r="BV69" i="47"/>
  <c r="BV76" i="47" s="1"/>
  <c r="BU69" i="47"/>
  <c r="BU76" i="47" s="1"/>
  <c r="BT69" i="47"/>
  <c r="BT76" i="47" s="1"/>
  <c r="BS69" i="47"/>
  <c r="BS76" i="47" s="1"/>
  <c r="BR69" i="47"/>
  <c r="BR76" i="47" s="1"/>
  <c r="BQ69" i="47"/>
  <c r="BQ76" i="47" s="1"/>
  <c r="BP69" i="47"/>
  <c r="BP76" i="47" s="1"/>
  <c r="BO69" i="47"/>
  <c r="BO76" i="47" s="1"/>
  <c r="BN69" i="47"/>
  <c r="BN76" i="47" s="1"/>
  <c r="BM69" i="47"/>
  <c r="BM76" i="47" s="1"/>
  <c r="BL69" i="47"/>
  <c r="BL76" i="47" s="1"/>
  <c r="BK69" i="47"/>
  <c r="BK76" i="47" s="1"/>
  <c r="BJ69" i="47"/>
  <c r="BJ76" i="47" s="1"/>
  <c r="BI69" i="47"/>
  <c r="BI76" i="47" s="1"/>
  <c r="BH69" i="47"/>
  <c r="BH76" i="47" s="1"/>
  <c r="BG69" i="47"/>
  <c r="BG76" i="47" s="1"/>
  <c r="BF69" i="47"/>
  <c r="BF76" i="47" s="1"/>
  <c r="BE69" i="47"/>
  <c r="BE76" i="47" s="1"/>
  <c r="BD69" i="47"/>
  <c r="BD76" i="47" s="1"/>
  <c r="BC69" i="47"/>
  <c r="BC76" i="47" s="1"/>
  <c r="BB69" i="47"/>
  <c r="BB76" i="47" s="1"/>
  <c r="BA69" i="47"/>
  <c r="BA76" i="47" s="1"/>
  <c r="AZ69" i="47"/>
  <c r="AZ76" i="47" s="1"/>
  <c r="AI69" i="47"/>
  <c r="AH69" i="47"/>
  <c r="BW68" i="47"/>
  <c r="BW75" i="47" s="1"/>
  <c r="BV68" i="47"/>
  <c r="BV75" i="47" s="1"/>
  <c r="BU68" i="47"/>
  <c r="BU75" i="47" s="1"/>
  <c r="BT68" i="47"/>
  <c r="BT75" i="47" s="1"/>
  <c r="BS68" i="47"/>
  <c r="BS75" i="47" s="1"/>
  <c r="BR68" i="47"/>
  <c r="BR75" i="47" s="1"/>
  <c r="BQ68" i="47"/>
  <c r="BQ75" i="47" s="1"/>
  <c r="BP68" i="47"/>
  <c r="BP75" i="47" s="1"/>
  <c r="BO68" i="47"/>
  <c r="BO75" i="47" s="1"/>
  <c r="BN68" i="47"/>
  <c r="BN75" i="47" s="1"/>
  <c r="BM68" i="47"/>
  <c r="BM75" i="47" s="1"/>
  <c r="BL68" i="47"/>
  <c r="BL75" i="47" s="1"/>
  <c r="BK68" i="47"/>
  <c r="BK75" i="47" s="1"/>
  <c r="BJ68" i="47"/>
  <c r="BJ75" i="47" s="1"/>
  <c r="BI68" i="47"/>
  <c r="BI75" i="47" s="1"/>
  <c r="BH68" i="47"/>
  <c r="BH75" i="47" s="1"/>
  <c r="BG68" i="47"/>
  <c r="BG75" i="47" s="1"/>
  <c r="BF68" i="47"/>
  <c r="BF75" i="47" s="1"/>
  <c r="BE68" i="47"/>
  <c r="BE75" i="47" s="1"/>
  <c r="BD68" i="47"/>
  <c r="BD75" i="47" s="1"/>
  <c r="BC68" i="47"/>
  <c r="BC75" i="47" s="1"/>
  <c r="BB68" i="47"/>
  <c r="BB75" i="47" s="1"/>
  <c r="BA68" i="47"/>
  <c r="BA75" i="47" s="1"/>
  <c r="AZ68" i="47"/>
  <c r="AZ75" i="47" s="1"/>
  <c r="AI68" i="47"/>
  <c r="AH68" i="47"/>
  <c r="BW67" i="47"/>
  <c r="BW74" i="47" s="1"/>
  <c r="BV67" i="47"/>
  <c r="BV74" i="47" s="1"/>
  <c r="BU67" i="47"/>
  <c r="BU74" i="47" s="1"/>
  <c r="BT67" i="47"/>
  <c r="BT74" i="47" s="1"/>
  <c r="BS67" i="47"/>
  <c r="BS74" i="47" s="1"/>
  <c r="BR67" i="47"/>
  <c r="BR74" i="47" s="1"/>
  <c r="BQ67" i="47"/>
  <c r="BQ74" i="47" s="1"/>
  <c r="BP67" i="47"/>
  <c r="BP74" i="47" s="1"/>
  <c r="BO67" i="47"/>
  <c r="BO74" i="47" s="1"/>
  <c r="BN67" i="47"/>
  <c r="BN74" i="47" s="1"/>
  <c r="BM67" i="47"/>
  <c r="BM74" i="47" s="1"/>
  <c r="BL67" i="47"/>
  <c r="BL74" i="47" s="1"/>
  <c r="BK67" i="47"/>
  <c r="BK74" i="47" s="1"/>
  <c r="BJ67" i="47"/>
  <c r="BJ74" i="47" s="1"/>
  <c r="BI67" i="47"/>
  <c r="BI74" i="47" s="1"/>
  <c r="BH67" i="47"/>
  <c r="BH74" i="47" s="1"/>
  <c r="BG67" i="47"/>
  <c r="BG74" i="47" s="1"/>
  <c r="BF67" i="47"/>
  <c r="BF74" i="47" s="1"/>
  <c r="BE67" i="47"/>
  <c r="BE74" i="47" s="1"/>
  <c r="BD67" i="47"/>
  <c r="BD74" i="47" s="1"/>
  <c r="BC67" i="47"/>
  <c r="BC74" i="47" s="1"/>
  <c r="BB67" i="47"/>
  <c r="BB74" i="47" s="1"/>
  <c r="BA67" i="47"/>
  <c r="BA74" i="47" s="1"/>
  <c r="AZ67" i="47"/>
  <c r="AZ74" i="47" s="1"/>
  <c r="AI67" i="47"/>
  <c r="AH67" i="47"/>
  <c r="BW66" i="47"/>
  <c r="BW73" i="47" s="1"/>
  <c r="BV66" i="47"/>
  <c r="BV73" i="47" s="1"/>
  <c r="BU66" i="47"/>
  <c r="BU73" i="47" s="1"/>
  <c r="BT66" i="47"/>
  <c r="BT73" i="47" s="1"/>
  <c r="BS66" i="47"/>
  <c r="BS73" i="47" s="1"/>
  <c r="BR66" i="47"/>
  <c r="BR73" i="47" s="1"/>
  <c r="BQ66" i="47"/>
  <c r="BQ73" i="47" s="1"/>
  <c r="BP66" i="47"/>
  <c r="BP73" i="47" s="1"/>
  <c r="BO66" i="47"/>
  <c r="BO73" i="47" s="1"/>
  <c r="BN66" i="47"/>
  <c r="BN73" i="47" s="1"/>
  <c r="BM66" i="47"/>
  <c r="BM73" i="47" s="1"/>
  <c r="BL66" i="47"/>
  <c r="BL73" i="47" s="1"/>
  <c r="BK66" i="47"/>
  <c r="BK73" i="47" s="1"/>
  <c r="BJ66" i="47"/>
  <c r="BJ73" i="47" s="1"/>
  <c r="BI66" i="47"/>
  <c r="BI73" i="47" s="1"/>
  <c r="BH66" i="47"/>
  <c r="BH73" i="47" s="1"/>
  <c r="BG66" i="47"/>
  <c r="BG73" i="47" s="1"/>
  <c r="BF66" i="47"/>
  <c r="BF73" i="47" s="1"/>
  <c r="BE66" i="47"/>
  <c r="BE73" i="47" s="1"/>
  <c r="BD66" i="47"/>
  <c r="BD73" i="47" s="1"/>
  <c r="BC66" i="47"/>
  <c r="BC73" i="47" s="1"/>
  <c r="BB66" i="47"/>
  <c r="BB73" i="47" s="1"/>
  <c r="BA66" i="47"/>
  <c r="BA73" i="47" s="1"/>
  <c r="AZ66" i="47"/>
  <c r="AI66" i="47"/>
  <c r="AH66" i="47"/>
  <c r="AG65" i="47"/>
  <c r="AD65" i="47"/>
  <c r="BH17" i="47" s="1"/>
  <c r="AC65" i="47"/>
  <c r="AB65" i="47"/>
  <c r="BG17" i="47" s="1"/>
  <c r="BF17" i="47"/>
  <c r="BD17" i="47"/>
  <c r="R65" i="47"/>
  <c r="AZ17" i="47" s="1"/>
  <c r="Q65" i="47"/>
  <c r="P65" i="47"/>
  <c r="N65" i="47"/>
  <c r="AV17" i="47" s="1"/>
  <c r="M65" i="47"/>
  <c r="AU17" i="47" s="1"/>
  <c r="L65" i="47"/>
  <c r="K65" i="47"/>
  <c r="J65" i="47"/>
  <c r="I65" i="47"/>
  <c r="H65" i="47"/>
  <c r="G65" i="47"/>
  <c r="F65" i="47"/>
  <c r="AQ17" i="47" s="1"/>
  <c r="E65" i="47"/>
  <c r="AI64" i="47"/>
  <c r="AH64" i="47"/>
  <c r="AI63" i="47"/>
  <c r="AH63" i="47"/>
  <c r="AI62" i="47"/>
  <c r="AH62" i="47"/>
  <c r="AG61" i="47"/>
  <c r="AG100" i="47" s="1"/>
  <c r="AF102" i="47"/>
  <c r="AD61" i="47"/>
  <c r="AC61" i="47"/>
  <c r="AB61" i="47"/>
  <c r="Z7" i="47"/>
  <c r="Y7" i="47"/>
  <c r="W7" i="47"/>
  <c r="V7" i="47"/>
  <c r="R61" i="47"/>
  <c r="Q61" i="47"/>
  <c r="AY16" i="47" s="1"/>
  <c r="P61" i="47"/>
  <c r="N61" i="47"/>
  <c r="M61" i="47"/>
  <c r="L61" i="47"/>
  <c r="K61" i="47"/>
  <c r="J61" i="47"/>
  <c r="I61" i="47"/>
  <c r="H61" i="47"/>
  <c r="G61" i="47"/>
  <c r="F61" i="47"/>
  <c r="AQ16" i="47" s="1"/>
  <c r="E61" i="47"/>
  <c r="AI60" i="47"/>
  <c r="AH60" i="47"/>
  <c r="AI59" i="47"/>
  <c r="AH59" i="47"/>
  <c r="AI58" i="47"/>
  <c r="AH58" i="47"/>
  <c r="AI57" i="47"/>
  <c r="AH57" i="47"/>
  <c r="AI56" i="47"/>
  <c r="AH56" i="47"/>
  <c r="AI55" i="47"/>
  <c r="AH55" i="47"/>
  <c r="AI54" i="47"/>
  <c r="AH54" i="47"/>
  <c r="AI53" i="47"/>
  <c r="AH53" i="47"/>
  <c r="AI52" i="47"/>
  <c r="AH52" i="47"/>
  <c r="AI51" i="47"/>
  <c r="AH51" i="47"/>
  <c r="AI50" i="47"/>
  <c r="AH50" i="47"/>
  <c r="AI49" i="47"/>
  <c r="AH49" i="47"/>
  <c r="AI48" i="47"/>
  <c r="AH48" i="47"/>
  <c r="AI47" i="47"/>
  <c r="AH47" i="47"/>
  <c r="AI46" i="47"/>
  <c r="AH46" i="47"/>
  <c r="AI45" i="47"/>
  <c r="AH45" i="47"/>
  <c r="AI44" i="47"/>
  <c r="AH44" i="47"/>
  <c r="AI43" i="47"/>
  <c r="AH43" i="47"/>
  <c r="AI42" i="47"/>
  <c r="AH42" i="47"/>
  <c r="AI41" i="47"/>
  <c r="AH41" i="47"/>
  <c r="AI40" i="47"/>
  <c r="AH40" i="47"/>
  <c r="AI39" i="47"/>
  <c r="AH39" i="47"/>
  <c r="AI38" i="47"/>
  <c r="AH38" i="47"/>
  <c r="AI37" i="47"/>
  <c r="AH37" i="47"/>
  <c r="AI36" i="47"/>
  <c r="AH36" i="47"/>
  <c r="AI35" i="47"/>
  <c r="AH35" i="47"/>
  <c r="AI34" i="47"/>
  <c r="AH34" i="47"/>
  <c r="AI33" i="47"/>
  <c r="AH33" i="47"/>
  <c r="AI32" i="47"/>
  <c r="AH32" i="47"/>
  <c r="AI31" i="47"/>
  <c r="AH31" i="47"/>
  <c r="AI30" i="47"/>
  <c r="AH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BE23" i="47"/>
  <c r="BD23" i="47"/>
  <c r="BB23" i="47"/>
  <c r="AI23" i="47"/>
  <c r="AH23" i="47"/>
  <c r="AI22" i="47"/>
  <c r="AH22" i="47"/>
  <c r="BJ21" i="47"/>
  <c r="BI21" i="47"/>
  <c r="BH21" i="47"/>
  <c r="BG21" i="47"/>
  <c r="BF21" i="47"/>
  <c r="BE21" i="47"/>
  <c r="BD21" i="47"/>
  <c r="BC21" i="47"/>
  <c r="BB21" i="47"/>
  <c r="BA21" i="47"/>
  <c r="AZ21" i="47"/>
  <c r="AY21" i="47"/>
  <c r="AX21" i="47"/>
  <c r="AW21" i="47"/>
  <c r="AV21" i="47"/>
  <c r="AU21" i="47"/>
  <c r="AT21" i="47"/>
  <c r="AS21" i="47"/>
  <c r="AR21" i="47"/>
  <c r="AQ21" i="47"/>
  <c r="AP21" i="47"/>
  <c r="AO21" i="47"/>
  <c r="AN21" i="47"/>
  <c r="AM21" i="47"/>
  <c r="AI21" i="47"/>
  <c r="AH21" i="47"/>
  <c r="BJ20" i="47"/>
  <c r="BF20" i="47"/>
  <c r="BE20" i="47"/>
  <c r="BD20" i="47"/>
  <c r="BC20" i="47"/>
  <c r="BB20" i="47"/>
  <c r="BA20" i="47"/>
  <c r="AZ20" i="47"/>
  <c r="AW20" i="47"/>
  <c r="AV20" i="47"/>
  <c r="AU20" i="47"/>
  <c r="AS20" i="47"/>
  <c r="AR20" i="47"/>
  <c r="AQ20" i="47"/>
  <c r="AO20" i="47"/>
  <c r="AN20" i="47"/>
  <c r="AM20" i="47"/>
  <c r="AI20" i="47"/>
  <c r="AH20" i="47"/>
  <c r="BJ19" i="47"/>
  <c r="BF19" i="47"/>
  <c r="BE19" i="47"/>
  <c r="BD19" i="47"/>
  <c r="BC19" i="47"/>
  <c r="BB19" i="47"/>
  <c r="BA19" i="47"/>
  <c r="AN19" i="47"/>
  <c r="AI19" i="47"/>
  <c r="AH19" i="47"/>
  <c r="BJ18" i="47"/>
  <c r="BH18" i="47"/>
  <c r="BG18" i="47"/>
  <c r="BF18" i="47"/>
  <c r="BE18" i="47"/>
  <c r="BD18" i="47"/>
  <c r="BC18" i="47"/>
  <c r="BB18" i="47"/>
  <c r="BA18" i="47"/>
  <c r="AW18" i="47"/>
  <c r="AU18" i="47"/>
  <c r="AS18" i="47"/>
  <c r="AR18" i="47"/>
  <c r="AP18" i="47"/>
  <c r="AO18" i="47"/>
  <c r="AN18" i="47"/>
  <c r="AM18" i="47"/>
  <c r="AI18" i="47"/>
  <c r="AH18" i="47"/>
  <c r="BJ17" i="47"/>
  <c r="BI17" i="47"/>
  <c r="BE17" i="47"/>
  <c r="BC17" i="47"/>
  <c r="BB17" i="47"/>
  <c r="BA17" i="47"/>
  <c r="AY17" i="47"/>
  <c r="AX17" i="47"/>
  <c r="AW17" i="47"/>
  <c r="AT17" i="47"/>
  <c r="AS17" i="47"/>
  <c r="AR17" i="47"/>
  <c r="AP17" i="47"/>
  <c r="AO17" i="47"/>
  <c r="AN17" i="47"/>
  <c r="AI17" i="47"/>
  <c r="AH17" i="47"/>
  <c r="BI16" i="47"/>
  <c r="BE16" i="47"/>
  <c r="BC16" i="47"/>
  <c r="BB16" i="47"/>
  <c r="BA16" i="47"/>
  <c r="AX16" i="47"/>
  <c r="AW16" i="47"/>
  <c r="AT16" i="47"/>
  <c r="AS16" i="47"/>
  <c r="AR16" i="47"/>
  <c r="AP16" i="47"/>
  <c r="AO16" i="47"/>
  <c r="AN16" i="47"/>
  <c r="AM16" i="47"/>
  <c r="AI16" i="47"/>
  <c r="AH16" i="47"/>
  <c r="AI15" i="47"/>
  <c r="AH15" i="47"/>
  <c r="AI14" i="47"/>
  <c r="AH14" i="47"/>
  <c r="AI13" i="47"/>
  <c r="AH13" i="47"/>
  <c r="AL12" i="47"/>
  <c r="AI12" i="47"/>
  <c r="AH12" i="47"/>
  <c r="AI11" i="47"/>
  <c r="AH11" i="47"/>
  <c r="X7" i="47"/>
  <c r="T7" i="47"/>
  <c r="AE5" i="47"/>
  <c r="Z5" i="47"/>
  <c r="Y5" i="47"/>
  <c r="X5" i="47"/>
  <c r="W5" i="47"/>
  <c r="V5" i="47"/>
  <c r="U5" i="47"/>
  <c r="T5" i="47"/>
  <c r="S5" i="47"/>
  <c r="R5" i="47"/>
  <c r="P5" i="47"/>
  <c r="K5" i="47"/>
  <c r="I5" i="47"/>
  <c r="H5" i="47"/>
  <c r="B5" i="47"/>
  <c r="AG4" i="47"/>
  <c r="K4" i="47"/>
  <c r="E4" i="47"/>
  <c r="H4" i="47" s="1"/>
  <c r="B4" i="47"/>
  <c r="D261" i="47" s="1"/>
  <c r="AG3" i="47"/>
  <c r="AG2" i="47" l="1"/>
  <c r="AG6" i="47" s="1"/>
  <c r="D255" i="47"/>
  <c r="F110" i="47"/>
  <c r="AQ23" i="47" s="1"/>
  <c r="N110" i="47"/>
  <c r="AV23" i="47" s="1"/>
  <c r="G110" i="47"/>
  <c r="AR23" i="47" s="1"/>
  <c r="AF110" i="47"/>
  <c r="BJ23" i="47" s="1"/>
  <c r="BJ16" i="47"/>
  <c r="BJ22" i="47" s="1"/>
  <c r="P111" i="47"/>
  <c r="D121" i="47"/>
  <c r="AT19" i="47"/>
  <c r="AH108" i="47"/>
  <c r="AE110" i="47"/>
  <c r="BI23" i="47" s="1"/>
  <c r="AD5" i="47"/>
  <c r="AE100" i="47"/>
  <c r="AE102" i="47" s="1"/>
  <c r="AE103" i="47" s="1"/>
  <c r="AE7" i="47" s="1"/>
  <c r="BI22" i="47"/>
  <c r="AD110" i="47"/>
  <c r="BH23" i="47" s="1"/>
  <c r="AD100" i="47"/>
  <c r="AD102" i="47" s="1"/>
  <c r="BH19" i="47"/>
  <c r="AC100" i="47"/>
  <c r="AC102" i="47" s="1"/>
  <c r="AB110" i="47"/>
  <c r="BG23" i="47" s="1"/>
  <c r="BG19" i="47"/>
  <c r="AB100" i="47"/>
  <c r="AB102" i="47" s="1"/>
  <c r="AB103" i="47" s="1"/>
  <c r="AB7" i="47" s="1"/>
  <c r="BG16" i="47"/>
  <c r="BG22" i="47" s="1"/>
  <c r="BE22" i="47"/>
  <c r="BE24" i="47" s="1"/>
  <c r="BC22" i="47"/>
  <c r="BB22" i="47"/>
  <c r="BB24" i="47" s="1"/>
  <c r="BA22" i="47"/>
  <c r="R110" i="47"/>
  <c r="AZ23" i="47" s="1"/>
  <c r="AZ19" i="47"/>
  <c r="R111" i="47"/>
  <c r="R100" i="47"/>
  <c r="R102" i="47" s="1"/>
  <c r="O110" i="47"/>
  <c r="AW23" i="47" s="1"/>
  <c r="O100" i="47"/>
  <c r="O102" i="47" s="1"/>
  <c r="N5" i="47"/>
  <c r="AY23" i="47"/>
  <c r="Q100" i="47"/>
  <c r="Q102" i="47" s="1"/>
  <c r="Q103" i="47" s="1"/>
  <c r="Q7" i="47" s="1"/>
  <c r="AY22" i="47"/>
  <c r="AX19" i="47"/>
  <c r="O5" i="47"/>
  <c r="AX22" i="47"/>
  <c r="AX24" i="47" s="1"/>
  <c r="P100" i="47"/>
  <c r="P102" i="47" s="1"/>
  <c r="P103" i="47" s="1"/>
  <c r="P7" i="47" s="1"/>
  <c r="AW22" i="47"/>
  <c r="AV19" i="47"/>
  <c r="N100" i="47"/>
  <c r="N102" i="47" s="1"/>
  <c r="N103" i="47" s="1"/>
  <c r="N7" i="47" s="1"/>
  <c r="AU19" i="47"/>
  <c r="M100" i="47"/>
  <c r="M102" i="47" s="1"/>
  <c r="AU16" i="47"/>
  <c r="AU22" i="47" s="1"/>
  <c r="L110" i="47"/>
  <c r="L100" i="47"/>
  <c r="L102" i="47" s="1"/>
  <c r="AI79" i="47"/>
  <c r="AT22" i="47"/>
  <c r="AH65" i="47"/>
  <c r="K100" i="47"/>
  <c r="K102" i="47" s="1"/>
  <c r="J110" i="47"/>
  <c r="J111" i="47" s="1"/>
  <c r="J100" i="47"/>
  <c r="J102" i="47" s="1"/>
  <c r="AS23" i="47"/>
  <c r="AS22" i="47"/>
  <c r="I100" i="47"/>
  <c r="I102" i="47" s="1"/>
  <c r="I103" i="47" s="1"/>
  <c r="I7" i="47" s="1"/>
  <c r="H110" i="47"/>
  <c r="H111" i="47" s="1"/>
  <c r="H100" i="47"/>
  <c r="H102" i="47" s="1"/>
  <c r="H103" i="47" s="1"/>
  <c r="H7" i="47" s="1"/>
  <c r="G5" i="47"/>
  <c r="G100" i="47"/>
  <c r="G102" i="47" s="1"/>
  <c r="G103" i="47" s="1"/>
  <c r="G7" i="47" s="1"/>
  <c r="F5" i="47"/>
  <c r="AH79" i="47"/>
  <c r="AR22" i="47"/>
  <c r="E5" i="47"/>
  <c r="AI83" i="47"/>
  <c r="AQ22" i="47"/>
  <c r="AQ24" i="47" s="1"/>
  <c r="F100" i="47"/>
  <c r="F102" i="47" s="1"/>
  <c r="F103" i="47" s="1"/>
  <c r="F7" i="47" s="1"/>
  <c r="AH124" i="47"/>
  <c r="AP19" i="47"/>
  <c r="AP22" i="47" s="1"/>
  <c r="E100" i="47"/>
  <c r="E102" i="47" s="1"/>
  <c r="AO19" i="47"/>
  <c r="AO22" i="47" s="1"/>
  <c r="C5" i="47"/>
  <c r="D110" i="47"/>
  <c r="AO23" i="47" s="1"/>
  <c r="D103" i="47"/>
  <c r="D7" i="47" s="1"/>
  <c r="C110" i="47"/>
  <c r="C111" i="47" s="1"/>
  <c r="C103" i="47"/>
  <c r="C7" i="47" s="1"/>
  <c r="AI108" i="47"/>
  <c r="AN22" i="47"/>
  <c r="AI106" i="47"/>
  <c r="B110" i="47"/>
  <c r="AM23" i="47" s="1"/>
  <c r="AM19" i="47"/>
  <c r="B100" i="47"/>
  <c r="B102" i="47" s="1"/>
  <c r="B103" i="47" s="1"/>
  <c r="AH105" i="47"/>
  <c r="BG82" i="47" a="1"/>
  <c r="G111" i="47"/>
  <c r="O111" i="47"/>
  <c r="AE111" i="47"/>
  <c r="AL13" i="47"/>
  <c r="AV16" i="47"/>
  <c r="BD16" i="47"/>
  <c r="BD22" i="47" s="1"/>
  <c r="BD24" i="47" s="1"/>
  <c r="AI61" i="47"/>
  <c r="AI65" i="47"/>
  <c r="AG102" i="47"/>
  <c r="AH61" i="47"/>
  <c r="AM17" i="47"/>
  <c r="AM22" i="47" s="1"/>
  <c r="AZ73" i="47"/>
  <c r="AI95" i="47"/>
  <c r="AH95" i="47"/>
  <c r="AI105" i="47"/>
  <c r="BF16" i="47"/>
  <c r="BF22" i="47" s="1"/>
  <c r="BF24" i="47" s="1"/>
  <c r="AH83" i="47"/>
  <c r="AI104" i="47"/>
  <c r="L111" i="47"/>
  <c r="AB111" i="47"/>
  <c r="K110" i="47"/>
  <c r="AT23" i="47" s="1"/>
  <c r="BA23" i="47"/>
  <c r="BA24" i="47" s="1"/>
  <c r="AZ16" i="47"/>
  <c r="AZ22" i="47" s="1"/>
  <c r="AZ24" i="47" s="1"/>
  <c r="BH16" i="47"/>
  <c r="BH22" i="47" s="1"/>
  <c r="BH24" i="47" s="1"/>
  <c r="F111" i="47"/>
  <c r="N111" i="47"/>
  <c r="AD111" i="47"/>
  <c r="E110" i="47"/>
  <c r="AP23" i="47" s="1"/>
  <c r="M110" i="47"/>
  <c r="AU23" i="47" s="1"/>
  <c r="BC23" i="47"/>
  <c r="BC24" i="47" s="1"/>
  <c r="AC110" i="47"/>
  <c r="AH109" i="47"/>
  <c r="AI109" i="47"/>
  <c r="AH104" i="47"/>
  <c r="E249" i="47"/>
  <c r="AH106" i="47"/>
  <c r="AH107" i="47"/>
  <c r="AF95" i="46"/>
  <c r="AF100" i="46" s="1"/>
  <c r="AF102" i="46" s="1"/>
  <c r="AF104" i="46"/>
  <c r="AF105" i="46"/>
  <c r="AF106" i="46"/>
  <c r="AF107" i="46"/>
  <c r="AF108" i="46"/>
  <c r="AF109" i="46"/>
  <c r="AF121" i="46"/>
  <c r="AE95" i="46"/>
  <c r="AE104" i="46"/>
  <c r="AE105" i="46"/>
  <c r="AE106" i="46"/>
  <c r="AE107" i="46"/>
  <c r="AE108" i="46"/>
  <c r="AE109" i="46"/>
  <c r="AE121" i="46"/>
  <c r="AD95" i="46"/>
  <c r="AD100" i="46" s="1"/>
  <c r="AD102" i="46" s="1"/>
  <c r="AD104" i="46"/>
  <c r="AD105" i="46"/>
  <c r="AD106" i="46"/>
  <c r="AD107" i="46"/>
  <c r="AD108" i="46"/>
  <c r="AD109" i="46"/>
  <c r="AD121" i="46"/>
  <c r="AC95" i="46"/>
  <c r="AC104" i="46"/>
  <c r="AC105" i="46"/>
  <c r="AC106" i="46"/>
  <c r="AC107" i="46"/>
  <c r="AC108" i="46"/>
  <c r="AC109" i="46"/>
  <c r="AC121" i="46"/>
  <c r="AB95" i="46"/>
  <c r="AB104" i="46"/>
  <c r="AB105" i="46"/>
  <c r="AB106" i="46"/>
  <c r="AB107" i="46"/>
  <c r="AB108" i="46"/>
  <c r="AB109" i="46"/>
  <c r="AB110" i="46" s="1"/>
  <c r="AB121" i="46"/>
  <c r="Z60" i="46"/>
  <c r="Y60" i="46"/>
  <c r="Y124" i="46"/>
  <c r="AF111" i="47" l="1"/>
  <c r="AF103" i="47"/>
  <c r="AF7" i="47" s="1"/>
  <c r="AV22" i="47"/>
  <c r="AV24" i="47" s="1"/>
  <c r="B111" i="47"/>
  <c r="AY24" i="47"/>
  <c r="AW24" i="47"/>
  <c r="E111" i="47"/>
  <c r="AO24" i="47"/>
  <c r="AR24" i="47"/>
  <c r="AS24" i="47"/>
  <c r="L103" i="47"/>
  <c r="L7" i="47" s="1"/>
  <c r="O103" i="47"/>
  <c r="O7" i="47" s="1"/>
  <c r="J103" i="47"/>
  <c r="J7" i="47" s="1"/>
  <c r="R103" i="47"/>
  <c r="R7" i="47" s="1"/>
  <c r="BG24" i="47"/>
  <c r="BI24" i="47"/>
  <c r="BJ24" i="47"/>
  <c r="AD103" i="47"/>
  <c r="AD7" i="47" s="1"/>
  <c r="AC103" i="47"/>
  <c r="AC7" i="47" s="1"/>
  <c r="M103" i="47"/>
  <c r="M7" i="47" s="1"/>
  <c r="AU24" i="47"/>
  <c r="C259" i="47"/>
  <c r="AT24" i="47"/>
  <c r="B259" i="47"/>
  <c r="E103" i="47"/>
  <c r="E7" i="47" s="1"/>
  <c r="AP24" i="47"/>
  <c r="D111" i="47"/>
  <c r="AH100" i="47"/>
  <c r="AI100" i="47"/>
  <c r="AT8" i="47"/>
  <c r="AM24" i="47"/>
  <c r="AA7" i="47"/>
  <c r="K103" i="47"/>
  <c r="K7" i="47" s="1"/>
  <c r="S7" i="47"/>
  <c r="AC111" i="47"/>
  <c r="AI110" i="47"/>
  <c r="AN23" i="47"/>
  <c r="AN24" i="47" s="1"/>
  <c r="K111" i="47"/>
  <c r="M111" i="47"/>
  <c r="BK105" i="47"/>
  <c r="BI104" i="47"/>
  <c r="BG103" i="47"/>
  <c r="BK101" i="47"/>
  <c r="BI100" i="47"/>
  <c r="BG99" i="47"/>
  <c r="BK97" i="47"/>
  <c r="BI96" i="47"/>
  <c r="BG95" i="47"/>
  <c r="BK93" i="47"/>
  <c r="BI92" i="47"/>
  <c r="BG91" i="47"/>
  <c r="BK89" i="47"/>
  <c r="BI88" i="47"/>
  <c r="BG87" i="47"/>
  <c r="BK85" i="47"/>
  <c r="BI84" i="47"/>
  <c r="BG83" i="47"/>
  <c r="BJ105" i="47"/>
  <c r="BH104" i="47"/>
  <c r="BL102" i="47"/>
  <c r="BJ101" i="47"/>
  <c r="BH100" i="47"/>
  <c r="BL98" i="47"/>
  <c r="BJ97" i="47"/>
  <c r="BH96" i="47"/>
  <c r="BL94" i="47"/>
  <c r="BJ93" i="47"/>
  <c r="BH92" i="47"/>
  <c r="BL90" i="47"/>
  <c r="BJ89" i="47"/>
  <c r="BH88" i="47"/>
  <c r="BL86" i="47"/>
  <c r="BJ85" i="47"/>
  <c r="BH84" i="47"/>
  <c r="BL82" i="47"/>
  <c r="BI105" i="47"/>
  <c r="BG104" i="47"/>
  <c r="BK102" i="47"/>
  <c r="BI101" i="47"/>
  <c r="BG100" i="47"/>
  <c r="BK98" i="47"/>
  <c r="BI97" i="47"/>
  <c r="BG96" i="47"/>
  <c r="BK94" i="47"/>
  <c r="BI93" i="47"/>
  <c r="BG92" i="47"/>
  <c r="BK90" i="47"/>
  <c r="BI89" i="47"/>
  <c r="BG88" i="47"/>
  <c r="BK86" i="47"/>
  <c r="BI85" i="47"/>
  <c r="BG84" i="47"/>
  <c r="BK82" i="47"/>
  <c r="BH105" i="47"/>
  <c r="BL103" i="47"/>
  <c r="BJ102" i="47"/>
  <c r="BH101" i="47"/>
  <c r="BL99" i="47"/>
  <c r="BJ98" i="47"/>
  <c r="BH97" i="47"/>
  <c r="BL95" i="47"/>
  <c r="BJ94" i="47"/>
  <c r="BH93" i="47"/>
  <c r="BL91" i="47"/>
  <c r="BJ90" i="47"/>
  <c r="BH89" i="47"/>
  <c r="BL87" i="47"/>
  <c r="BJ86" i="47"/>
  <c r="BH85" i="47"/>
  <c r="BL83" i="47"/>
  <c r="BJ82" i="47"/>
  <c r="BG105" i="47"/>
  <c r="BK103" i="47"/>
  <c r="BI102" i="47"/>
  <c r="BG101" i="47"/>
  <c r="BK99" i="47"/>
  <c r="BI98" i="47"/>
  <c r="BG97" i="47"/>
  <c r="BK95" i="47"/>
  <c r="BI94" i="47"/>
  <c r="BG93" i="47"/>
  <c r="BK91" i="47"/>
  <c r="BI90" i="47"/>
  <c r="BG89" i="47"/>
  <c r="BK87" i="47"/>
  <c r="BI86" i="47"/>
  <c r="BG85" i="47"/>
  <c r="BK83" i="47"/>
  <c r="BI82" i="47"/>
  <c r="BL104" i="47"/>
  <c r="BJ103" i="47"/>
  <c r="BH102" i="47"/>
  <c r="BL100" i="47"/>
  <c r="BJ99" i="47"/>
  <c r="BH98" i="47"/>
  <c r="BL96" i="47"/>
  <c r="BJ95" i="47"/>
  <c r="BH94" i="47"/>
  <c r="BL92" i="47"/>
  <c r="BJ91" i="47"/>
  <c r="BH90" i="47"/>
  <c r="BL88" i="47"/>
  <c r="BJ87" i="47"/>
  <c r="BH86" i="47"/>
  <c r="BL84" i="47"/>
  <c r="BJ83" i="47"/>
  <c r="BH82" i="47"/>
  <c r="BL105" i="47"/>
  <c r="BJ104" i="47"/>
  <c r="BH103" i="47"/>
  <c r="BL101" i="47"/>
  <c r="BJ100" i="47"/>
  <c r="BH99" i="47"/>
  <c r="BL97" i="47"/>
  <c r="BJ96" i="47"/>
  <c r="BH95" i="47"/>
  <c r="BL93" i="47"/>
  <c r="BJ92" i="47"/>
  <c r="BH91" i="47"/>
  <c r="BL89" i="47"/>
  <c r="BJ88" i="47"/>
  <c r="BH87" i="47"/>
  <c r="BL85" i="47"/>
  <c r="BJ84" i="47"/>
  <c r="BH83" i="47"/>
  <c r="BI99" i="47"/>
  <c r="BK88" i="47"/>
  <c r="BG98" i="47"/>
  <c r="BI87" i="47"/>
  <c r="BK96" i="47"/>
  <c r="BG86" i="47"/>
  <c r="BI95" i="47"/>
  <c r="BK84" i="47"/>
  <c r="BK104" i="47"/>
  <c r="BG94" i="47"/>
  <c r="BI83" i="47"/>
  <c r="BI91" i="47"/>
  <c r="BI103" i="47"/>
  <c r="BK92" i="47"/>
  <c r="BG82" i="47"/>
  <c r="BG102" i="47"/>
  <c r="BK100" i="47"/>
  <c r="BG90" i="47"/>
  <c r="AH102" i="47"/>
  <c r="AI102" i="47"/>
  <c r="AH110" i="47"/>
  <c r="F249" i="47"/>
  <c r="E255" i="47"/>
  <c r="E121" i="47"/>
  <c r="U7" i="47"/>
  <c r="AF110" i="46"/>
  <c r="AF103" i="46"/>
  <c r="AF111" i="46"/>
  <c r="AE110" i="46"/>
  <c r="AE111" i="46" s="1"/>
  <c r="AE100" i="46"/>
  <c r="AE102" i="46" s="1"/>
  <c r="AE103" i="46" s="1"/>
  <c r="AD110" i="46"/>
  <c r="AD103" i="46" s="1"/>
  <c r="AD111" i="46"/>
  <c r="AC110" i="46"/>
  <c r="AC111" i="46"/>
  <c r="AC100" i="46"/>
  <c r="AC102" i="46" s="1"/>
  <c r="AC103" i="46" s="1"/>
  <c r="AB111" i="46"/>
  <c r="AB100" i="46"/>
  <c r="AB102" i="46" s="1"/>
  <c r="AB103" i="46" s="1"/>
  <c r="AI111" i="47" l="1"/>
  <c r="AH111" i="47"/>
  <c r="K6" i="47"/>
  <c r="AI103" i="47"/>
  <c r="AH103" i="47"/>
  <c r="B7" i="47"/>
  <c r="A7" i="47" s="1"/>
  <c r="G249" i="47"/>
  <c r="F255" i="47"/>
  <c r="F121" i="47"/>
  <c r="AT9" i="47"/>
  <c r="H249" i="47" l="1"/>
  <c r="G255" i="47"/>
  <c r="G121" i="47"/>
  <c r="I249" i="47" l="1"/>
  <c r="H255" i="47"/>
  <c r="H121" i="47"/>
  <c r="I255" i="47" l="1"/>
  <c r="I121" i="47"/>
  <c r="J249" i="47"/>
  <c r="J255" i="47" l="1"/>
  <c r="J121" i="47"/>
  <c r="K249" i="47"/>
  <c r="K255" i="47" l="1"/>
  <c r="K121" i="47"/>
  <c r="L249" i="47"/>
  <c r="L255" i="47" l="1"/>
  <c r="L121" i="47"/>
  <c r="M249" i="47"/>
  <c r="N249" i="47" l="1"/>
  <c r="M255" i="47"/>
  <c r="M121" i="47"/>
  <c r="O249" i="47" l="1"/>
  <c r="N255" i="47"/>
  <c r="N121" i="47"/>
  <c r="P249" i="47" l="1"/>
  <c r="O255" i="47"/>
  <c r="O121" i="47"/>
  <c r="Q249" i="47" l="1"/>
  <c r="P255" i="47"/>
  <c r="Q255" i="47" l="1"/>
  <c r="Q121" i="47"/>
  <c r="R249" i="47"/>
  <c r="R255" i="47" l="1"/>
  <c r="R121" i="47"/>
  <c r="S249" i="47"/>
  <c r="S121" i="47" s="1"/>
  <c r="S255" i="47" l="1"/>
  <c r="T249" i="47"/>
  <c r="T121" i="47" s="1"/>
  <c r="X124" i="46"/>
  <c r="X60" i="46"/>
  <c r="T255" i="47" l="1"/>
  <c r="U249" i="47"/>
  <c r="U121" i="47" s="1"/>
  <c r="W124" i="46"/>
  <c r="W60" i="46"/>
  <c r="V124" i="46"/>
  <c r="V60" i="46"/>
  <c r="V249" i="47" l="1"/>
  <c r="V121" i="47" s="1"/>
  <c r="U255" i="47"/>
  <c r="U60" i="46"/>
  <c r="W249" i="47" l="1"/>
  <c r="W121" i="47" s="1"/>
  <c r="V255" i="47"/>
  <c r="T124" i="46"/>
  <c r="T60" i="46"/>
  <c r="T61" i="46"/>
  <c r="S124" i="46"/>
  <c r="S60" i="46"/>
  <c r="X249" i="47" l="1"/>
  <c r="X121" i="47" s="1"/>
  <c r="W255" i="47"/>
  <c r="Q60" i="46"/>
  <c r="R60" i="46"/>
  <c r="Q61" i="46"/>
  <c r="R61" i="46"/>
  <c r="Q65" i="46"/>
  <c r="R65" i="46"/>
  <c r="Q79" i="46"/>
  <c r="R79" i="46"/>
  <c r="Q83" i="46"/>
  <c r="R83" i="46"/>
  <c r="Q95" i="46"/>
  <c r="R95" i="46"/>
  <c r="Q104" i="46"/>
  <c r="R104" i="46"/>
  <c r="Q105" i="46"/>
  <c r="R105" i="46"/>
  <c r="Q106" i="46"/>
  <c r="R106" i="46"/>
  <c r="Q107" i="46"/>
  <c r="R107" i="46"/>
  <c r="Q108" i="46"/>
  <c r="R108" i="46"/>
  <c r="Q109" i="46"/>
  <c r="R109" i="46"/>
  <c r="P124" i="46"/>
  <c r="P60" i="46"/>
  <c r="P61" i="46"/>
  <c r="P65" i="46"/>
  <c r="Y249" i="47" l="1"/>
  <c r="Y121" i="47" s="1"/>
  <c r="X255" i="47"/>
  <c r="R110" i="46"/>
  <c r="R100" i="46"/>
  <c r="R102" i="46" s="1"/>
  <c r="R103" i="46" s="1"/>
  <c r="Q110" i="46"/>
  <c r="Q111" i="46" s="1"/>
  <c r="Q100" i="46"/>
  <c r="Q102" i="46" s="1"/>
  <c r="R111" i="46"/>
  <c r="Y255" i="47" l="1"/>
  <c r="Z249" i="47"/>
  <c r="Z121" i="47" s="1"/>
  <c r="Q103" i="46"/>
  <c r="Z255" i="47" l="1"/>
  <c r="AA249" i="47"/>
  <c r="AA121" i="47" s="1"/>
  <c r="AA255" i="47" l="1"/>
  <c r="AB249" i="47"/>
  <c r="AB255" i="47" l="1"/>
  <c r="AB121" i="47"/>
  <c r="AC249" i="47"/>
  <c r="AC121" i="47" l="1"/>
  <c r="AD249" i="47"/>
  <c r="AC255" i="47"/>
  <c r="AE249" i="47" l="1"/>
  <c r="AD121" i="47"/>
  <c r="AD255" i="47"/>
  <c r="AF249" i="47" l="1"/>
  <c r="AE255" i="47"/>
  <c r="AE121" i="47"/>
  <c r="AF255" i="47" l="1"/>
  <c r="AF121" i="47"/>
  <c r="B249" i="47"/>
  <c r="B121" i="47" s="1"/>
  <c r="B255" i="47" l="1"/>
  <c r="AI121" i="47" l="1"/>
  <c r="AH121" i="47"/>
  <c r="O124" i="46" l="1"/>
  <c r="O60" i="46"/>
  <c r="AH60" i="46" s="1"/>
  <c r="O61" i="46"/>
  <c r="O65" i="46"/>
  <c r="O79" i="46"/>
  <c r="AW18" i="46" s="1"/>
  <c r="O83" i="46"/>
  <c r="N124" i="46"/>
  <c r="N60" i="46"/>
  <c r="M61" i="46"/>
  <c r="M100" i="46" s="1"/>
  <c r="M102" i="46" s="1"/>
  <c r="M65" i="46"/>
  <c r="AU17" i="46" s="1"/>
  <c r="M79" i="46"/>
  <c r="M83" i="46"/>
  <c r="M95" i="46"/>
  <c r="AU19" i="46" s="1"/>
  <c r="M104" i="46"/>
  <c r="M105" i="46"/>
  <c r="M106" i="46"/>
  <c r="M107" i="46"/>
  <c r="M108" i="46"/>
  <c r="M109" i="46"/>
  <c r="H61" i="46"/>
  <c r="I61" i="46"/>
  <c r="AS16" i="46" s="1"/>
  <c r="G61" i="46"/>
  <c r="F61" i="46"/>
  <c r="B95" i="46"/>
  <c r="AF5" i="46" s="1"/>
  <c r="AG255" i="46"/>
  <c r="C255" i="46"/>
  <c r="D254" i="46"/>
  <c r="E254" i="46" s="1"/>
  <c r="D253" i="46"/>
  <c r="E253" i="46" s="1"/>
  <c r="F253" i="46" s="1"/>
  <c r="G253" i="46" s="1"/>
  <c r="H253" i="46" s="1"/>
  <c r="I253" i="46" s="1"/>
  <c r="J253" i="46" s="1"/>
  <c r="K253" i="46" s="1"/>
  <c r="L253" i="46" s="1"/>
  <c r="M253" i="46" s="1"/>
  <c r="N253" i="46" s="1"/>
  <c r="O253" i="46" s="1"/>
  <c r="P253" i="46" s="1"/>
  <c r="Q253" i="46" s="1"/>
  <c r="R253" i="46" s="1"/>
  <c r="S253" i="46" s="1"/>
  <c r="T253" i="46" s="1"/>
  <c r="U253" i="46" s="1"/>
  <c r="V253" i="46" s="1"/>
  <c r="W253" i="46" s="1"/>
  <c r="X253" i="46" s="1"/>
  <c r="Y253" i="46" s="1"/>
  <c r="Z253" i="46" s="1"/>
  <c r="AA253" i="46" s="1"/>
  <c r="AB253" i="46" s="1"/>
  <c r="AC253" i="46" s="1"/>
  <c r="AD253" i="46" s="1"/>
  <c r="AE253" i="46" s="1"/>
  <c r="AF253" i="46" s="1"/>
  <c r="B253" i="46" s="1"/>
  <c r="D252" i="46"/>
  <c r="E252" i="46" s="1"/>
  <c r="F252" i="46" s="1"/>
  <c r="G252" i="46" s="1"/>
  <c r="H252" i="46" s="1"/>
  <c r="I252" i="46" s="1"/>
  <c r="J252" i="46" s="1"/>
  <c r="K252" i="46" s="1"/>
  <c r="L252" i="46" s="1"/>
  <c r="M252" i="46" s="1"/>
  <c r="N252" i="46" s="1"/>
  <c r="O252" i="46" s="1"/>
  <c r="P252" i="46" s="1"/>
  <c r="Q252" i="46" s="1"/>
  <c r="R252" i="46" s="1"/>
  <c r="S252" i="46" s="1"/>
  <c r="T252" i="46" s="1"/>
  <c r="U252" i="46" s="1"/>
  <c r="V252" i="46" s="1"/>
  <c r="W252" i="46" s="1"/>
  <c r="X252" i="46" s="1"/>
  <c r="Y252" i="46" s="1"/>
  <c r="Z252" i="46" s="1"/>
  <c r="AA252" i="46" s="1"/>
  <c r="AB252" i="46" s="1"/>
  <c r="AC252" i="46" s="1"/>
  <c r="AD252" i="46" s="1"/>
  <c r="AE252" i="46" s="1"/>
  <c r="AF252" i="46" s="1"/>
  <c r="B252" i="46" s="1"/>
  <c r="D251" i="46"/>
  <c r="E251" i="46" s="1"/>
  <c r="F251" i="46" s="1"/>
  <c r="G251" i="46" s="1"/>
  <c r="H251" i="46" s="1"/>
  <c r="I251" i="46" s="1"/>
  <c r="J251" i="46" s="1"/>
  <c r="K251" i="46" s="1"/>
  <c r="L251" i="46" s="1"/>
  <c r="M251" i="46" s="1"/>
  <c r="N251" i="46" s="1"/>
  <c r="O251" i="46" s="1"/>
  <c r="P251" i="46" s="1"/>
  <c r="Q251" i="46" s="1"/>
  <c r="R251" i="46" s="1"/>
  <c r="S251" i="46" s="1"/>
  <c r="T251" i="46" s="1"/>
  <c r="U251" i="46" s="1"/>
  <c r="V251" i="46" s="1"/>
  <c r="W251" i="46" s="1"/>
  <c r="X251" i="46" s="1"/>
  <c r="Y251" i="46" s="1"/>
  <c r="Z251" i="46" s="1"/>
  <c r="AA251" i="46" s="1"/>
  <c r="AB251" i="46" s="1"/>
  <c r="AC251" i="46" s="1"/>
  <c r="AD251" i="46" s="1"/>
  <c r="AE251" i="46" s="1"/>
  <c r="AF251" i="46" s="1"/>
  <c r="B251" i="46" s="1"/>
  <c r="E250" i="46"/>
  <c r="F250" i="46" s="1"/>
  <c r="G250" i="46" s="1"/>
  <c r="H250" i="46" s="1"/>
  <c r="I250" i="46" s="1"/>
  <c r="J250" i="46" s="1"/>
  <c r="K250" i="46" s="1"/>
  <c r="L250" i="46" s="1"/>
  <c r="M250" i="46" s="1"/>
  <c r="N250" i="46" s="1"/>
  <c r="O250" i="46" s="1"/>
  <c r="P250" i="46" s="1"/>
  <c r="Q250" i="46" s="1"/>
  <c r="R250" i="46" s="1"/>
  <c r="S250" i="46" s="1"/>
  <c r="T250" i="46" s="1"/>
  <c r="U250" i="46" s="1"/>
  <c r="V250" i="46" s="1"/>
  <c r="W250" i="46" s="1"/>
  <c r="X250" i="46" s="1"/>
  <c r="Y250" i="46" s="1"/>
  <c r="Z250" i="46" s="1"/>
  <c r="AA250" i="46" s="1"/>
  <c r="AB250" i="46" s="1"/>
  <c r="AC250" i="46" s="1"/>
  <c r="AD250" i="46" s="1"/>
  <c r="AE250" i="46" s="1"/>
  <c r="AF250" i="46" s="1"/>
  <c r="B250" i="46" s="1"/>
  <c r="D250" i="46"/>
  <c r="E249" i="46"/>
  <c r="F249" i="46" s="1"/>
  <c r="G249" i="46" s="1"/>
  <c r="D249" i="46"/>
  <c r="AG247" i="46"/>
  <c r="AF247" i="46"/>
  <c r="AE247" i="46"/>
  <c r="AD247" i="46"/>
  <c r="AC247" i="46"/>
  <c r="AB247" i="46"/>
  <c r="AA247" i="46"/>
  <c r="Z247" i="46"/>
  <c r="Z121" i="46" s="1"/>
  <c r="Y247" i="46"/>
  <c r="X247" i="46"/>
  <c r="W247" i="46"/>
  <c r="V247" i="46"/>
  <c r="U247" i="46"/>
  <c r="T247" i="46"/>
  <c r="S247" i="46"/>
  <c r="R247" i="46"/>
  <c r="Q247" i="46"/>
  <c r="P247" i="46"/>
  <c r="O247" i="46"/>
  <c r="N247" i="46"/>
  <c r="M247" i="46"/>
  <c r="L247" i="46"/>
  <c r="K247" i="46"/>
  <c r="J247" i="46"/>
  <c r="I247" i="46"/>
  <c r="H247" i="46"/>
  <c r="G247" i="46"/>
  <c r="F247" i="46"/>
  <c r="E247" i="46"/>
  <c r="D247" i="46"/>
  <c r="C247" i="46"/>
  <c r="B247" i="46"/>
  <c r="AI133" i="46"/>
  <c r="AH133" i="46"/>
  <c r="AI132" i="46"/>
  <c r="AH132" i="46"/>
  <c r="AI131" i="46"/>
  <c r="AH131" i="46"/>
  <c r="AI130" i="46"/>
  <c r="AH130" i="46"/>
  <c r="AI129" i="46"/>
  <c r="AH129" i="46"/>
  <c r="AI126" i="46"/>
  <c r="AH126" i="46"/>
  <c r="AI125" i="46"/>
  <c r="AH125" i="46"/>
  <c r="AI124" i="46"/>
  <c r="AH124" i="46"/>
  <c r="AI123" i="46"/>
  <c r="AH123" i="46"/>
  <c r="AI122" i="46"/>
  <c r="AH122" i="46"/>
  <c r="Y121" i="46"/>
  <c r="C121" i="46"/>
  <c r="AI120" i="46"/>
  <c r="AH120" i="46"/>
  <c r="AI119" i="46"/>
  <c r="AH119" i="46"/>
  <c r="AI118" i="46"/>
  <c r="AH118" i="46"/>
  <c r="AI117" i="46"/>
  <c r="AH117" i="46"/>
  <c r="AI116" i="46"/>
  <c r="AH116" i="46"/>
  <c r="AI115" i="46"/>
  <c r="AH115" i="46"/>
  <c r="AI114" i="46"/>
  <c r="AH114" i="46"/>
  <c r="AI113" i="46"/>
  <c r="AH113" i="46"/>
  <c r="AI112" i="46"/>
  <c r="AH112" i="46"/>
  <c r="AA109" i="46"/>
  <c r="Z109" i="46"/>
  <c r="Y109" i="46"/>
  <c r="X109" i="46"/>
  <c r="W109" i="46"/>
  <c r="V109" i="46"/>
  <c r="U109" i="46"/>
  <c r="T109" i="46"/>
  <c r="S109" i="46"/>
  <c r="P109" i="46"/>
  <c r="O109" i="46"/>
  <c r="N109" i="46"/>
  <c r="L109" i="46"/>
  <c r="K109" i="46"/>
  <c r="J109" i="46"/>
  <c r="I109" i="46"/>
  <c r="H109" i="46"/>
  <c r="G109" i="46"/>
  <c r="F109" i="46"/>
  <c r="E109" i="46"/>
  <c r="D109" i="46"/>
  <c r="C109" i="46"/>
  <c r="B109" i="46"/>
  <c r="AA108" i="46"/>
  <c r="Z108" i="46"/>
  <c r="Y108" i="46"/>
  <c r="X108" i="46"/>
  <c r="W108" i="46"/>
  <c r="V108" i="46"/>
  <c r="U108" i="46"/>
  <c r="T108" i="46"/>
  <c r="S108" i="46"/>
  <c r="P108" i="46"/>
  <c r="O108" i="46"/>
  <c r="N108" i="46"/>
  <c r="L108" i="46"/>
  <c r="K108" i="46"/>
  <c r="J108" i="46"/>
  <c r="I108" i="46"/>
  <c r="H108" i="46"/>
  <c r="G108" i="46"/>
  <c r="F108" i="46"/>
  <c r="E108" i="46"/>
  <c r="D108" i="46"/>
  <c r="C108" i="46"/>
  <c r="B108" i="46"/>
  <c r="AA107" i="46"/>
  <c r="Z107" i="46"/>
  <c r="Y107" i="46"/>
  <c r="X107" i="46"/>
  <c r="W107" i="46"/>
  <c r="V107" i="46"/>
  <c r="U107" i="46"/>
  <c r="T107" i="46"/>
  <c r="S107" i="46"/>
  <c r="P107" i="46"/>
  <c r="O107" i="46"/>
  <c r="N107" i="46"/>
  <c r="L107" i="46"/>
  <c r="K107" i="46"/>
  <c r="J107" i="46"/>
  <c r="I107" i="46"/>
  <c r="H107" i="46"/>
  <c r="G107" i="46"/>
  <c r="F107" i="46"/>
  <c r="E107" i="46"/>
  <c r="D107" i="46"/>
  <c r="C107" i="46"/>
  <c r="B107" i="46"/>
  <c r="AA106" i="46"/>
  <c r="Z106" i="46"/>
  <c r="Y106" i="46"/>
  <c r="X106" i="46"/>
  <c r="W106" i="46"/>
  <c r="V106" i="46"/>
  <c r="U106" i="46"/>
  <c r="T106" i="46"/>
  <c r="S106" i="46"/>
  <c r="P106" i="46"/>
  <c r="O106" i="46"/>
  <c r="N106" i="46"/>
  <c r="L106" i="46"/>
  <c r="K106" i="46"/>
  <c r="J106" i="46"/>
  <c r="I106" i="46"/>
  <c r="H106" i="46"/>
  <c r="G106" i="46"/>
  <c r="F106" i="46"/>
  <c r="E106" i="46"/>
  <c r="D106" i="46"/>
  <c r="C106" i="46"/>
  <c r="B106" i="46"/>
  <c r="AA105" i="46"/>
  <c r="Z105" i="46"/>
  <c r="Y105" i="46"/>
  <c r="X105" i="46"/>
  <c r="W105" i="46"/>
  <c r="V105" i="46"/>
  <c r="U105" i="46"/>
  <c r="T105" i="46"/>
  <c r="S105" i="46"/>
  <c r="AY23" i="46"/>
  <c r="P105" i="46"/>
  <c r="O105" i="46"/>
  <c r="N105" i="46"/>
  <c r="L105" i="46"/>
  <c r="K105" i="46"/>
  <c r="J105" i="46"/>
  <c r="I105" i="46"/>
  <c r="H105" i="46"/>
  <c r="G105" i="46"/>
  <c r="F105" i="46"/>
  <c r="E105" i="46"/>
  <c r="D105" i="46"/>
  <c r="C105" i="46"/>
  <c r="B105" i="46"/>
  <c r="AA104" i="46"/>
  <c r="AA110" i="46" s="1"/>
  <c r="AA111" i="46" s="1"/>
  <c r="Z104" i="46"/>
  <c r="Y104" i="46"/>
  <c r="X104" i="46"/>
  <c r="W104" i="46"/>
  <c r="W110" i="46" s="1"/>
  <c r="V104" i="46"/>
  <c r="U104" i="46"/>
  <c r="T104" i="46"/>
  <c r="S104" i="46"/>
  <c r="S110" i="46" s="1"/>
  <c r="AZ23" i="46"/>
  <c r="P104" i="46"/>
  <c r="O104" i="46"/>
  <c r="N104" i="46"/>
  <c r="L104" i="46"/>
  <c r="K104" i="46"/>
  <c r="J104" i="46"/>
  <c r="I104" i="46"/>
  <c r="H104" i="46"/>
  <c r="G104" i="46"/>
  <c r="F104" i="46"/>
  <c r="E104" i="46"/>
  <c r="D104" i="46"/>
  <c r="C104" i="46"/>
  <c r="B104" i="46"/>
  <c r="AI101" i="46"/>
  <c r="AH101" i="46"/>
  <c r="AI99" i="46"/>
  <c r="AH99" i="46"/>
  <c r="AG99" i="46"/>
  <c r="AI98" i="46"/>
  <c r="AH98" i="46"/>
  <c r="AI97" i="46"/>
  <c r="AH97" i="46"/>
  <c r="AI96" i="46"/>
  <c r="AH96" i="46"/>
  <c r="AG95" i="46"/>
  <c r="BH19" i="46"/>
  <c r="AA95" i="46"/>
  <c r="Z95" i="46"/>
  <c r="Y95" i="46"/>
  <c r="X5" i="46" s="1"/>
  <c r="X95" i="46"/>
  <c r="W5" i="46" s="1"/>
  <c r="W95" i="46"/>
  <c r="V5" i="46" s="1"/>
  <c r="V95" i="46"/>
  <c r="BD19" i="46" s="1"/>
  <c r="U95" i="46"/>
  <c r="T95" i="46"/>
  <c r="BB19" i="46" s="1"/>
  <c r="S95" i="46"/>
  <c r="R5" i="46" s="1"/>
  <c r="P95" i="46"/>
  <c r="O95" i="46"/>
  <c r="AW19" i="46" s="1"/>
  <c r="N95" i="46"/>
  <c r="AV19" i="46" s="1"/>
  <c r="L95" i="46"/>
  <c r="K5" i="46" s="1"/>
  <c r="K95" i="46"/>
  <c r="J5" i="46" s="1"/>
  <c r="J95" i="46"/>
  <c r="I5" i="46" s="1"/>
  <c r="I95" i="46"/>
  <c r="H5" i="46" s="1"/>
  <c r="H95" i="46"/>
  <c r="G95" i="46"/>
  <c r="F5" i="46" s="1"/>
  <c r="F95" i="46"/>
  <c r="AQ19" i="46" s="1"/>
  <c r="E95" i="46"/>
  <c r="D5" i="46" s="1"/>
  <c r="D95" i="46"/>
  <c r="C5" i="46" s="1"/>
  <c r="C95" i="46"/>
  <c r="AN19" i="46" s="1"/>
  <c r="AI94" i="46"/>
  <c r="AH94" i="46"/>
  <c r="AI93" i="46"/>
  <c r="AH93" i="46"/>
  <c r="AI92" i="46"/>
  <c r="AH92" i="46"/>
  <c r="AI91" i="46"/>
  <c r="AH91" i="46"/>
  <c r="AI90" i="46"/>
  <c r="AH90" i="46"/>
  <c r="AI89" i="46"/>
  <c r="AH89" i="46"/>
  <c r="AI88" i="46"/>
  <c r="AH88" i="46"/>
  <c r="AI87" i="46"/>
  <c r="AH87" i="46"/>
  <c r="AI86" i="46"/>
  <c r="AH86" i="46"/>
  <c r="AI85" i="46"/>
  <c r="AH85" i="46"/>
  <c r="AI84" i="46"/>
  <c r="AH84" i="46"/>
  <c r="AG83" i="46"/>
  <c r="AG4" i="46" s="1"/>
  <c r="BG20" i="46"/>
  <c r="Z83" i="46"/>
  <c r="Y83" i="46"/>
  <c r="X83" i="46"/>
  <c r="BE20" i="46" s="1"/>
  <c r="W83" i="46"/>
  <c r="V83" i="46"/>
  <c r="U83" i="46"/>
  <c r="BC20" i="46" s="1"/>
  <c r="T83" i="46"/>
  <c r="S83" i="46"/>
  <c r="BA20" i="46" s="1"/>
  <c r="AZ20" i="46"/>
  <c r="AY20" i="46"/>
  <c r="P83" i="46"/>
  <c r="AX20" i="46" s="1"/>
  <c r="N83" i="46"/>
  <c r="L83" i="46"/>
  <c r="K83" i="46"/>
  <c r="J83" i="46"/>
  <c r="I83" i="46"/>
  <c r="AS20" i="46" s="1"/>
  <c r="H83" i="46"/>
  <c r="G83" i="46"/>
  <c r="AR20" i="46" s="1"/>
  <c r="E83" i="46"/>
  <c r="AP20" i="46" s="1"/>
  <c r="D83" i="46"/>
  <c r="AO20" i="46" s="1"/>
  <c r="C83" i="46"/>
  <c r="AN20" i="46" s="1"/>
  <c r="B83" i="46"/>
  <c r="AI82" i="46"/>
  <c r="AH82" i="46"/>
  <c r="AI81" i="46"/>
  <c r="AH81" i="46"/>
  <c r="AI80" i="46"/>
  <c r="AH80" i="46"/>
  <c r="Z79" i="46"/>
  <c r="BF18" i="46" s="1"/>
  <c r="Y79" i="46"/>
  <c r="X79" i="46"/>
  <c r="W79" i="46"/>
  <c r="V79" i="46"/>
  <c r="BD18" i="46" s="1"/>
  <c r="U79" i="46"/>
  <c r="BC18" i="46" s="1"/>
  <c r="T79" i="46"/>
  <c r="BB18" i="46" s="1"/>
  <c r="S79" i="46"/>
  <c r="BA18" i="46" s="1"/>
  <c r="AZ18" i="46"/>
  <c r="P79" i="46"/>
  <c r="N79" i="46"/>
  <c r="AV18" i="46" s="1"/>
  <c r="L79" i="46"/>
  <c r="K79" i="46"/>
  <c r="J79" i="46"/>
  <c r="I79" i="46"/>
  <c r="H79" i="46"/>
  <c r="G79" i="46"/>
  <c r="F79" i="46"/>
  <c r="AQ18" i="46" s="1"/>
  <c r="E79" i="46"/>
  <c r="D79" i="46"/>
  <c r="AO18" i="46" s="1"/>
  <c r="C79" i="46"/>
  <c r="AN18" i="46" s="1"/>
  <c r="B79" i="46"/>
  <c r="BQ78" i="46"/>
  <c r="BN78" i="46"/>
  <c r="BD78" i="46"/>
  <c r="AI78" i="46"/>
  <c r="AH78" i="46"/>
  <c r="AG78" i="46"/>
  <c r="AG79" i="46" s="1"/>
  <c r="AG3" i="46" s="1"/>
  <c r="BD77" i="46"/>
  <c r="BA77" i="46"/>
  <c r="AI77" i="46"/>
  <c r="AH77" i="46"/>
  <c r="BP76" i="46"/>
  <c r="BN76" i="46"/>
  <c r="BF76" i="46"/>
  <c r="BD76" i="46"/>
  <c r="AI76" i="46"/>
  <c r="AH76" i="46"/>
  <c r="AI75" i="46"/>
  <c r="AH75" i="46"/>
  <c r="BT74" i="46"/>
  <c r="BP74" i="46"/>
  <c r="BJ74" i="46"/>
  <c r="BC74" i="46"/>
  <c r="AZ74" i="46"/>
  <c r="AI74" i="46"/>
  <c r="AH74" i="46"/>
  <c r="AI73" i="46"/>
  <c r="AH73" i="46"/>
  <c r="AI72" i="46"/>
  <c r="AH72" i="46"/>
  <c r="BW71" i="46"/>
  <c r="BW78" i="46" s="1"/>
  <c r="BV71" i="46"/>
  <c r="BV78" i="46" s="1"/>
  <c r="BU71" i="46"/>
  <c r="BU78" i="46" s="1"/>
  <c r="BT71" i="46"/>
  <c r="BT78" i="46" s="1"/>
  <c r="BS71" i="46"/>
  <c r="BS78" i="46" s="1"/>
  <c r="BR71" i="46"/>
  <c r="BR78" i="46" s="1"/>
  <c r="BQ71" i="46"/>
  <c r="BP71" i="46"/>
  <c r="BP78" i="46" s="1"/>
  <c r="BO71" i="46"/>
  <c r="BO78" i="46" s="1"/>
  <c r="BN71" i="46"/>
  <c r="BM71" i="46"/>
  <c r="BM78" i="46" s="1"/>
  <c r="BL71" i="46"/>
  <c r="BL78" i="46" s="1"/>
  <c r="BK71" i="46"/>
  <c r="BK78" i="46" s="1"/>
  <c r="BJ71" i="46"/>
  <c r="BJ78" i="46" s="1"/>
  <c r="BI71" i="46"/>
  <c r="BI78" i="46" s="1"/>
  <c r="BH71" i="46"/>
  <c r="BH78" i="46" s="1"/>
  <c r="BG71" i="46"/>
  <c r="BG78" i="46" s="1"/>
  <c r="BF71" i="46"/>
  <c r="BF78" i="46" s="1"/>
  <c r="BE71" i="46"/>
  <c r="BE78" i="46" s="1"/>
  <c r="BD71" i="46"/>
  <c r="BC71" i="46"/>
  <c r="BC78" i="46" s="1"/>
  <c r="BB71" i="46"/>
  <c r="BB78" i="46" s="1"/>
  <c r="BA71" i="46"/>
  <c r="BA78" i="46" s="1"/>
  <c r="AZ71" i="46"/>
  <c r="AZ78" i="46" s="1"/>
  <c r="AI71" i="46"/>
  <c r="AH71" i="46"/>
  <c r="BW70" i="46"/>
  <c r="BW77" i="46" s="1"/>
  <c r="BV70" i="46"/>
  <c r="BV77" i="46" s="1"/>
  <c r="BU70" i="46"/>
  <c r="BU77" i="46" s="1"/>
  <c r="BT70" i="46"/>
  <c r="BT77" i="46" s="1"/>
  <c r="BS70" i="46"/>
  <c r="BS77" i="46" s="1"/>
  <c r="BR70" i="46"/>
  <c r="BR77" i="46" s="1"/>
  <c r="BQ70" i="46"/>
  <c r="BQ77" i="46" s="1"/>
  <c r="BP70" i="46"/>
  <c r="BP77" i="46" s="1"/>
  <c r="BO70" i="46"/>
  <c r="BO77" i="46" s="1"/>
  <c r="BN70" i="46"/>
  <c r="BN77" i="46" s="1"/>
  <c r="BM70" i="46"/>
  <c r="BM77" i="46" s="1"/>
  <c r="BL70" i="46"/>
  <c r="BL77" i="46" s="1"/>
  <c r="BK70" i="46"/>
  <c r="BK77" i="46" s="1"/>
  <c r="BJ70" i="46"/>
  <c r="BJ77" i="46" s="1"/>
  <c r="BI70" i="46"/>
  <c r="BI77" i="46" s="1"/>
  <c r="BH70" i="46"/>
  <c r="BH77" i="46" s="1"/>
  <c r="BG70" i="46"/>
  <c r="BG77" i="46" s="1"/>
  <c r="BF70" i="46"/>
  <c r="BF77" i="46" s="1"/>
  <c r="BE70" i="46"/>
  <c r="BE77" i="46" s="1"/>
  <c r="BD70" i="46"/>
  <c r="BC70" i="46"/>
  <c r="BC77" i="46" s="1"/>
  <c r="BB70" i="46"/>
  <c r="BB77" i="46" s="1"/>
  <c r="BA70" i="46"/>
  <c r="AZ70" i="46"/>
  <c r="AZ77" i="46" s="1"/>
  <c r="AI70" i="46"/>
  <c r="AH70" i="46"/>
  <c r="BW69" i="46"/>
  <c r="BW76" i="46" s="1"/>
  <c r="BV69" i="46"/>
  <c r="BV76" i="46" s="1"/>
  <c r="BU69" i="46"/>
  <c r="BU76" i="46" s="1"/>
  <c r="BT69" i="46"/>
  <c r="BT76" i="46" s="1"/>
  <c r="BS69" i="46"/>
  <c r="BS76" i="46" s="1"/>
  <c r="BR69" i="46"/>
  <c r="BR76" i="46" s="1"/>
  <c r="BQ69" i="46"/>
  <c r="BQ76" i="46" s="1"/>
  <c r="BP69" i="46"/>
  <c r="BO69" i="46"/>
  <c r="BO76" i="46" s="1"/>
  <c r="BN69" i="46"/>
  <c r="BM69" i="46"/>
  <c r="BM76" i="46" s="1"/>
  <c r="BL69" i="46"/>
  <c r="BL76" i="46" s="1"/>
  <c r="BK69" i="46"/>
  <c r="BK76" i="46" s="1"/>
  <c r="BJ69" i="46"/>
  <c r="BJ76" i="46" s="1"/>
  <c r="BI69" i="46"/>
  <c r="BI76" i="46" s="1"/>
  <c r="BH69" i="46"/>
  <c r="BH76" i="46" s="1"/>
  <c r="BG69" i="46"/>
  <c r="BG76" i="46" s="1"/>
  <c r="BF69" i="46"/>
  <c r="BE69" i="46"/>
  <c r="BE76" i="46" s="1"/>
  <c r="BD69" i="46"/>
  <c r="BC69" i="46"/>
  <c r="BC76" i="46" s="1"/>
  <c r="BB69" i="46"/>
  <c r="BB76" i="46" s="1"/>
  <c r="BA69" i="46"/>
  <c r="BA76" i="46" s="1"/>
  <c r="AZ69" i="46"/>
  <c r="AZ76" i="46" s="1"/>
  <c r="AI69" i="46"/>
  <c r="AH69" i="46"/>
  <c r="BW68" i="46"/>
  <c r="BW75" i="46" s="1"/>
  <c r="BV68" i="46"/>
  <c r="BV75" i="46" s="1"/>
  <c r="BU68" i="46"/>
  <c r="BU75" i="46" s="1"/>
  <c r="BT68" i="46"/>
  <c r="BT75" i="46" s="1"/>
  <c r="BS68" i="46"/>
  <c r="BS75" i="46" s="1"/>
  <c r="BR68" i="46"/>
  <c r="BR75" i="46" s="1"/>
  <c r="BQ68" i="46"/>
  <c r="BQ75" i="46" s="1"/>
  <c r="BP68" i="46"/>
  <c r="BP75" i="46" s="1"/>
  <c r="BO68" i="46"/>
  <c r="BO75" i="46" s="1"/>
  <c r="BN68" i="46"/>
  <c r="BN75" i="46" s="1"/>
  <c r="BM68" i="46"/>
  <c r="BM75" i="46" s="1"/>
  <c r="BL68" i="46"/>
  <c r="BL75" i="46" s="1"/>
  <c r="BK68" i="46"/>
  <c r="BK75" i="46" s="1"/>
  <c r="BJ68" i="46"/>
  <c r="BJ75" i="46" s="1"/>
  <c r="BI68" i="46"/>
  <c r="BI75" i="46" s="1"/>
  <c r="BH68" i="46"/>
  <c r="BH75" i="46" s="1"/>
  <c r="BG68" i="46"/>
  <c r="BG75" i="46" s="1"/>
  <c r="BF68" i="46"/>
  <c r="BF75" i="46" s="1"/>
  <c r="BE68" i="46"/>
  <c r="BE75" i="46" s="1"/>
  <c r="BD68" i="46"/>
  <c r="BD75" i="46" s="1"/>
  <c r="BC68" i="46"/>
  <c r="BC75" i="46" s="1"/>
  <c r="BB68" i="46"/>
  <c r="BB75" i="46" s="1"/>
  <c r="BA68" i="46"/>
  <c r="BA75" i="46" s="1"/>
  <c r="AZ68" i="46"/>
  <c r="AZ75" i="46" s="1"/>
  <c r="AI68" i="46"/>
  <c r="AH68" i="46"/>
  <c r="BW67" i="46"/>
  <c r="BW74" i="46" s="1"/>
  <c r="BV67" i="46"/>
  <c r="BV74" i="46" s="1"/>
  <c r="BU67" i="46"/>
  <c r="BU74" i="46" s="1"/>
  <c r="BT67" i="46"/>
  <c r="BS67" i="46"/>
  <c r="BS74" i="46" s="1"/>
  <c r="BR67" i="46"/>
  <c r="BR74" i="46" s="1"/>
  <c r="BQ67" i="46"/>
  <c r="BQ74" i="46" s="1"/>
  <c r="BP67" i="46"/>
  <c r="BO67" i="46"/>
  <c r="BO74" i="46" s="1"/>
  <c r="BN67" i="46"/>
  <c r="BN74" i="46" s="1"/>
  <c r="BM67" i="46"/>
  <c r="BM74" i="46" s="1"/>
  <c r="BL67" i="46"/>
  <c r="BL74" i="46" s="1"/>
  <c r="BK67" i="46"/>
  <c r="BK74" i="46" s="1"/>
  <c r="BJ67" i="46"/>
  <c r="BI67" i="46"/>
  <c r="BI74" i="46" s="1"/>
  <c r="BH67" i="46"/>
  <c r="BH74" i="46" s="1"/>
  <c r="BG67" i="46"/>
  <c r="BG74" i="46" s="1"/>
  <c r="BF67" i="46"/>
  <c r="BF74" i="46" s="1"/>
  <c r="BE67" i="46"/>
  <c r="BE74" i="46" s="1"/>
  <c r="BD67" i="46"/>
  <c r="BD74" i="46" s="1"/>
  <c r="BC67" i="46"/>
  <c r="BB67" i="46"/>
  <c r="BB74" i="46" s="1"/>
  <c r="BA67" i="46"/>
  <c r="BA74" i="46" s="1"/>
  <c r="AZ67" i="46"/>
  <c r="AI67" i="46"/>
  <c r="AH67" i="46"/>
  <c r="BW66" i="46"/>
  <c r="BW73" i="46" s="1"/>
  <c r="BV66" i="46"/>
  <c r="BV73" i="46" s="1"/>
  <c r="BU66" i="46"/>
  <c r="BU73" i="46" s="1"/>
  <c r="BT66" i="46"/>
  <c r="BT73" i="46" s="1"/>
  <c r="BS66" i="46"/>
  <c r="BS73" i="46" s="1"/>
  <c r="BR66" i="46"/>
  <c r="BR73" i="46" s="1"/>
  <c r="BQ66" i="46"/>
  <c r="BQ73" i="46" s="1"/>
  <c r="BP66" i="46"/>
  <c r="BP73" i="46" s="1"/>
  <c r="BO66" i="46"/>
  <c r="BO73" i="46" s="1"/>
  <c r="BN66" i="46"/>
  <c r="BN73" i="46" s="1"/>
  <c r="BM66" i="46"/>
  <c r="BM73" i="46" s="1"/>
  <c r="BL66" i="46"/>
  <c r="BL73" i="46" s="1"/>
  <c r="BK66" i="46"/>
  <c r="BK73" i="46" s="1"/>
  <c r="BJ66" i="46"/>
  <c r="BJ73" i="46" s="1"/>
  <c r="BI66" i="46"/>
  <c r="BI73" i="46" s="1"/>
  <c r="BH66" i="46"/>
  <c r="BH73" i="46" s="1"/>
  <c r="BG66" i="46"/>
  <c r="BG73" i="46" s="1"/>
  <c r="BF66" i="46"/>
  <c r="BF73" i="46" s="1"/>
  <c r="BE66" i="46"/>
  <c r="BE73" i="46" s="1"/>
  <c r="BD66" i="46"/>
  <c r="BD73" i="46" s="1"/>
  <c r="BC66" i="46"/>
  <c r="BC73" i="46" s="1"/>
  <c r="BB66" i="46"/>
  <c r="BB73" i="46" s="1"/>
  <c r="BA66" i="46"/>
  <c r="BA73" i="46" s="1"/>
  <c r="AZ66" i="46"/>
  <c r="AZ73" i="46" s="1"/>
  <c r="AI66" i="46"/>
  <c r="AH66" i="46"/>
  <c r="AG65" i="46"/>
  <c r="BJ17" i="46"/>
  <c r="BI17" i="46"/>
  <c r="BH17" i="46"/>
  <c r="Z65" i="46"/>
  <c r="BF17" i="46" s="1"/>
  <c r="Y65" i="46"/>
  <c r="X65" i="46"/>
  <c r="BE17" i="46" s="1"/>
  <c r="W65" i="46"/>
  <c r="V65" i="46"/>
  <c r="U65" i="46"/>
  <c r="BC17" i="46" s="1"/>
  <c r="T65" i="46"/>
  <c r="BB17" i="46" s="1"/>
  <c r="S65" i="46"/>
  <c r="BA17" i="46" s="1"/>
  <c r="AX17" i="46"/>
  <c r="N65" i="46"/>
  <c r="AV17" i="46" s="1"/>
  <c r="L65" i="46"/>
  <c r="K65" i="46"/>
  <c r="AT17" i="46" s="1"/>
  <c r="J65" i="46"/>
  <c r="I65" i="46"/>
  <c r="AS17" i="46" s="1"/>
  <c r="H65" i="46"/>
  <c r="G65" i="46"/>
  <c r="AR17" i="46" s="1"/>
  <c r="F65" i="46"/>
  <c r="AQ17" i="46" s="1"/>
  <c r="E65" i="46"/>
  <c r="AP17" i="46" s="1"/>
  <c r="D65" i="46"/>
  <c r="C65" i="46"/>
  <c r="AN17" i="46" s="1"/>
  <c r="B65" i="46"/>
  <c r="AI64" i="46"/>
  <c r="AH64" i="46"/>
  <c r="AI63" i="46"/>
  <c r="AH63" i="46"/>
  <c r="AI62" i="46"/>
  <c r="AH62" i="46"/>
  <c r="AG61" i="46"/>
  <c r="AE7" i="46"/>
  <c r="Z61" i="46"/>
  <c r="BF16" i="46" s="1"/>
  <c r="Y61" i="46"/>
  <c r="X61" i="46"/>
  <c r="W61" i="46"/>
  <c r="V61" i="46"/>
  <c r="U61" i="46"/>
  <c r="BB16" i="46"/>
  <c r="S61" i="46"/>
  <c r="BA16" i="46" s="1"/>
  <c r="Q7" i="46"/>
  <c r="N61" i="46"/>
  <c r="L61" i="46"/>
  <c r="K61" i="46"/>
  <c r="AT16" i="46" s="1"/>
  <c r="J61" i="46"/>
  <c r="E61" i="46"/>
  <c r="D61" i="46"/>
  <c r="C61" i="46"/>
  <c r="B61" i="46"/>
  <c r="AI60" i="46"/>
  <c r="AI59" i="46"/>
  <c r="AH59" i="46"/>
  <c r="AI58" i="46"/>
  <c r="AH58" i="46"/>
  <c r="AI57" i="46"/>
  <c r="AH57" i="46"/>
  <c r="AI56" i="46"/>
  <c r="AH56" i="46"/>
  <c r="AI55" i="46"/>
  <c r="AH55" i="46"/>
  <c r="AI54" i="46"/>
  <c r="AH54" i="46"/>
  <c r="AI53" i="46"/>
  <c r="AH53" i="46"/>
  <c r="AI52" i="46"/>
  <c r="AH52" i="46"/>
  <c r="AI51" i="46"/>
  <c r="AH51" i="46"/>
  <c r="AI50" i="46"/>
  <c r="AH50" i="46"/>
  <c r="AI49" i="46"/>
  <c r="AH49" i="46"/>
  <c r="AI48" i="46"/>
  <c r="AH48" i="46"/>
  <c r="AI47" i="46"/>
  <c r="AH47" i="46"/>
  <c r="AI46" i="46"/>
  <c r="AH46" i="46"/>
  <c r="AI45" i="46"/>
  <c r="AH45" i="46"/>
  <c r="AI44" i="46"/>
  <c r="AH44" i="46"/>
  <c r="AI43" i="46"/>
  <c r="AH43" i="46"/>
  <c r="AI42" i="46"/>
  <c r="AH42" i="46"/>
  <c r="AI41" i="46"/>
  <c r="AH41" i="46"/>
  <c r="AI40" i="46"/>
  <c r="AH40" i="46"/>
  <c r="AI39" i="46"/>
  <c r="AH39" i="46"/>
  <c r="AI38" i="46"/>
  <c r="AH38" i="46"/>
  <c r="AI37" i="46"/>
  <c r="AH37" i="46"/>
  <c r="AI36" i="46"/>
  <c r="AH36" i="46"/>
  <c r="AI35" i="46"/>
  <c r="AH35" i="46"/>
  <c r="AI34" i="46"/>
  <c r="AH34" i="46"/>
  <c r="AI33" i="46"/>
  <c r="AH33" i="46"/>
  <c r="AI32" i="46"/>
  <c r="AH32" i="46"/>
  <c r="AI31" i="46"/>
  <c r="AH31" i="46"/>
  <c r="AI30" i="46"/>
  <c r="AH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BI23" i="46"/>
  <c r="BA23" i="46"/>
  <c r="AI23" i="46"/>
  <c r="AH23" i="46"/>
  <c r="AI22" i="46"/>
  <c r="AH22" i="46"/>
  <c r="BJ21" i="46"/>
  <c r="BI21" i="46"/>
  <c r="BH21" i="46"/>
  <c r="BG21" i="46"/>
  <c r="BF21" i="46"/>
  <c r="BE21" i="46"/>
  <c r="BD21" i="46"/>
  <c r="BC21" i="46"/>
  <c r="BB21" i="46"/>
  <c r="BA21" i="46"/>
  <c r="AZ21" i="46"/>
  <c r="AY21" i="46"/>
  <c r="AX21" i="46"/>
  <c r="AW21" i="46"/>
  <c r="AV21" i="46"/>
  <c r="AU21" i="46"/>
  <c r="AT21" i="46"/>
  <c r="AS21" i="46"/>
  <c r="AR21" i="46"/>
  <c r="AQ21" i="46"/>
  <c r="AP21" i="46"/>
  <c r="AO21" i="46"/>
  <c r="AN21" i="46"/>
  <c r="AM21" i="46"/>
  <c r="AI21" i="46"/>
  <c r="AH21" i="46"/>
  <c r="BJ20" i="46"/>
  <c r="BI20" i="46"/>
  <c r="BH20" i="46"/>
  <c r="BF20" i="46"/>
  <c r="BD20" i="46"/>
  <c r="BB20" i="46"/>
  <c r="AW20" i="46"/>
  <c r="AV20" i="46"/>
  <c r="AU20" i="46"/>
  <c r="AT20" i="46"/>
  <c r="AQ20" i="46"/>
  <c r="AI20" i="46"/>
  <c r="AH20" i="46"/>
  <c r="BJ19" i="46"/>
  <c r="BI19" i="46"/>
  <c r="BG19" i="46"/>
  <c r="BC19" i="46"/>
  <c r="BA19" i="46"/>
  <c r="AZ19" i="46"/>
  <c r="AY19" i="46"/>
  <c r="AX19" i="46"/>
  <c r="AI19" i="46"/>
  <c r="AH19" i="46"/>
  <c r="BJ18" i="46"/>
  <c r="BI18" i="46"/>
  <c r="BH18" i="46"/>
  <c r="BG18" i="46"/>
  <c r="BE18" i="46"/>
  <c r="AY18" i="46"/>
  <c r="AU18" i="46"/>
  <c r="AT18" i="46"/>
  <c r="AS18" i="46"/>
  <c r="AR18" i="46"/>
  <c r="AP18" i="46"/>
  <c r="AI18" i="46"/>
  <c r="AH18" i="46"/>
  <c r="BG17" i="46"/>
  <c r="BD17" i="46"/>
  <c r="AZ17" i="46"/>
  <c r="AY17" i="46"/>
  <c r="AW17" i="46"/>
  <c r="AO17" i="46"/>
  <c r="AM17" i="46"/>
  <c r="AI17" i="46"/>
  <c r="AH17" i="46"/>
  <c r="BG16" i="46"/>
  <c r="AZ16" i="46"/>
  <c r="AY16" i="46"/>
  <c r="AX16" i="46"/>
  <c r="AR16" i="46"/>
  <c r="AQ16" i="46"/>
  <c r="AO16" i="46"/>
  <c r="AN16" i="46"/>
  <c r="AM16" i="46"/>
  <c r="AI16" i="46"/>
  <c r="AH16" i="46"/>
  <c r="AI15" i="46"/>
  <c r="AH15" i="46"/>
  <c r="AI14" i="46"/>
  <c r="AH14" i="46"/>
  <c r="AI13" i="46"/>
  <c r="AH13" i="46"/>
  <c r="AL12" i="46"/>
  <c r="AI12" i="46"/>
  <c r="AH12" i="46"/>
  <c r="AI11" i="46"/>
  <c r="AH11" i="46"/>
  <c r="AE5" i="46"/>
  <c r="AD5" i="46"/>
  <c r="AB5" i="46"/>
  <c r="AA5" i="46"/>
  <c r="Z5" i="46"/>
  <c r="T5" i="46"/>
  <c r="P5" i="46"/>
  <c r="O5" i="46"/>
  <c r="K4" i="46"/>
  <c r="E4" i="46"/>
  <c r="H4" i="46" s="1"/>
  <c r="B4" i="46"/>
  <c r="D261" i="46" s="1"/>
  <c r="AC61" i="45"/>
  <c r="AD61" i="45"/>
  <c r="AC65" i="45"/>
  <c r="AD65" i="45"/>
  <c r="Y100" i="46" l="1"/>
  <c r="Y102" i="46" s="1"/>
  <c r="Y103" i="46" s="1"/>
  <c r="Y7" i="46" s="1"/>
  <c r="BE19" i="46"/>
  <c r="W100" i="46"/>
  <c r="W102" i="46" s="1"/>
  <c r="W103" i="46" s="1"/>
  <c r="W7" i="46" s="1"/>
  <c r="U5" i="46"/>
  <c r="U100" i="46"/>
  <c r="U102" i="46" s="1"/>
  <c r="BG23" i="46"/>
  <c r="AC5" i="46"/>
  <c r="V100" i="46"/>
  <c r="V102" i="46" s="1"/>
  <c r="AD7" i="46"/>
  <c r="Y110" i="46"/>
  <c r="Y111" i="46" s="1"/>
  <c r="BG22" i="46"/>
  <c r="X100" i="46"/>
  <c r="X102" i="46" s="1"/>
  <c r="AF7" i="46"/>
  <c r="O110" i="46"/>
  <c r="AW23" i="46" s="1"/>
  <c r="X110" i="46"/>
  <c r="BE23" i="46" s="1"/>
  <c r="BJ23" i="46"/>
  <c r="D255" i="46"/>
  <c r="AG100" i="46"/>
  <c r="Z110" i="46"/>
  <c r="BF23" i="46" s="1"/>
  <c r="AI107" i="46"/>
  <c r="D121" i="46"/>
  <c r="B5" i="46"/>
  <c r="BI16" i="46"/>
  <c r="BI22" i="46" s="1"/>
  <c r="BI24" i="46" s="1"/>
  <c r="T110" i="46"/>
  <c r="BB23" i="46" s="1"/>
  <c r="S5" i="46"/>
  <c r="BB22" i="46"/>
  <c r="S111" i="46"/>
  <c r="AY22" i="46"/>
  <c r="AY24" i="46" s="1"/>
  <c r="P110" i="46"/>
  <c r="AX23" i="46" s="1"/>
  <c r="P100" i="46"/>
  <c r="P102" i="46" s="1"/>
  <c r="AX18" i="46"/>
  <c r="AX22" i="46" s="1"/>
  <c r="N5" i="46"/>
  <c r="O100" i="46"/>
  <c r="O102" i="46" s="1"/>
  <c r="O103" i="46" s="1"/>
  <c r="O7" i="46" s="1"/>
  <c r="AW16" i="46"/>
  <c r="AW22" i="46" s="1"/>
  <c r="AW24" i="46" s="1"/>
  <c r="M5" i="46"/>
  <c r="N100" i="46"/>
  <c r="N102" i="46" s="1"/>
  <c r="L5" i="46"/>
  <c r="M110" i="46"/>
  <c r="M111" i="46" s="1"/>
  <c r="L110" i="46"/>
  <c r="L111" i="46" s="1"/>
  <c r="K110" i="46"/>
  <c r="AT23" i="46" s="1"/>
  <c r="AT19" i="46"/>
  <c r="AT22" i="46" s="1"/>
  <c r="AT24" i="46" s="1"/>
  <c r="J110" i="46"/>
  <c r="H110" i="46"/>
  <c r="H111" i="46" s="1"/>
  <c r="I110" i="46"/>
  <c r="AS23" i="46" s="1"/>
  <c r="AS19" i="46"/>
  <c r="AS22" i="46" s="1"/>
  <c r="G5" i="46"/>
  <c r="H100" i="46"/>
  <c r="H102" i="46" s="1"/>
  <c r="H103" i="46" s="1"/>
  <c r="H7" i="46" s="1"/>
  <c r="AI104" i="46"/>
  <c r="I100" i="46"/>
  <c r="I102" i="46" s="1"/>
  <c r="AR19" i="46"/>
  <c r="AR22" i="46" s="1"/>
  <c r="AR24" i="46" s="1"/>
  <c r="G110" i="46"/>
  <c r="AR23" i="46" s="1"/>
  <c r="G100" i="46"/>
  <c r="G102" i="46" s="1"/>
  <c r="G103" i="46" s="1"/>
  <c r="G7" i="46" s="1"/>
  <c r="E5" i="46"/>
  <c r="F100" i="46"/>
  <c r="F102" i="46" s="1"/>
  <c r="AP19" i="46"/>
  <c r="E100" i="46"/>
  <c r="E102" i="46" s="1"/>
  <c r="AI79" i="46"/>
  <c r="AI65" i="46"/>
  <c r="AP16" i="46"/>
  <c r="AP22" i="46" s="1"/>
  <c r="D110" i="46"/>
  <c r="AO23" i="46" s="1"/>
  <c r="AO19" i="46"/>
  <c r="AI106" i="46"/>
  <c r="C110" i="46"/>
  <c r="AN23" i="46" s="1"/>
  <c r="AH106" i="46"/>
  <c r="AH104" i="46"/>
  <c r="AO22" i="46"/>
  <c r="AH65" i="46"/>
  <c r="AN22" i="46"/>
  <c r="AZ22" i="46"/>
  <c r="AZ24" i="46" s="1"/>
  <c r="AQ22" i="46"/>
  <c r="BA22" i="46"/>
  <c r="BA24" i="46" s="1"/>
  <c r="AH79" i="46"/>
  <c r="AH95" i="46"/>
  <c r="AM18" i="46"/>
  <c r="AI83" i="46"/>
  <c r="AH83" i="46"/>
  <c r="AI105" i="46"/>
  <c r="BH16" i="46"/>
  <c r="BH22" i="46" s="1"/>
  <c r="T111" i="46"/>
  <c r="U111" i="46"/>
  <c r="Q5" i="46"/>
  <c r="E110" i="46"/>
  <c r="AP23" i="46" s="1"/>
  <c r="AU23" i="46"/>
  <c r="U110" i="46"/>
  <c r="BC23" i="46" s="1"/>
  <c r="AC7" i="46"/>
  <c r="BJ16" i="46"/>
  <c r="BJ22" i="46" s="1"/>
  <c r="AG2" i="46"/>
  <c r="AG6" i="46" s="1"/>
  <c r="AU16" i="46"/>
  <c r="AU22" i="46" s="1"/>
  <c r="BC16" i="46"/>
  <c r="BC22" i="46" s="1"/>
  <c r="AM20" i="46"/>
  <c r="B100" i="46"/>
  <c r="J100" i="46"/>
  <c r="J102" i="46" s="1"/>
  <c r="R7" i="46"/>
  <c r="Z100" i="46"/>
  <c r="Z102" i="46" s="1"/>
  <c r="Z103" i="46" s="1"/>
  <c r="Z7" i="46" s="1"/>
  <c r="AH61" i="46"/>
  <c r="G111" i="46"/>
  <c r="O111" i="46"/>
  <c r="W111" i="46"/>
  <c r="F110" i="46"/>
  <c r="AQ23" i="46" s="1"/>
  <c r="N110" i="46"/>
  <c r="AV23" i="46" s="1"/>
  <c r="V110" i="46"/>
  <c r="BD23" i="46" s="1"/>
  <c r="BH23" i="46"/>
  <c r="B110" i="46"/>
  <c r="B111" i="46" s="1"/>
  <c r="H249" i="46"/>
  <c r="BG82" i="46" a="1"/>
  <c r="AI95" i="46"/>
  <c r="Z111" i="46"/>
  <c r="AH105" i="46"/>
  <c r="AM19" i="46"/>
  <c r="AL13" i="46"/>
  <c r="AV16" i="46"/>
  <c r="AV22" i="46" s="1"/>
  <c r="BD16" i="46"/>
  <c r="BD22" i="46" s="1"/>
  <c r="BF19" i="46"/>
  <c r="BF22" i="46" s="1"/>
  <c r="BF24" i="46" s="1"/>
  <c r="C100" i="46"/>
  <c r="C102" i="46" s="1"/>
  <c r="K100" i="46"/>
  <c r="K102" i="46" s="1"/>
  <c r="K103" i="46" s="1"/>
  <c r="K7" i="46" s="1"/>
  <c r="S100" i="46"/>
  <c r="S102" i="46" s="1"/>
  <c r="S103" i="46" s="1"/>
  <c r="S7" i="46" s="1"/>
  <c r="AA100" i="46"/>
  <c r="AA102" i="46" s="1"/>
  <c r="AA103" i="46" s="1"/>
  <c r="AA7" i="46" s="1"/>
  <c r="AI61" i="46"/>
  <c r="AH109" i="46"/>
  <c r="F254" i="46"/>
  <c r="E121" i="46"/>
  <c r="J111" i="46"/>
  <c r="Y5" i="46"/>
  <c r="BE16" i="46"/>
  <c r="BE22" i="46" s="1"/>
  <c r="D100" i="46"/>
  <c r="D102" i="46" s="1"/>
  <c r="L100" i="46"/>
  <c r="L102" i="46" s="1"/>
  <c r="T100" i="46"/>
  <c r="T102" i="46" s="1"/>
  <c r="AB7" i="46"/>
  <c r="AG102" i="46"/>
  <c r="AI108" i="46"/>
  <c r="AI109" i="46"/>
  <c r="E255" i="46"/>
  <c r="AH107" i="46"/>
  <c r="AH108" i="46"/>
  <c r="BJ24" i="46" l="1"/>
  <c r="BG24" i="46"/>
  <c r="V111" i="46"/>
  <c r="BE24" i="46"/>
  <c r="X111" i="46"/>
  <c r="J103" i="46"/>
  <c r="J7" i="46" s="1"/>
  <c r="AS24" i="46"/>
  <c r="P111" i="46"/>
  <c r="C111" i="46"/>
  <c r="L103" i="46"/>
  <c r="L7" i="46" s="1"/>
  <c r="I103" i="46"/>
  <c r="I7" i="46" s="1"/>
  <c r="X103" i="46"/>
  <c r="X7" i="46" s="1"/>
  <c r="T103" i="46"/>
  <c r="T7" i="46" s="1"/>
  <c r="BB24" i="46"/>
  <c r="AX24" i="46"/>
  <c r="P103" i="46"/>
  <c r="P7" i="46" s="1"/>
  <c r="N111" i="46"/>
  <c r="M103" i="46"/>
  <c r="M7" i="46" s="1"/>
  <c r="K111" i="46"/>
  <c r="I111" i="46"/>
  <c r="F111" i="46"/>
  <c r="AP24" i="46"/>
  <c r="E111" i="46"/>
  <c r="AN24" i="46"/>
  <c r="C103" i="46"/>
  <c r="C7" i="46" s="1"/>
  <c r="AO24" i="46"/>
  <c r="D103" i="46"/>
  <c r="D7" i="46" s="1"/>
  <c r="D111" i="46"/>
  <c r="N103" i="46"/>
  <c r="N7" i="46" s="1"/>
  <c r="G254" i="46"/>
  <c r="F121" i="46"/>
  <c r="AQ24" i="46"/>
  <c r="AV24" i="46"/>
  <c r="F255" i="46"/>
  <c r="U103" i="46"/>
  <c r="U7" i="46" s="1"/>
  <c r="BH24" i="46"/>
  <c r="BD24" i="46"/>
  <c r="AI100" i="46"/>
  <c r="AH100" i="46"/>
  <c r="B102" i="46"/>
  <c r="F103" i="46"/>
  <c r="F7" i="46" s="1"/>
  <c r="I249" i="46"/>
  <c r="BC24" i="46"/>
  <c r="B259" i="46"/>
  <c r="V103" i="46"/>
  <c r="V7" i="46" s="1"/>
  <c r="BJ105" i="46"/>
  <c r="BH104" i="46"/>
  <c r="BL102" i="46"/>
  <c r="BJ101" i="46"/>
  <c r="BH100" i="46"/>
  <c r="BL98" i="46"/>
  <c r="BJ97" i="46"/>
  <c r="BH96" i="46"/>
  <c r="BL94" i="46"/>
  <c r="BI105" i="46"/>
  <c r="BG104" i="46"/>
  <c r="BK102" i="46"/>
  <c r="BI101" i="46"/>
  <c r="BG100" i="46"/>
  <c r="BK98" i="46"/>
  <c r="BI97" i="46"/>
  <c r="BG96" i="46"/>
  <c r="BK94" i="46"/>
  <c r="BI93" i="46"/>
  <c r="BG92" i="46"/>
  <c r="BK90" i="46"/>
  <c r="BI89" i="46"/>
  <c r="BG88" i="46"/>
  <c r="BK86" i="46"/>
  <c r="BI85" i="46"/>
  <c r="BG84" i="46"/>
  <c r="BK82" i="46"/>
  <c r="BH105" i="46"/>
  <c r="BL103" i="46"/>
  <c r="BJ102" i="46"/>
  <c r="BH101" i="46"/>
  <c r="BL99" i="46"/>
  <c r="BJ98" i="46"/>
  <c r="BH97" i="46"/>
  <c r="BL95" i="46"/>
  <c r="BJ94" i="46"/>
  <c r="BH93" i="46"/>
  <c r="BL91" i="46"/>
  <c r="BL104" i="46"/>
  <c r="BJ103" i="46"/>
  <c r="BH102" i="46"/>
  <c r="BL100" i="46"/>
  <c r="BJ99" i="46"/>
  <c r="BH98" i="46"/>
  <c r="BL96" i="46"/>
  <c r="BJ95" i="46"/>
  <c r="BH94" i="46"/>
  <c r="BL92" i="46"/>
  <c r="BJ91" i="46"/>
  <c r="BH90" i="46"/>
  <c r="BL88" i="46"/>
  <c r="BJ87" i="46"/>
  <c r="BH86" i="46"/>
  <c r="BL84" i="46"/>
  <c r="BJ83" i="46"/>
  <c r="BH82" i="46"/>
  <c r="BK105" i="46"/>
  <c r="BG103" i="46"/>
  <c r="BI100" i="46"/>
  <c r="BK97" i="46"/>
  <c r="BG95" i="46"/>
  <c r="BJ92" i="46"/>
  <c r="BJ90" i="46"/>
  <c r="BK88" i="46"/>
  <c r="BG87" i="46"/>
  <c r="BH85" i="46"/>
  <c r="BI83" i="46"/>
  <c r="BG105" i="46"/>
  <c r="BI102" i="46"/>
  <c r="BK99" i="46"/>
  <c r="BG97" i="46"/>
  <c r="BI94" i="46"/>
  <c r="BI92" i="46"/>
  <c r="BI90" i="46"/>
  <c r="BJ88" i="46"/>
  <c r="BL86" i="46"/>
  <c r="BG85" i="46"/>
  <c r="BH83" i="46"/>
  <c r="BL97" i="46"/>
  <c r="BH95" i="46"/>
  <c r="BH87" i="46"/>
  <c r="BK104" i="46"/>
  <c r="BG102" i="46"/>
  <c r="BI99" i="46"/>
  <c r="BK96" i="46"/>
  <c r="BG94" i="46"/>
  <c r="BH92" i="46"/>
  <c r="BG90" i="46"/>
  <c r="BI88" i="46"/>
  <c r="BJ86" i="46"/>
  <c r="BK84" i="46"/>
  <c r="BG83" i="46"/>
  <c r="BG89" i="46"/>
  <c r="BJ104" i="46"/>
  <c r="BL101" i="46"/>
  <c r="BH99" i="46"/>
  <c r="BJ96" i="46"/>
  <c r="BL93" i="46"/>
  <c r="BK91" i="46"/>
  <c r="BL89" i="46"/>
  <c r="BH88" i="46"/>
  <c r="BI86" i="46"/>
  <c r="BJ84" i="46"/>
  <c r="BL82" i="46"/>
  <c r="BI104" i="46"/>
  <c r="BK101" i="46"/>
  <c r="BG99" i="46"/>
  <c r="BI96" i="46"/>
  <c r="BK93" i="46"/>
  <c r="BI91" i="46"/>
  <c r="BK89" i="46"/>
  <c r="BL87" i="46"/>
  <c r="BG86" i="46"/>
  <c r="BI84" i="46"/>
  <c r="BJ82" i="46"/>
  <c r="BK103" i="46"/>
  <c r="BG101" i="46"/>
  <c r="BI98" i="46"/>
  <c r="BK95" i="46"/>
  <c r="BJ93" i="46"/>
  <c r="BH91" i="46"/>
  <c r="BJ89" i="46"/>
  <c r="BK87" i="46"/>
  <c r="BL85" i="46"/>
  <c r="BH84" i="46"/>
  <c r="BI82" i="46"/>
  <c r="BI103" i="46"/>
  <c r="BK100" i="46"/>
  <c r="BG98" i="46"/>
  <c r="BI95" i="46"/>
  <c r="BG93" i="46"/>
  <c r="BG91" i="46"/>
  <c r="BH89" i="46"/>
  <c r="BI87" i="46"/>
  <c r="BK85" i="46"/>
  <c r="BL83" i="46"/>
  <c r="BG82" i="46"/>
  <c r="BL105" i="46"/>
  <c r="BH103" i="46"/>
  <c r="BJ100" i="46"/>
  <c r="BK92" i="46"/>
  <c r="BL90" i="46"/>
  <c r="BJ85" i="46"/>
  <c r="BK83" i="46"/>
  <c r="AH110" i="46"/>
  <c r="AM23" i="46"/>
  <c r="AI110" i="46"/>
  <c r="AU24" i="46"/>
  <c r="C259" i="46"/>
  <c r="AM22" i="46"/>
  <c r="E103" i="46"/>
  <c r="E7" i="46" s="1"/>
  <c r="AI111" i="46" l="1"/>
  <c r="AH111" i="46"/>
  <c r="B103" i="46"/>
  <c r="AH102" i="46"/>
  <c r="AI102" i="46"/>
  <c r="J249" i="46"/>
  <c r="AM24" i="46"/>
  <c r="AT9" i="46" s="1"/>
  <c r="AT8" i="46"/>
  <c r="K6" i="46"/>
  <c r="H254" i="46"/>
  <c r="G121" i="46"/>
  <c r="G255" i="46"/>
  <c r="K249" i="46" l="1"/>
  <c r="I254" i="46"/>
  <c r="H255" i="46"/>
  <c r="H121" i="46"/>
  <c r="AI103" i="46"/>
  <c r="B7" i="46"/>
  <c r="A7" i="46" s="1"/>
  <c r="AH103" i="46"/>
  <c r="J254" i="46" l="1"/>
  <c r="I255" i="46"/>
  <c r="I121" i="46"/>
  <c r="L249" i="46"/>
  <c r="M249" i="46" l="1"/>
  <c r="K254" i="46"/>
  <c r="J255" i="46"/>
  <c r="J121" i="46"/>
  <c r="L254" i="46" l="1"/>
  <c r="K121" i="46"/>
  <c r="K255" i="46"/>
  <c r="N249" i="46"/>
  <c r="O249" i="46" l="1"/>
  <c r="M254" i="46"/>
  <c r="M121" i="46" s="1"/>
  <c r="L255" i="46"/>
  <c r="L121" i="46"/>
  <c r="N254" i="46" l="1"/>
  <c r="M255" i="46"/>
  <c r="P249" i="46"/>
  <c r="AB83" i="45"/>
  <c r="AB79" i="45"/>
  <c r="AA121" i="45"/>
  <c r="AA109" i="45"/>
  <c r="AA108" i="45"/>
  <c r="AA107" i="45"/>
  <c r="AA106" i="45"/>
  <c r="AA105" i="45"/>
  <c r="AA104" i="45"/>
  <c r="AA110" i="45" s="1"/>
  <c r="AA95" i="45"/>
  <c r="AA111" i="45" s="1"/>
  <c r="AA83" i="45"/>
  <c r="AA79" i="45"/>
  <c r="AA65" i="45"/>
  <c r="AA61" i="45"/>
  <c r="AA100" i="45" s="1"/>
  <c r="AA102" i="45" s="1"/>
  <c r="AA103" i="45" s="1"/>
  <c r="Q249" i="46" l="1"/>
  <c r="O254" i="46"/>
  <c r="N255" i="46"/>
  <c r="N121" i="46"/>
  <c r="P254" i="46" l="1"/>
  <c r="O255" i="46"/>
  <c r="O121" i="46"/>
  <c r="R249" i="46"/>
  <c r="S249" i="46" l="1"/>
  <c r="Q254" i="46"/>
  <c r="P255" i="46"/>
  <c r="R254" i="46" l="1"/>
  <c r="Q255" i="46"/>
  <c r="Q121" i="46"/>
  <c r="T249" i="46"/>
  <c r="U249" i="46" l="1"/>
  <c r="S254" i="46"/>
  <c r="R255" i="46"/>
  <c r="R121" i="46"/>
  <c r="T254" i="46" l="1"/>
  <c r="S255" i="46"/>
  <c r="S121" i="46"/>
  <c r="V249" i="46"/>
  <c r="W249" i="46" l="1"/>
  <c r="U254" i="46"/>
  <c r="T121" i="46"/>
  <c r="T255" i="46"/>
  <c r="V254" i="46" l="1"/>
  <c r="U121" i="46"/>
  <c r="U255" i="46"/>
  <c r="X249" i="46"/>
  <c r="W254" i="46" l="1"/>
  <c r="V121" i="46"/>
  <c r="V255" i="46"/>
  <c r="Y249" i="46"/>
  <c r="X254" i="46" l="1"/>
  <c r="W121" i="46"/>
  <c r="W255" i="46"/>
  <c r="Z249" i="46"/>
  <c r="AA249" i="46" l="1"/>
  <c r="Y254" i="46"/>
  <c r="X121" i="46"/>
  <c r="X255" i="46"/>
  <c r="Z254" i="46" l="1"/>
  <c r="Y255" i="46"/>
  <c r="AB249" i="46"/>
  <c r="AA254" i="46" l="1"/>
  <c r="Z255" i="46"/>
  <c r="AC249" i="46"/>
  <c r="AD249" i="46" l="1"/>
  <c r="AB254" i="46"/>
  <c r="AA255" i="46"/>
  <c r="AA121" i="46"/>
  <c r="AC254" i="46" l="1"/>
  <c r="AB255" i="46"/>
  <c r="AE249" i="46"/>
  <c r="AF249" i="46" l="1"/>
  <c r="AD254" i="46"/>
  <c r="AC255" i="46"/>
  <c r="B249" i="46" l="1"/>
  <c r="AE254" i="46"/>
  <c r="AD255" i="46"/>
  <c r="AF254" i="46" l="1"/>
  <c r="AE255" i="46"/>
  <c r="B254" i="46" l="1"/>
  <c r="AF255" i="46"/>
  <c r="B255" i="46" l="1"/>
  <c r="B121" i="46"/>
  <c r="AI121" i="46" l="1"/>
  <c r="AH121" i="46"/>
  <c r="Z61" i="45" l="1"/>
  <c r="Z65" i="45"/>
  <c r="Z79" i="45"/>
  <c r="Z83" i="45"/>
  <c r="Z95" i="45"/>
  <c r="Z104" i="45"/>
  <c r="Z110" i="45" s="1"/>
  <c r="Z105" i="45"/>
  <c r="Z106" i="45"/>
  <c r="Z107" i="45"/>
  <c r="Z108" i="45"/>
  <c r="Z109" i="45"/>
  <c r="Z121" i="45"/>
  <c r="Y61" i="45"/>
  <c r="Y65" i="45"/>
  <c r="Y79" i="45"/>
  <c r="Y83" i="45"/>
  <c r="Y95" i="45"/>
  <c r="Y104" i="45"/>
  <c r="Y105" i="45"/>
  <c r="Y106" i="45"/>
  <c r="Y107" i="45"/>
  <c r="Y108" i="45"/>
  <c r="Y109" i="45"/>
  <c r="Y121" i="45"/>
  <c r="X61" i="45"/>
  <c r="X65" i="45"/>
  <c r="X79" i="45"/>
  <c r="X83" i="45"/>
  <c r="X95" i="45"/>
  <c r="X104" i="45"/>
  <c r="X110" i="45" s="1"/>
  <c r="X105" i="45"/>
  <c r="X106" i="45"/>
  <c r="X107" i="45"/>
  <c r="X108" i="45"/>
  <c r="X109" i="45"/>
  <c r="X121" i="45"/>
  <c r="W61" i="45"/>
  <c r="W65" i="45"/>
  <c r="W79" i="45"/>
  <c r="W83" i="45"/>
  <c r="W95" i="45"/>
  <c r="W104" i="45"/>
  <c r="W105" i="45"/>
  <c r="W106" i="45"/>
  <c r="W107" i="45"/>
  <c r="W108" i="45"/>
  <c r="W109" i="45"/>
  <c r="W121" i="45"/>
  <c r="V61" i="45"/>
  <c r="V65" i="45"/>
  <c r="V79" i="45"/>
  <c r="V83" i="45"/>
  <c r="V95" i="45"/>
  <c r="V104" i="45"/>
  <c r="V105" i="45"/>
  <c r="V106" i="45"/>
  <c r="V107" i="45"/>
  <c r="V108" i="45"/>
  <c r="V109" i="45"/>
  <c r="V121" i="45"/>
  <c r="W100" i="45" l="1"/>
  <c r="W102" i="45" s="1"/>
  <c r="X100" i="45"/>
  <c r="X102" i="45" s="1"/>
  <c r="Z111" i="45"/>
  <c r="Z100" i="45"/>
  <c r="Z102" i="45" s="1"/>
  <c r="Z103" i="45" s="1"/>
  <c r="Y110" i="45"/>
  <c r="Y111" i="45" s="1"/>
  <c r="Y100" i="45"/>
  <c r="Y102" i="45" s="1"/>
  <c r="X103" i="45"/>
  <c r="X111" i="45"/>
  <c r="W110" i="45"/>
  <c r="W103" i="45" s="1"/>
  <c r="V110" i="45"/>
  <c r="V111" i="45" s="1"/>
  <c r="V100" i="45"/>
  <c r="V102" i="45" s="1"/>
  <c r="V103" i="45" s="1"/>
  <c r="Y103" i="45" l="1"/>
  <c r="W111" i="45"/>
  <c r="U61" i="45" l="1"/>
  <c r="U65" i="45"/>
  <c r="U79" i="45"/>
  <c r="U83" i="45"/>
  <c r="U95" i="45"/>
  <c r="U104" i="45"/>
  <c r="U105" i="45"/>
  <c r="U106" i="45"/>
  <c r="U107" i="45"/>
  <c r="U108" i="45"/>
  <c r="U109" i="45"/>
  <c r="U121" i="45"/>
  <c r="U110" i="45" l="1"/>
  <c r="U111" i="45" s="1"/>
  <c r="U100" i="45"/>
  <c r="U102" i="45" s="1"/>
  <c r="T61" i="45"/>
  <c r="T65" i="45"/>
  <c r="T79" i="45"/>
  <c r="T83" i="45"/>
  <c r="T95" i="45"/>
  <c r="T104" i="45"/>
  <c r="T105" i="45"/>
  <c r="T106" i="45"/>
  <c r="T107" i="45"/>
  <c r="T108" i="45"/>
  <c r="T109" i="45"/>
  <c r="T121" i="45"/>
  <c r="U103" i="45" l="1"/>
  <c r="T110" i="45"/>
  <c r="T111" i="45" s="1"/>
  <c r="T100" i="45"/>
  <c r="T102" i="45" s="1"/>
  <c r="T103" i="45" s="1"/>
  <c r="S61" i="45"/>
  <c r="S65" i="45"/>
  <c r="S79" i="45"/>
  <c r="S83" i="45"/>
  <c r="S95" i="45"/>
  <c r="S104" i="45"/>
  <c r="S105" i="45"/>
  <c r="S106" i="45"/>
  <c r="S107" i="45"/>
  <c r="S108" i="45"/>
  <c r="S109" i="45"/>
  <c r="S121" i="45"/>
  <c r="S124" i="45"/>
  <c r="R124" i="45"/>
  <c r="R60" i="45"/>
  <c r="Q60" i="45"/>
  <c r="S110" i="45" l="1"/>
  <c r="S111" i="45" s="1"/>
  <c r="S100" i="45"/>
  <c r="S102" i="45" s="1"/>
  <c r="S103" i="45" s="1"/>
  <c r="P124" i="45" l="1"/>
  <c r="P60" i="45"/>
  <c r="O124" i="45"/>
  <c r="O60" i="45"/>
  <c r="N124" i="45" l="1"/>
  <c r="N60" i="45"/>
  <c r="M124" i="45" l="1"/>
  <c r="M60" i="45"/>
  <c r="B60" i="45" l="1"/>
  <c r="AG255" i="45" l="1"/>
  <c r="C255" i="45"/>
  <c r="E254" i="45"/>
  <c r="D254" i="45"/>
  <c r="E253" i="45"/>
  <c r="F253" i="45" s="1"/>
  <c r="G253" i="45" s="1"/>
  <c r="H253" i="45" s="1"/>
  <c r="I253" i="45" s="1"/>
  <c r="J253" i="45" s="1"/>
  <c r="K253" i="45" s="1"/>
  <c r="L253" i="45" s="1"/>
  <c r="M253" i="45" s="1"/>
  <c r="N253" i="45" s="1"/>
  <c r="O253" i="45" s="1"/>
  <c r="P253" i="45" s="1"/>
  <c r="Q253" i="45" s="1"/>
  <c r="R253" i="45" s="1"/>
  <c r="S253" i="45" s="1"/>
  <c r="T253" i="45" s="1"/>
  <c r="U253" i="45" s="1"/>
  <c r="V253" i="45" s="1"/>
  <c r="W253" i="45" s="1"/>
  <c r="X253" i="45" s="1"/>
  <c r="Y253" i="45" s="1"/>
  <c r="Z253" i="45" s="1"/>
  <c r="AA253" i="45" s="1"/>
  <c r="AB253" i="45" s="1"/>
  <c r="AC253" i="45" s="1"/>
  <c r="AD253" i="45" s="1"/>
  <c r="AE253" i="45" s="1"/>
  <c r="AF253" i="45" s="1"/>
  <c r="B253" i="45" s="1"/>
  <c r="D253" i="45"/>
  <c r="I252" i="45"/>
  <c r="J252" i="45" s="1"/>
  <c r="K252" i="45" s="1"/>
  <c r="L252" i="45" s="1"/>
  <c r="M252" i="45" s="1"/>
  <c r="N252" i="45" s="1"/>
  <c r="O252" i="45" s="1"/>
  <c r="P252" i="45" s="1"/>
  <c r="Q252" i="45" s="1"/>
  <c r="R252" i="45" s="1"/>
  <c r="S252" i="45" s="1"/>
  <c r="T252" i="45" s="1"/>
  <c r="U252" i="45" s="1"/>
  <c r="V252" i="45" s="1"/>
  <c r="W252" i="45" s="1"/>
  <c r="X252" i="45" s="1"/>
  <c r="Y252" i="45" s="1"/>
  <c r="Z252" i="45" s="1"/>
  <c r="AA252" i="45" s="1"/>
  <c r="AB252" i="45" s="1"/>
  <c r="AC252" i="45" s="1"/>
  <c r="AD252" i="45" s="1"/>
  <c r="AE252" i="45" s="1"/>
  <c r="AF252" i="45" s="1"/>
  <c r="B252" i="45" s="1"/>
  <c r="D252" i="45"/>
  <c r="E252" i="45" s="1"/>
  <c r="F252" i="45" s="1"/>
  <c r="G252" i="45" s="1"/>
  <c r="H252" i="45" s="1"/>
  <c r="W251" i="45"/>
  <c r="X251" i="45" s="1"/>
  <c r="Y251" i="45" s="1"/>
  <c r="Z251" i="45" s="1"/>
  <c r="AA251" i="45" s="1"/>
  <c r="AB251" i="45" s="1"/>
  <c r="AC251" i="45" s="1"/>
  <c r="AD251" i="45" s="1"/>
  <c r="AE251" i="45" s="1"/>
  <c r="AF251" i="45" s="1"/>
  <c r="B251" i="45" s="1"/>
  <c r="O251" i="45"/>
  <c r="P251" i="45" s="1"/>
  <c r="Q251" i="45" s="1"/>
  <c r="R251" i="45" s="1"/>
  <c r="S251" i="45" s="1"/>
  <c r="T251" i="45" s="1"/>
  <c r="U251" i="45" s="1"/>
  <c r="V251" i="45" s="1"/>
  <c r="G251" i="45"/>
  <c r="H251" i="45" s="1"/>
  <c r="I251" i="45" s="1"/>
  <c r="J251" i="45" s="1"/>
  <c r="K251" i="45" s="1"/>
  <c r="L251" i="45" s="1"/>
  <c r="M251" i="45" s="1"/>
  <c r="N251" i="45" s="1"/>
  <c r="D251" i="45"/>
  <c r="E251" i="45" s="1"/>
  <c r="F251" i="45" s="1"/>
  <c r="E250" i="45"/>
  <c r="F250" i="45" s="1"/>
  <c r="G250" i="45" s="1"/>
  <c r="H250" i="45" s="1"/>
  <c r="I250" i="45" s="1"/>
  <c r="J250" i="45" s="1"/>
  <c r="K250" i="45" s="1"/>
  <c r="L250" i="45" s="1"/>
  <c r="M250" i="45" s="1"/>
  <c r="N250" i="45" s="1"/>
  <c r="O250" i="45" s="1"/>
  <c r="P250" i="45" s="1"/>
  <c r="Q250" i="45" s="1"/>
  <c r="R250" i="45" s="1"/>
  <c r="S250" i="45" s="1"/>
  <c r="T250" i="45" s="1"/>
  <c r="U250" i="45" s="1"/>
  <c r="V250" i="45" s="1"/>
  <c r="W250" i="45" s="1"/>
  <c r="X250" i="45" s="1"/>
  <c r="Y250" i="45" s="1"/>
  <c r="Z250" i="45" s="1"/>
  <c r="AA250" i="45" s="1"/>
  <c r="AB250" i="45" s="1"/>
  <c r="AC250" i="45" s="1"/>
  <c r="AD250" i="45" s="1"/>
  <c r="AE250" i="45" s="1"/>
  <c r="AF250" i="45" s="1"/>
  <c r="B250" i="45" s="1"/>
  <c r="D250" i="45"/>
  <c r="E249" i="45"/>
  <c r="F249" i="45" s="1"/>
  <c r="G249" i="45" s="1"/>
  <c r="D249" i="45"/>
  <c r="D255" i="45" s="1"/>
  <c r="AG247" i="45"/>
  <c r="AF247" i="45"/>
  <c r="AE247" i="45"/>
  <c r="AD247" i="45"/>
  <c r="AC247" i="45"/>
  <c r="AB247" i="45"/>
  <c r="AA247" i="45"/>
  <c r="Z247" i="45"/>
  <c r="Y247" i="45"/>
  <c r="X247" i="45"/>
  <c r="W247" i="45"/>
  <c r="V247" i="45"/>
  <c r="U247" i="45"/>
  <c r="T247" i="45"/>
  <c r="S247" i="45"/>
  <c r="R247" i="45"/>
  <c r="Q247" i="45"/>
  <c r="P247" i="45"/>
  <c r="O247" i="45"/>
  <c r="N247" i="45"/>
  <c r="M247" i="45"/>
  <c r="L247" i="45"/>
  <c r="K247" i="45"/>
  <c r="J247" i="45"/>
  <c r="I247" i="45"/>
  <c r="H247" i="45"/>
  <c r="G247" i="45"/>
  <c r="F247" i="45"/>
  <c r="E247" i="45"/>
  <c r="D247" i="45"/>
  <c r="C247" i="45"/>
  <c r="B247" i="45"/>
  <c r="AI133" i="45"/>
  <c r="AH133" i="45"/>
  <c r="AI132" i="45"/>
  <c r="AH132" i="45"/>
  <c r="AI131" i="45"/>
  <c r="AH131" i="45"/>
  <c r="AI130" i="45"/>
  <c r="AH130" i="45"/>
  <c r="AI129" i="45"/>
  <c r="AH129" i="45"/>
  <c r="AI126" i="45"/>
  <c r="AH126" i="45"/>
  <c r="AI125" i="45"/>
  <c r="AH125" i="45"/>
  <c r="AI124" i="45"/>
  <c r="AH124" i="45"/>
  <c r="AI123" i="45"/>
  <c r="AH123" i="45"/>
  <c r="AI122" i="45"/>
  <c r="AH122" i="45"/>
  <c r="D121" i="45"/>
  <c r="C121" i="45"/>
  <c r="AI120" i="45"/>
  <c r="AH120" i="45"/>
  <c r="AI119" i="45"/>
  <c r="AH119" i="45"/>
  <c r="AI118" i="45"/>
  <c r="AH118" i="45"/>
  <c r="AI117" i="45"/>
  <c r="AH117" i="45"/>
  <c r="AI116" i="45"/>
  <c r="AH116" i="45"/>
  <c r="AI115" i="45"/>
  <c r="AH115" i="45"/>
  <c r="AI114" i="45"/>
  <c r="AH114" i="45"/>
  <c r="AI113" i="45"/>
  <c r="AH113" i="45"/>
  <c r="AI112" i="45"/>
  <c r="AH112" i="45"/>
  <c r="AF109" i="45"/>
  <c r="AE109" i="45"/>
  <c r="AD109" i="45"/>
  <c r="AC109" i="45"/>
  <c r="AB109" i="45"/>
  <c r="R109" i="45"/>
  <c r="Q109" i="45"/>
  <c r="P109" i="45"/>
  <c r="O109" i="45"/>
  <c r="N109" i="45"/>
  <c r="M109" i="45"/>
  <c r="L109" i="45"/>
  <c r="K109" i="45"/>
  <c r="J109" i="45"/>
  <c r="I109" i="45"/>
  <c r="H109" i="45"/>
  <c r="G109" i="45"/>
  <c r="F109" i="45"/>
  <c r="E109" i="45"/>
  <c r="D109" i="45"/>
  <c r="C109" i="45"/>
  <c r="B109" i="45"/>
  <c r="AF108" i="45"/>
  <c r="AE108" i="45"/>
  <c r="AD108" i="45"/>
  <c r="AC108" i="45"/>
  <c r="AB108" i="45"/>
  <c r="R108" i="45"/>
  <c r="Q108" i="45"/>
  <c r="P108" i="45"/>
  <c r="O108" i="45"/>
  <c r="N108" i="45"/>
  <c r="M108" i="45"/>
  <c r="L108" i="45"/>
  <c r="K108" i="45"/>
  <c r="J108" i="45"/>
  <c r="I108" i="45"/>
  <c r="H108" i="45"/>
  <c r="G108" i="45"/>
  <c r="F108" i="45"/>
  <c r="E108" i="45"/>
  <c r="D108" i="45"/>
  <c r="C108" i="45"/>
  <c r="B108" i="45"/>
  <c r="AF107" i="45"/>
  <c r="AE107" i="45"/>
  <c r="AD107" i="45"/>
  <c r="AC107" i="45"/>
  <c r="AB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C107" i="45"/>
  <c r="B107" i="45"/>
  <c r="AF106" i="45"/>
  <c r="AE106" i="45"/>
  <c r="AD106" i="45"/>
  <c r="AC106" i="45"/>
  <c r="AB106" i="45"/>
  <c r="R106" i="45"/>
  <c r="Q106" i="45"/>
  <c r="P106" i="45"/>
  <c r="O106" i="45"/>
  <c r="N106" i="45"/>
  <c r="M106" i="45"/>
  <c r="L106" i="45"/>
  <c r="K106" i="45"/>
  <c r="J106" i="45"/>
  <c r="I106" i="45"/>
  <c r="H106" i="45"/>
  <c r="G106" i="45"/>
  <c r="F106" i="45"/>
  <c r="E106" i="45"/>
  <c r="D106" i="45"/>
  <c r="C106" i="45"/>
  <c r="B106" i="45"/>
  <c r="AF105" i="45"/>
  <c r="AE105" i="45"/>
  <c r="AD105" i="45"/>
  <c r="AC105" i="45"/>
  <c r="AB105" i="45"/>
  <c r="R105" i="45"/>
  <c r="Q105" i="45"/>
  <c r="P105" i="45"/>
  <c r="O105" i="45"/>
  <c r="N105" i="45"/>
  <c r="M105" i="45"/>
  <c r="L105" i="45"/>
  <c r="K105" i="45"/>
  <c r="J105" i="45"/>
  <c r="I105" i="45"/>
  <c r="H105" i="45"/>
  <c r="G105" i="45"/>
  <c r="AH105" i="45" s="1"/>
  <c r="F105" i="45"/>
  <c r="E105" i="45"/>
  <c r="D105" i="45"/>
  <c r="C105" i="45"/>
  <c r="B105" i="45"/>
  <c r="AF104" i="45"/>
  <c r="AE104" i="45"/>
  <c r="AD104" i="45"/>
  <c r="AC104" i="45"/>
  <c r="AB104" i="45"/>
  <c r="BF23" i="45"/>
  <c r="R104" i="45"/>
  <c r="Q104" i="45"/>
  <c r="P104" i="45"/>
  <c r="O104" i="45"/>
  <c r="N104" i="45"/>
  <c r="M104" i="45"/>
  <c r="L104" i="45"/>
  <c r="K104" i="45"/>
  <c r="K110" i="45" s="1"/>
  <c r="J104" i="45"/>
  <c r="I104" i="45"/>
  <c r="H104" i="45"/>
  <c r="G104" i="45"/>
  <c r="F104" i="45"/>
  <c r="F110" i="45" s="1"/>
  <c r="AQ23" i="45" s="1"/>
  <c r="E104" i="45"/>
  <c r="D104" i="45"/>
  <c r="C104" i="45"/>
  <c r="B104" i="45"/>
  <c r="AI101" i="45"/>
  <c r="AH101" i="45"/>
  <c r="AI99" i="45"/>
  <c r="AH99" i="45"/>
  <c r="AG99" i="45"/>
  <c r="AI98" i="45"/>
  <c r="AH98" i="45"/>
  <c r="AI97" i="45"/>
  <c r="AH97" i="45"/>
  <c r="AI96" i="45"/>
  <c r="AH96" i="45"/>
  <c r="AG95" i="45"/>
  <c r="AF95" i="45"/>
  <c r="AE95" i="45"/>
  <c r="AD5" i="45" s="1"/>
  <c r="AD95" i="45"/>
  <c r="AD100" i="45" s="1"/>
  <c r="AD102" i="45" s="1"/>
  <c r="AC95" i="45"/>
  <c r="AB95" i="45"/>
  <c r="BG19" i="45" s="1"/>
  <c r="Y5" i="45"/>
  <c r="R95" i="45"/>
  <c r="Q5" i="45" s="1"/>
  <c r="Q95" i="45"/>
  <c r="P5" i="45" s="1"/>
  <c r="P95" i="45"/>
  <c r="O95" i="45"/>
  <c r="N95" i="45"/>
  <c r="M95" i="45"/>
  <c r="AU19" i="45" s="1"/>
  <c r="L95" i="45"/>
  <c r="K5" i="45" s="1"/>
  <c r="K95" i="45"/>
  <c r="K111" i="45" s="1"/>
  <c r="J95" i="45"/>
  <c r="I5" i="45" s="1"/>
  <c r="I95" i="45"/>
  <c r="H5" i="45" s="1"/>
  <c r="H95" i="45"/>
  <c r="G95" i="45"/>
  <c r="F95" i="45"/>
  <c r="AQ19" i="45" s="1"/>
  <c r="E95" i="45"/>
  <c r="D5" i="45" s="1"/>
  <c r="D95" i="45"/>
  <c r="C95" i="45"/>
  <c r="B5" i="45" s="1"/>
  <c r="B95" i="45"/>
  <c r="AM19" i="45" s="1"/>
  <c r="AI94" i="45"/>
  <c r="AH94" i="45"/>
  <c r="AI93" i="45"/>
  <c r="AH93" i="45"/>
  <c r="AI92" i="45"/>
  <c r="AH92" i="45"/>
  <c r="AI91" i="45"/>
  <c r="AH91" i="45"/>
  <c r="AI90" i="45"/>
  <c r="AH90" i="45"/>
  <c r="AI89" i="45"/>
  <c r="AH89" i="45"/>
  <c r="AI88" i="45"/>
  <c r="AH88" i="45"/>
  <c r="AI87" i="45"/>
  <c r="AH87" i="45"/>
  <c r="AI86" i="45"/>
  <c r="AH86" i="45"/>
  <c r="AI85" i="45"/>
  <c r="AH85" i="45"/>
  <c r="AI84" i="45"/>
  <c r="AH84" i="45"/>
  <c r="AG83" i="45"/>
  <c r="AF83" i="45"/>
  <c r="AE83" i="45"/>
  <c r="BI20" i="45" s="1"/>
  <c r="AD83" i="45"/>
  <c r="AC83" i="45"/>
  <c r="R83" i="45"/>
  <c r="Q83" i="45"/>
  <c r="P83" i="45"/>
  <c r="AX20" i="45" s="1"/>
  <c r="O83" i="45"/>
  <c r="N83" i="45"/>
  <c r="M83" i="45"/>
  <c r="L83" i="45"/>
  <c r="K83" i="45"/>
  <c r="J83" i="45"/>
  <c r="I83" i="45"/>
  <c r="H83" i="45"/>
  <c r="G83" i="45"/>
  <c r="F83" i="45"/>
  <c r="E83" i="45"/>
  <c r="D83" i="45"/>
  <c r="C83" i="45"/>
  <c r="B83" i="45"/>
  <c r="AI82" i="45"/>
  <c r="AH82" i="45"/>
  <c r="AI81" i="45"/>
  <c r="AH81" i="45"/>
  <c r="AI80" i="45"/>
  <c r="AH80" i="45"/>
  <c r="AG79" i="45"/>
  <c r="AF79" i="45"/>
  <c r="AE79" i="45"/>
  <c r="AD79" i="45"/>
  <c r="AC79" i="45"/>
  <c r="BG18" i="45"/>
  <c r="BA18" i="45"/>
  <c r="R79" i="45"/>
  <c r="Q79" i="45"/>
  <c r="P79" i="45"/>
  <c r="O79" i="45"/>
  <c r="N79" i="45"/>
  <c r="AV18" i="45" s="1"/>
  <c r="M79" i="45"/>
  <c r="AU18" i="45" s="1"/>
  <c r="L79" i="45"/>
  <c r="K79" i="45"/>
  <c r="AT18" i="45" s="1"/>
  <c r="J79" i="45"/>
  <c r="I79" i="45"/>
  <c r="H79" i="45"/>
  <c r="G79" i="45"/>
  <c r="AR18" i="45" s="1"/>
  <c r="F79" i="45"/>
  <c r="AQ18" i="45" s="1"/>
  <c r="E79" i="45"/>
  <c r="D79" i="45"/>
  <c r="C79" i="45"/>
  <c r="AN18" i="45" s="1"/>
  <c r="B79" i="45"/>
  <c r="BS78" i="45"/>
  <c r="BH78" i="45"/>
  <c r="BE78" i="45"/>
  <c r="BC78" i="45"/>
  <c r="AI78" i="45"/>
  <c r="AH78" i="45"/>
  <c r="AG78" i="45"/>
  <c r="BW77" i="45"/>
  <c r="BN77" i="45"/>
  <c r="BJ77" i="45"/>
  <c r="BH77" i="45"/>
  <c r="BG77" i="45"/>
  <c r="BD77" i="45"/>
  <c r="BB77" i="45"/>
  <c r="AI77" i="45"/>
  <c r="AH77" i="45"/>
  <c r="BL76" i="45"/>
  <c r="BJ76" i="45"/>
  <c r="BI76" i="45"/>
  <c r="BF76" i="45"/>
  <c r="BD76" i="45"/>
  <c r="BC76" i="45"/>
  <c r="BA76" i="45"/>
  <c r="AI76" i="45"/>
  <c r="AH76" i="45"/>
  <c r="BF75" i="45"/>
  <c r="BC75" i="45"/>
  <c r="AZ75" i="45"/>
  <c r="AI75" i="45"/>
  <c r="AH75" i="45"/>
  <c r="BU74" i="45"/>
  <c r="BT74" i="45"/>
  <c r="BM74" i="45"/>
  <c r="BK74" i="45"/>
  <c r="BH74" i="45"/>
  <c r="BF74" i="45"/>
  <c r="BE74" i="45"/>
  <c r="BC74" i="45"/>
  <c r="AZ74" i="45"/>
  <c r="AI74" i="45"/>
  <c r="AH74" i="45"/>
  <c r="BW73" i="45"/>
  <c r="BU73" i="45"/>
  <c r="BH73" i="45"/>
  <c r="AZ73" i="45"/>
  <c r="AI73" i="45"/>
  <c r="AH73" i="45"/>
  <c r="AI72" i="45"/>
  <c r="AH72" i="45"/>
  <c r="BW71" i="45"/>
  <c r="BW78" i="45" s="1"/>
  <c r="BV71" i="45"/>
  <c r="BV78" i="45" s="1"/>
  <c r="BU71" i="45"/>
  <c r="BU78" i="45" s="1"/>
  <c r="BT71" i="45"/>
  <c r="BT78" i="45" s="1"/>
  <c r="BS71" i="45"/>
  <c r="BR71" i="45"/>
  <c r="BR78" i="45" s="1"/>
  <c r="BQ71" i="45"/>
  <c r="BQ78" i="45" s="1"/>
  <c r="BP71" i="45"/>
  <c r="BP78" i="45" s="1"/>
  <c r="BO71" i="45"/>
  <c r="BO78" i="45" s="1"/>
  <c r="BN71" i="45"/>
  <c r="BN78" i="45" s="1"/>
  <c r="BM71" i="45"/>
  <c r="BM78" i="45" s="1"/>
  <c r="BL71" i="45"/>
  <c r="BL78" i="45" s="1"/>
  <c r="BK71" i="45"/>
  <c r="BK78" i="45" s="1"/>
  <c r="BJ71" i="45"/>
  <c r="BJ78" i="45" s="1"/>
  <c r="BI71" i="45"/>
  <c r="BI78" i="45" s="1"/>
  <c r="BH71" i="45"/>
  <c r="BG71" i="45"/>
  <c r="BG78" i="45" s="1"/>
  <c r="BF71" i="45"/>
  <c r="BF78" i="45" s="1"/>
  <c r="BE71" i="45"/>
  <c r="BD71" i="45"/>
  <c r="BD78" i="45" s="1"/>
  <c r="BC71" i="45"/>
  <c r="BB71" i="45"/>
  <c r="BB78" i="45" s="1"/>
  <c r="BA71" i="45"/>
  <c r="BA78" i="45" s="1"/>
  <c r="AZ71" i="45"/>
  <c r="AZ78" i="45" s="1"/>
  <c r="AI71" i="45"/>
  <c r="AH71" i="45"/>
  <c r="BW70" i="45"/>
  <c r="BV70" i="45"/>
  <c r="BV77" i="45" s="1"/>
  <c r="BU70" i="45"/>
  <c r="BU77" i="45" s="1"/>
  <c r="BT70" i="45"/>
  <c r="BT77" i="45" s="1"/>
  <c r="BS70" i="45"/>
  <c r="BS77" i="45" s="1"/>
  <c r="BR70" i="45"/>
  <c r="BR77" i="45" s="1"/>
  <c r="BQ70" i="45"/>
  <c r="BQ77" i="45" s="1"/>
  <c r="BP70" i="45"/>
  <c r="BP77" i="45" s="1"/>
  <c r="BO70" i="45"/>
  <c r="BO77" i="45" s="1"/>
  <c r="BN70" i="45"/>
  <c r="BM70" i="45"/>
  <c r="BM77" i="45" s="1"/>
  <c r="BL70" i="45"/>
  <c r="BL77" i="45" s="1"/>
  <c r="BK70" i="45"/>
  <c r="BK77" i="45" s="1"/>
  <c r="BJ70" i="45"/>
  <c r="BI70" i="45"/>
  <c r="BI77" i="45" s="1"/>
  <c r="BH70" i="45"/>
  <c r="BG70" i="45"/>
  <c r="BF70" i="45"/>
  <c r="BF77" i="45" s="1"/>
  <c r="BE70" i="45"/>
  <c r="BE77" i="45" s="1"/>
  <c r="BD70" i="45"/>
  <c r="BC70" i="45"/>
  <c r="BC77" i="45" s="1"/>
  <c r="BB70" i="45"/>
  <c r="BA70" i="45"/>
  <c r="BA77" i="45" s="1"/>
  <c r="AZ70" i="45"/>
  <c r="AZ77" i="45" s="1"/>
  <c r="AI70" i="45"/>
  <c r="AH70" i="45"/>
  <c r="BW69" i="45"/>
  <c r="BW76" i="45" s="1"/>
  <c r="BV69" i="45"/>
  <c r="BV76" i="45" s="1"/>
  <c r="BU69" i="45"/>
  <c r="BU76" i="45" s="1"/>
  <c r="BT69" i="45"/>
  <c r="BT76" i="45" s="1"/>
  <c r="BS69" i="45"/>
  <c r="BS76" i="45" s="1"/>
  <c r="BR69" i="45"/>
  <c r="BR76" i="45" s="1"/>
  <c r="BQ69" i="45"/>
  <c r="BQ76" i="45" s="1"/>
  <c r="BP69" i="45"/>
  <c r="BP76" i="45" s="1"/>
  <c r="BO69" i="45"/>
  <c r="BO76" i="45" s="1"/>
  <c r="BN69" i="45"/>
  <c r="BN76" i="45" s="1"/>
  <c r="BM69" i="45"/>
  <c r="BM76" i="45" s="1"/>
  <c r="BL69" i="45"/>
  <c r="BK69" i="45"/>
  <c r="BK76" i="45" s="1"/>
  <c r="BJ69" i="45"/>
  <c r="BI69" i="45"/>
  <c r="BH69" i="45"/>
  <c r="BH76" i="45" s="1"/>
  <c r="BG69" i="45"/>
  <c r="BG76" i="45" s="1"/>
  <c r="BF69" i="45"/>
  <c r="BE69" i="45"/>
  <c r="BE76" i="45" s="1"/>
  <c r="BD69" i="45"/>
  <c r="BC69" i="45"/>
  <c r="BB69" i="45"/>
  <c r="BB76" i="45" s="1"/>
  <c r="BA69" i="45"/>
  <c r="AZ69" i="45"/>
  <c r="AZ76" i="45" s="1"/>
  <c r="AI69" i="45"/>
  <c r="AH69" i="45"/>
  <c r="BW68" i="45"/>
  <c r="BW75" i="45" s="1"/>
  <c r="BV68" i="45"/>
  <c r="BV75" i="45" s="1"/>
  <c r="BU68" i="45"/>
  <c r="BU75" i="45" s="1"/>
  <c r="BT68" i="45"/>
  <c r="BT75" i="45" s="1"/>
  <c r="BS68" i="45"/>
  <c r="BS75" i="45" s="1"/>
  <c r="BR68" i="45"/>
  <c r="BR75" i="45" s="1"/>
  <c r="BQ68" i="45"/>
  <c r="BQ75" i="45" s="1"/>
  <c r="BP68" i="45"/>
  <c r="BP75" i="45" s="1"/>
  <c r="BO68" i="45"/>
  <c r="BO75" i="45" s="1"/>
  <c r="BN68" i="45"/>
  <c r="BN75" i="45" s="1"/>
  <c r="BM68" i="45"/>
  <c r="BM75" i="45" s="1"/>
  <c r="BL68" i="45"/>
  <c r="BL75" i="45" s="1"/>
  <c r="BK68" i="45"/>
  <c r="BK75" i="45" s="1"/>
  <c r="BJ68" i="45"/>
  <c r="BJ75" i="45" s="1"/>
  <c r="BI68" i="45"/>
  <c r="BI75" i="45" s="1"/>
  <c r="BH68" i="45"/>
  <c r="BH75" i="45" s="1"/>
  <c r="BG68" i="45"/>
  <c r="BG75" i="45" s="1"/>
  <c r="BF68" i="45"/>
  <c r="BE68" i="45"/>
  <c r="BE75" i="45" s="1"/>
  <c r="BD68" i="45"/>
  <c r="BD75" i="45" s="1"/>
  <c r="BC68" i="45"/>
  <c r="BB68" i="45"/>
  <c r="BB75" i="45" s="1"/>
  <c r="BA68" i="45"/>
  <c r="BA75" i="45" s="1"/>
  <c r="AZ68" i="45"/>
  <c r="AI68" i="45"/>
  <c r="AH68" i="45"/>
  <c r="BW67" i="45"/>
  <c r="BW74" i="45" s="1"/>
  <c r="BV67" i="45"/>
  <c r="BV74" i="45" s="1"/>
  <c r="BU67" i="45"/>
  <c r="BT67" i="45"/>
  <c r="BS67" i="45"/>
  <c r="BS74" i="45" s="1"/>
  <c r="BR67" i="45"/>
  <c r="BR74" i="45" s="1"/>
  <c r="BQ67" i="45"/>
  <c r="BQ74" i="45" s="1"/>
  <c r="BP67" i="45"/>
  <c r="BP74" i="45" s="1"/>
  <c r="BO67" i="45"/>
  <c r="BO74" i="45" s="1"/>
  <c r="BN67" i="45"/>
  <c r="BN74" i="45" s="1"/>
  <c r="BM67" i="45"/>
  <c r="BL67" i="45"/>
  <c r="BL74" i="45" s="1"/>
  <c r="BK67" i="45"/>
  <c r="BJ67" i="45"/>
  <c r="BJ74" i="45" s="1"/>
  <c r="BI67" i="45"/>
  <c r="BI74" i="45" s="1"/>
  <c r="BH67" i="45"/>
  <c r="BG67" i="45"/>
  <c r="BG74" i="45" s="1"/>
  <c r="BF67" i="45"/>
  <c r="BE67" i="45"/>
  <c r="BD67" i="45"/>
  <c r="BD74" i="45" s="1"/>
  <c r="BC67" i="45"/>
  <c r="BB67" i="45"/>
  <c r="BB74" i="45" s="1"/>
  <c r="BA67" i="45"/>
  <c r="BA74" i="45" s="1"/>
  <c r="AZ67" i="45"/>
  <c r="AI67" i="45"/>
  <c r="AH67" i="45"/>
  <c r="BW66" i="45"/>
  <c r="BV66" i="45"/>
  <c r="BV73" i="45" s="1"/>
  <c r="BU66" i="45"/>
  <c r="BT66" i="45"/>
  <c r="BT73" i="45" s="1"/>
  <c r="BS66" i="45"/>
  <c r="BS73" i="45" s="1"/>
  <c r="BR66" i="45"/>
  <c r="BR73" i="45" s="1"/>
  <c r="BQ66" i="45"/>
  <c r="BQ73" i="45" s="1"/>
  <c r="BP66" i="45"/>
  <c r="BP73" i="45" s="1"/>
  <c r="BO66" i="45"/>
  <c r="BO73" i="45" s="1"/>
  <c r="BN66" i="45"/>
  <c r="BN73" i="45" s="1"/>
  <c r="BM66" i="45"/>
  <c r="BM73" i="45" s="1"/>
  <c r="BL66" i="45"/>
  <c r="BL73" i="45" s="1"/>
  <c r="BK66" i="45"/>
  <c r="BK73" i="45" s="1"/>
  <c r="BJ66" i="45"/>
  <c r="BJ73" i="45" s="1"/>
  <c r="BI66" i="45"/>
  <c r="BI73" i="45" s="1"/>
  <c r="BH66" i="45"/>
  <c r="BG66" i="45"/>
  <c r="BG73" i="45" s="1"/>
  <c r="BF66" i="45"/>
  <c r="BF73" i="45" s="1"/>
  <c r="BE66" i="45"/>
  <c r="BE73" i="45" s="1"/>
  <c r="BD66" i="45"/>
  <c r="BD73" i="45" s="1"/>
  <c r="BC66" i="45"/>
  <c r="BC73" i="45" s="1"/>
  <c r="BB66" i="45"/>
  <c r="BB73" i="45" s="1"/>
  <c r="BA66" i="45"/>
  <c r="BA73" i="45" s="1"/>
  <c r="AZ66" i="45"/>
  <c r="AI66" i="45"/>
  <c r="AH66" i="45"/>
  <c r="AG65" i="45"/>
  <c r="AF65" i="45"/>
  <c r="AE65" i="45"/>
  <c r="AB65" i="45"/>
  <c r="BG17" i="45" s="1"/>
  <c r="BD17" i="45"/>
  <c r="BB17" i="45"/>
  <c r="R65" i="45"/>
  <c r="AZ17" i="45" s="1"/>
  <c r="Q65" i="45"/>
  <c r="AY17" i="45" s="1"/>
  <c r="P65" i="45"/>
  <c r="O65" i="45"/>
  <c r="N65" i="45"/>
  <c r="AV17" i="45" s="1"/>
  <c r="M65" i="45"/>
  <c r="L65" i="45"/>
  <c r="K65" i="45"/>
  <c r="J65" i="45"/>
  <c r="I65" i="45"/>
  <c r="AS17" i="45" s="1"/>
  <c r="H65" i="45"/>
  <c r="G65" i="45"/>
  <c r="F65" i="45"/>
  <c r="AQ17" i="45" s="1"/>
  <c r="E65" i="45"/>
  <c r="D65" i="45"/>
  <c r="C65" i="45"/>
  <c r="AN17" i="45" s="1"/>
  <c r="B65" i="45"/>
  <c r="AI64" i="45"/>
  <c r="AH64" i="45"/>
  <c r="AI63" i="45"/>
  <c r="AH63" i="45"/>
  <c r="AI62" i="45"/>
  <c r="AH62" i="45"/>
  <c r="AG61" i="45"/>
  <c r="AG100" i="45" s="1"/>
  <c r="AF61" i="45"/>
  <c r="AE61" i="45"/>
  <c r="AB61" i="45"/>
  <c r="Y7" i="45"/>
  <c r="W7" i="45"/>
  <c r="V7" i="45"/>
  <c r="BA16" i="45"/>
  <c r="R61" i="45"/>
  <c r="AZ16" i="45" s="1"/>
  <c r="Q61" i="45"/>
  <c r="AY16" i="45" s="1"/>
  <c r="P61" i="45"/>
  <c r="O61" i="45"/>
  <c r="N61" i="45"/>
  <c r="M61" i="45"/>
  <c r="AU16" i="45" s="1"/>
  <c r="L61" i="45"/>
  <c r="K61" i="45"/>
  <c r="J61" i="45"/>
  <c r="I61" i="45"/>
  <c r="H61" i="45"/>
  <c r="G61" i="45"/>
  <c r="F61" i="45"/>
  <c r="AQ16" i="45" s="1"/>
  <c r="E61" i="45"/>
  <c r="AP16" i="45" s="1"/>
  <c r="D61" i="45"/>
  <c r="D100" i="45" s="1"/>
  <c r="D102" i="45" s="1"/>
  <c r="C61" i="45"/>
  <c r="AN16" i="45" s="1"/>
  <c r="B61" i="45"/>
  <c r="AM16" i="45" s="1"/>
  <c r="AI60" i="45"/>
  <c r="AH60" i="45"/>
  <c r="AI59" i="45"/>
  <c r="AH59" i="45"/>
  <c r="AI58" i="45"/>
  <c r="AH58" i="45"/>
  <c r="AI57" i="45"/>
  <c r="AH57" i="45"/>
  <c r="AI56" i="45"/>
  <c r="AH56" i="45"/>
  <c r="AI55" i="45"/>
  <c r="AH55" i="45"/>
  <c r="AI54" i="45"/>
  <c r="AH54" i="45"/>
  <c r="AI53" i="45"/>
  <c r="AH53" i="45"/>
  <c r="AI52" i="45"/>
  <c r="AH52" i="45"/>
  <c r="AI51" i="45"/>
  <c r="AH51" i="45"/>
  <c r="AI50" i="45"/>
  <c r="AH50" i="45"/>
  <c r="AI49" i="45"/>
  <c r="AH49" i="45"/>
  <c r="AI48" i="45"/>
  <c r="AH48" i="45"/>
  <c r="AI47" i="45"/>
  <c r="AH47" i="45"/>
  <c r="AI46" i="45"/>
  <c r="AH46" i="45"/>
  <c r="AI45" i="45"/>
  <c r="AH45" i="45"/>
  <c r="AI44" i="45"/>
  <c r="AH44" i="45"/>
  <c r="AI43" i="45"/>
  <c r="AH43" i="45"/>
  <c r="AI42" i="45"/>
  <c r="AH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I35" i="45"/>
  <c r="AH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BE23" i="45"/>
  <c r="BD23" i="45"/>
  <c r="BA23" i="45"/>
  <c r="AT23" i="45"/>
  <c r="AI23" i="45"/>
  <c r="AH23" i="45"/>
  <c r="AI22" i="45"/>
  <c r="AH22" i="45"/>
  <c r="BJ21" i="45"/>
  <c r="BI21" i="45"/>
  <c r="BH21" i="45"/>
  <c r="BG21" i="45"/>
  <c r="BF21" i="45"/>
  <c r="BE21" i="45"/>
  <c r="BD21" i="45"/>
  <c r="BC21" i="45"/>
  <c r="BB21" i="45"/>
  <c r="BA21" i="45"/>
  <c r="AZ21" i="45"/>
  <c r="AY21" i="45"/>
  <c r="AX21" i="45"/>
  <c r="AW21" i="45"/>
  <c r="AV21" i="45"/>
  <c r="AU21" i="45"/>
  <c r="AT21" i="45"/>
  <c r="AS21" i="45"/>
  <c r="AR21" i="45"/>
  <c r="AQ21" i="45"/>
  <c r="AP21" i="45"/>
  <c r="AO21" i="45"/>
  <c r="AN21" i="45"/>
  <c r="AM21" i="45"/>
  <c r="AI21" i="45"/>
  <c r="AH21" i="45"/>
  <c r="BJ20" i="45"/>
  <c r="BH20" i="45"/>
  <c r="BG20" i="45"/>
  <c r="BF20" i="45"/>
  <c r="BE20" i="45"/>
  <c r="BD20" i="45"/>
  <c r="BC20" i="45"/>
  <c r="BB20" i="45"/>
  <c r="BA20" i="45"/>
  <c r="AZ20" i="45"/>
  <c r="AY20" i="45"/>
  <c r="AW20" i="45"/>
  <c r="AV20" i="45"/>
  <c r="AU20" i="45"/>
  <c r="AT20" i="45"/>
  <c r="AS20" i="45"/>
  <c r="AR20" i="45"/>
  <c r="AQ20" i="45"/>
  <c r="AP20" i="45"/>
  <c r="AO20" i="45"/>
  <c r="AN20" i="45"/>
  <c r="AM20" i="45"/>
  <c r="AI20" i="45"/>
  <c r="AH20" i="45"/>
  <c r="BE19" i="45"/>
  <c r="BD19" i="45"/>
  <c r="BC19" i="45"/>
  <c r="BB19" i="45"/>
  <c r="BA19" i="45"/>
  <c r="AW19" i="45"/>
  <c r="AV19" i="45"/>
  <c r="AT19" i="45"/>
  <c r="AR19" i="45"/>
  <c r="AO19" i="45"/>
  <c r="AI19" i="45"/>
  <c r="AH19" i="45"/>
  <c r="BJ18" i="45"/>
  <c r="BI18" i="45"/>
  <c r="BH18" i="45"/>
  <c r="BF18" i="45"/>
  <c r="BE18" i="45"/>
  <c r="BD18" i="45"/>
  <c r="BC18" i="45"/>
  <c r="BB18" i="45"/>
  <c r="AZ18" i="45"/>
  <c r="AY18" i="45"/>
  <c r="AX18" i="45"/>
  <c r="AW18" i="45"/>
  <c r="AS18" i="45"/>
  <c r="AP18" i="45"/>
  <c r="AO18" i="45"/>
  <c r="AM18" i="45"/>
  <c r="AI18" i="45"/>
  <c r="AH18" i="45"/>
  <c r="BJ17" i="45"/>
  <c r="BI17" i="45"/>
  <c r="BH17" i="45"/>
  <c r="BF17" i="45"/>
  <c r="BE17" i="45"/>
  <c r="BC17" i="45"/>
  <c r="BA17" i="45"/>
  <c r="AX17" i="45"/>
  <c r="AW17" i="45"/>
  <c r="AU17" i="45"/>
  <c r="AT17" i="45"/>
  <c r="AR17" i="45"/>
  <c r="AP17" i="45"/>
  <c r="AO17" i="45"/>
  <c r="AM17" i="45"/>
  <c r="AI17" i="45"/>
  <c r="AH17" i="45"/>
  <c r="BJ16" i="45"/>
  <c r="BE16" i="45"/>
  <c r="BE22" i="45" s="1"/>
  <c r="BE24" i="45" s="1"/>
  <c r="BC16" i="45"/>
  <c r="BB16" i="45"/>
  <c r="AX16" i="45"/>
  <c r="AW16" i="45"/>
  <c r="AT16" i="45"/>
  <c r="AT22" i="45" s="1"/>
  <c r="AT24" i="45" s="1"/>
  <c r="AI16" i="45"/>
  <c r="AH16" i="45"/>
  <c r="AI15" i="45"/>
  <c r="AH15" i="45"/>
  <c r="AI14" i="45"/>
  <c r="AH14" i="45"/>
  <c r="AI13" i="45"/>
  <c r="AH13" i="45"/>
  <c r="AL12" i="45"/>
  <c r="AI12" i="45"/>
  <c r="AH12" i="45"/>
  <c r="AI11" i="45"/>
  <c r="AH11" i="45"/>
  <c r="AC5" i="45"/>
  <c r="AB5" i="45"/>
  <c r="Z5" i="45"/>
  <c r="X5" i="45"/>
  <c r="W5" i="45"/>
  <c r="V5" i="45"/>
  <c r="U5" i="45"/>
  <c r="T5" i="45"/>
  <c r="S5" i="45"/>
  <c r="R5" i="45"/>
  <c r="O5" i="45"/>
  <c r="N5" i="45"/>
  <c r="M5" i="45"/>
  <c r="L5" i="45"/>
  <c r="J5" i="45"/>
  <c r="F5" i="45"/>
  <c r="C5" i="45"/>
  <c r="AG4" i="45"/>
  <c r="K4" i="45"/>
  <c r="E4" i="45"/>
  <c r="H4" i="45" s="1"/>
  <c r="B4" i="45"/>
  <c r="D261" i="45" s="1"/>
  <c r="AG3" i="45"/>
  <c r="AF110" i="45" l="1"/>
  <c r="BJ23" i="45" s="1"/>
  <c r="AF111" i="45"/>
  <c r="AE5" i="45"/>
  <c r="BJ19" i="45"/>
  <c r="BJ22" i="45" s="1"/>
  <c r="BJ24" i="45" s="1"/>
  <c r="AE110" i="45"/>
  <c r="BI23" i="45" s="1"/>
  <c r="BI19" i="45"/>
  <c r="AE100" i="45"/>
  <c r="AE102" i="45" s="1"/>
  <c r="BH19" i="45"/>
  <c r="AD110" i="45"/>
  <c r="BH23" i="45" s="1"/>
  <c r="AA5" i="45"/>
  <c r="AB100" i="45"/>
  <c r="AB102" i="45" s="1"/>
  <c r="BG16" i="45"/>
  <c r="BG22" i="45" s="1"/>
  <c r="BC22" i="45"/>
  <c r="BB22" i="45"/>
  <c r="BA22" i="45"/>
  <c r="BA24" i="45" s="1"/>
  <c r="R110" i="45"/>
  <c r="AZ23" i="45" s="1"/>
  <c r="AY19" i="45"/>
  <c r="Q110" i="45"/>
  <c r="AY23" i="45" s="1"/>
  <c r="P110" i="45"/>
  <c r="AX23" i="45" s="1"/>
  <c r="AX19" i="45"/>
  <c r="AX22" i="45"/>
  <c r="O110" i="45"/>
  <c r="AW23" i="45" s="1"/>
  <c r="AW22" i="45"/>
  <c r="AW24" i="45" s="1"/>
  <c r="O100" i="45"/>
  <c r="O102" i="45" s="1"/>
  <c r="O103" i="45" s="1"/>
  <c r="O7" i="45" s="1"/>
  <c r="N110" i="45"/>
  <c r="AV23" i="45" s="1"/>
  <c r="N100" i="45"/>
  <c r="N102" i="45" s="1"/>
  <c r="N103" i="45" s="1"/>
  <c r="N7" i="45" s="1"/>
  <c r="AU22" i="45"/>
  <c r="L100" i="45"/>
  <c r="L102" i="45" s="1"/>
  <c r="J110" i="45"/>
  <c r="I110" i="45"/>
  <c r="AS23" i="45" s="1"/>
  <c r="AS19" i="45"/>
  <c r="H110" i="45"/>
  <c r="H111" i="45"/>
  <c r="G5" i="45"/>
  <c r="G110" i="45"/>
  <c r="AR23" i="45" s="1"/>
  <c r="AI106" i="45"/>
  <c r="AI104" i="45"/>
  <c r="AH104" i="45"/>
  <c r="G111" i="45"/>
  <c r="G100" i="45"/>
  <c r="G102" i="45" s="1"/>
  <c r="G103" i="45" s="1"/>
  <c r="G7" i="45" s="1"/>
  <c r="AR16" i="45"/>
  <c r="E5" i="45"/>
  <c r="F100" i="45"/>
  <c r="F102" i="45" s="1"/>
  <c r="F103" i="45" s="1"/>
  <c r="F7" i="45" s="1"/>
  <c r="AQ22" i="45"/>
  <c r="AQ24" i="45" s="1"/>
  <c r="AP19" i="45"/>
  <c r="AN19" i="45"/>
  <c r="C111" i="45"/>
  <c r="C110" i="45"/>
  <c r="AN23" i="45" s="1"/>
  <c r="AH109" i="45"/>
  <c r="AH65" i="45"/>
  <c r="AP22" i="45"/>
  <c r="AH79" i="45"/>
  <c r="AO16" i="45"/>
  <c r="AO22" i="45" s="1"/>
  <c r="AH106" i="45"/>
  <c r="AM22" i="45"/>
  <c r="AR22" i="45"/>
  <c r="AR24" i="45" s="1"/>
  <c r="I100" i="45"/>
  <c r="I102" i="45" s="1"/>
  <c r="I103" i="45" s="1"/>
  <c r="I7" i="45" s="1"/>
  <c r="AS16" i="45"/>
  <c r="AS22" i="45" s="1"/>
  <c r="AS24" i="45" s="1"/>
  <c r="AY22" i="45"/>
  <c r="AY24" i="45" s="1"/>
  <c r="AN22" i="45"/>
  <c r="AN24" i="45" s="1"/>
  <c r="AF5" i="45"/>
  <c r="BH16" i="45"/>
  <c r="BH22" i="45" s="1"/>
  <c r="BH24" i="45" s="1"/>
  <c r="BI16" i="45"/>
  <c r="BI22" i="45" s="1"/>
  <c r="H100" i="45"/>
  <c r="H102" i="45" s="1"/>
  <c r="H103" i="45" s="1"/>
  <c r="H7" i="45" s="1"/>
  <c r="P100" i="45"/>
  <c r="P102" i="45" s="1"/>
  <c r="P103" i="45" s="1"/>
  <c r="P7" i="45" s="1"/>
  <c r="X7" i="45"/>
  <c r="AF100" i="45"/>
  <c r="AF102" i="45" s="1"/>
  <c r="AF103" i="45" s="1"/>
  <c r="AF7" i="45" s="1"/>
  <c r="AG102" i="45"/>
  <c r="Q100" i="45"/>
  <c r="Q102" i="45" s="1"/>
  <c r="Q103" i="45" s="1"/>
  <c r="Q7" i="45" s="1"/>
  <c r="AI107" i="45"/>
  <c r="B100" i="45"/>
  <c r="J100" i="45"/>
  <c r="J102" i="45" s="1"/>
  <c r="J103" i="45" s="1"/>
  <c r="J7" i="45" s="1"/>
  <c r="R100" i="45"/>
  <c r="R102" i="45" s="1"/>
  <c r="Z7" i="45"/>
  <c r="AH61" i="45"/>
  <c r="AI83" i="45"/>
  <c r="AH83" i="45"/>
  <c r="AI105" i="45"/>
  <c r="I111" i="45"/>
  <c r="AI79" i="45"/>
  <c r="AI95" i="45"/>
  <c r="T7" i="45"/>
  <c r="AG2" i="45"/>
  <c r="AG6" i="45" s="1"/>
  <c r="AL13" i="45"/>
  <c r="AV16" i="45"/>
  <c r="AV22" i="45" s="1"/>
  <c r="AV24" i="45" s="1"/>
  <c r="BD16" i="45"/>
  <c r="BD22" i="45" s="1"/>
  <c r="BD24" i="45" s="1"/>
  <c r="BF19" i="45"/>
  <c r="C100" i="45"/>
  <c r="C102" i="45" s="1"/>
  <c r="C103" i="45" s="1"/>
  <c r="C7" i="45" s="1"/>
  <c r="K100" i="45"/>
  <c r="K102" i="45" s="1"/>
  <c r="K103" i="45" s="1"/>
  <c r="K7" i="45" s="1"/>
  <c r="S7" i="45"/>
  <c r="AA7" i="45"/>
  <c r="AI61" i="45"/>
  <c r="AI65" i="45"/>
  <c r="D111" i="45"/>
  <c r="AH95" i="45"/>
  <c r="E111" i="45"/>
  <c r="D110" i="45"/>
  <c r="AO23" i="45" s="1"/>
  <c r="L110" i="45"/>
  <c r="L111" i="45" s="1"/>
  <c r="BB23" i="45"/>
  <c r="AB110" i="45"/>
  <c r="BG23" i="45" s="1"/>
  <c r="BG24" i="45" s="1"/>
  <c r="J111" i="45"/>
  <c r="BF16" i="45"/>
  <c r="BF22" i="45" s="1"/>
  <c r="BF24" i="45" s="1"/>
  <c r="AZ19" i="45"/>
  <c r="AZ22" i="45" s="1"/>
  <c r="E100" i="45"/>
  <c r="E102" i="45" s="1"/>
  <c r="M100" i="45"/>
  <c r="M102" i="45" s="1"/>
  <c r="U7" i="45"/>
  <c r="AC100" i="45"/>
  <c r="AC102" i="45" s="1"/>
  <c r="F111" i="45"/>
  <c r="N111" i="45"/>
  <c r="AD111" i="45"/>
  <c r="E110" i="45"/>
  <c r="AP23" i="45" s="1"/>
  <c r="M110" i="45"/>
  <c r="AU23" i="45" s="1"/>
  <c r="BC23" i="45"/>
  <c r="AC110" i="45"/>
  <c r="AC111" i="45" s="1"/>
  <c r="B110" i="45"/>
  <c r="H249" i="45"/>
  <c r="BG82" i="45" a="1"/>
  <c r="AI109" i="45"/>
  <c r="F254" i="45"/>
  <c r="F255" i="45" s="1"/>
  <c r="E121" i="45"/>
  <c r="AI108" i="45"/>
  <c r="E255" i="45"/>
  <c r="AH107" i="45"/>
  <c r="AH108" i="45"/>
  <c r="BI24" i="45" l="1"/>
  <c r="AE103" i="45"/>
  <c r="AE7" i="45" s="1"/>
  <c r="AE111" i="45"/>
  <c r="AD103" i="45"/>
  <c r="AD7" i="45" s="1"/>
  <c r="BC24" i="45"/>
  <c r="BB24" i="45"/>
  <c r="R111" i="45"/>
  <c r="R103" i="45"/>
  <c r="R7" i="45" s="1"/>
  <c r="AZ24" i="45"/>
  <c r="Q111" i="45"/>
  <c r="AX24" i="45"/>
  <c r="P111" i="45"/>
  <c r="O111" i="45"/>
  <c r="M111" i="45"/>
  <c r="AU24" i="45"/>
  <c r="AP24" i="45"/>
  <c r="AO24" i="45"/>
  <c r="I249" i="45"/>
  <c r="AI100" i="45"/>
  <c r="AH100" i="45"/>
  <c r="B102" i="45"/>
  <c r="AC103" i="45"/>
  <c r="AC7" i="45" s="1"/>
  <c r="AB103" i="45"/>
  <c r="AB7" i="45" s="1"/>
  <c r="L103" i="45"/>
  <c r="L7" i="45" s="1"/>
  <c r="AH110" i="45"/>
  <c r="AI110" i="45"/>
  <c r="AM23" i="45"/>
  <c r="AM24" i="45" s="1"/>
  <c r="G254" i="45"/>
  <c r="F121" i="45"/>
  <c r="M103" i="45"/>
  <c r="M7" i="45" s="1"/>
  <c r="AB111" i="45"/>
  <c r="D103" i="45"/>
  <c r="D7" i="45" s="1"/>
  <c r="BI105" i="45"/>
  <c r="BG104" i="45"/>
  <c r="BK102" i="45"/>
  <c r="BI101" i="45"/>
  <c r="BG100" i="45"/>
  <c r="BK98" i="45"/>
  <c r="BI97" i="45"/>
  <c r="BG96" i="45"/>
  <c r="BK94" i="45"/>
  <c r="BI93" i="45"/>
  <c r="BG92" i="45"/>
  <c r="BK90" i="45"/>
  <c r="BI89" i="45"/>
  <c r="BG88" i="45"/>
  <c r="BK86" i="45"/>
  <c r="BI85" i="45"/>
  <c r="BG84" i="45"/>
  <c r="BK82" i="45"/>
  <c r="BL104" i="45"/>
  <c r="BJ103" i="45"/>
  <c r="BH102" i="45"/>
  <c r="BL100" i="45"/>
  <c r="BJ99" i="45"/>
  <c r="BH98" i="45"/>
  <c r="BL96" i="45"/>
  <c r="BJ95" i="45"/>
  <c r="BH94" i="45"/>
  <c r="BL92" i="45"/>
  <c r="BJ91" i="45"/>
  <c r="BH90" i="45"/>
  <c r="BL88" i="45"/>
  <c r="BJ87" i="45"/>
  <c r="BH86" i="45"/>
  <c r="BL84" i="45"/>
  <c r="BJ83" i="45"/>
  <c r="BH82" i="45"/>
  <c r="BL105" i="45"/>
  <c r="BJ104" i="45"/>
  <c r="BH103" i="45"/>
  <c r="BL101" i="45"/>
  <c r="BJ100" i="45"/>
  <c r="BH99" i="45"/>
  <c r="BL97" i="45"/>
  <c r="BJ96" i="45"/>
  <c r="BH95" i="45"/>
  <c r="BL93" i="45"/>
  <c r="BJ92" i="45"/>
  <c r="BH91" i="45"/>
  <c r="BL89" i="45"/>
  <c r="BJ88" i="45"/>
  <c r="BH87" i="45"/>
  <c r="BL85" i="45"/>
  <c r="BJ84" i="45"/>
  <c r="BH83" i="45"/>
  <c r="BH105" i="45"/>
  <c r="BG103" i="45"/>
  <c r="BG101" i="45"/>
  <c r="BL98" i="45"/>
  <c r="BK96" i="45"/>
  <c r="BJ94" i="45"/>
  <c r="BI92" i="45"/>
  <c r="BI90" i="45"/>
  <c r="BH88" i="45"/>
  <c r="BG86" i="45"/>
  <c r="BL83" i="45"/>
  <c r="BG93" i="45"/>
  <c r="BG105" i="45"/>
  <c r="BL102" i="45"/>
  <c r="BK100" i="45"/>
  <c r="BJ98" i="45"/>
  <c r="BI96" i="45"/>
  <c r="BI94" i="45"/>
  <c r="BH92" i="45"/>
  <c r="BG90" i="45"/>
  <c r="BL87" i="45"/>
  <c r="BK85" i="45"/>
  <c r="BK83" i="45"/>
  <c r="BI84" i="45"/>
  <c r="BK104" i="45"/>
  <c r="BJ102" i="45"/>
  <c r="BI100" i="45"/>
  <c r="BI98" i="45"/>
  <c r="BH96" i="45"/>
  <c r="BG94" i="45"/>
  <c r="BL91" i="45"/>
  <c r="BK89" i="45"/>
  <c r="BK87" i="45"/>
  <c r="BJ85" i="45"/>
  <c r="BI83" i="45"/>
  <c r="BG95" i="45"/>
  <c r="BI104" i="45"/>
  <c r="BI102" i="45"/>
  <c r="BH100" i="45"/>
  <c r="BG98" i="45"/>
  <c r="BL95" i="45"/>
  <c r="BK93" i="45"/>
  <c r="BK91" i="45"/>
  <c r="BJ89" i="45"/>
  <c r="BI87" i="45"/>
  <c r="BH85" i="45"/>
  <c r="BG83" i="45"/>
  <c r="BK88" i="45"/>
  <c r="BH104" i="45"/>
  <c r="BG102" i="45"/>
  <c r="BL99" i="45"/>
  <c r="BK97" i="45"/>
  <c r="BK95" i="45"/>
  <c r="BJ93" i="45"/>
  <c r="BI91" i="45"/>
  <c r="BH89" i="45"/>
  <c r="BG87" i="45"/>
  <c r="BG85" i="45"/>
  <c r="BL82" i="45"/>
  <c r="BK105" i="45"/>
  <c r="BJ101" i="45"/>
  <c r="BH97" i="45"/>
  <c r="BL90" i="45"/>
  <c r="BJ86" i="45"/>
  <c r="BI82" i="45"/>
  <c r="BL103" i="45"/>
  <c r="BK101" i="45"/>
  <c r="BK99" i="45"/>
  <c r="BJ97" i="45"/>
  <c r="BI95" i="45"/>
  <c r="BH93" i="45"/>
  <c r="BG91" i="45"/>
  <c r="BG89" i="45"/>
  <c r="BL86" i="45"/>
  <c r="BK84" i="45"/>
  <c r="BJ82" i="45"/>
  <c r="BI99" i="45"/>
  <c r="BJ105" i="45"/>
  <c r="BI103" i="45"/>
  <c r="BH101" i="45"/>
  <c r="BG99" i="45"/>
  <c r="BG97" i="45"/>
  <c r="BL94" i="45"/>
  <c r="BK92" i="45"/>
  <c r="BJ90" i="45"/>
  <c r="BI88" i="45"/>
  <c r="BI86" i="45"/>
  <c r="BH84" i="45"/>
  <c r="BG82" i="45"/>
  <c r="BK103" i="45"/>
  <c r="E103" i="45"/>
  <c r="E7" i="45" s="1"/>
  <c r="B111" i="45"/>
  <c r="B259" i="45"/>
  <c r="AT8" i="45"/>
  <c r="C259" i="45"/>
  <c r="AT9" i="45" l="1"/>
  <c r="B103" i="45"/>
  <c r="AH102" i="45"/>
  <c r="AI102" i="45"/>
  <c r="AI111" i="45"/>
  <c r="AH111" i="45"/>
  <c r="K6" i="45"/>
  <c r="H254" i="45"/>
  <c r="G255" i="45"/>
  <c r="G121" i="45"/>
  <c r="J249" i="45"/>
  <c r="I254" i="45" l="1"/>
  <c r="H255" i="45"/>
  <c r="H121" i="45"/>
  <c r="K249" i="45"/>
  <c r="AI103" i="45"/>
  <c r="B7" i="45"/>
  <c r="A7" i="45" s="1"/>
  <c r="AH103" i="45"/>
  <c r="L249" i="45" l="1"/>
  <c r="J254" i="45"/>
  <c r="I255" i="45"/>
  <c r="I121" i="45"/>
  <c r="AA60" i="43"/>
  <c r="K254" i="45" l="1"/>
  <c r="J255" i="45"/>
  <c r="J121" i="45"/>
  <c r="M249" i="45"/>
  <c r="N249" i="45" l="1"/>
  <c r="L254" i="45"/>
  <c r="K255" i="45"/>
  <c r="K121" i="45"/>
  <c r="Z60" i="43"/>
  <c r="Y60" i="43"/>
  <c r="Y61" i="43"/>
  <c r="Y65" i="43"/>
  <c r="Y79" i="43"/>
  <c r="Y83" i="43"/>
  <c r="X60" i="43"/>
  <c r="X61" i="43"/>
  <c r="X65" i="43"/>
  <c r="X79" i="43"/>
  <c r="X83" i="43"/>
  <c r="M254" i="45" l="1"/>
  <c r="L121" i="45"/>
  <c r="L255" i="45"/>
  <c r="O249" i="45"/>
  <c r="P249" i="45" l="1"/>
  <c r="N254" i="45"/>
  <c r="M255" i="45"/>
  <c r="M121" i="45"/>
  <c r="O254" i="45" l="1"/>
  <c r="N255" i="45"/>
  <c r="N121" i="45"/>
  <c r="Q249" i="45"/>
  <c r="W60" i="43"/>
  <c r="W61" i="43"/>
  <c r="W65" i="43"/>
  <c r="W79" i="43"/>
  <c r="W83" i="43"/>
  <c r="P254" i="45" l="1"/>
  <c r="O255" i="45"/>
  <c r="O121" i="45"/>
  <c r="R249" i="45"/>
  <c r="V60" i="43"/>
  <c r="V61" i="43"/>
  <c r="V65" i="43"/>
  <c r="V79" i="43"/>
  <c r="V83" i="43"/>
  <c r="S249" i="45" l="1"/>
  <c r="Q254" i="45"/>
  <c r="P255" i="45"/>
  <c r="U124" i="43"/>
  <c r="U60" i="43"/>
  <c r="R254" i="45" l="1"/>
  <c r="Q255" i="45"/>
  <c r="Q121" i="45"/>
  <c r="T249" i="45"/>
  <c r="T124" i="43"/>
  <c r="T60" i="43"/>
  <c r="U249" i="45" l="1"/>
  <c r="S254" i="45"/>
  <c r="R255" i="45"/>
  <c r="R121" i="45"/>
  <c r="S124" i="43"/>
  <c r="S60" i="43"/>
  <c r="T254" i="45" l="1"/>
  <c r="S255" i="45"/>
  <c r="V249" i="45"/>
  <c r="P60" i="43"/>
  <c r="Q60" i="43"/>
  <c r="R60" i="43"/>
  <c r="W249" i="45" l="1"/>
  <c r="U254" i="45"/>
  <c r="T255" i="45"/>
  <c r="N60" i="43"/>
  <c r="O60" i="43"/>
  <c r="V254" i="45" l="1"/>
  <c r="U255" i="45"/>
  <c r="X249" i="45"/>
  <c r="M60" i="43"/>
  <c r="M61" i="43"/>
  <c r="M65" i="43"/>
  <c r="Y249" i="45" l="1"/>
  <c r="W254" i="45"/>
  <c r="V255" i="45"/>
  <c r="K65" i="43"/>
  <c r="L60" i="43"/>
  <c r="K60" i="43"/>
  <c r="K61" i="43"/>
  <c r="K79" i="43"/>
  <c r="K83" i="43"/>
  <c r="X254" i="45" l="1"/>
  <c r="W255" i="45"/>
  <c r="Z249" i="45"/>
  <c r="J60" i="43"/>
  <c r="J61" i="43"/>
  <c r="J65" i="43"/>
  <c r="J79" i="43"/>
  <c r="J83" i="43"/>
  <c r="I60" i="43"/>
  <c r="I61" i="43"/>
  <c r="I65" i="43"/>
  <c r="I79" i="43"/>
  <c r="I83" i="43"/>
  <c r="AA249" i="45" l="1"/>
  <c r="Y254" i="45"/>
  <c r="X255" i="45"/>
  <c r="H60" i="43"/>
  <c r="G60" i="43"/>
  <c r="Z254" i="45" l="1"/>
  <c r="Y255" i="45"/>
  <c r="AB249" i="45"/>
  <c r="F60" i="43"/>
  <c r="AC249" i="45" l="1"/>
  <c r="AA254" i="45"/>
  <c r="Z255" i="45"/>
  <c r="E60" i="43"/>
  <c r="D61" i="43"/>
  <c r="D65" i="43"/>
  <c r="D79" i="43"/>
  <c r="D83" i="43"/>
  <c r="D95" i="43"/>
  <c r="D104" i="43"/>
  <c r="D105" i="43"/>
  <c r="D106" i="43"/>
  <c r="D107" i="43"/>
  <c r="D108" i="43"/>
  <c r="D109" i="43"/>
  <c r="D121" i="43"/>
  <c r="AB254" i="45" l="1"/>
  <c r="AA255" i="45"/>
  <c r="AD249" i="45"/>
  <c r="D110" i="43"/>
  <c r="D111" i="43" s="1"/>
  <c r="D100" i="43"/>
  <c r="D102" i="43" s="1"/>
  <c r="D103" i="43" s="1"/>
  <c r="C61" i="43"/>
  <c r="AN16" i="43" s="1"/>
  <c r="C65" i="43"/>
  <c r="C79" i="43"/>
  <c r="C83" i="43"/>
  <c r="C95" i="43"/>
  <c r="AN19" i="43" s="1"/>
  <c r="C104" i="43"/>
  <c r="C105" i="43"/>
  <c r="C106" i="43"/>
  <c r="C107" i="43"/>
  <c r="C108" i="43"/>
  <c r="C110" i="43" s="1"/>
  <c r="C109" i="43"/>
  <c r="C121" i="43"/>
  <c r="B121" i="43"/>
  <c r="B109" i="43"/>
  <c r="B108" i="43"/>
  <c r="B107" i="43"/>
  <c r="B106" i="43"/>
  <c r="B105" i="43"/>
  <c r="B104" i="43"/>
  <c r="B110" i="43" s="1"/>
  <c r="B95" i="43"/>
  <c r="B111" i="43" s="1"/>
  <c r="B83" i="43"/>
  <c r="B79" i="43"/>
  <c r="AM18" i="43" s="1"/>
  <c r="B65" i="43"/>
  <c r="B61" i="43"/>
  <c r="AG255" i="43"/>
  <c r="C255" i="43"/>
  <c r="D254" i="43"/>
  <c r="D253" i="43"/>
  <c r="E253" i="43" s="1"/>
  <c r="F253" i="43" s="1"/>
  <c r="G253" i="43" s="1"/>
  <c r="H253" i="43" s="1"/>
  <c r="I253" i="43" s="1"/>
  <c r="J253" i="43" s="1"/>
  <c r="K253" i="43" s="1"/>
  <c r="L253" i="43" s="1"/>
  <c r="M253" i="43" s="1"/>
  <c r="N253" i="43" s="1"/>
  <c r="O253" i="43" s="1"/>
  <c r="P253" i="43" s="1"/>
  <c r="Q253" i="43" s="1"/>
  <c r="R253" i="43" s="1"/>
  <c r="S253" i="43" s="1"/>
  <c r="T253" i="43" s="1"/>
  <c r="U253" i="43" s="1"/>
  <c r="V253" i="43" s="1"/>
  <c r="W253" i="43" s="1"/>
  <c r="X253" i="43" s="1"/>
  <c r="Y253" i="43" s="1"/>
  <c r="Z253" i="43" s="1"/>
  <c r="AA253" i="43" s="1"/>
  <c r="AB253" i="43" s="1"/>
  <c r="AC253" i="43" s="1"/>
  <c r="AD253" i="43" s="1"/>
  <c r="AE253" i="43" s="1"/>
  <c r="AF253" i="43" s="1"/>
  <c r="B253" i="43" s="1"/>
  <c r="H252" i="43"/>
  <c r="I252" i="43" s="1"/>
  <c r="J252" i="43" s="1"/>
  <c r="K252" i="43" s="1"/>
  <c r="L252" i="43" s="1"/>
  <c r="M252" i="43" s="1"/>
  <c r="N252" i="43" s="1"/>
  <c r="O252" i="43" s="1"/>
  <c r="P252" i="43" s="1"/>
  <c r="Q252" i="43" s="1"/>
  <c r="R252" i="43" s="1"/>
  <c r="S252" i="43" s="1"/>
  <c r="T252" i="43" s="1"/>
  <c r="U252" i="43" s="1"/>
  <c r="V252" i="43" s="1"/>
  <c r="W252" i="43" s="1"/>
  <c r="X252" i="43" s="1"/>
  <c r="Y252" i="43" s="1"/>
  <c r="Z252" i="43" s="1"/>
  <c r="AA252" i="43" s="1"/>
  <c r="AB252" i="43" s="1"/>
  <c r="AC252" i="43" s="1"/>
  <c r="AD252" i="43" s="1"/>
  <c r="AE252" i="43" s="1"/>
  <c r="AF252" i="43" s="1"/>
  <c r="B252" i="43" s="1"/>
  <c r="F252" i="43"/>
  <c r="G252" i="43" s="1"/>
  <c r="E252" i="43"/>
  <c r="D252" i="43"/>
  <c r="D251" i="43"/>
  <c r="E251" i="43" s="1"/>
  <c r="F251" i="43" s="1"/>
  <c r="G251" i="43" s="1"/>
  <c r="H251" i="43" s="1"/>
  <c r="I251" i="43" s="1"/>
  <c r="J251" i="43" s="1"/>
  <c r="K251" i="43" s="1"/>
  <c r="L251" i="43" s="1"/>
  <c r="M251" i="43" s="1"/>
  <c r="N251" i="43" s="1"/>
  <c r="O251" i="43" s="1"/>
  <c r="P251" i="43" s="1"/>
  <c r="Q251" i="43" s="1"/>
  <c r="R251" i="43" s="1"/>
  <c r="S251" i="43" s="1"/>
  <c r="T251" i="43" s="1"/>
  <c r="U251" i="43" s="1"/>
  <c r="V251" i="43" s="1"/>
  <c r="W251" i="43" s="1"/>
  <c r="X251" i="43" s="1"/>
  <c r="Y251" i="43" s="1"/>
  <c r="Z251" i="43" s="1"/>
  <c r="AA251" i="43" s="1"/>
  <c r="AB251" i="43" s="1"/>
  <c r="AC251" i="43" s="1"/>
  <c r="AD251" i="43" s="1"/>
  <c r="AE251" i="43" s="1"/>
  <c r="AF251" i="43" s="1"/>
  <c r="B251" i="43" s="1"/>
  <c r="D250" i="43"/>
  <c r="E250" i="43" s="1"/>
  <c r="F250" i="43" s="1"/>
  <c r="G250" i="43" s="1"/>
  <c r="H250" i="43" s="1"/>
  <c r="I250" i="43" s="1"/>
  <c r="J250" i="43" s="1"/>
  <c r="K250" i="43" s="1"/>
  <c r="L250" i="43" s="1"/>
  <c r="M250" i="43" s="1"/>
  <c r="N250" i="43" s="1"/>
  <c r="O250" i="43" s="1"/>
  <c r="P250" i="43" s="1"/>
  <c r="Q250" i="43" s="1"/>
  <c r="R250" i="43" s="1"/>
  <c r="S250" i="43" s="1"/>
  <c r="T250" i="43" s="1"/>
  <c r="U250" i="43" s="1"/>
  <c r="V250" i="43" s="1"/>
  <c r="W250" i="43" s="1"/>
  <c r="X250" i="43" s="1"/>
  <c r="Y250" i="43" s="1"/>
  <c r="Z250" i="43" s="1"/>
  <c r="AA250" i="43" s="1"/>
  <c r="AB250" i="43" s="1"/>
  <c r="AC250" i="43" s="1"/>
  <c r="AD250" i="43" s="1"/>
  <c r="AE250" i="43" s="1"/>
  <c r="AF250" i="43" s="1"/>
  <c r="B250" i="43" s="1"/>
  <c r="D249" i="43"/>
  <c r="AG247" i="43"/>
  <c r="AF247" i="43"/>
  <c r="AE247" i="43"/>
  <c r="AD247" i="43"/>
  <c r="AC247" i="43"/>
  <c r="AB247" i="43"/>
  <c r="AA247" i="43"/>
  <c r="Z247" i="43"/>
  <c r="Z121" i="43" s="1"/>
  <c r="Y247" i="43"/>
  <c r="Y121" i="43" s="1"/>
  <c r="X247" i="43"/>
  <c r="W247" i="43"/>
  <c r="V247" i="43"/>
  <c r="U247" i="43"/>
  <c r="T247" i="43"/>
  <c r="S247" i="43"/>
  <c r="R247" i="43"/>
  <c r="Q247" i="43"/>
  <c r="P247" i="43"/>
  <c r="O247" i="43"/>
  <c r="N247" i="43"/>
  <c r="M247" i="43"/>
  <c r="L247" i="43"/>
  <c r="K247" i="43"/>
  <c r="J247" i="43"/>
  <c r="I247" i="43"/>
  <c r="H247" i="43"/>
  <c r="G247" i="43"/>
  <c r="F247" i="43"/>
  <c r="E247" i="43"/>
  <c r="D247" i="43"/>
  <c r="C247" i="43"/>
  <c r="B247" i="43"/>
  <c r="AI133" i="43"/>
  <c r="AH133" i="43"/>
  <c r="AI132" i="43"/>
  <c r="AH132" i="43"/>
  <c r="AI131" i="43"/>
  <c r="AH131" i="43"/>
  <c r="AI130" i="43"/>
  <c r="AH130" i="43"/>
  <c r="AI129" i="43"/>
  <c r="AH129" i="43"/>
  <c r="AI126" i="43"/>
  <c r="AH126" i="43"/>
  <c r="AI125" i="43"/>
  <c r="AH125" i="43"/>
  <c r="AI124" i="43"/>
  <c r="AH124" i="43"/>
  <c r="AI123" i="43"/>
  <c r="AH123" i="43"/>
  <c r="AI122" i="43"/>
  <c r="AH122" i="43"/>
  <c r="AI120" i="43"/>
  <c r="AH120" i="43"/>
  <c r="AI119" i="43"/>
  <c r="AH119" i="43"/>
  <c r="AI118" i="43"/>
  <c r="AH118" i="43"/>
  <c r="AI117" i="43"/>
  <c r="AH117" i="43"/>
  <c r="AI116" i="43"/>
  <c r="AH116" i="43"/>
  <c r="AI115" i="43"/>
  <c r="AH115" i="43"/>
  <c r="AI114" i="43"/>
  <c r="AH114" i="43"/>
  <c r="AI113" i="43"/>
  <c r="AH113" i="43"/>
  <c r="AI112" i="43"/>
  <c r="AH112" i="43"/>
  <c r="Q110" i="43"/>
  <c r="AY23" i="43" s="1"/>
  <c r="AF109" i="43"/>
  <c r="AE109" i="43"/>
  <c r="AD109" i="43"/>
  <c r="AC109" i="43"/>
  <c r="AB109" i="43"/>
  <c r="AA109" i="43"/>
  <c r="Z109" i="43"/>
  <c r="Y109" i="43"/>
  <c r="X109" i="43"/>
  <c r="W109" i="43"/>
  <c r="V109" i="43"/>
  <c r="U109" i="43"/>
  <c r="T109" i="43"/>
  <c r="S109" i="43"/>
  <c r="R109" i="43"/>
  <c r="Q109" i="43"/>
  <c r="P109" i="43"/>
  <c r="O109" i="43"/>
  <c r="N109" i="43"/>
  <c r="M109" i="43"/>
  <c r="L109" i="43"/>
  <c r="K109" i="43"/>
  <c r="J109" i="43"/>
  <c r="I109" i="43"/>
  <c r="H109" i="43"/>
  <c r="G109" i="43"/>
  <c r="F109" i="43"/>
  <c r="E109" i="43"/>
  <c r="AF108" i="43"/>
  <c r="AE108" i="43"/>
  <c r="AD108" i="43"/>
  <c r="AC108" i="43"/>
  <c r="AB108" i="43"/>
  <c r="AA108" i="43"/>
  <c r="Z108" i="43"/>
  <c r="Y108" i="43"/>
  <c r="X108" i="43"/>
  <c r="W108" i="43"/>
  <c r="V108" i="43"/>
  <c r="U108" i="43"/>
  <c r="T108" i="43"/>
  <c r="S108" i="43"/>
  <c r="R108" i="43"/>
  <c r="Q108" i="43"/>
  <c r="P108" i="43"/>
  <c r="O108" i="43"/>
  <c r="N108" i="43"/>
  <c r="M108" i="43"/>
  <c r="L108" i="43"/>
  <c r="K108" i="43"/>
  <c r="J108" i="43"/>
  <c r="I108" i="43"/>
  <c r="H108" i="43"/>
  <c r="G108" i="43"/>
  <c r="F108" i="43"/>
  <c r="E108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AF106" i="43"/>
  <c r="AE106" i="43"/>
  <c r="AD106" i="43"/>
  <c r="AC106" i="43"/>
  <c r="AB106" i="43"/>
  <c r="AA106" i="43"/>
  <c r="Z106" i="43"/>
  <c r="Y106" i="43"/>
  <c r="X106" i="43"/>
  <c r="W106" i="43"/>
  <c r="V106" i="43"/>
  <c r="U106" i="43"/>
  <c r="T106" i="43"/>
  <c r="S106" i="43"/>
  <c r="R106" i="43"/>
  <c r="Q106" i="43"/>
  <c r="P106" i="43"/>
  <c r="O106" i="43"/>
  <c r="N106" i="43"/>
  <c r="M106" i="43"/>
  <c r="L106" i="43"/>
  <c r="K106" i="43"/>
  <c r="J106" i="43"/>
  <c r="I106" i="43"/>
  <c r="H106" i="43"/>
  <c r="G106" i="43"/>
  <c r="F106" i="43"/>
  <c r="E106" i="43"/>
  <c r="AF105" i="43"/>
  <c r="AE105" i="43"/>
  <c r="AD105" i="43"/>
  <c r="AC105" i="43"/>
  <c r="AB105" i="43"/>
  <c r="AA105" i="43"/>
  <c r="Z105" i="43"/>
  <c r="Y105" i="43"/>
  <c r="X105" i="43"/>
  <c r="W105" i="43"/>
  <c r="V105" i="43"/>
  <c r="U105" i="43"/>
  <c r="T105" i="43"/>
  <c r="S105" i="43"/>
  <c r="R105" i="43"/>
  <c r="Q105" i="43"/>
  <c r="P105" i="43"/>
  <c r="O105" i="43"/>
  <c r="N105" i="43"/>
  <c r="M105" i="43"/>
  <c r="L105" i="43"/>
  <c r="K105" i="43"/>
  <c r="J105" i="43"/>
  <c r="I105" i="43"/>
  <c r="H105" i="43"/>
  <c r="G105" i="43"/>
  <c r="F105" i="43"/>
  <c r="E105" i="43"/>
  <c r="AF104" i="43"/>
  <c r="AF110" i="43" s="1"/>
  <c r="BJ23" i="43" s="1"/>
  <c r="AE104" i="43"/>
  <c r="AE110" i="43" s="1"/>
  <c r="AD104" i="43"/>
  <c r="AC104" i="43"/>
  <c r="AB104" i="43"/>
  <c r="AB110" i="43" s="1"/>
  <c r="BG23" i="43" s="1"/>
  <c r="AA104" i="43"/>
  <c r="Z104" i="43"/>
  <c r="Y104" i="43"/>
  <c r="X104" i="43"/>
  <c r="W104" i="43"/>
  <c r="V104" i="43"/>
  <c r="U104" i="43"/>
  <c r="T104" i="43"/>
  <c r="T110" i="43" s="1"/>
  <c r="S104" i="43"/>
  <c r="S110" i="43" s="1"/>
  <c r="BA23" i="43" s="1"/>
  <c r="R104" i="43"/>
  <c r="Q104" i="43"/>
  <c r="P104" i="43"/>
  <c r="P110" i="43" s="1"/>
  <c r="O104" i="43"/>
  <c r="O110" i="43" s="1"/>
  <c r="N104" i="43"/>
  <c r="M104" i="43"/>
  <c r="L104" i="43"/>
  <c r="K104" i="43"/>
  <c r="K110" i="43" s="1"/>
  <c r="AT23" i="43" s="1"/>
  <c r="J104" i="43"/>
  <c r="I104" i="43"/>
  <c r="H104" i="43"/>
  <c r="G104" i="43"/>
  <c r="G110" i="43" s="1"/>
  <c r="AR23" i="43" s="1"/>
  <c r="F104" i="43"/>
  <c r="E104" i="43"/>
  <c r="AI101" i="43"/>
  <c r="AH101" i="43"/>
  <c r="AI99" i="43"/>
  <c r="AH99" i="43"/>
  <c r="AG99" i="43"/>
  <c r="AI98" i="43"/>
  <c r="AH98" i="43"/>
  <c r="AI97" i="43"/>
  <c r="AH97" i="43"/>
  <c r="AI96" i="43"/>
  <c r="AH96" i="43"/>
  <c r="AG95" i="43"/>
  <c r="AF95" i="43"/>
  <c r="AE95" i="43"/>
  <c r="AE111" i="43" s="1"/>
  <c r="AD95" i="43"/>
  <c r="BH19" i="43" s="1"/>
  <c r="AC95" i="43"/>
  <c r="AB5" i="43" s="1"/>
  <c r="AB95" i="43"/>
  <c r="AB111" i="43" s="1"/>
  <c r="AA95" i="43"/>
  <c r="Z95" i="43"/>
  <c r="Y95" i="43"/>
  <c r="X5" i="43" s="1"/>
  <c r="X95" i="43"/>
  <c r="X100" i="43" s="1"/>
  <c r="X102" i="43" s="1"/>
  <c r="W95" i="43"/>
  <c r="W100" i="43" s="1"/>
  <c r="W102" i="43" s="1"/>
  <c r="V95" i="43"/>
  <c r="U5" i="43" s="1"/>
  <c r="U95" i="43"/>
  <c r="BC19" i="43" s="1"/>
  <c r="T95" i="43"/>
  <c r="T111" i="43" s="1"/>
  <c r="S95" i="43"/>
  <c r="S111" i="43" s="1"/>
  <c r="R95" i="43"/>
  <c r="Q95" i="43"/>
  <c r="AY19" i="43" s="1"/>
  <c r="P95" i="43"/>
  <c r="P111" i="43" s="1"/>
  <c r="O95" i="43"/>
  <c r="O111" i="43" s="1"/>
  <c r="N95" i="43"/>
  <c r="AV19" i="43" s="1"/>
  <c r="M95" i="43"/>
  <c r="L5" i="43" s="1"/>
  <c r="L95" i="43"/>
  <c r="K95" i="43"/>
  <c r="K111" i="43" s="1"/>
  <c r="J95" i="43"/>
  <c r="I95" i="43"/>
  <c r="AS19" i="43" s="1"/>
  <c r="H95" i="43"/>
  <c r="G5" i="43" s="1"/>
  <c r="G95" i="43"/>
  <c r="G111" i="43" s="1"/>
  <c r="F95" i="43"/>
  <c r="E95" i="43"/>
  <c r="D5" i="43" s="1"/>
  <c r="AI94" i="43"/>
  <c r="AH94" i="43"/>
  <c r="AI93" i="43"/>
  <c r="AH93" i="43"/>
  <c r="AI92" i="43"/>
  <c r="AH92" i="43"/>
  <c r="AI91" i="43"/>
  <c r="AH91" i="43"/>
  <c r="AI90" i="43"/>
  <c r="AH90" i="43"/>
  <c r="AI89" i="43"/>
  <c r="AH89" i="43"/>
  <c r="AI88" i="43"/>
  <c r="AH88" i="43"/>
  <c r="AI87" i="43"/>
  <c r="AH87" i="43"/>
  <c r="AI86" i="43"/>
  <c r="AH86" i="43"/>
  <c r="AI85" i="43"/>
  <c r="AH85" i="43"/>
  <c r="AI84" i="43"/>
  <c r="AH84" i="43"/>
  <c r="AG83" i="43"/>
  <c r="AF83" i="43"/>
  <c r="AE83" i="43"/>
  <c r="AD83" i="43"/>
  <c r="BH20" i="43" s="1"/>
  <c r="AC83" i="43"/>
  <c r="AB83" i="43"/>
  <c r="BG20" i="43" s="1"/>
  <c r="AA83" i="43"/>
  <c r="Z83" i="43"/>
  <c r="U83" i="43"/>
  <c r="BC20" i="43" s="1"/>
  <c r="T83" i="43"/>
  <c r="S83" i="43"/>
  <c r="R83" i="43"/>
  <c r="Q83" i="43"/>
  <c r="P83" i="43"/>
  <c r="O83" i="43"/>
  <c r="N83" i="43"/>
  <c r="M83" i="43"/>
  <c r="L83" i="43"/>
  <c r="H83" i="43"/>
  <c r="G83" i="43"/>
  <c r="AR20" i="43" s="1"/>
  <c r="F83" i="43"/>
  <c r="E83" i="43"/>
  <c r="AI82" i="43"/>
  <c r="AH82" i="43"/>
  <c r="AI81" i="43"/>
  <c r="AH81" i="43"/>
  <c r="AI80" i="43"/>
  <c r="AH80" i="43"/>
  <c r="AF79" i="43"/>
  <c r="AE79" i="43"/>
  <c r="BI18" i="43" s="1"/>
  <c r="AD79" i="43"/>
  <c r="AC79" i="43"/>
  <c r="AB79" i="43"/>
  <c r="AA79" i="43"/>
  <c r="Z79" i="43"/>
  <c r="BF18" i="43" s="1"/>
  <c r="U79" i="43"/>
  <c r="T79" i="43"/>
  <c r="S79" i="43"/>
  <c r="BA18" i="43" s="1"/>
  <c r="R79" i="43"/>
  <c r="Q79" i="43"/>
  <c r="P79" i="43"/>
  <c r="O79" i="43"/>
  <c r="N79" i="43"/>
  <c r="AV18" i="43" s="1"/>
  <c r="M79" i="43"/>
  <c r="AU18" i="43" s="1"/>
  <c r="L79" i="43"/>
  <c r="AT18" i="43"/>
  <c r="H79" i="43"/>
  <c r="G79" i="43"/>
  <c r="F79" i="43"/>
  <c r="E79" i="43"/>
  <c r="BP78" i="43"/>
  <c r="BH78" i="43"/>
  <c r="AI78" i="43"/>
  <c r="AH78" i="43"/>
  <c r="AG78" i="43"/>
  <c r="AG79" i="43" s="1"/>
  <c r="BC77" i="43"/>
  <c r="AI77" i="43"/>
  <c r="AH77" i="43"/>
  <c r="AI76" i="43"/>
  <c r="AH76" i="43"/>
  <c r="BW75" i="43"/>
  <c r="AI75" i="43"/>
  <c r="AH75" i="43"/>
  <c r="BI74" i="43"/>
  <c r="BH74" i="43"/>
  <c r="BA74" i="43"/>
  <c r="AZ74" i="43"/>
  <c r="AI74" i="43"/>
  <c r="AH74" i="43"/>
  <c r="BS73" i="43"/>
  <c r="BR73" i="43"/>
  <c r="BJ73" i="43"/>
  <c r="BC73" i="43"/>
  <c r="BB73" i="43"/>
  <c r="AI73" i="43"/>
  <c r="AH73" i="43"/>
  <c r="AI72" i="43"/>
  <c r="AH72" i="43"/>
  <c r="BW71" i="43"/>
  <c r="BW78" i="43" s="1"/>
  <c r="BV71" i="43"/>
  <c r="BV78" i="43" s="1"/>
  <c r="BU71" i="43"/>
  <c r="BU78" i="43" s="1"/>
  <c r="BT71" i="43"/>
  <c r="BT78" i="43" s="1"/>
  <c r="BS71" i="43"/>
  <c r="BS78" i="43" s="1"/>
  <c r="BR71" i="43"/>
  <c r="BR78" i="43" s="1"/>
  <c r="BQ71" i="43"/>
  <c r="BQ78" i="43" s="1"/>
  <c r="BP71" i="43"/>
  <c r="BO71" i="43"/>
  <c r="BO78" i="43" s="1"/>
  <c r="BN71" i="43"/>
  <c r="BN78" i="43" s="1"/>
  <c r="BM71" i="43"/>
  <c r="BM78" i="43" s="1"/>
  <c r="BL71" i="43"/>
  <c r="BL78" i="43" s="1"/>
  <c r="BK71" i="43"/>
  <c r="BK78" i="43" s="1"/>
  <c r="BJ71" i="43"/>
  <c r="BJ78" i="43" s="1"/>
  <c r="BI71" i="43"/>
  <c r="BI78" i="43" s="1"/>
  <c r="BH71" i="43"/>
  <c r="BG71" i="43"/>
  <c r="BG78" i="43" s="1"/>
  <c r="BF71" i="43"/>
  <c r="BF78" i="43" s="1"/>
  <c r="BE71" i="43"/>
  <c r="BE78" i="43" s="1"/>
  <c r="BD71" i="43"/>
  <c r="BD78" i="43" s="1"/>
  <c r="BC71" i="43"/>
  <c r="BC78" i="43" s="1"/>
  <c r="BB71" i="43"/>
  <c r="BB78" i="43" s="1"/>
  <c r="BA71" i="43"/>
  <c r="BA78" i="43" s="1"/>
  <c r="AZ71" i="43"/>
  <c r="AZ78" i="43" s="1"/>
  <c r="AI71" i="43"/>
  <c r="AH71" i="43"/>
  <c r="BW70" i="43"/>
  <c r="BW77" i="43" s="1"/>
  <c r="BV70" i="43"/>
  <c r="BV77" i="43" s="1"/>
  <c r="BU70" i="43"/>
  <c r="BU77" i="43" s="1"/>
  <c r="BT70" i="43"/>
  <c r="BT77" i="43" s="1"/>
  <c r="BS70" i="43"/>
  <c r="BS77" i="43" s="1"/>
  <c r="BR70" i="43"/>
  <c r="BR77" i="43" s="1"/>
  <c r="BQ70" i="43"/>
  <c r="BQ77" i="43" s="1"/>
  <c r="BP70" i="43"/>
  <c r="BP77" i="43" s="1"/>
  <c r="BO70" i="43"/>
  <c r="BO77" i="43" s="1"/>
  <c r="BN70" i="43"/>
  <c r="BN77" i="43" s="1"/>
  <c r="BM70" i="43"/>
  <c r="BM77" i="43" s="1"/>
  <c r="BL70" i="43"/>
  <c r="BL77" i="43" s="1"/>
  <c r="BK70" i="43"/>
  <c r="BK77" i="43" s="1"/>
  <c r="BJ70" i="43"/>
  <c r="BJ77" i="43" s="1"/>
  <c r="BI70" i="43"/>
  <c r="BI77" i="43" s="1"/>
  <c r="BH70" i="43"/>
  <c r="BH77" i="43" s="1"/>
  <c r="BG70" i="43"/>
  <c r="BG77" i="43" s="1"/>
  <c r="BF70" i="43"/>
  <c r="BF77" i="43" s="1"/>
  <c r="BE70" i="43"/>
  <c r="BE77" i="43" s="1"/>
  <c r="BD70" i="43"/>
  <c r="BD77" i="43" s="1"/>
  <c r="BC70" i="43"/>
  <c r="BB70" i="43"/>
  <c r="BB77" i="43" s="1"/>
  <c r="BA70" i="43"/>
  <c r="BA77" i="43" s="1"/>
  <c r="AZ70" i="43"/>
  <c r="AZ77" i="43" s="1"/>
  <c r="AI70" i="43"/>
  <c r="AH70" i="43"/>
  <c r="BW69" i="43"/>
  <c r="BW76" i="43" s="1"/>
  <c r="BV69" i="43"/>
  <c r="BV76" i="43" s="1"/>
  <c r="BU69" i="43"/>
  <c r="BU76" i="43" s="1"/>
  <c r="BT69" i="43"/>
  <c r="BT76" i="43" s="1"/>
  <c r="BS69" i="43"/>
  <c r="BS76" i="43" s="1"/>
  <c r="BR69" i="43"/>
  <c r="BR76" i="43" s="1"/>
  <c r="BQ69" i="43"/>
  <c r="BQ76" i="43" s="1"/>
  <c r="BP69" i="43"/>
  <c r="BP76" i="43" s="1"/>
  <c r="BO69" i="43"/>
  <c r="BO76" i="43" s="1"/>
  <c r="BN69" i="43"/>
  <c r="BN76" i="43" s="1"/>
  <c r="BM69" i="43"/>
  <c r="BM76" i="43" s="1"/>
  <c r="BL69" i="43"/>
  <c r="BL76" i="43" s="1"/>
  <c r="BK69" i="43"/>
  <c r="BK76" i="43" s="1"/>
  <c r="BJ69" i="43"/>
  <c r="BJ76" i="43" s="1"/>
  <c r="BI69" i="43"/>
  <c r="BI76" i="43" s="1"/>
  <c r="BH69" i="43"/>
  <c r="BH76" i="43" s="1"/>
  <c r="BG69" i="43"/>
  <c r="BG76" i="43" s="1"/>
  <c r="BF69" i="43"/>
  <c r="BF76" i="43" s="1"/>
  <c r="BE69" i="43"/>
  <c r="BE76" i="43" s="1"/>
  <c r="BD69" i="43"/>
  <c r="BD76" i="43" s="1"/>
  <c r="BC69" i="43"/>
  <c r="BC76" i="43" s="1"/>
  <c r="BB69" i="43"/>
  <c r="BB76" i="43" s="1"/>
  <c r="BA69" i="43"/>
  <c r="BA76" i="43" s="1"/>
  <c r="AZ69" i="43"/>
  <c r="AZ76" i="43" s="1"/>
  <c r="AI69" i="43"/>
  <c r="AH69" i="43"/>
  <c r="BW68" i="43"/>
  <c r="BV68" i="43"/>
  <c r="BV75" i="43" s="1"/>
  <c r="BU68" i="43"/>
  <c r="BU75" i="43" s="1"/>
  <c r="BT68" i="43"/>
  <c r="BT75" i="43" s="1"/>
  <c r="BS68" i="43"/>
  <c r="BS75" i="43" s="1"/>
  <c r="BR68" i="43"/>
  <c r="BR75" i="43" s="1"/>
  <c r="BQ68" i="43"/>
  <c r="BQ75" i="43" s="1"/>
  <c r="BP68" i="43"/>
  <c r="BP75" i="43" s="1"/>
  <c r="BO68" i="43"/>
  <c r="BO75" i="43" s="1"/>
  <c r="BN68" i="43"/>
  <c r="BN75" i="43" s="1"/>
  <c r="BM68" i="43"/>
  <c r="BM75" i="43" s="1"/>
  <c r="BL68" i="43"/>
  <c r="BL75" i="43" s="1"/>
  <c r="BK68" i="43"/>
  <c r="BK75" i="43" s="1"/>
  <c r="BJ68" i="43"/>
  <c r="BJ75" i="43" s="1"/>
  <c r="BI68" i="43"/>
  <c r="BI75" i="43" s="1"/>
  <c r="BH68" i="43"/>
  <c r="BH75" i="43" s="1"/>
  <c r="BG68" i="43"/>
  <c r="BG75" i="43" s="1"/>
  <c r="BF68" i="43"/>
  <c r="BF75" i="43" s="1"/>
  <c r="BE68" i="43"/>
  <c r="BE75" i="43" s="1"/>
  <c r="BD68" i="43"/>
  <c r="BD75" i="43" s="1"/>
  <c r="BC68" i="43"/>
  <c r="BC75" i="43" s="1"/>
  <c r="BB68" i="43"/>
  <c r="BB75" i="43" s="1"/>
  <c r="BA68" i="43"/>
  <c r="BA75" i="43" s="1"/>
  <c r="AZ68" i="43"/>
  <c r="AZ75" i="43" s="1"/>
  <c r="AI68" i="43"/>
  <c r="AH68" i="43"/>
  <c r="BW67" i="43"/>
  <c r="BW74" i="43" s="1"/>
  <c r="BV67" i="43"/>
  <c r="BV74" i="43" s="1"/>
  <c r="BU67" i="43"/>
  <c r="BU74" i="43" s="1"/>
  <c r="BT67" i="43"/>
  <c r="BT74" i="43" s="1"/>
  <c r="BS67" i="43"/>
  <c r="BS74" i="43" s="1"/>
  <c r="BR67" i="43"/>
  <c r="BR74" i="43" s="1"/>
  <c r="BQ67" i="43"/>
  <c r="BQ74" i="43" s="1"/>
  <c r="BP67" i="43"/>
  <c r="BP74" i="43" s="1"/>
  <c r="BO67" i="43"/>
  <c r="BO74" i="43" s="1"/>
  <c r="BN67" i="43"/>
  <c r="BN74" i="43" s="1"/>
  <c r="BM67" i="43"/>
  <c r="BM74" i="43" s="1"/>
  <c r="BL67" i="43"/>
  <c r="BL74" i="43" s="1"/>
  <c r="BK67" i="43"/>
  <c r="BK74" i="43" s="1"/>
  <c r="BJ67" i="43"/>
  <c r="BJ74" i="43" s="1"/>
  <c r="BI67" i="43"/>
  <c r="BH67" i="43"/>
  <c r="BG67" i="43"/>
  <c r="BG74" i="43" s="1"/>
  <c r="BF67" i="43"/>
  <c r="BF74" i="43" s="1"/>
  <c r="BE67" i="43"/>
  <c r="BE74" i="43" s="1"/>
  <c r="BD67" i="43"/>
  <c r="BD74" i="43" s="1"/>
  <c r="BC67" i="43"/>
  <c r="BC74" i="43" s="1"/>
  <c r="BB67" i="43"/>
  <c r="BB74" i="43" s="1"/>
  <c r="BA67" i="43"/>
  <c r="AZ67" i="43"/>
  <c r="AI67" i="43"/>
  <c r="AH67" i="43"/>
  <c r="BW66" i="43"/>
  <c r="BW73" i="43" s="1"/>
  <c r="BV66" i="43"/>
  <c r="BV73" i="43" s="1"/>
  <c r="BU66" i="43"/>
  <c r="BU73" i="43" s="1"/>
  <c r="BT66" i="43"/>
  <c r="BT73" i="43" s="1"/>
  <c r="BS66" i="43"/>
  <c r="BR66" i="43"/>
  <c r="BQ66" i="43"/>
  <c r="BQ73" i="43" s="1"/>
  <c r="BP66" i="43"/>
  <c r="BP73" i="43" s="1"/>
  <c r="BO66" i="43"/>
  <c r="BO73" i="43" s="1"/>
  <c r="BN66" i="43"/>
  <c r="BN73" i="43" s="1"/>
  <c r="BM66" i="43"/>
  <c r="BM73" i="43" s="1"/>
  <c r="BL66" i="43"/>
  <c r="BL73" i="43" s="1"/>
  <c r="BK66" i="43"/>
  <c r="BK73" i="43" s="1"/>
  <c r="BJ66" i="43"/>
  <c r="BI66" i="43"/>
  <c r="BI73" i="43" s="1"/>
  <c r="BH66" i="43"/>
  <c r="BH73" i="43" s="1"/>
  <c r="BG66" i="43"/>
  <c r="BG73" i="43" s="1"/>
  <c r="BF66" i="43"/>
  <c r="BF73" i="43" s="1"/>
  <c r="BE66" i="43"/>
  <c r="BE73" i="43" s="1"/>
  <c r="BD66" i="43"/>
  <c r="BD73" i="43" s="1"/>
  <c r="BC66" i="43"/>
  <c r="BB66" i="43"/>
  <c r="BA66" i="43"/>
  <c r="BA73" i="43" s="1"/>
  <c r="AZ66" i="43"/>
  <c r="AI66" i="43"/>
  <c r="AH66" i="43"/>
  <c r="AG65" i="43"/>
  <c r="AF65" i="43"/>
  <c r="BJ17" i="43" s="1"/>
  <c r="AE65" i="43"/>
  <c r="BI17" i="43" s="1"/>
  <c r="AD65" i="43"/>
  <c r="BH17" i="43" s="1"/>
  <c r="AC65" i="43"/>
  <c r="AB65" i="43"/>
  <c r="AA65" i="43"/>
  <c r="Z65" i="43"/>
  <c r="U65" i="43"/>
  <c r="T65" i="43"/>
  <c r="S65" i="43"/>
  <c r="R65" i="43"/>
  <c r="Q65" i="43"/>
  <c r="P65" i="43"/>
  <c r="O65" i="43"/>
  <c r="AW17" i="43" s="1"/>
  <c r="N65" i="43"/>
  <c r="L65" i="43"/>
  <c r="H65" i="43"/>
  <c r="G65" i="43"/>
  <c r="AR17" i="43" s="1"/>
  <c r="F65" i="43"/>
  <c r="E65" i="43"/>
  <c r="AI64" i="43"/>
  <c r="AH64" i="43"/>
  <c r="AI63" i="43"/>
  <c r="AH63" i="43"/>
  <c r="AI62" i="43"/>
  <c r="AH62" i="43"/>
  <c r="AG61" i="43"/>
  <c r="AG100" i="43" s="1"/>
  <c r="AF61" i="43"/>
  <c r="BJ16" i="43" s="1"/>
  <c r="AE61" i="43"/>
  <c r="AD61" i="43"/>
  <c r="BH16" i="43" s="1"/>
  <c r="AC61" i="43"/>
  <c r="AB61" i="43"/>
  <c r="BG16" i="43" s="1"/>
  <c r="AA61" i="43"/>
  <c r="AA100" i="43" s="1"/>
  <c r="AA102" i="43" s="1"/>
  <c r="Z61" i="43"/>
  <c r="U61" i="43"/>
  <c r="BC16" i="43" s="1"/>
  <c r="T61" i="43"/>
  <c r="BB16" i="43" s="1"/>
  <c r="S61" i="43"/>
  <c r="BA16" i="43" s="1"/>
  <c r="R61" i="43"/>
  <c r="Q61" i="43"/>
  <c r="Q100" i="43" s="1"/>
  <c r="Q102" i="43" s="1"/>
  <c r="P61" i="43"/>
  <c r="O61" i="43"/>
  <c r="N61" i="43"/>
  <c r="L61" i="43"/>
  <c r="H61" i="43"/>
  <c r="G61" i="43"/>
  <c r="AR16" i="43" s="1"/>
  <c r="F61" i="43"/>
  <c r="F100" i="43" s="1"/>
  <c r="F102" i="43" s="1"/>
  <c r="E61" i="43"/>
  <c r="AI60" i="43"/>
  <c r="AH60" i="43"/>
  <c r="AI59" i="43"/>
  <c r="AH59" i="43"/>
  <c r="AI58" i="43"/>
  <c r="AH58" i="43"/>
  <c r="AI57" i="43"/>
  <c r="AH57" i="43"/>
  <c r="AI56" i="43"/>
  <c r="AH56" i="43"/>
  <c r="AI55" i="43"/>
  <c r="AH55" i="43"/>
  <c r="AI54" i="43"/>
  <c r="AH54" i="43"/>
  <c r="AI53" i="43"/>
  <c r="AH53" i="43"/>
  <c r="AI52" i="43"/>
  <c r="AH52" i="43"/>
  <c r="AI51" i="43"/>
  <c r="AH51" i="43"/>
  <c r="AI50" i="43"/>
  <c r="AH50" i="43"/>
  <c r="AI49" i="43"/>
  <c r="AH49" i="43"/>
  <c r="AI48" i="43"/>
  <c r="AH48" i="43"/>
  <c r="AI47" i="43"/>
  <c r="AH47" i="43"/>
  <c r="AI46" i="43"/>
  <c r="AH46" i="43"/>
  <c r="AI45" i="43"/>
  <c r="AH45" i="43"/>
  <c r="AI44" i="43"/>
  <c r="AH44" i="43"/>
  <c r="AI43" i="43"/>
  <c r="AH43" i="43"/>
  <c r="AI42" i="43"/>
  <c r="AH42" i="43"/>
  <c r="AI41" i="43"/>
  <c r="AH41" i="43"/>
  <c r="AI40" i="43"/>
  <c r="AH40" i="43"/>
  <c r="AI39" i="43"/>
  <c r="AH39" i="43"/>
  <c r="AI38" i="43"/>
  <c r="AH38" i="43"/>
  <c r="AI37" i="43"/>
  <c r="AH37" i="43"/>
  <c r="AI36" i="43"/>
  <c r="AH36" i="43"/>
  <c r="AI35" i="43"/>
  <c r="AH35" i="43"/>
  <c r="AI34" i="43"/>
  <c r="AH34" i="43"/>
  <c r="AI33" i="43"/>
  <c r="AH33" i="43"/>
  <c r="AI32" i="43"/>
  <c r="AH32" i="43"/>
  <c r="AI31" i="43"/>
  <c r="AH31" i="43"/>
  <c r="AI30" i="43"/>
  <c r="AH30" i="43"/>
  <c r="AI29" i="43"/>
  <c r="AH29" i="43"/>
  <c r="AI28" i="43"/>
  <c r="AH28" i="43"/>
  <c r="AI27" i="43"/>
  <c r="AH27" i="43"/>
  <c r="AI26" i="43"/>
  <c r="AH26" i="43"/>
  <c r="AI25" i="43"/>
  <c r="AH25" i="43"/>
  <c r="AI24" i="43"/>
  <c r="AH24" i="43"/>
  <c r="BI23" i="43"/>
  <c r="BB23" i="43"/>
  <c r="AX23" i="43"/>
  <c r="AW23" i="43"/>
  <c r="AO23" i="43"/>
  <c r="AI23" i="43"/>
  <c r="AH23" i="43"/>
  <c r="AI22" i="43"/>
  <c r="AH22" i="43"/>
  <c r="BJ21" i="43"/>
  <c r="BI21" i="43"/>
  <c r="BH21" i="43"/>
  <c r="BG21" i="43"/>
  <c r="BF21" i="43"/>
  <c r="BE21" i="43"/>
  <c r="BD21" i="43"/>
  <c r="BC21" i="43"/>
  <c r="BB21" i="43"/>
  <c r="BA21" i="43"/>
  <c r="AZ21" i="43"/>
  <c r="AY21" i="43"/>
  <c r="AX21" i="43"/>
  <c r="AW21" i="43"/>
  <c r="AV21" i="43"/>
  <c r="AU21" i="43"/>
  <c r="AT21" i="43"/>
  <c r="AS21" i="43"/>
  <c r="AR21" i="43"/>
  <c r="AQ21" i="43"/>
  <c r="AP21" i="43"/>
  <c r="AO21" i="43"/>
  <c r="AN21" i="43"/>
  <c r="AM21" i="43"/>
  <c r="AI21" i="43"/>
  <c r="AH21" i="43"/>
  <c r="BJ20" i="43"/>
  <c r="BI20" i="43"/>
  <c r="BF20" i="43"/>
  <c r="BE20" i="43"/>
  <c r="BD20" i="43"/>
  <c r="BB20" i="43"/>
  <c r="BA20" i="43"/>
  <c r="AZ20" i="43"/>
  <c r="AY20" i="43"/>
  <c r="AX20" i="43"/>
  <c r="AW20" i="43"/>
  <c r="AV20" i="43"/>
  <c r="AU20" i="43"/>
  <c r="AT20" i="43"/>
  <c r="AS20" i="43"/>
  <c r="AQ20" i="43"/>
  <c r="AP20" i="43"/>
  <c r="AO20" i="43"/>
  <c r="AN20" i="43"/>
  <c r="AM20" i="43"/>
  <c r="AI20" i="43"/>
  <c r="AH20" i="43"/>
  <c r="BJ19" i="43"/>
  <c r="BE19" i="43"/>
  <c r="AQ19" i="43"/>
  <c r="AO19" i="43"/>
  <c r="AI19" i="43"/>
  <c r="AH19" i="43"/>
  <c r="BJ18" i="43"/>
  <c r="BH18" i="43"/>
  <c r="BG18" i="43"/>
  <c r="BE18" i="43"/>
  <c r="BD18" i="43"/>
  <c r="BC18" i="43"/>
  <c r="BB18" i="43"/>
  <c r="AZ18" i="43"/>
  <c r="AY18" i="43"/>
  <c r="AX18" i="43"/>
  <c r="AW18" i="43"/>
  <c r="AS18" i="43"/>
  <c r="AR18" i="43"/>
  <c r="AQ18" i="43"/>
  <c r="AP18" i="43"/>
  <c r="AO18" i="43"/>
  <c r="AN18" i="43"/>
  <c r="AI18" i="43"/>
  <c r="AH18" i="43"/>
  <c r="BG17" i="43"/>
  <c r="BF17" i="43"/>
  <c r="BE17" i="43"/>
  <c r="BD17" i="43"/>
  <c r="BC17" i="43"/>
  <c r="BB17" i="43"/>
  <c r="BA17" i="43"/>
  <c r="AZ17" i="43"/>
  <c r="AY17" i="43"/>
  <c r="AX17" i="43"/>
  <c r="AV17" i="43"/>
  <c r="AU17" i="43"/>
  <c r="AT17" i="43"/>
  <c r="AS17" i="43"/>
  <c r="AQ17" i="43"/>
  <c r="AP17" i="43"/>
  <c r="AO17" i="43"/>
  <c r="AN17" i="43"/>
  <c r="AM17" i="43"/>
  <c r="AI17" i="43"/>
  <c r="AH17" i="43"/>
  <c r="BE16" i="43"/>
  <c r="BD16" i="43"/>
  <c r="AY16" i="43"/>
  <c r="AX16" i="43"/>
  <c r="AV16" i="43"/>
  <c r="AU16" i="43"/>
  <c r="AT16" i="43"/>
  <c r="AS16" i="43"/>
  <c r="AO16" i="43"/>
  <c r="AM16" i="43"/>
  <c r="AI16" i="43"/>
  <c r="AH16" i="43"/>
  <c r="AI15" i="43"/>
  <c r="AH15" i="43"/>
  <c r="AI14" i="43"/>
  <c r="AH14" i="43"/>
  <c r="AI13" i="43"/>
  <c r="AH13" i="43"/>
  <c r="AL12" i="43"/>
  <c r="AI12" i="43"/>
  <c r="AH12" i="43"/>
  <c r="AI11" i="43"/>
  <c r="AH11" i="43"/>
  <c r="D7" i="43"/>
  <c r="AE5" i="43"/>
  <c r="Z5" i="43"/>
  <c r="W5" i="43"/>
  <c r="V5" i="43"/>
  <c r="P5" i="43"/>
  <c r="I5" i="43"/>
  <c r="E5" i="43"/>
  <c r="C5" i="43"/>
  <c r="AG4" i="43"/>
  <c r="K4" i="43"/>
  <c r="E4" i="43"/>
  <c r="H4" i="43" s="1"/>
  <c r="B4" i="43"/>
  <c r="D261" i="43" s="1"/>
  <c r="AG3" i="43"/>
  <c r="AG2" i="43"/>
  <c r="AG6" i="43" s="1"/>
  <c r="AC5" i="43" l="1"/>
  <c r="AA103" i="43"/>
  <c r="AA7" i="43" s="1"/>
  <c r="AA110" i="43"/>
  <c r="AA111" i="43" s="1"/>
  <c r="AE249" i="45"/>
  <c r="AC254" i="45"/>
  <c r="AB255" i="45"/>
  <c r="AB121" i="45"/>
  <c r="AF111" i="43"/>
  <c r="AD5" i="43"/>
  <c r="BI19" i="43"/>
  <c r="BJ22" i="43"/>
  <c r="BJ24" i="43" s="1"/>
  <c r="AF100" i="43"/>
  <c r="AF102" i="43" s="1"/>
  <c r="AF103" i="43" s="1"/>
  <c r="AF7" i="43" s="1"/>
  <c r="AE100" i="43"/>
  <c r="AE102" i="43" s="1"/>
  <c r="AE103" i="43" s="1"/>
  <c r="AE7" i="43" s="1"/>
  <c r="BH22" i="43"/>
  <c r="AD100" i="43"/>
  <c r="AD102" i="43" s="1"/>
  <c r="AC100" i="43"/>
  <c r="AC102" i="43" s="1"/>
  <c r="BG19" i="43"/>
  <c r="AA5" i="43"/>
  <c r="AB100" i="43"/>
  <c r="AB102" i="43" s="1"/>
  <c r="AB103" i="43" s="1"/>
  <c r="AB7" i="43" s="1"/>
  <c r="BG22" i="43"/>
  <c r="BG24" i="43" s="1"/>
  <c r="Y5" i="43"/>
  <c r="Z110" i="43"/>
  <c r="BF23" i="43" s="1"/>
  <c r="Z100" i="43"/>
  <c r="Z102" i="43" s="1"/>
  <c r="Z103" i="43" s="1"/>
  <c r="Z7" i="43" s="1"/>
  <c r="BF19" i="43"/>
  <c r="BF16" i="43"/>
  <c r="BF22" i="43" s="1"/>
  <c r="BF24" i="43" s="1"/>
  <c r="Y110" i="43"/>
  <c r="Y100" i="43"/>
  <c r="Y102" i="43" s="1"/>
  <c r="Y103" i="43"/>
  <c r="Y7" i="43" s="1"/>
  <c r="Y111" i="43"/>
  <c r="BE22" i="43"/>
  <c r="X110" i="43"/>
  <c r="W110" i="43"/>
  <c r="W111" i="43" s="1"/>
  <c r="V100" i="43"/>
  <c r="V102" i="43" s="1"/>
  <c r="BD19" i="43"/>
  <c r="BD22" i="43" s="1"/>
  <c r="T5" i="43"/>
  <c r="BC22" i="43"/>
  <c r="U100" i="43"/>
  <c r="U102" i="43" s="1"/>
  <c r="S5" i="43"/>
  <c r="BB19" i="43"/>
  <c r="T100" i="43"/>
  <c r="T102" i="43" s="1"/>
  <c r="T103" i="43" s="1"/>
  <c r="T7" i="43" s="1"/>
  <c r="BB22" i="43"/>
  <c r="BB24" i="43" s="1"/>
  <c r="BA19" i="43"/>
  <c r="R5" i="43"/>
  <c r="S100" i="43"/>
  <c r="S102" i="43" s="1"/>
  <c r="S103" i="43" s="1"/>
  <c r="S7" i="43" s="1"/>
  <c r="BA22" i="43"/>
  <c r="BA24" i="43" s="1"/>
  <c r="R110" i="43"/>
  <c r="AZ23" i="43" s="1"/>
  <c r="Q5" i="43"/>
  <c r="AZ19" i="43"/>
  <c r="R100" i="43"/>
  <c r="R102" i="43" s="1"/>
  <c r="R103" i="43" s="1"/>
  <c r="R7" i="43" s="1"/>
  <c r="Q103" i="43"/>
  <c r="Q7" i="43" s="1"/>
  <c r="Q111" i="43"/>
  <c r="AY22" i="43"/>
  <c r="AY24" i="43" s="1"/>
  <c r="AZ16" i="43"/>
  <c r="P100" i="43"/>
  <c r="P102" i="43" s="1"/>
  <c r="P103" i="43" s="1"/>
  <c r="P7" i="43" s="1"/>
  <c r="N5" i="43"/>
  <c r="M5" i="43"/>
  <c r="O5" i="43"/>
  <c r="AX19" i="43"/>
  <c r="AX22" i="43" s="1"/>
  <c r="AX24" i="43" s="1"/>
  <c r="AW19" i="43"/>
  <c r="N100" i="43"/>
  <c r="N102" i="43" s="1"/>
  <c r="O100" i="43"/>
  <c r="O102" i="43" s="1"/>
  <c r="O103" i="43" s="1"/>
  <c r="O7" i="43" s="1"/>
  <c r="AV22" i="43"/>
  <c r="AU19" i="43"/>
  <c r="AU22" i="43" s="1"/>
  <c r="M100" i="43"/>
  <c r="M102" i="43" s="1"/>
  <c r="M103" i="43" s="1"/>
  <c r="M7" i="43" s="1"/>
  <c r="L110" i="43"/>
  <c r="L111" i="43" s="1"/>
  <c r="K5" i="43"/>
  <c r="AT19" i="43"/>
  <c r="J5" i="43"/>
  <c r="J110" i="43"/>
  <c r="J111" i="43"/>
  <c r="I110" i="43"/>
  <c r="AS23" i="43" s="1"/>
  <c r="H5" i="43"/>
  <c r="AI107" i="43"/>
  <c r="AS22" i="43"/>
  <c r="AS24" i="43" s="1"/>
  <c r="I100" i="43"/>
  <c r="I102" i="43" s="1"/>
  <c r="I103" i="43" s="1"/>
  <c r="I7" i="43" s="1"/>
  <c r="L100" i="43"/>
  <c r="L102" i="43" s="1"/>
  <c r="H110" i="43"/>
  <c r="H111" i="43"/>
  <c r="H100" i="43"/>
  <c r="H102" i="43" s="1"/>
  <c r="H103" i="43" s="1"/>
  <c r="H7" i="43" s="1"/>
  <c r="AR19" i="43"/>
  <c r="F5" i="43"/>
  <c r="G100" i="43"/>
  <c r="G102" i="43" s="1"/>
  <c r="G103" i="43" s="1"/>
  <c r="G7" i="43" s="1"/>
  <c r="AI65" i="43"/>
  <c r="AT22" i="43"/>
  <c r="AT24" i="43" s="1"/>
  <c r="K100" i="43"/>
  <c r="K102" i="43" s="1"/>
  <c r="K103" i="43" s="1"/>
  <c r="K7" i="43" s="1"/>
  <c r="AI109" i="43"/>
  <c r="AQ16" i="43"/>
  <c r="AQ22" i="43" s="1"/>
  <c r="J100" i="43"/>
  <c r="J102" i="43" s="1"/>
  <c r="J103" i="43" s="1"/>
  <c r="J7" i="43" s="1"/>
  <c r="AP19" i="43"/>
  <c r="E100" i="43"/>
  <c r="E102" i="43" s="1"/>
  <c r="AP16" i="43"/>
  <c r="AP22" i="43" s="1"/>
  <c r="AO22" i="43"/>
  <c r="AO24" i="43" s="1"/>
  <c r="B5" i="43"/>
  <c r="C100" i="43"/>
  <c r="C102" i="43" s="1"/>
  <c r="C103" i="43" s="1"/>
  <c r="C7" i="43" s="1"/>
  <c r="AN23" i="43"/>
  <c r="C111" i="43"/>
  <c r="AN22" i="43"/>
  <c r="AN24" i="43" s="1"/>
  <c r="AF5" i="43"/>
  <c r="AM19" i="43"/>
  <c r="B100" i="43"/>
  <c r="B102" i="43" s="1"/>
  <c r="B103" i="43" s="1"/>
  <c r="AM22" i="43"/>
  <c r="AI104" i="43"/>
  <c r="BG82" i="43" a="1"/>
  <c r="BG103" i="43" s="1"/>
  <c r="AH79" i="43"/>
  <c r="AI79" i="43"/>
  <c r="AR22" i="43"/>
  <c r="AR24" i="43" s="1"/>
  <c r="BI16" i="43"/>
  <c r="AI83" i="43"/>
  <c r="AH61" i="43"/>
  <c r="AH65" i="43"/>
  <c r="U111" i="43"/>
  <c r="E110" i="43"/>
  <c r="AP23" i="43" s="1"/>
  <c r="M110" i="43"/>
  <c r="AU23" i="43" s="1"/>
  <c r="U110" i="43"/>
  <c r="BC23" i="43" s="1"/>
  <c r="BC24" i="43" s="1"/>
  <c r="AC110" i="43"/>
  <c r="AC111" i="43" s="1"/>
  <c r="AH109" i="43"/>
  <c r="AL13" i="43"/>
  <c r="AI61" i="43"/>
  <c r="F110" i="43"/>
  <c r="AQ23" i="43" s="1"/>
  <c r="N110" i="43"/>
  <c r="AV23" i="43" s="1"/>
  <c r="AV24" i="43" s="1"/>
  <c r="V110" i="43"/>
  <c r="BD23" i="43" s="1"/>
  <c r="AD110" i="43"/>
  <c r="BH23" i="43" s="1"/>
  <c r="AI108" i="43"/>
  <c r="AW16" i="43"/>
  <c r="AZ73" i="43"/>
  <c r="AG102" i="43"/>
  <c r="AI106" i="43"/>
  <c r="D255" i="43"/>
  <c r="E254" i="43"/>
  <c r="F254" i="43" s="1"/>
  <c r="G254" i="43" s="1"/>
  <c r="H254" i="43" s="1"/>
  <c r="I254" i="43" s="1"/>
  <c r="J254" i="43" s="1"/>
  <c r="K254" i="43" s="1"/>
  <c r="L254" i="43" s="1"/>
  <c r="M254" i="43" s="1"/>
  <c r="N254" i="43" s="1"/>
  <c r="O254" i="43" s="1"/>
  <c r="P254" i="43" s="1"/>
  <c r="Q254" i="43" s="1"/>
  <c r="R254" i="43" s="1"/>
  <c r="S254" i="43" s="1"/>
  <c r="T254" i="43" s="1"/>
  <c r="U254" i="43" s="1"/>
  <c r="V254" i="43" s="1"/>
  <c r="W254" i="43" s="1"/>
  <c r="X254" i="43" s="1"/>
  <c r="Y254" i="43" s="1"/>
  <c r="Z254" i="43" s="1"/>
  <c r="AA254" i="43" s="1"/>
  <c r="AB254" i="43" s="1"/>
  <c r="AC254" i="43" s="1"/>
  <c r="AD254" i="43" s="1"/>
  <c r="AE254" i="43" s="1"/>
  <c r="AF254" i="43" s="1"/>
  <c r="B254" i="43" s="1"/>
  <c r="AI105" i="43"/>
  <c r="AH83" i="43"/>
  <c r="AH95" i="43"/>
  <c r="AI95" i="43"/>
  <c r="AH104" i="43"/>
  <c r="AH105" i="43"/>
  <c r="E249" i="43"/>
  <c r="AH106" i="43"/>
  <c r="AH107" i="43"/>
  <c r="AH108" i="43"/>
  <c r="AE61" i="42"/>
  <c r="AF61" i="42"/>
  <c r="AE65" i="42"/>
  <c r="AF65" i="42"/>
  <c r="AE79" i="42"/>
  <c r="AF79" i="42"/>
  <c r="AE83" i="42"/>
  <c r="AF83" i="42"/>
  <c r="AE95" i="42"/>
  <c r="AF95" i="42"/>
  <c r="AE104" i="42"/>
  <c r="AF104" i="42"/>
  <c r="AE105" i="42"/>
  <c r="AF105" i="42"/>
  <c r="AE106" i="42"/>
  <c r="AF106" i="42"/>
  <c r="AE107" i="42"/>
  <c r="AF107" i="42"/>
  <c r="AE108" i="42"/>
  <c r="AF108" i="42"/>
  <c r="AE109" i="42"/>
  <c r="AF109" i="42"/>
  <c r="AE121" i="42"/>
  <c r="AF121" i="42"/>
  <c r="BI22" i="43" l="1"/>
  <c r="BI24" i="43" s="1"/>
  <c r="BH24" i="43"/>
  <c r="L103" i="43"/>
  <c r="L7" i="43" s="1"/>
  <c r="AD254" i="45"/>
  <c r="AC121" i="45"/>
  <c r="AC255" i="45"/>
  <c r="AF249" i="45"/>
  <c r="AD111" i="43"/>
  <c r="AC103" i="43"/>
  <c r="AC7" i="43" s="1"/>
  <c r="Z111" i="43"/>
  <c r="X111" i="43"/>
  <c r="BE23" i="43"/>
  <c r="BE24" i="43" s="1"/>
  <c r="X103" i="43"/>
  <c r="X7" i="43" s="1"/>
  <c r="W103" i="43"/>
  <c r="W7" i="43" s="1"/>
  <c r="BD24" i="43"/>
  <c r="V111" i="43"/>
  <c r="R111" i="43"/>
  <c r="AZ22" i="43"/>
  <c r="AZ24" i="43" s="1"/>
  <c r="AW22" i="43"/>
  <c r="AW24" i="43" s="1"/>
  <c r="N111" i="43"/>
  <c r="M111" i="43"/>
  <c r="AU24" i="43"/>
  <c r="I111" i="43"/>
  <c r="B259" i="43"/>
  <c r="AQ24" i="43"/>
  <c r="C259" i="43"/>
  <c r="K6" i="43" s="1"/>
  <c r="AP24" i="43"/>
  <c r="E103" i="43"/>
  <c r="E7" i="43" s="1"/>
  <c r="E111" i="43"/>
  <c r="AI100" i="43"/>
  <c r="AH100" i="43"/>
  <c r="BL101" i="43"/>
  <c r="BG93" i="43"/>
  <c r="BJ85" i="43"/>
  <c r="BH87" i="43"/>
  <c r="BL93" i="43"/>
  <c r="BK88" i="43"/>
  <c r="BI99" i="43"/>
  <c r="BH86" i="43"/>
  <c r="BL96" i="43"/>
  <c r="BK83" i="43"/>
  <c r="BI94" i="43"/>
  <c r="BG105" i="43"/>
  <c r="BL91" i="43"/>
  <c r="BJ102" i="43"/>
  <c r="BI89" i="43"/>
  <c r="BG100" i="43"/>
  <c r="BL86" i="43"/>
  <c r="BJ97" i="43"/>
  <c r="BI84" i="43"/>
  <c r="BG95" i="43"/>
  <c r="BK105" i="43"/>
  <c r="BJ104" i="43"/>
  <c r="BI82" i="43"/>
  <c r="BH96" i="43"/>
  <c r="BJ84" i="43"/>
  <c r="BL97" i="43"/>
  <c r="BJ92" i="43"/>
  <c r="BG90" i="43"/>
  <c r="BK100" i="43"/>
  <c r="BJ87" i="43"/>
  <c r="BH98" i="43"/>
  <c r="BG85" i="43"/>
  <c r="BK95" i="43"/>
  <c r="BJ82" i="43"/>
  <c r="BH93" i="43"/>
  <c r="BL103" i="43"/>
  <c r="BK90" i="43"/>
  <c r="BI101" i="43"/>
  <c r="BH88" i="43"/>
  <c r="BL98" i="43"/>
  <c r="BK85" i="43"/>
  <c r="BI96" i="43"/>
  <c r="BG98" i="43"/>
  <c r="BK93" i="43"/>
  <c r="BH95" i="43"/>
  <c r="BJ88" i="43"/>
  <c r="BH103" i="43"/>
  <c r="BI91" i="43"/>
  <c r="BG102" i="43"/>
  <c r="BL88" i="43"/>
  <c r="BJ99" i="43"/>
  <c r="BI86" i="43"/>
  <c r="BG97" i="43"/>
  <c r="BL83" i="43"/>
  <c r="BJ94" i="43"/>
  <c r="BH105" i="43"/>
  <c r="BG92" i="43"/>
  <c r="BK102" i="43"/>
  <c r="BJ89" i="43"/>
  <c r="BH100" i="43"/>
  <c r="BG87" i="43"/>
  <c r="BK97" i="43"/>
  <c r="BI87" i="43"/>
  <c r="BG83" i="43"/>
  <c r="BL105" i="43"/>
  <c r="BH99" i="43"/>
  <c r="BG82" i="43"/>
  <c r="BK92" i="43"/>
  <c r="BI103" i="43"/>
  <c r="BH90" i="43"/>
  <c r="BL100" i="43"/>
  <c r="BK87" i="43"/>
  <c r="BI98" i="43"/>
  <c r="BH85" i="43"/>
  <c r="BL95" i="43"/>
  <c r="BK82" i="43"/>
  <c r="BI93" i="43"/>
  <c r="BG104" i="43"/>
  <c r="BL90" i="43"/>
  <c r="BJ101" i="43"/>
  <c r="BI88" i="43"/>
  <c r="BG99" i="43"/>
  <c r="BL84" i="43"/>
  <c r="BI104" i="43"/>
  <c r="BL85" i="43"/>
  <c r="BL89" i="43"/>
  <c r="BI83" i="43"/>
  <c r="BG94" i="43"/>
  <c r="BK104" i="43"/>
  <c r="BJ91" i="43"/>
  <c r="BH102" i="43"/>
  <c r="BG89" i="43"/>
  <c r="BK99" i="43"/>
  <c r="BJ86" i="43"/>
  <c r="BH97" i="43"/>
  <c r="BG84" i="43"/>
  <c r="BK94" i="43"/>
  <c r="BI105" i="43"/>
  <c r="BH92" i="43"/>
  <c r="BL102" i="43"/>
  <c r="BK89" i="43"/>
  <c r="BI100" i="43"/>
  <c r="BJ95" i="43"/>
  <c r="BK103" i="43"/>
  <c r="BJ90" i="43"/>
  <c r="BH101" i="43"/>
  <c r="BG88" i="43"/>
  <c r="BK98" i="43"/>
  <c r="BJ96" i="43"/>
  <c r="BJ100" i="43"/>
  <c r="BK84" i="43"/>
  <c r="BI95" i="43"/>
  <c r="BH82" i="43"/>
  <c r="BL92" i="43"/>
  <c r="BJ103" i="43"/>
  <c r="BI90" i="43"/>
  <c r="BG101" i="43"/>
  <c r="BL87" i="43"/>
  <c r="BJ98" i="43"/>
  <c r="BI85" i="43"/>
  <c r="BG96" i="43"/>
  <c r="BL82" i="43"/>
  <c r="BJ93" i="43"/>
  <c r="BH104" i="43"/>
  <c r="BG91" i="43"/>
  <c r="BK101" i="43"/>
  <c r="BH83" i="43"/>
  <c r="BH91" i="43"/>
  <c r="BG86" i="43"/>
  <c r="BK96" i="43"/>
  <c r="BJ83" i="43"/>
  <c r="BH94" i="43"/>
  <c r="BL104" i="43"/>
  <c r="BK91" i="43"/>
  <c r="BI102" i="43"/>
  <c r="BH89" i="43"/>
  <c r="BL99" i="43"/>
  <c r="BK86" i="43"/>
  <c r="BI97" i="43"/>
  <c r="BH84" i="43"/>
  <c r="BL94" i="43"/>
  <c r="BJ105" i="43"/>
  <c r="BI92" i="43"/>
  <c r="AI110" i="43"/>
  <c r="AH110" i="43"/>
  <c r="AM23" i="43"/>
  <c r="AM24" i="43" s="1"/>
  <c r="F111" i="43"/>
  <c r="AD103" i="43"/>
  <c r="AD7" i="43" s="1"/>
  <c r="F249" i="43"/>
  <c r="E121" i="43"/>
  <c r="E255" i="43"/>
  <c r="V103" i="43"/>
  <c r="V7" i="43" s="1"/>
  <c r="AH111" i="43"/>
  <c r="N103" i="43"/>
  <c r="N7" i="43" s="1"/>
  <c r="AI102" i="43"/>
  <c r="AH102" i="43"/>
  <c r="U103" i="43"/>
  <c r="U7" i="43" s="1"/>
  <c r="F103" i="43"/>
  <c r="F7" i="43" s="1"/>
  <c r="AE110" i="42"/>
  <c r="AE111" i="42"/>
  <c r="AF110" i="42"/>
  <c r="AF111" i="42" s="1"/>
  <c r="AE100" i="42"/>
  <c r="AE102" i="42" s="1"/>
  <c r="AE103" i="42" s="1"/>
  <c r="AF100" i="42"/>
  <c r="AF102" i="42" s="1"/>
  <c r="AT8" i="43" l="1"/>
  <c r="AI111" i="43"/>
  <c r="B249" i="45"/>
  <c r="AE254" i="45"/>
  <c r="AD121" i="45"/>
  <c r="AD255" i="45"/>
  <c r="AT9" i="43"/>
  <c r="G249" i="43"/>
  <c r="F255" i="43"/>
  <c r="F121" i="43"/>
  <c r="AI103" i="43"/>
  <c r="AH103" i="43"/>
  <c r="B7" i="43"/>
  <c r="A7" i="43" s="1"/>
  <c r="AF103" i="42"/>
  <c r="AF254" i="45" l="1"/>
  <c r="AE255" i="45"/>
  <c r="AE121" i="45"/>
  <c r="H249" i="43"/>
  <c r="G255" i="43"/>
  <c r="G121" i="43"/>
  <c r="AB60" i="42"/>
  <c r="AC60" i="42"/>
  <c r="B254" i="45" l="1"/>
  <c r="AF255" i="45"/>
  <c r="AF121" i="45"/>
  <c r="I249" i="43"/>
  <c r="H255" i="43"/>
  <c r="H121" i="43"/>
  <c r="AA60" i="42"/>
  <c r="B121" i="45" l="1"/>
  <c r="B255" i="45"/>
  <c r="I255" i="43"/>
  <c r="I121" i="43"/>
  <c r="J249" i="43"/>
  <c r="Z60" i="42"/>
  <c r="AI121" i="45" l="1"/>
  <c r="AH121" i="45"/>
  <c r="J255" i="43"/>
  <c r="J121" i="43"/>
  <c r="K249" i="43"/>
  <c r="X60" i="42"/>
  <c r="Y60" i="42"/>
  <c r="W60" i="42"/>
  <c r="V60" i="42"/>
  <c r="U60" i="42"/>
  <c r="K255" i="43" l="1"/>
  <c r="K121" i="43"/>
  <c r="L249" i="43"/>
  <c r="T60" i="42"/>
  <c r="S60" i="42"/>
  <c r="N60" i="42"/>
  <c r="M60" i="42"/>
  <c r="L124" i="42"/>
  <c r="L60" i="42"/>
  <c r="L61" i="42"/>
  <c r="L65" i="42"/>
  <c r="K124" i="42"/>
  <c r="K60" i="42"/>
  <c r="K61" i="42"/>
  <c r="K65" i="42"/>
  <c r="J124" i="42"/>
  <c r="J60" i="42"/>
  <c r="I124" i="42"/>
  <c r="I60" i="42"/>
  <c r="L255" i="43" l="1"/>
  <c r="L121" i="43"/>
  <c r="M249" i="43"/>
  <c r="N249" i="43" l="1"/>
  <c r="M121" i="43"/>
  <c r="M255" i="43"/>
  <c r="O249" i="43" l="1"/>
  <c r="N255" i="43"/>
  <c r="N121" i="43"/>
  <c r="P249" i="43" l="1"/>
  <c r="O255" i="43"/>
  <c r="O121" i="43"/>
  <c r="Q249" i="43" l="1"/>
  <c r="P255" i="43"/>
  <c r="Q255" i="43" l="1"/>
  <c r="Q121" i="43"/>
  <c r="R249" i="43"/>
  <c r="R255" i="43" l="1"/>
  <c r="R121" i="43"/>
  <c r="S249" i="43"/>
  <c r="H124" i="42"/>
  <c r="H60" i="42"/>
  <c r="G124" i="42"/>
  <c r="G65" i="42"/>
  <c r="G60" i="42"/>
  <c r="S255" i="43" l="1"/>
  <c r="S121" i="43"/>
  <c r="T249" i="43"/>
  <c r="F124" i="42"/>
  <c r="F65" i="42"/>
  <c r="F60" i="42"/>
  <c r="T255" i="43" l="1"/>
  <c r="T121" i="43"/>
  <c r="U249" i="43"/>
  <c r="E124" i="42"/>
  <c r="E60" i="42"/>
  <c r="U121" i="43" l="1"/>
  <c r="V249" i="43"/>
  <c r="U255" i="43"/>
  <c r="D124" i="42"/>
  <c r="D60" i="42"/>
  <c r="D61" i="42"/>
  <c r="AO16" i="42" s="1"/>
  <c r="D65" i="42"/>
  <c r="D79" i="42"/>
  <c r="D83" i="42"/>
  <c r="C124" i="42"/>
  <c r="C121" i="42" s="1"/>
  <c r="C60" i="42"/>
  <c r="C61" i="42"/>
  <c r="AN16" i="42" s="1"/>
  <c r="C65" i="42"/>
  <c r="AN17" i="42" s="1"/>
  <c r="C79" i="42"/>
  <c r="C83" i="42"/>
  <c r="B124" i="42"/>
  <c r="B121" i="42" s="1"/>
  <c r="B109" i="42"/>
  <c r="B108" i="42"/>
  <c r="B107" i="42"/>
  <c r="B106" i="42"/>
  <c r="B105" i="42"/>
  <c r="B104" i="42"/>
  <c r="B110" i="42" s="1"/>
  <c r="B95" i="42"/>
  <c r="B83" i="42"/>
  <c r="AM20" i="42" s="1"/>
  <c r="B79" i="42"/>
  <c r="B65" i="42"/>
  <c r="AM17" i="42" s="1"/>
  <c r="B61" i="42"/>
  <c r="B60" i="42"/>
  <c r="AG255" i="42"/>
  <c r="C255" i="42"/>
  <c r="L254" i="42"/>
  <c r="M254" i="42" s="1"/>
  <c r="N254" i="42" s="1"/>
  <c r="O254" i="42" s="1"/>
  <c r="P254" i="42" s="1"/>
  <c r="Q254" i="42" s="1"/>
  <c r="R254" i="42" s="1"/>
  <c r="S254" i="42" s="1"/>
  <c r="T254" i="42" s="1"/>
  <c r="U254" i="42" s="1"/>
  <c r="V254" i="42" s="1"/>
  <c r="W254" i="42" s="1"/>
  <c r="X254" i="42" s="1"/>
  <c r="Y254" i="42" s="1"/>
  <c r="Z254" i="42" s="1"/>
  <c r="AA254" i="42" s="1"/>
  <c r="AB254" i="42" s="1"/>
  <c r="AC254" i="42" s="1"/>
  <c r="AD254" i="42" s="1"/>
  <c r="AE254" i="42" s="1"/>
  <c r="AF254" i="42" s="1"/>
  <c r="B254" i="42" s="1"/>
  <c r="E254" i="42"/>
  <c r="F254" i="42" s="1"/>
  <c r="G254" i="42" s="1"/>
  <c r="H254" i="42" s="1"/>
  <c r="I254" i="42" s="1"/>
  <c r="J254" i="42" s="1"/>
  <c r="K254" i="42" s="1"/>
  <c r="D254" i="42"/>
  <c r="D121" i="42" s="1"/>
  <c r="J253" i="42"/>
  <c r="K253" i="42" s="1"/>
  <c r="L253" i="42" s="1"/>
  <c r="M253" i="42" s="1"/>
  <c r="N253" i="42" s="1"/>
  <c r="O253" i="42" s="1"/>
  <c r="P253" i="42" s="1"/>
  <c r="Q253" i="42" s="1"/>
  <c r="R253" i="42" s="1"/>
  <c r="S253" i="42" s="1"/>
  <c r="T253" i="42" s="1"/>
  <c r="U253" i="42" s="1"/>
  <c r="V253" i="42" s="1"/>
  <c r="W253" i="42" s="1"/>
  <c r="X253" i="42" s="1"/>
  <c r="Y253" i="42" s="1"/>
  <c r="Z253" i="42" s="1"/>
  <c r="AA253" i="42" s="1"/>
  <c r="AB253" i="42" s="1"/>
  <c r="AC253" i="42" s="1"/>
  <c r="AD253" i="42" s="1"/>
  <c r="AE253" i="42" s="1"/>
  <c r="AF253" i="42" s="1"/>
  <c r="B253" i="42" s="1"/>
  <c r="D253" i="42"/>
  <c r="E253" i="42" s="1"/>
  <c r="F253" i="42" s="1"/>
  <c r="G253" i="42" s="1"/>
  <c r="H253" i="42" s="1"/>
  <c r="I253" i="42" s="1"/>
  <c r="I252" i="42"/>
  <c r="J252" i="42" s="1"/>
  <c r="K252" i="42" s="1"/>
  <c r="L252" i="42" s="1"/>
  <c r="M252" i="42" s="1"/>
  <c r="N252" i="42" s="1"/>
  <c r="O252" i="42" s="1"/>
  <c r="P252" i="42" s="1"/>
  <c r="Q252" i="42" s="1"/>
  <c r="R252" i="42" s="1"/>
  <c r="S252" i="42" s="1"/>
  <c r="T252" i="42" s="1"/>
  <c r="U252" i="42" s="1"/>
  <c r="V252" i="42" s="1"/>
  <c r="W252" i="42" s="1"/>
  <c r="X252" i="42" s="1"/>
  <c r="Y252" i="42" s="1"/>
  <c r="Z252" i="42" s="1"/>
  <c r="AA252" i="42" s="1"/>
  <c r="AB252" i="42" s="1"/>
  <c r="AC252" i="42" s="1"/>
  <c r="AD252" i="42" s="1"/>
  <c r="AE252" i="42" s="1"/>
  <c r="AF252" i="42" s="1"/>
  <c r="B252" i="42" s="1"/>
  <c r="H252" i="42"/>
  <c r="D252" i="42"/>
  <c r="E252" i="42" s="1"/>
  <c r="F252" i="42" s="1"/>
  <c r="G252" i="42" s="1"/>
  <c r="D251" i="42"/>
  <c r="E251" i="42" s="1"/>
  <c r="F251" i="42" s="1"/>
  <c r="G251" i="42" s="1"/>
  <c r="H251" i="42" s="1"/>
  <c r="I251" i="42" s="1"/>
  <c r="J251" i="42" s="1"/>
  <c r="K251" i="42" s="1"/>
  <c r="L251" i="42" s="1"/>
  <c r="M251" i="42" s="1"/>
  <c r="N251" i="42" s="1"/>
  <c r="O251" i="42" s="1"/>
  <c r="P251" i="42" s="1"/>
  <c r="Q251" i="42" s="1"/>
  <c r="R251" i="42" s="1"/>
  <c r="S251" i="42" s="1"/>
  <c r="T251" i="42" s="1"/>
  <c r="U251" i="42" s="1"/>
  <c r="V251" i="42" s="1"/>
  <c r="W251" i="42" s="1"/>
  <c r="X251" i="42" s="1"/>
  <c r="Y251" i="42" s="1"/>
  <c r="Z251" i="42" s="1"/>
  <c r="AA251" i="42" s="1"/>
  <c r="AB251" i="42" s="1"/>
  <c r="AC251" i="42" s="1"/>
  <c r="AD251" i="42" s="1"/>
  <c r="AE251" i="42" s="1"/>
  <c r="AF251" i="42" s="1"/>
  <c r="B251" i="42" s="1"/>
  <c r="D250" i="42"/>
  <c r="D255" i="42" s="1"/>
  <c r="D249" i="42"/>
  <c r="E249" i="42" s="1"/>
  <c r="F249" i="42" s="1"/>
  <c r="G249" i="42" s="1"/>
  <c r="AG247" i="42"/>
  <c r="AF247" i="42"/>
  <c r="AE247" i="42"/>
  <c r="AD247" i="42"/>
  <c r="AC247" i="42"/>
  <c r="AB247" i="42"/>
  <c r="AA247" i="42"/>
  <c r="Z247" i="42"/>
  <c r="Z121" i="42" s="1"/>
  <c r="Y247" i="42"/>
  <c r="Y121" i="42" s="1"/>
  <c r="X247" i="42"/>
  <c r="W247" i="42"/>
  <c r="V247" i="42"/>
  <c r="U247" i="42"/>
  <c r="T247" i="42"/>
  <c r="S247" i="42"/>
  <c r="R247" i="42"/>
  <c r="Q247" i="42"/>
  <c r="P247" i="42"/>
  <c r="O247" i="42"/>
  <c r="N247" i="42"/>
  <c r="M247" i="42"/>
  <c r="L247" i="42"/>
  <c r="K247" i="42"/>
  <c r="J247" i="42"/>
  <c r="I247" i="42"/>
  <c r="H247" i="42"/>
  <c r="G247" i="42"/>
  <c r="F247" i="42"/>
  <c r="E247" i="42"/>
  <c r="D247" i="42"/>
  <c r="C247" i="42"/>
  <c r="B247" i="42"/>
  <c r="AI133" i="42"/>
  <c r="AH133" i="42"/>
  <c r="AI132" i="42"/>
  <c r="AH132" i="42"/>
  <c r="AI131" i="42"/>
  <c r="AH131" i="42"/>
  <c r="AI130" i="42"/>
  <c r="AH130" i="42"/>
  <c r="AI129" i="42"/>
  <c r="AH129" i="42"/>
  <c r="AI126" i="42"/>
  <c r="AH126" i="42"/>
  <c r="AI125" i="42"/>
  <c r="AH125" i="42"/>
  <c r="AI123" i="42"/>
  <c r="AH123" i="42"/>
  <c r="AI122" i="42"/>
  <c r="AH122" i="42"/>
  <c r="F121" i="42"/>
  <c r="AI120" i="42"/>
  <c r="AH120" i="42"/>
  <c r="AI119" i="42"/>
  <c r="AH119" i="42"/>
  <c r="AI118" i="42"/>
  <c r="AH118" i="42"/>
  <c r="AI117" i="42"/>
  <c r="AH117" i="42"/>
  <c r="AI116" i="42"/>
  <c r="AH116" i="42"/>
  <c r="AI115" i="42"/>
  <c r="AH115" i="42"/>
  <c r="AI114" i="42"/>
  <c r="AH114" i="42"/>
  <c r="AI113" i="42"/>
  <c r="AH113" i="42"/>
  <c r="AI112" i="42"/>
  <c r="AH112" i="42"/>
  <c r="J110" i="42"/>
  <c r="AD109" i="42"/>
  <c r="AC109" i="42"/>
  <c r="AB109" i="42"/>
  <c r="AA109" i="42"/>
  <c r="Z109" i="42"/>
  <c r="Y109" i="42"/>
  <c r="X109" i="42"/>
  <c r="W109" i="42"/>
  <c r="V109" i="42"/>
  <c r="U109" i="42"/>
  <c r="T109" i="42"/>
  <c r="S109" i="42"/>
  <c r="R109" i="42"/>
  <c r="Q109" i="42"/>
  <c r="Q110" i="42" s="1"/>
  <c r="AY23" i="42" s="1"/>
  <c r="P109" i="42"/>
  <c r="O109" i="42"/>
  <c r="N109" i="42"/>
  <c r="M109" i="42"/>
  <c r="L109" i="42"/>
  <c r="K109" i="42"/>
  <c r="J109" i="42"/>
  <c r="I109" i="42"/>
  <c r="H109" i="42"/>
  <c r="G109" i="42"/>
  <c r="F109" i="42"/>
  <c r="E109" i="42"/>
  <c r="D109" i="42"/>
  <c r="C109" i="42"/>
  <c r="AD108" i="42"/>
  <c r="AC108" i="42"/>
  <c r="AB108" i="42"/>
  <c r="AA108" i="42"/>
  <c r="Z108" i="42"/>
  <c r="Y108" i="42"/>
  <c r="X108" i="42"/>
  <c r="W108" i="42"/>
  <c r="V108" i="42"/>
  <c r="U108" i="42"/>
  <c r="T108" i="42"/>
  <c r="S108" i="42"/>
  <c r="R108" i="42"/>
  <c r="Q108" i="42"/>
  <c r="P108" i="42"/>
  <c r="O108" i="42"/>
  <c r="N108" i="42"/>
  <c r="M108" i="42"/>
  <c r="L108" i="42"/>
  <c r="K108" i="42"/>
  <c r="J108" i="42"/>
  <c r="I108" i="42"/>
  <c r="H108" i="42"/>
  <c r="G108" i="42"/>
  <c r="F108" i="42"/>
  <c r="E108" i="42"/>
  <c r="D108" i="42"/>
  <c r="C108" i="42"/>
  <c r="AD107" i="42"/>
  <c r="AC107" i="42"/>
  <c r="AB107" i="42"/>
  <c r="AA107" i="42"/>
  <c r="Z107" i="42"/>
  <c r="Z110" i="42" s="1"/>
  <c r="BF23" i="42" s="1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C107" i="42"/>
  <c r="AD106" i="42"/>
  <c r="AC106" i="42"/>
  <c r="AB106" i="42"/>
  <c r="AA106" i="42"/>
  <c r="AA110" i="42" s="1"/>
  <c r="Z106" i="42"/>
  <c r="Y106" i="42"/>
  <c r="X106" i="42"/>
  <c r="W106" i="42"/>
  <c r="V106" i="42"/>
  <c r="U106" i="42"/>
  <c r="T106" i="42"/>
  <c r="S106" i="42"/>
  <c r="S110" i="42" s="1"/>
  <c r="BA23" i="42" s="1"/>
  <c r="R106" i="42"/>
  <c r="Q106" i="42"/>
  <c r="P106" i="42"/>
  <c r="O106" i="42"/>
  <c r="N106" i="42"/>
  <c r="M106" i="42"/>
  <c r="L106" i="42"/>
  <c r="K106" i="42"/>
  <c r="K110" i="42" s="1"/>
  <c r="AT23" i="42" s="1"/>
  <c r="J106" i="42"/>
  <c r="I106" i="42"/>
  <c r="H106" i="42"/>
  <c r="G106" i="42"/>
  <c r="F106" i="42"/>
  <c r="E106" i="42"/>
  <c r="D106" i="42"/>
  <c r="C106" i="42"/>
  <c r="AD105" i="42"/>
  <c r="AC105" i="42"/>
  <c r="AB105" i="42"/>
  <c r="AA105" i="42"/>
  <c r="Z105" i="42"/>
  <c r="Y105" i="42"/>
  <c r="X105" i="42"/>
  <c r="W105" i="42"/>
  <c r="V105" i="42"/>
  <c r="U105" i="42"/>
  <c r="T105" i="42"/>
  <c r="S105" i="42"/>
  <c r="R105" i="42"/>
  <c r="Q105" i="42"/>
  <c r="P105" i="42"/>
  <c r="O105" i="42"/>
  <c r="N105" i="42"/>
  <c r="M105" i="42"/>
  <c r="L105" i="42"/>
  <c r="K105" i="42"/>
  <c r="J105" i="42"/>
  <c r="I105" i="42"/>
  <c r="H105" i="42"/>
  <c r="G105" i="42"/>
  <c r="F105" i="42"/>
  <c r="E105" i="42"/>
  <c r="D105" i="42"/>
  <c r="C105" i="42"/>
  <c r="BI23" i="42"/>
  <c r="AD104" i="42"/>
  <c r="AC104" i="42"/>
  <c r="AB104" i="42"/>
  <c r="AB110" i="42" s="1"/>
  <c r="BG23" i="42" s="1"/>
  <c r="AA104" i="42"/>
  <c r="Z104" i="42"/>
  <c r="Y104" i="42"/>
  <c r="X104" i="42"/>
  <c r="W104" i="42"/>
  <c r="W110" i="42" s="1"/>
  <c r="V104" i="42"/>
  <c r="U104" i="42"/>
  <c r="T104" i="42"/>
  <c r="S104" i="42"/>
  <c r="R104" i="42"/>
  <c r="Q104" i="42"/>
  <c r="P104" i="42"/>
  <c r="P110" i="42" s="1"/>
  <c r="P111" i="42" s="1"/>
  <c r="O104" i="42"/>
  <c r="O110" i="42" s="1"/>
  <c r="AW23" i="42" s="1"/>
  <c r="N104" i="42"/>
  <c r="M104" i="42"/>
  <c r="L104" i="42"/>
  <c r="K104" i="42"/>
  <c r="J104" i="42"/>
  <c r="I104" i="42"/>
  <c r="I110" i="42" s="1"/>
  <c r="AS23" i="42" s="1"/>
  <c r="H104" i="42"/>
  <c r="H110" i="42" s="1"/>
  <c r="H111" i="42" s="1"/>
  <c r="G104" i="42"/>
  <c r="F104" i="42"/>
  <c r="E104" i="42"/>
  <c r="D104" i="42"/>
  <c r="C104" i="42"/>
  <c r="AI101" i="42"/>
  <c r="AH101" i="42"/>
  <c r="AI99" i="42"/>
  <c r="AH99" i="42"/>
  <c r="AG99" i="42"/>
  <c r="AI98" i="42"/>
  <c r="AH98" i="42"/>
  <c r="AI97" i="42"/>
  <c r="AH97" i="42"/>
  <c r="AI96" i="42"/>
  <c r="AH96" i="42"/>
  <c r="AG95" i="42"/>
  <c r="AD95" i="42"/>
  <c r="BH19" i="42" s="1"/>
  <c r="AC95" i="42"/>
  <c r="AB5" i="42" s="1"/>
  <c r="AB95" i="42"/>
  <c r="BG19" i="42" s="1"/>
  <c r="AA95" i="42"/>
  <c r="Z95" i="42"/>
  <c r="Y5" i="42" s="1"/>
  <c r="Y95" i="42"/>
  <c r="X95" i="42"/>
  <c r="BE19" i="42" s="1"/>
  <c r="W95" i="42"/>
  <c r="V95" i="42"/>
  <c r="U95" i="42"/>
  <c r="T5" i="42" s="1"/>
  <c r="T95" i="42"/>
  <c r="S95" i="42"/>
  <c r="S111" i="42" s="1"/>
  <c r="R95" i="42"/>
  <c r="AZ19" i="42" s="1"/>
  <c r="Q95" i="42"/>
  <c r="P5" i="42" s="1"/>
  <c r="P95" i="42"/>
  <c r="O5" i="42" s="1"/>
  <c r="O95" i="42"/>
  <c r="AW19" i="42" s="1"/>
  <c r="N95" i="42"/>
  <c r="AV19" i="42" s="1"/>
  <c r="M95" i="42"/>
  <c r="L5" i="42" s="1"/>
  <c r="L95" i="42"/>
  <c r="K95" i="42"/>
  <c r="K111" i="42" s="1"/>
  <c r="J95" i="42"/>
  <c r="I5" i="42" s="1"/>
  <c r="I95" i="42"/>
  <c r="H5" i="42" s="1"/>
  <c r="H95" i="42"/>
  <c r="G5" i="42" s="1"/>
  <c r="G95" i="42"/>
  <c r="F5" i="42" s="1"/>
  <c r="F95" i="42"/>
  <c r="AQ19" i="42" s="1"/>
  <c r="E95" i="42"/>
  <c r="AP19" i="42" s="1"/>
  <c r="D95" i="42"/>
  <c r="AO19" i="42" s="1"/>
  <c r="C95" i="42"/>
  <c r="B5" i="42" s="1"/>
  <c r="AI94" i="42"/>
  <c r="AH94" i="42"/>
  <c r="AI93" i="42"/>
  <c r="AH93" i="42"/>
  <c r="AI92" i="42"/>
  <c r="AH92" i="42"/>
  <c r="AI91" i="42"/>
  <c r="AH91" i="42"/>
  <c r="AI90" i="42"/>
  <c r="AH90" i="42"/>
  <c r="AI89" i="42"/>
  <c r="AH89" i="42"/>
  <c r="AI88" i="42"/>
  <c r="AH88" i="42"/>
  <c r="AI87" i="42"/>
  <c r="AH87" i="42"/>
  <c r="AI86" i="42"/>
  <c r="AH86" i="42"/>
  <c r="AI85" i="42"/>
  <c r="AH85" i="42"/>
  <c r="AI84" i="42"/>
  <c r="AH84" i="42"/>
  <c r="AG83" i="42"/>
  <c r="AD83" i="42"/>
  <c r="BH20" i="42" s="1"/>
  <c r="AC83" i="42"/>
  <c r="AB83" i="42"/>
  <c r="AA83" i="42"/>
  <c r="Z83" i="42"/>
  <c r="Y83" i="42"/>
  <c r="X83" i="42"/>
  <c r="W83" i="42"/>
  <c r="W100" i="42" s="1"/>
  <c r="W102" i="42" s="1"/>
  <c r="V83" i="42"/>
  <c r="U83" i="42"/>
  <c r="T83" i="42"/>
  <c r="S83" i="42"/>
  <c r="R83" i="42"/>
  <c r="Q83" i="42"/>
  <c r="AY20" i="42" s="1"/>
  <c r="P83" i="42"/>
  <c r="AX20" i="42" s="1"/>
  <c r="O83" i="42"/>
  <c r="N83" i="42"/>
  <c r="M83" i="42"/>
  <c r="L83" i="42"/>
  <c r="K83" i="42"/>
  <c r="AT20" i="42" s="1"/>
  <c r="J83" i="42"/>
  <c r="I83" i="42"/>
  <c r="H83" i="42"/>
  <c r="G83" i="42"/>
  <c r="F83" i="42"/>
  <c r="E83" i="42"/>
  <c r="AN20" i="42"/>
  <c r="AI82" i="42"/>
  <c r="AH82" i="42"/>
  <c r="AI81" i="42"/>
  <c r="AH81" i="42"/>
  <c r="AI80" i="42"/>
  <c r="AH80" i="42"/>
  <c r="BJ18" i="42"/>
  <c r="AD79" i="42"/>
  <c r="BH18" i="42" s="1"/>
  <c r="AC79" i="42"/>
  <c r="AB79" i="42"/>
  <c r="AA79" i="42"/>
  <c r="Z79" i="42"/>
  <c r="Y79" i="42"/>
  <c r="X79" i="42"/>
  <c r="BE18" i="42" s="1"/>
  <c r="W79" i="42"/>
  <c r="V79" i="42"/>
  <c r="U79" i="42"/>
  <c r="T79" i="42"/>
  <c r="BB18" i="42" s="1"/>
  <c r="S79" i="42"/>
  <c r="BA18" i="42" s="1"/>
  <c r="R79" i="42"/>
  <c r="AZ18" i="42" s="1"/>
  <c r="Q79" i="42"/>
  <c r="P79" i="42"/>
  <c r="AX18" i="42" s="1"/>
  <c r="O79" i="42"/>
  <c r="N79" i="42"/>
  <c r="M79" i="42"/>
  <c r="AU18" i="42" s="1"/>
  <c r="L79" i="42"/>
  <c r="K79" i="42"/>
  <c r="AT18" i="42" s="1"/>
  <c r="J79" i="42"/>
  <c r="I79" i="42"/>
  <c r="H79" i="42"/>
  <c r="G79" i="42"/>
  <c r="F79" i="42"/>
  <c r="E79" i="42"/>
  <c r="AN18" i="42"/>
  <c r="BN78" i="42"/>
  <c r="BI78" i="42"/>
  <c r="BF78" i="42"/>
  <c r="AI78" i="42"/>
  <c r="AH78" i="42"/>
  <c r="AG78" i="42"/>
  <c r="AG79" i="42" s="1"/>
  <c r="AG3" i="42" s="1"/>
  <c r="BS77" i="42"/>
  <c r="BI77" i="42"/>
  <c r="BC77" i="42"/>
  <c r="AI77" i="42"/>
  <c r="AH77" i="42"/>
  <c r="BO76" i="42"/>
  <c r="AI76" i="42"/>
  <c r="AH76" i="42"/>
  <c r="BI75" i="42"/>
  <c r="AI75" i="42"/>
  <c r="AH75" i="42"/>
  <c r="BQ74" i="42"/>
  <c r="BN74" i="42"/>
  <c r="BI74" i="42"/>
  <c r="BF74" i="42"/>
  <c r="BE74" i="42"/>
  <c r="BD74" i="42"/>
  <c r="AI74" i="42"/>
  <c r="AH74" i="42"/>
  <c r="BO73" i="42"/>
  <c r="BN73" i="42"/>
  <c r="BK73" i="42"/>
  <c r="BC73" i="42"/>
  <c r="AZ73" i="42"/>
  <c r="AI73" i="42"/>
  <c r="AH73" i="42"/>
  <c r="AI72" i="42"/>
  <c r="AH72" i="42"/>
  <c r="BW71" i="42"/>
  <c r="BW78" i="42" s="1"/>
  <c r="BV71" i="42"/>
  <c r="BV78" i="42" s="1"/>
  <c r="BU71" i="42"/>
  <c r="BU78" i="42" s="1"/>
  <c r="BT71" i="42"/>
  <c r="BT78" i="42" s="1"/>
  <c r="BS71" i="42"/>
  <c r="BS78" i="42" s="1"/>
  <c r="BR71" i="42"/>
  <c r="BR78" i="42" s="1"/>
  <c r="BQ71" i="42"/>
  <c r="BQ78" i="42" s="1"/>
  <c r="BP71" i="42"/>
  <c r="BP78" i="42" s="1"/>
  <c r="BO71" i="42"/>
  <c r="BO78" i="42" s="1"/>
  <c r="BN71" i="42"/>
  <c r="BM71" i="42"/>
  <c r="BM78" i="42" s="1"/>
  <c r="BL71" i="42"/>
  <c r="BL78" i="42" s="1"/>
  <c r="BK71" i="42"/>
  <c r="BK78" i="42" s="1"/>
  <c r="BJ71" i="42"/>
  <c r="BJ78" i="42" s="1"/>
  <c r="BI71" i="42"/>
  <c r="BH71" i="42"/>
  <c r="BH78" i="42" s="1"/>
  <c r="BG71" i="42"/>
  <c r="BG78" i="42" s="1"/>
  <c r="BF71" i="42"/>
  <c r="BE71" i="42"/>
  <c r="BE78" i="42" s="1"/>
  <c r="BD71" i="42"/>
  <c r="BD78" i="42" s="1"/>
  <c r="BC71" i="42"/>
  <c r="BC78" i="42" s="1"/>
  <c r="BB71" i="42"/>
  <c r="BB78" i="42" s="1"/>
  <c r="BA71" i="42"/>
  <c r="BA78" i="42" s="1"/>
  <c r="AZ71" i="42"/>
  <c r="AZ78" i="42" s="1"/>
  <c r="AI71" i="42"/>
  <c r="AH71" i="42"/>
  <c r="BW70" i="42"/>
  <c r="BW77" i="42" s="1"/>
  <c r="BV70" i="42"/>
  <c r="BV77" i="42" s="1"/>
  <c r="BU70" i="42"/>
  <c r="BU77" i="42" s="1"/>
  <c r="BT70" i="42"/>
  <c r="BT77" i="42" s="1"/>
  <c r="BS70" i="42"/>
  <c r="BR70" i="42"/>
  <c r="BR77" i="42" s="1"/>
  <c r="BQ70" i="42"/>
  <c r="BQ77" i="42" s="1"/>
  <c r="BP70" i="42"/>
  <c r="BP77" i="42" s="1"/>
  <c r="BO70" i="42"/>
  <c r="BO77" i="42" s="1"/>
  <c r="BN70" i="42"/>
  <c r="BN77" i="42" s="1"/>
  <c r="BM70" i="42"/>
  <c r="BM77" i="42" s="1"/>
  <c r="BL70" i="42"/>
  <c r="BL77" i="42" s="1"/>
  <c r="BK70" i="42"/>
  <c r="BK77" i="42" s="1"/>
  <c r="BJ70" i="42"/>
  <c r="BJ77" i="42" s="1"/>
  <c r="BI70" i="42"/>
  <c r="BH70" i="42"/>
  <c r="BH77" i="42" s="1"/>
  <c r="BG70" i="42"/>
  <c r="BG77" i="42" s="1"/>
  <c r="BF70" i="42"/>
  <c r="BF77" i="42" s="1"/>
  <c r="BE70" i="42"/>
  <c r="BE77" i="42" s="1"/>
  <c r="BD70" i="42"/>
  <c r="BD77" i="42" s="1"/>
  <c r="BC70" i="42"/>
  <c r="BB70" i="42"/>
  <c r="BB77" i="42" s="1"/>
  <c r="BA70" i="42"/>
  <c r="BA77" i="42" s="1"/>
  <c r="AZ70" i="42"/>
  <c r="AZ77" i="42" s="1"/>
  <c r="AI70" i="42"/>
  <c r="AH70" i="42"/>
  <c r="BW69" i="42"/>
  <c r="BW76" i="42" s="1"/>
  <c r="BV69" i="42"/>
  <c r="BV76" i="42" s="1"/>
  <c r="BU69" i="42"/>
  <c r="BU76" i="42" s="1"/>
  <c r="BT69" i="42"/>
  <c r="BT76" i="42" s="1"/>
  <c r="BS69" i="42"/>
  <c r="BS76" i="42" s="1"/>
  <c r="BR69" i="42"/>
  <c r="BR76" i="42" s="1"/>
  <c r="BQ69" i="42"/>
  <c r="BQ76" i="42" s="1"/>
  <c r="BP69" i="42"/>
  <c r="BP76" i="42" s="1"/>
  <c r="BO69" i="42"/>
  <c r="BN69" i="42"/>
  <c r="BN76" i="42" s="1"/>
  <c r="BM69" i="42"/>
  <c r="BM76" i="42" s="1"/>
  <c r="BL69" i="42"/>
  <c r="BL76" i="42" s="1"/>
  <c r="BK69" i="42"/>
  <c r="BK76" i="42" s="1"/>
  <c r="BJ69" i="42"/>
  <c r="BJ76" i="42" s="1"/>
  <c r="BI69" i="42"/>
  <c r="BI76" i="42" s="1"/>
  <c r="BH69" i="42"/>
  <c r="BH76" i="42" s="1"/>
  <c r="BG69" i="42"/>
  <c r="BG76" i="42" s="1"/>
  <c r="BF69" i="42"/>
  <c r="BF76" i="42" s="1"/>
  <c r="BE69" i="42"/>
  <c r="BE76" i="42" s="1"/>
  <c r="BD69" i="42"/>
  <c r="BD76" i="42" s="1"/>
  <c r="BC69" i="42"/>
  <c r="BC76" i="42" s="1"/>
  <c r="BB69" i="42"/>
  <c r="BB76" i="42" s="1"/>
  <c r="BA69" i="42"/>
  <c r="BA76" i="42" s="1"/>
  <c r="AZ69" i="42"/>
  <c r="AZ76" i="42" s="1"/>
  <c r="AI69" i="42"/>
  <c r="AH69" i="42"/>
  <c r="BW68" i="42"/>
  <c r="BW75" i="42" s="1"/>
  <c r="BV68" i="42"/>
  <c r="BV75" i="42" s="1"/>
  <c r="BU68" i="42"/>
  <c r="BU75" i="42" s="1"/>
  <c r="BT68" i="42"/>
  <c r="BT75" i="42" s="1"/>
  <c r="BS68" i="42"/>
  <c r="BS75" i="42" s="1"/>
  <c r="BR68" i="42"/>
  <c r="BR75" i="42" s="1"/>
  <c r="BQ68" i="42"/>
  <c r="BQ75" i="42" s="1"/>
  <c r="BP68" i="42"/>
  <c r="BP75" i="42" s="1"/>
  <c r="BO68" i="42"/>
  <c r="BO75" i="42" s="1"/>
  <c r="BN68" i="42"/>
  <c r="BN75" i="42" s="1"/>
  <c r="BM68" i="42"/>
  <c r="BM75" i="42" s="1"/>
  <c r="BL68" i="42"/>
  <c r="BL75" i="42" s="1"/>
  <c r="BK68" i="42"/>
  <c r="BK75" i="42" s="1"/>
  <c r="BJ68" i="42"/>
  <c r="BJ75" i="42" s="1"/>
  <c r="BI68" i="42"/>
  <c r="BH68" i="42"/>
  <c r="BH75" i="42" s="1"/>
  <c r="BG68" i="42"/>
  <c r="BG75" i="42" s="1"/>
  <c r="BF68" i="42"/>
  <c r="BF75" i="42" s="1"/>
  <c r="BE68" i="42"/>
  <c r="BE75" i="42" s="1"/>
  <c r="BD68" i="42"/>
  <c r="BD75" i="42" s="1"/>
  <c r="BC68" i="42"/>
  <c r="BC75" i="42" s="1"/>
  <c r="BB68" i="42"/>
  <c r="BB75" i="42" s="1"/>
  <c r="BA68" i="42"/>
  <c r="BA75" i="42" s="1"/>
  <c r="AZ68" i="42"/>
  <c r="AZ75" i="42" s="1"/>
  <c r="AI68" i="42"/>
  <c r="AH68" i="42"/>
  <c r="BW67" i="42"/>
  <c r="BW74" i="42" s="1"/>
  <c r="BV67" i="42"/>
  <c r="BV74" i="42" s="1"/>
  <c r="BU67" i="42"/>
  <c r="BU74" i="42" s="1"/>
  <c r="BT67" i="42"/>
  <c r="BT74" i="42" s="1"/>
  <c r="BS67" i="42"/>
  <c r="BS74" i="42" s="1"/>
  <c r="BR67" i="42"/>
  <c r="BR74" i="42" s="1"/>
  <c r="BQ67" i="42"/>
  <c r="BP67" i="42"/>
  <c r="BP74" i="42" s="1"/>
  <c r="BO67" i="42"/>
  <c r="BO74" i="42" s="1"/>
  <c r="BN67" i="42"/>
  <c r="BM67" i="42"/>
  <c r="BM74" i="42" s="1"/>
  <c r="BL67" i="42"/>
  <c r="BL74" i="42" s="1"/>
  <c r="BK67" i="42"/>
  <c r="BK74" i="42" s="1"/>
  <c r="BJ67" i="42"/>
  <c r="BJ74" i="42" s="1"/>
  <c r="BI67" i="42"/>
  <c r="BH67" i="42"/>
  <c r="BH74" i="42" s="1"/>
  <c r="BG67" i="42"/>
  <c r="BG74" i="42" s="1"/>
  <c r="BF67" i="42"/>
  <c r="BE67" i="42"/>
  <c r="BD67" i="42"/>
  <c r="BC67" i="42"/>
  <c r="BC74" i="42" s="1"/>
  <c r="BB67" i="42"/>
  <c r="BB74" i="42" s="1"/>
  <c r="BA67" i="42"/>
  <c r="BA74" i="42" s="1"/>
  <c r="AZ67" i="42"/>
  <c r="AZ74" i="42" s="1"/>
  <c r="AI67" i="42"/>
  <c r="AH67" i="42"/>
  <c r="BW66" i="42"/>
  <c r="BW73" i="42" s="1"/>
  <c r="BV66" i="42"/>
  <c r="BV73" i="42" s="1"/>
  <c r="BU66" i="42"/>
  <c r="BU73" i="42" s="1"/>
  <c r="BT66" i="42"/>
  <c r="BT73" i="42" s="1"/>
  <c r="BS66" i="42"/>
  <c r="BS73" i="42" s="1"/>
  <c r="BR66" i="42"/>
  <c r="BR73" i="42" s="1"/>
  <c r="BQ66" i="42"/>
  <c r="BQ73" i="42" s="1"/>
  <c r="BP66" i="42"/>
  <c r="BP73" i="42" s="1"/>
  <c r="BO66" i="42"/>
  <c r="BN66" i="42"/>
  <c r="BM66" i="42"/>
  <c r="BM73" i="42" s="1"/>
  <c r="BL66" i="42"/>
  <c r="BL73" i="42" s="1"/>
  <c r="BK66" i="42"/>
  <c r="BJ66" i="42"/>
  <c r="BJ73" i="42" s="1"/>
  <c r="BI66" i="42"/>
  <c r="BI73" i="42" s="1"/>
  <c r="BH66" i="42"/>
  <c r="BH73" i="42" s="1"/>
  <c r="BG66" i="42"/>
  <c r="BG73" i="42" s="1"/>
  <c r="BF66" i="42"/>
  <c r="BF73" i="42" s="1"/>
  <c r="BE66" i="42"/>
  <c r="BE73" i="42" s="1"/>
  <c r="BD66" i="42"/>
  <c r="BD73" i="42" s="1"/>
  <c r="BC66" i="42"/>
  <c r="BB66" i="42"/>
  <c r="BB73" i="42" s="1"/>
  <c r="BA66" i="42"/>
  <c r="BA73" i="42" s="1"/>
  <c r="AZ66" i="42"/>
  <c r="AI66" i="42"/>
  <c r="AH66" i="42"/>
  <c r="AG65" i="42"/>
  <c r="AD65" i="42"/>
  <c r="BH17" i="42" s="1"/>
  <c r="AC65" i="42"/>
  <c r="AB65" i="42"/>
  <c r="BG17" i="42" s="1"/>
  <c r="AA65" i="42"/>
  <c r="Z65" i="42"/>
  <c r="BF17" i="42" s="1"/>
  <c r="Y65" i="42"/>
  <c r="X65" i="42"/>
  <c r="W65" i="42"/>
  <c r="V65" i="42"/>
  <c r="U65" i="42"/>
  <c r="BC17" i="42" s="1"/>
  <c r="T65" i="42"/>
  <c r="BB17" i="42" s="1"/>
  <c r="S65" i="42"/>
  <c r="BA17" i="42" s="1"/>
  <c r="R65" i="42"/>
  <c r="AZ17" i="42" s="1"/>
  <c r="Q65" i="42"/>
  <c r="P65" i="42"/>
  <c r="O65" i="42"/>
  <c r="AW17" i="42" s="1"/>
  <c r="N65" i="42"/>
  <c r="M65" i="42"/>
  <c r="J65" i="42"/>
  <c r="I65" i="42"/>
  <c r="AS17" i="42" s="1"/>
  <c r="H65" i="42"/>
  <c r="AR17" i="42"/>
  <c r="E65" i="42"/>
  <c r="AO17" i="42"/>
  <c r="AI64" i="42"/>
  <c r="AH64" i="42"/>
  <c r="AI63" i="42"/>
  <c r="AH63" i="42"/>
  <c r="AI62" i="42"/>
  <c r="AH62" i="42"/>
  <c r="AG61" i="42"/>
  <c r="BI16" i="42"/>
  <c r="AD61" i="42"/>
  <c r="AC61" i="42"/>
  <c r="AB61" i="42"/>
  <c r="BG16" i="42" s="1"/>
  <c r="AA61" i="42"/>
  <c r="Z61" i="42"/>
  <c r="Y61" i="42"/>
  <c r="X61" i="42"/>
  <c r="BE16" i="42" s="1"/>
  <c r="W61" i="42"/>
  <c r="V61" i="42"/>
  <c r="U61" i="42"/>
  <c r="T61" i="42"/>
  <c r="S61" i="42"/>
  <c r="BA16" i="42" s="1"/>
  <c r="R61" i="42"/>
  <c r="Q61" i="42"/>
  <c r="P61" i="42"/>
  <c r="O61" i="42"/>
  <c r="N61" i="42"/>
  <c r="AV16" i="42" s="1"/>
  <c r="M61" i="42"/>
  <c r="AU16" i="42" s="1"/>
  <c r="AT16" i="42"/>
  <c r="J61" i="42"/>
  <c r="J100" i="42" s="1"/>
  <c r="J102" i="42" s="1"/>
  <c r="I61" i="42"/>
  <c r="AS16" i="42" s="1"/>
  <c r="H61" i="42"/>
  <c r="G61" i="42"/>
  <c r="AR16" i="42" s="1"/>
  <c r="F61" i="42"/>
  <c r="E61" i="42"/>
  <c r="AI60" i="42"/>
  <c r="AH60" i="42"/>
  <c r="AI59" i="42"/>
  <c r="AH59" i="42"/>
  <c r="AI58" i="42"/>
  <c r="AH58" i="42"/>
  <c r="AI57" i="42"/>
  <c r="AH57" i="42"/>
  <c r="AI56" i="42"/>
  <c r="AH56" i="42"/>
  <c r="AI55" i="42"/>
  <c r="AH55" i="42"/>
  <c r="AI54" i="42"/>
  <c r="AH54" i="42"/>
  <c r="AI53" i="42"/>
  <c r="AH53" i="42"/>
  <c r="AI52" i="42"/>
  <c r="AH52" i="42"/>
  <c r="AI51" i="42"/>
  <c r="AH51" i="42"/>
  <c r="AI50" i="42"/>
  <c r="AH50" i="42"/>
  <c r="AI49" i="42"/>
  <c r="AH49" i="42"/>
  <c r="AI48" i="42"/>
  <c r="AH48" i="42"/>
  <c r="AI47" i="42"/>
  <c r="AH47" i="42"/>
  <c r="AI46" i="42"/>
  <c r="AH46" i="42"/>
  <c r="AI45" i="42"/>
  <c r="AH45" i="42"/>
  <c r="AI44" i="42"/>
  <c r="AH44" i="42"/>
  <c r="AI43" i="42"/>
  <c r="AH43" i="42"/>
  <c r="AI42" i="42"/>
  <c r="AH42" i="42"/>
  <c r="AI41" i="42"/>
  <c r="AH41" i="42"/>
  <c r="AI40" i="42"/>
  <c r="AH40" i="42"/>
  <c r="AI39" i="42"/>
  <c r="AH39" i="42"/>
  <c r="AI38" i="42"/>
  <c r="AH38" i="42"/>
  <c r="AI37" i="42"/>
  <c r="AH37" i="42"/>
  <c r="AI36" i="42"/>
  <c r="AH36" i="42"/>
  <c r="AI35" i="42"/>
  <c r="AH35" i="42"/>
  <c r="AI34" i="42"/>
  <c r="AH34" i="42"/>
  <c r="AI33" i="42"/>
  <c r="AH33" i="42"/>
  <c r="AI32" i="42"/>
  <c r="AH32" i="42"/>
  <c r="AI31" i="42"/>
  <c r="AH31" i="42"/>
  <c r="AI30" i="42"/>
  <c r="AH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BJ23" i="42"/>
  <c r="AX23" i="42"/>
  <c r="AI23" i="42"/>
  <c r="AH23" i="42"/>
  <c r="AI22" i="42"/>
  <c r="AH22" i="42"/>
  <c r="BJ21" i="42"/>
  <c r="BI21" i="42"/>
  <c r="BH21" i="42"/>
  <c r="BG21" i="42"/>
  <c r="BF21" i="42"/>
  <c r="BE21" i="42"/>
  <c r="BD21" i="42"/>
  <c r="BC21" i="42"/>
  <c r="BB21" i="42"/>
  <c r="BA21" i="42"/>
  <c r="AZ21" i="42"/>
  <c r="AY21" i="42"/>
  <c r="AX21" i="42"/>
  <c r="AW21" i="42"/>
  <c r="AV21" i="42"/>
  <c r="AU21" i="42"/>
  <c r="AT21" i="42"/>
  <c r="AS21" i="42"/>
  <c r="AR21" i="42"/>
  <c r="AQ21" i="42"/>
  <c r="AP21" i="42"/>
  <c r="AO21" i="42"/>
  <c r="AN21" i="42"/>
  <c r="AM21" i="42"/>
  <c r="AI21" i="42"/>
  <c r="AH21" i="42"/>
  <c r="BJ20" i="42"/>
  <c r="BI20" i="42"/>
  <c r="BG20" i="42"/>
  <c r="BF20" i="42"/>
  <c r="BE20" i="42"/>
  <c r="BD20" i="42"/>
  <c r="BC20" i="42"/>
  <c r="BB20" i="42"/>
  <c r="BA20" i="42"/>
  <c r="AZ20" i="42"/>
  <c r="AW20" i="42"/>
  <c r="AV20" i="42"/>
  <c r="AU20" i="42"/>
  <c r="AS20" i="42"/>
  <c r="AR20" i="42"/>
  <c r="AQ20" i="42"/>
  <c r="AP20" i="42"/>
  <c r="AO20" i="42"/>
  <c r="AI20" i="42"/>
  <c r="AH20" i="42"/>
  <c r="BJ19" i="42"/>
  <c r="BI19" i="42"/>
  <c r="BD19" i="42"/>
  <c r="AX19" i="42"/>
  <c r="AR19" i="42"/>
  <c r="AM19" i="42"/>
  <c r="AI19" i="42"/>
  <c r="AH19" i="42"/>
  <c r="BI18" i="42"/>
  <c r="BG18" i="42"/>
  <c r="BF18" i="42"/>
  <c r="BD18" i="42"/>
  <c r="BC18" i="42"/>
  <c r="AY18" i="42"/>
  <c r="AW18" i="42"/>
  <c r="AV18" i="42"/>
  <c r="AS18" i="42"/>
  <c r="AR18" i="42"/>
  <c r="AP18" i="42"/>
  <c r="AO18" i="42"/>
  <c r="AM18" i="42"/>
  <c r="AI18" i="42"/>
  <c r="AH18" i="42"/>
  <c r="BJ17" i="42"/>
  <c r="BI17" i="42"/>
  <c r="BE17" i="42"/>
  <c r="BD17" i="42"/>
  <c r="AY17" i="42"/>
  <c r="AX17" i="42"/>
  <c r="AV17" i="42"/>
  <c r="AU17" i="42"/>
  <c r="AT17" i="42"/>
  <c r="AQ17" i="42"/>
  <c r="AP17" i="42"/>
  <c r="AI17" i="42"/>
  <c r="AH17" i="42"/>
  <c r="BJ16" i="42"/>
  <c r="BC16" i="42"/>
  <c r="AY16" i="42"/>
  <c r="AX16" i="42"/>
  <c r="AM16" i="42"/>
  <c r="AI16" i="42"/>
  <c r="AH16" i="42"/>
  <c r="AI15" i="42"/>
  <c r="AH15" i="42"/>
  <c r="AI14" i="42"/>
  <c r="AH14" i="42"/>
  <c r="AI13" i="42"/>
  <c r="AH13" i="42"/>
  <c r="AL12" i="42"/>
  <c r="AI12" i="42"/>
  <c r="AH12" i="42"/>
  <c r="AI11" i="42"/>
  <c r="AH11" i="42"/>
  <c r="AF5" i="42"/>
  <c r="AE5" i="42"/>
  <c r="AD5" i="42"/>
  <c r="AA5" i="42"/>
  <c r="V5" i="42"/>
  <c r="U5" i="42"/>
  <c r="N5" i="42"/>
  <c r="AG4" i="42"/>
  <c r="K4" i="42"/>
  <c r="E4" i="42"/>
  <c r="H4" i="42" s="1"/>
  <c r="B4" i="42"/>
  <c r="D261" i="42" s="1"/>
  <c r="AG2" i="42"/>
  <c r="AG6" i="42" s="1"/>
  <c r="W249" i="43" l="1"/>
  <c r="V255" i="43"/>
  <c r="V121" i="43"/>
  <c r="BJ22" i="42"/>
  <c r="BJ24" i="42" s="1"/>
  <c r="BI22" i="42"/>
  <c r="BI24" i="42" s="1"/>
  <c r="AC5" i="42"/>
  <c r="AD100" i="42"/>
  <c r="AD102" i="42" s="1"/>
  <c r="BH16" i="42"/>
  <c r="BH22" i="42" s="1"/>
  <c r="AB111" i="42"/>
  <c r="AI108" i="42"/>
  <c r="AC100" i="42"/>
  <c r="AC102" i="42" s="1"/>
  <c r="BG22" i="42"/>
  <c r="BG24" i="42" s="1"/>
  <c r="AA111" i="42"/>
  <c r="Z5" i="42"/>
  <c r="BF19" i="42"/>
  <c r="Z100" i="42"/>
  <c r="Z102" i="42" s="1"/>
  <c r="X110" i="42"/>
  <c r="BE23" i="42" s="1"/>
  <c r="Y110" i="42"/>
  <c r="Y111" i="42" s="1"/>
  <c r="X5" i="42"/>
  <c r="X111" i="42"/>
  <c r="W5" i="42"/>
  <c r="BE22" i="42"/>
  <c r="BE24" i="42" s="1"/>
  <c r="V100" i="42"/>
  <c r="V102" i="42" s="1"/>
  <c r="BD16" i="42"/>
  <c r="BD22" i="42" s="1"/>
  <c r="BC19" i="42"/>
  <c r="U100" i="42"/>
  <c r="U102" i="42" s="1"/>
  <c r="BC22" i="42"/>
  <c r="S5" i="42"/>
  <c r="T110" i="42"/>
  <c r="BB23" i="42" s="1"/>
  <c r="BB19" i="42"/>
  <c r="T100" i="42"/>
  <c r="T102" i="42" s="1"/>
  <c r="T103" i="42" s="1"/>
  <c r="T7" i="42" s="1"/>
  <c r="R5" i="42"/>
  <c r="BA19" i="42"/>
  <c r="Q5" i="42"/>
  <c r="R110" i="42"/>
  <c r="AZ23" i="42" s="1"/>
  <c r="R100" i="42"/>
  <c r="R102" i="42" s="1"/>
  <c r="AH109" i="42"/>
  <c r="AY19" i="42"/>
  <c r="Q111" i="42"/>
  <c r="AX22" i="42"/>
  <c r="AX24" i="42" s="1"/>
  <c r="AY22" i="42"/>
  <c r="AY24" i="42" s="1"/>
  <c r="O100" i="42"/>
  <c r="O102" i="42" s="1"/>
  <c r="O103" i="42" s="1"/>
  <c r="O7" i="42" s="1"/>
  <c r="N100" i="42"/>
  <c r="N102" i="42" s="1"/>
  <c r="M5" i="42"/>
  <c r="AV22" i="42"/>
  <c r="AU19" i="42"/>
  <c r="M100" i="42"/>
  <c r="M102" i="42" s="1"/>
  <c r="AU22" i="42"/>
  <c r="L110" i="42"/>
  <c r="L111" i="42" s="1"/>
  <c r="L100" i="42"/>
  <c r="L102" i="42" s="1"/>
  <c r="L103" i="42" s="1"/>
  <c r="L7" i="42" s="1"/>
  <c r="K5" i="42"/>
  <c r="AT19" i="42"/>
  <c r="J5" i="42"/>
  <c r="AT22" i="42"/>
  <c r="AT24" i="42" s="1"/>
  <c r="J103" i="42"/>
  <c r="J7" i="42" s="1"/>
  <c r="I111" i="42"/>
  <c r="G110" i="42"/>
  <c r="AR23" i="42" s="1"/>
  <c r="G100" i="42"/>
  <c r="G102" i="42" s="1"/>
  <c r="AH79" i="42"/>
  <c r="E5" i="42"/>
  <c r="F100" i="42"/>
  <c r="F102" i="42" s="1"/>
  <c r="AQ18" i="42"/>
  <c r="AQ16" i="42"/>
  <c r="AQ22" i="42" s="1"/>
  <c r="E100" i="42"/>
  <c r="E102" i="42" s="1"/>
  <c r="D5" i="42"/>
  <c r="AP16" i="42"/>
  <c r="AP22" i="42" s="1"/>
  <c r="C5" i="42"/>
  <c r="AO22" i="42"/>
  <c r="D110" i="42"/>
  <c r="AO23" i="42" s="1"/>
  <c r="D100" i="42"/>
  <c r="D102" i="42" s="1"/>
  <c r="D103" i="42" s="1"/>
  <c r="D7" i="42" s="1"/>
  <c r="AH65" i="42"/>
  <c r="B100" i="42"/>
  <c r="B102" i="42" s="1"/>
  <c r="B103" i="42" s="1"/>
  <c r="AI104" i="42"/>
  <c r="AI124" i="42"/>
  <c r="C110" i="42"/>
  <c r="AN23" i="42" s="1"/>
  <c r="AN19" i="42"/>
  <c r="AN22" i="42" s="1"/>
  <c r="AN24" i="42" s="1"/>
  <c r="AI105" i="42"/>
  <c r="C111" i="42"/>
  <c r="AI107" i="42"/>
  <c r="B111" i="42"/>
  <c r="AM22" i="42"/>
  <c r="AH124" i="42"/>
  <c r="BG82" i="42" a="1"/>
  <c r="BG99" i="42" s="1"/>
  <c r="AH108" i="42"/>
  <c r="AR22" i="42"/>
  <c r="AR24" i="42" s="1"/>
  <c r="BA22" i="42"/>
  <c r="BA24" i="42" s="1"/>
  <c r="R103" i="42"/>
  <c r="R7" i="42" s="1"/>
  <c r="Z103" i="42"/>
  <c r="Z7" i="42" s="1"/>
  <c r="G103" i="42"/>
  <c r="G7" i="42" s="1"/>
  <c r="BB16" i="42"/>
  <c r="I100" i="42"/>
  <c r="I102" i="42" s="1"/>
  <c r="I103" i="42" s="1"/>
  <c r="I7" i="42" s="1"/>
  <c r="Q100" i="42"/>
  <c r="Q102" i="42" s="1"/>
  <c r="Q103" i="42" s="1"/>
  <c r="Q7" i="42" s="1"/>
  <c r="Y100" i="42"/>
  <c r="Y102" i="42" s="1"/>
  <c r="Y103" i="42" s="1"/>
  <c r="Y7" i="42" s="1"/>
  <c r="AG100" i="42"/>
  <c r="AI79" i="42"/>
  <c r="AI83" i="42"/>
  <c r="AH83" i="42"/>
  <c r="AL13" i="42"/>
  <c r="C100" i="42"/>
  <c r="C102" i="42" s="1"/>
  <c r="C103" i="42" s="1"/>
  <c r="C7" i="42" s="1"/>
  <c r="K100" i="42"/>
  <c r="K102" i="42" s="1"/>
  <c r="K103" i="42" s="1"/>
  <c r="K7" i="42" s="1"/>
  <c r="S100" i="42"/>
  <c r="S102" i="42" s="1"/>
  <c r="S103" i="42" s="1"/>
  <c r="S7" i="42" s="1"/>
  <c r="AA100" i="42"/>
  <c r="AA102" i="42" s="1"/>
  <c r="AA103" i="42" s="1"/>
  <c r="AA7" i="42" s="1"/>
  <c r="AI61" i="42"/>
  <c r="AI65" i="42"/>
  <c r="AB100" i="42"/>
  <c r="AB102" i="42" s="1"/>
  <c r="AB103" i="42" s="1"/>
  <c r="AB7" i="42" s="1"/>
  <c r="E121" i="42"/>
  <c r="W103" i="42"/>
  <c r="W7" i="42" s="1"/>
  <c r="AW16" i="42"/>
  <c r="AW22" i="42" s="1"/>
  <c r="AW24" i="42" s="1"/>
  <c r="BF16" i="42"/>
  <c r="BF22" i="42" s="1"/>
  <c r="BF24" i="42" s="1"/>
  <c r="G111" i="42"/>
  <c r="O111" i="42"/>
  <c r="W111" i="42"/>
  <c r="AE7" i="42"/>
  <c r="E110" i="42"/>
  <c r="AP23" i="42" s="1"/>
  <c r="AH104" i="42"/>
  <c r="M110" i="42"/>
  <c r="AU23" i="42" s="1"/>
  <c r="U110" i="42"/>
  <c r="BC23" i="42" s="1"/>
  <c r="AC110" i="42"/>
  <c r="AS19" i="42"/>
  <c r="AS22" i="42" s="1"/>
  <c r="AS24" i="42" s="1"/>
  <c r="F110" i="42"/>
  <c r="N110" i="42"/>
  <c r="N103" i="42" s="1"/>
  <c r="N7" i="42" s="1"/>
  <c r="V110" i="42"/>
  <c r="V103" i="42" s="1"/>
  <c r="V7" i="42" s="1"/>
  <c r="AD110" i="42"/>
  <c r="AI109" i="42"/>
  <c r="AG102" i="42"/>
  <c r="AH107" i="42"/>
  <c r="AH61" i="42"/>
  <c r="AZ16" i="42"/>
  <c r="AZ22" i="42" s="1"/>
  <c r="AZ24" i="42" s="1"/>
  <c r="H100" i="42"/>
  <c r="H102" i="42" s="1"/>
  <c r="H103" i="42" s="1"/>
  <c r="H7" i="42" s="1"/>
  <c r="P100" i="42"/>
  <c r="P102" i="42" s="1"/>
  <c r="P103" i="42" s="1"/>
  <c r="P7" i="42" s="1"/>
  <c r="X100" i="42"/>
  <c r="X102" i="42" s="1"/>
  <c r="X103" i="42" s="1"/>
  <c r="X7" i="42" s="1"/>
  <c r="AF7" i="42"/>
  <c r="AI95" i="42"/>
  <c r="J111" i="42"/>
  <c r="R111" i="42"/>
  <c r="Z111" i="42"/>
  <c r="AH95" i="42"/>
  <c r="AI106" i="42"/>
  <c r="H249" i="42"/>
  <c r="G121" i="42"/>
  <c r="E250" i="42"/>
  <c r="AH105" i="42"/>
  <c r="AH106" i="42"/>
  <c r="X249" i="43" l="1"/>
  <c r="W255" i="43"/>
  <c r="W121" i="43"/>
  <c r="AC103" i="42"/>
  <c r="AC7" i="42" s="1"/>
  <c r="AC111" i="42"/>
  <c r="BC24" i="42"/>
  <c r="U103" i="42"/>
  <c r="U7" i="42" s="1"/>
  <c r="U111" i="42"/>
  <c r="BB22" i="42"/>
  <c r="BB24" i="42" s="1"/>
  <c r="T111" i="42"/>
  <c r="AU24" i="42"/>
  <c r="M103" i="42"/>
  <c r="M7" i="42" s="1"/>
  <c r="M111" i="42"/>
  <c r="AP24" i="42"/>
  <c r="AO24" i="42"/>
  <c r="D111" i="42"/>
  <c r="BJ85" i="42"/>
  <c r="BL101" i="42"/>
  <c r="BL88" i="42"/>
  <c r="BI98" i="42"/>
  <c r="BK82" i="42"/>
  <c r="BI93" i="42"/>
  <c r="BJ97" i="42"/>
  <c r="BI95" i="42"/>
  <c r="BJ104" i="42"/>
  <c r="BJ91" i="42"/>
  <c r="BJ100" i="42"/>
  <c r="BH97" i="42"/>
  <c r="BI105" i="42"/>
  <c r="BL86" i="42"/>
  <c r="BL84" i="42"/>
  <c r="BL98" i="42"/>
  <c r="BL93" i="42"/>
  <c r="BL89" i="42"/>
  <c r="BJ89" i="42"/>
  <c r="BI87" i="42"/>
  <c r="BL100" i="42"/>
  <c r="BJ101" i="42"/>
  <c r="BJ96" i="42"/>
  <c r="BG86" i="42"/>
  <c r="BJ83" i="42"/>
  <c r="BL104" i="42"/>
  <c r="BG85" i="42"/>
  <c r="BK95" i="42"/>
  <c r="BJ82" i="42"/>
  <c r="BH93" i="42"/>
  <c r="BL103" i="42"/>
  <c r="BK90" i="42"/>
  <c r="BI101" i="42"/>
  <c r="BI88" i="42"/>
  <c r="BH92" i="42"/>
  <c r="BG90" i="42"/>
  <c r="BL82" i="42"/>
  <c r="BH104" i="42"/>
  <c r="BH99" i="42"/>
  <c r="BK88" i="42"/>
  <c r="BH86" i="42"/>
  <c r="BH100" i="42"/>
  <c r="BH95" i="42"/>
  <c r="BI86" i="42"/>
  <c r="BG97" i="42"/>
  <c r="BL83" i="42"/>
  <c r="BJ94" i="42"/>
  <c r="BH105" i="42"/>
  <c r="BG92" i="42"/>
  <c r="BK102" i="42"/>
  <c r="BK89" i="42"/>
  <c r="BI100" i="42"/>
  <c r="BK92" i="42"/>
  <c r="BI91" i="42"/>
  <c r="BH82" i="42"/>
  <c r="BH85" i="42"/>
  <c r="BG104" i="42"/>
  <c r="BH88" i="42"/>
  <c r="BG94" i="42"/>
  <c r="BH90" i="42"/>
  <c r="BG89" i="42"/>
  <c r="BJ86" i="42"/>
  <c r="BG84" i="42"/>
  <c r="BK94" i="42"/>
  <c r="BL102" i="42"/>
  <c r="BG98" i="42"/>
  <c r="BL90" i="42"/>
  <c r="BL85" i="42"/>
  <c r="BJ87" i="42"/>
  <c r="BK96" i="42"/>
  <c r="BH94" i="42"/>
  <c r="BJ95" i="42"/>
  <c r="BH103" i="42"/>
  <c r="BI90" i="42"/>
  <c r="BG101" i="42"/>
  <c r="BL87" i="42"/>
  <c r="BJ98" i="42"/>
  <c r="BI85" i="42"/>
  <c r="BG96" i="42"/>
  <c r="BG83" i="42"/>
  <c r="BK93" i="42"/>
  <c r="BI104" i="42"/>
  <c r="BJ105" i="42"/>
  <c r="BK100" i="42"/>
  <c r="BJ93" i="42"/>
  <c r="BJ88" i="42"/>
  <c r="BL92" i="42"/>
  <c r="BI99" i="42"/>
  <c r="BL96" i="42"/>
  <c r="BJ84" i="42"/>
  <c r="BL105" i="42"/>
  <c r="BK91" i="42"/>
  <c r="BI102" i="42"/>
  <c r="BH89" i="42"/>
  <c r="BL99" i="42"/>
  <c r="BK86" i="42"/>
  <c r="BI97" i="42"/>
  <c r="BI84" i="42"/>
  <c r="BG95" i="42"/>
  <c r="BK105" i="42"/>
  <c r="BJ103" i="42"/>
  <c r="BL97" i="42"/>
  <c r="BG91" i="42"/>
  <c r="BH83" i="42"/>
  <c r="BK99" i="42"/>
  <c r="BG103" i="42"/>
  <c r="BH84" i="42"/>
  <c r="BG82" i="42"/>
  <c r="BI103" i="42"/>
  <c r="BH96" i="42"/>
  <c r="BH91" i="42"/>
  <c r="BH98" i="42"/>
  <c r="BG102" i="42"/>
  <c r="BJ99" i="42"/>
  <c r="BH87" i="42"/>
  <c r="BI82" i="42"/>
  <c r="BG93" i="42"/>
  <c r="BK103" i="42"/>
  <c r="BJ90" i="42"/>
  <c r="BH101" i="42"/>
  <c r="BG88" i="42"/>
  <c r="BK98" i="42"/>
  <c r="BK85" i="42"/>
  <c r="BI96" i="42"/>
  <c r="BL94" i="42"/>
  <c r="BL95" i="42"/>
  <c r="BI92" i="42"/>
  <c r="BK84" i="42"/>
  <c r="BI83" i="42"/>
  <c r="BK104" i="42"/>
  <c r="BH102" i="42"/>
  <c r="BK83" i="42"/>
  <c r="BI94" i="42"/>
  <c r="BG105" i="42"/>
  <c r="BL91" i="42"/>
  <c r="BJ102" i="42"/>
  <c r="BI89" i="42"/>
  <c r="BG100" i="42"/>
  <c r="BG87" i="42"/>
  <c r="BK97" i="42"/>
  <c r="BK87" i="42"/>
  <c r="BK101" i="42"/>
  <c r="BJ92" i="42"/>
  <c r="AM23" i="42"/>
  <c r="AM24" i="42" s="1"/>
  <c r="AH110" i="42"/>
  <c r="AI110" i="42"/>
  <c r="AI100" i="42"/>
  <c r="B259" i="42"/>
  <c r="C259" i="42"/>
  <c r="AH100" i="42"/>
  <c r="I249" i="42"/>
  <c r="H121" i="42"/>
  <c r="AT8" i="42"/>
  <c r="AD103" i="42"/>
  <c r="AD7" i="42" s="1"/>
  <c r="AD111" i="42"/>
  <c r="BH23" i="42"/>
  <c r="BH24" i="42" s="1"/>
  <c r="F250" i="42"/>
  <c r="E255" i="42"/>
  <c r="AQ23" i="42"/>
  <c r="AQ24" i="42" s="1"/>
  <c r="F111" i="42"/>
  <c r="F103" i="42"/>
  <c r="F7" i="42" s="1"/>
  <c r="V111" i="42"/>
  <c r="BD23" i="42"/>
  <c r="BD24" i="42" s="1"/>
  <c r="N111" i="42"/>
  <c r="AV23" i="42"/>
  <c r="AV24" i="42" s="1"/>
  <c r="E103" i="42"/>
  <c r="E7" i="42" s="1"/>
  <c r="E111" i="42"/>
  <c r="AI102" i="42"/>
  <c r="AH102" i="42"/>
  <c r="Y249" i="43" l="1"/>
  <c r="X255" i="43"/>
  <c r="X121" i="43"/>
  <c r="I121" i="42"/>
  <c r="J249" i="42"/>
  <c r="K6" i="42"/>
  <c r="G250" i="42"/>
  <c r="F255" i="42"/>
  <c r="AI103" i="42"/>
  <c r="B7" i="42"/>
  <c r="A7" i="42" s="1"/>
  <c r="AH103" i="42"/>
  <c r="AI111" i="42"/>
  <c r="AH111" i="42"/>
  <c r="AT9" i="42"/>
  <c r="Y255" i="43" l="1"/>
  <c r="Z249" i="43"/>
  <c r="H250" i="42"/>
  <c r="G255" i="42"/>
  <c r="J121" i="42"/>
  <c r="K249" i="42"/>
  <c r="Z255" i="43" l="1"/>
  <c r="AA249" i="43"/>
  <c r="K121" i="42"/>
  <c r="L249" i="42"/>
  <c r="I250" i="42"/>
  <c r="H255" i="42"/>
  <c r="AA255" i="43" l="1"/>
  <c r="AA121" i="43"/>
  <c r="AB249" i="43"/>
  <c r="J250" i="42"/>
  <c r="I255" i="42"/>
  <c r="L121" i="42"/>
  <c r="M249" i="42"/>
  <c r="AB255" i="43" l="1"/>
  <c r="AB121" i="43"/>
  <c r="AC249" i="43"/>
  <c r="N249" i="42"/>
  <c r="M121" i="42"/>
  <c r="K250" i="42"/>
  <c r="J255" i="42"/>
  <c r="AC121" i="43" l="1"/>
  <c r="AD249" i="43"/>
  <c r="AC255" i="43"/>
  <c r="O249" i="42"/>
  <c r="N121" i="42"/>
  <c r="L250" i="42"/>
  <c r="K255" i="42"/>
  <c r="AE249" i="43" l="1"/>
  <c r="AD255" i="43"/>
  <c r="AD121" i="43"/>
  <c r="P249" i="42"/>
  <c r="O121" i="42"/>
  <c r="M250" i="42"/>
  <c r="L255" i="42"/>
  <c r="AF249" i="43" l="1"/>
  <c r="AE255" i="43"/>
  <c r="AE121" i="43"/>
  <c r="N250" i="42"/>
  <c r="M255" i="42"/>
  <c r="Q249" i="42"/>
  <c r="AF255" i="43" l="1"/>
  <c r="AF121" i="43"/>
  <c r="B249" i="43"/>
  <c r="Q121" i="42"/>
  <c r="R249" i="42"/>
  <c r="O250" i="42"/>
  <c r="N255" i="42"/>
  <c r="B255" i="43" l="1"/>
  <c r="P250" i="42"/>
  <c r="O255" i="42"/>
  <c r="R121" i="42"/>
  <c r="S249" i="42"/>
  <c r="AI121" i="43" l="1"/>
  <c r="AH121" i="43"/>
  <c r="S121" i="42"/>
  <c r="T249" i="42"/>
  <c r="Q250" i="42"/>
  <c r="P255" i="42"/>
  <c r="R250" i="42" l="1"/>
  <c r="Q255" i="42"/>
  <c r="T121" i="42"/>
  <c r="U249" i="42"/>
  <c r="U121" i="42" l="1"/>
  <c r="V249" i="42"/>
  <c r="S250" i="42"/>
  <c r="R255" i="42"/>
  <c r="T250" i="42" l="1"/>
  <c r="S255" i="42"/>
  <c r="W249" i="42"/>
  <c r="V121" i="42"/>
  <c r="U250" i="42" l="1"/>
  <c r="T255" i="42"/>
  <c r="X249" i="42"/>
  <c r="W121" i="42"/>
  <c r="Y249" i="42" l="1"/>
  <c r="X121" i="42"/>
  <c r="V250" i="42"/>
  <c r="U255" i="42"/>
  <c r="Z249" i="42" l="1"/>
  <c r="W250" i="42"/>
  <c r="V255" i="42"/>
  <c r="AF124" i="41"/>
  <c r="AF60" i="41"/>
  <c r="AE60" i="41"/>
  <c r="AE61" i="41"/>
  <c r="AF61" i="41"/>
  <c r="AE65" i="41"/>
  <c r="AF65" i="41"/>
  <c r="AE79" i="41"/>
  <c r="AF79" i="41"/>
  <c r="AE83" i="41"/>
  <c r="AF83" i="41"/>
  <c r="AE95" i="41"/>
  <c r="AF95" i="41"/>
  <c r="AE104" i="41"/>
  <c r="AF104" i="41"/>
  <c r="AE105" i="41"/>
  <c r="AF105" i="41"/>
  <c r="AE106" i="41"/>
  <c r="AE110" i="41" s="1"/>
  <c r="AE111" i="41" s="1"/>
  <c r="AF106" i="41"/>
  <c r="AE107" i="41"/>
  <c r="AF107" i="41"/>
  <c r="AE108" i="41"/>
  <c r="AF108" i="41"/>
  <c r="AE109" i="41"/>
  <c r="AF109" i="41"/>
  <c r="X250" i="42" l="1"/>
  <c r="W255" i="42"/>
  <c r="AA249" i="42"/>
  <c r="AF110" i="41"/>
  <c r="AF111" i="41" s="1"/>
  <c r="AE100" i="41"/>
  <c r="AE102" i="41" s="1"/>
  <c r="AE103" i="41" s="1"/>
  <c r="AF100" i="41"/>
  <c r="AF102" i="41" s="1"/>
  <c r="AF103" i="41" s="1"/>
  <c r="Y250" i="42" l="1"/>
  <c r="X255" i="42"/>
  <c r="AA121" i="42"/>
  <c r="AB249" i="42"/>
  <c r="AD124" i="41"/>
  <c r="AD60" i="41"/>
  <c r="AC124" i="41"/>
  <c r="AC60" i="41"/>
  <c r="AB121" i="42" l="1"/>
  <c r="AC249" i="42"/>
  <c r="Z250" i="42"/>
  <c r="Y255" i="42"/>
  <c r="AB124" i="41"/>
  <c r="AB60" i="41"/>
  <c r="AA250" i="42" l="1"/>
  <c r="Z255" i="42"/>
  <c r="AC121" i="42"/>
  <c r="AD249" i="42"/>
  <c r="AE249" i="42" l="1"/>
  <c r="AD121" i="42"/>
  <c r="AB250" i="42"/>
  <c r="AA255" i="42"/>
  <c r="AC250" i="42" l="1"/>
  <c r="AB255" i="42"/>
  <c r="AF249" i="42"/>
  <c r="B249" i="42" l="1"/>
  <c r="AD250" i="42"/>
  <c r="AC255" i="42"/>
  <c r="AE250" i="42" l="1"/>
  <c r="AD255" i="42"/>
  <c r="AI121" i="42" l="1"/>
  <c r="AH121" i="42"/>
  <c r="AF250" i="42"/>
  <c r="AE255" i="42"/>
  <c r="B250" i="42" l="1"/>
  <c r="B255" i="42" s="1"/>
  <c r="AF255" i="42"/>
  <c r="L124" i="41" l="1"/>
  <c r="K124" i="41"/>
  <c r="J124" i="41" l="1"/>
  <c r="I124" i="41"/>
  <c r="H124" i="41"/>
  <c r="H60" i="41"/>
  <c r="G124" i="41"/>
  <c r="G60" i="41"/>
  <c r="F124" i="41"/>
  <c r="F60" i="41"/>
  <c r="E124" i="41" l="1"/>
  <c r="B107" i="41"/>
  <c r="B110" i="41" s="1"/>
  <c r="B111" i="41" s="1"/>
  <c r="C107" i="41"/>
  <c r="C110" i="41" s="1"/>
  <c r="C111" i="41" s="1"/>
  <c r="D107" i="41"/>
  <c r="D110" i="41"/>
  <c r="D111" i="41" s="1"/>
  <c r="B106" i="41"/>
  <c r="C106" i="41"/>
  <c r="D106" i="41"/>
  <c r="B61" i="41"/>
  <c r="C61" i="41"/>
  <c r="D61" i="41"/>
  <c r="B65" i="41"/>
  <c r="C65" i="41"/>
  <c r="D65" i="41"/>
  <c r="B95" i="41"/>
  <c r="C95" i="41"/>
  <c r="D95" i="41"/>
  <c r="B83" i="41"/>
  <c r="B79" i="41"/>
  <c r="C79" i="41"/>
  <c r="D79" i="41"/>
  <c r="C83" i="41"/>
  <c r="D83" i="41"/>
  <c r="E60" i="41"/>
  <c r="D100" i="41" l="1"/>
  <c r="D102" i="41" s="1"/>
  <c r="D103" i="41" s="1"/>
  <c r="C100" i="41"/>
  <c r="C102" i="41" s="1"/>
  <c r="C103" i="41" s="1"/>
  <c r="B100" i="41"/>
  <c r="B102" i="41" s="1"/>
  <c r="B103" i="41" s="1"/>
  <c r="AG255" i="41"/>
  <c r="C255" i="41"/>
  <c r="V254" i="41"/>
  <c r="W254" i="41" s="1"/>
  <c r="X254" i="41" s="1"/>
  <c r="Y254" i="41" s="1"/>
  <c r="Z254" i="41" s="1"/>
  <c r="AA254" i="41" s="1"/>
  <c r="AB254" i="41" s="1"/>
  <c r="AC254" i="41" s="1"/>
  <c r="AD254" i="41" s="1"/>
  <c r="AE254" i="41" s="1"/>
  <c r="AF254" i="41" s="1"/>
  <c r="B254" i="41" s="1"/>
  <c r="N254" i="41"/>
  <c r="O254" i="41" s="1"/>
  <c r="P254" i="41" s="1"/>
  <c r="Q254" i="41" s="1"/>
  <c r="R254" i="41" s="1"/>
  <c r="S254" i="41" s="1"/>
  <c r="T254" i="41" s="1"/>
  <c r="U254" i="41" s="1"/>
  <c r="F254" i="41"/>
  <c r="G254" i="41" s="1"/>
  <c r="H254" i="41" s="1"/>
  <c r="I254" i="41" s="1"/>
  <c r="J254" i="41" s="1"/>
  <c r="K254" i="41" s="1"/>
  <c r="L254" i="41" s="1"/>
  <c r="M254" i="41" s="1"/>
  <c r="E254" i="41"/>
  <c r="D254" i="41"/>
  <c r="D253" i="41"/>
  <c r="E253" i="41" s="1"/>
  <c r="F253" i="41" s="1"/>
  <c r="G253" i="41" s="1"/>
  <c r="H253" i="41" s="1"/>
  <c r="I253" i="41" s="1"/>
  <c r="J253" i="41" s="1"/>
  <c r="K253" i="41" s="1"/>
  <c r="L253" i="41" s="1"/>
  <c r="M253" i="41" s="1"/>
  <c r="N253" i="41" s="1"/>
  <c r="O253" i="41" s="1"/>
  <c r="P253" i="41" s="1"/>
  <c r="Q253" i="41" s="1"/>
  <c r="R253" i="41" s="1"/>
  <c r="S253" i="41" s="1"/>
  <c r="T253" i="41" s="1"/>
  <c r="U253" i="41" s="1"/>
  <c r="V253" i="41" s="1"/>
  <c r="W253" i="41" s="1"/>
  <c r="X253" i="41" s="1"/>
  <c r="Y253" i="41" s="1"/>
  <c r="Z253" i="41" s="1"/>
  <c r="AA253" i="41" s="1"/>
  <c r="AB253" i="41" s="1"/>
  <c r="AC253" i="41" s="1"/>
  <c r="AD253" i="41" s="1"/>
  <c r="AE253" i="41" s="1"/>
  <c r="AF253" i="41" s="1"/>
  <c r="B253" i="41" s="1"/>
  <c r="J252" i="41"/>
  <c r="K252" i="41" s="1"/>
  <c r="L252" i="41" s="1"/>
  <c r="M252" i="41" s="1"/>
  <c r="N252" i="41" s="1"/>
  <c r="O252" i="41" s="1"/>
  <c r="P252" i="41" s="1"/>
  <c r="Q252" i="41" s="1"/>
  <c r="R252" i="41" s="1"/>
  <c r="S252" i="41" s="1"/>
  <c r="T252" i="41" s="1"/>
  <c r="U252" i="41" s="1"/>
  <c r="V252" i="41" s="1"/>
  <c r="W252" i="41" s="1"/>
  <c r="X252" i="41" s="1"/>
  <c r="Y252" i="41" s="1"/>
  <c r="Z252" i="41" s="1"/>
  <c r="AA252" i="41" s="1"/>
  <c r="AB252" i="41" s="1"/>
  <c r="AC252" i="41" s="1"/>
  <c r="AD252" i="41" s="1"/>
  <c r="AE252" i="41" s="1"/>
  <c r="AF252" i="41" s="1"/>
  <c r="B252" i="41" s="1"/>
  <c r="D252" i="41"/>
  <c r="E252" i="41" s="1"/>
  <c r="F252" i="41" s="1"/>
  <c r="G252" i="41" s="1"/>
  <c r="H252" i="41" s="1"/>
  <c r="I252" i="41" s="1"/>
  <c r="H251" i="41"/>
  <c r="I251" i="41" s="1"/>
  <c r="J251" i="41" s="1"/>
  <c r="K251" i="41" s="1"/>
  <c r="L251" i="41" s="1"/>
  <c r="M251" i="41" s="1"/>
  <c r="N251" i="41" s="1"/>
  <c r="O251" i="41" s="1"/>
  <c r="P251" i="41" s="1"/>
  <c r="Q251" i="41" s="1"/>
  <c r="R251" i="41" s="1"/>
  <c r="S251" i="41" s="1"/>
  <c r="T251" i="41" s="1"/>
  <c r="U251" i="41" s="1"/>
  <c r="V251" i="41" s="1"/>
  <c r="W251" i="41" s="1"/>
  <c r="X251" i="41" s="1"/>
  <c r="Y251" i="41" s="1"/>
  <c r="Z251" i="41" s="1"/>
  <c r="AA251" i="41" s="1"/>
  <c r="AB251" i="41" s="1"/>
  <c r="AC251" i="41" s="1"/>
  <c r="AD251" i="41" s="1"/>
  <c r="AE251" i="41" s="1"/>
  <c r="AF251" i="41" s="1"/>
  <c r="B251" i="41" s="1"/>
  <c r="D251" i="41"/>
  <c r="E251" i="41" s="1"/>
  <c r="F251" i="41" s="1"/>
  <c r="G251" i="41" s="1"/>
  <c r="F250" i="41"/>
  <c r="G250" i="41" s="1"/>
  <c r="H250" i="41" s="1"/>
  <c r="I250" i="41" s="1"/>
  <c r="J250" i="41" s="1"/>
  <c r="K250" i="41" s="1"/>
  <c r="L250" i="41" s="1"/>
  <c r="M250" i="41" s="1"/>
  <c r="N250" i="41" s="1"/>
  <c r="O250" i="41" s="1"/>
  <c r="P250" i="41" s="1"/>
  <c r="Q250" i="41" s="1"/>
  <c r="R250" i="41" s="1"/>
  <c r="S250" i="41" s="1"/>
  <c r="T250" i="41" s="1"/>
  <c r="U250" i="41" s="1"/>
  <c r="V250" i="41" s="1"/>
  <c r="W250" i="41" s="1"/>
  <c r="X250" i="41" s="1"/>
  <c r="Y250" i="41" s="1"/>
  <c r="Z250" i="41" s="1"/>
  <c r="AA250" i="41" s="1"/>
  <c r="AB250" i="41" s="1"/>
  <c r="AC250" i="41" s="1"/>
  <c r="AD250" i="41" s="1"/>
  <c r="AE250" i="41" s="1"/>
  <c r="AF250" i="41" s="1"/>
  <c r="B250" i="41" s="1"/>
  <c r="E250" i="41"/>
  <c r="D250" i="41"/>
  <c r="D249" i="41"/>
  <c r="AG247" i="41"/>
  <c r="AF247" i="41"/>
  <c r="AE247" i="41"/>
  <c r="AD247" i="41"/>
  <c r="AC247" i="41"/>
  <c r="AB247" i="41"/>
  <c r="AA247" i="41"/>
  <c r="Z247" i="41"/>
  <c r="Y247" i="41"/>
  <c r="X247" i="41"/>
  <c r="W247" i="41"/>
  <c r="V247" i="41"/>
  <c r="U247" i="41"/>
  <c r="T247" i="41"/>
  <c r="S247" i="41"/>
  <c r="R247" i="41"/>
  <c r="Q247" i="41"/>
  <c r="P247" i="41"/>
  <c r="O247" i="41"/>
  <c r="N247" i="41"/>
  <c r="M247" i="41"/>
  <c r="L247" i="41"/>
  <c r="K247" i="41"/>
  <c r="J247" i="41"/>
  <c r="I247" i="41"/>
  <c r="H247" i="41"/>
  <c r="G247" i="41"/>
  <c r="F247" i="41"/>
  <c r="E247" i="41"/>
  <c r="D247" i="41"/>
  <c r="C247" i="41"/>
  <c r="B247" i="41"/>
  <c r="AI133" i="41"/>
  <c r="AH133" i="41"/>
  <c r="AI132" i="41"/>
  <c r="AH132" i="41"/>
  <c r="AI131" i="41"/>
  <c r="AH131" i="41"/>
  <c r="AI130" i="41"/>
  <c r="AH130" i="41"/>
  <c r="AI129" i="41"/>
  <c r="AH129" i="41"/>
  <c r="AI126" i="41"/>
  <c r="AH126" i="41"/>
  <c r="AI125" i="41"/>
  <c r="AH125" i="41"/>
  <c r="AI124" i="41"/>
  <c r="AH124" i="41"/>
  <c r="AI123" i="41"/>
  <c r="AH123" i="41"/>
  <c r="AI122" i="41"/>
  <c r="AH122" i="41"/>
  <c r="Z121" i="41"/>
  <c r="Y121" i="41"/>
  <c r="AI120" i="41"/>
  <c r="AH120" i="41"/>
  <c r="AI119" i="41"/>
  <c r="AH119" i="41"/>
  <c r="AI118" i="41"/>
  <c r="AH118" i="41"/>
  <c r="AI117" i="41"/>
  <c r="AH117" i="41"/>
  <c r="AI116" i="41"/>
  <c r="AH116" i="41"/>
  <c r="AI115" i="41"/>
  <c r="AH115" i="41"/>
  <c r="AI114" i="41"/>
  <c r="AH114" i="41"/>
  <c r="AI113" i="41"/>
  <c r="AH113" i="41"/>
  <c r="AI112" i="41"/>
  <c r="AH112" i="41"/>
  <c r="K110" i="41"/>
  <c r="AT23" i="41" s="1"/>
  <c r="AD109" i="41"/>
  <c r="AC109" i="41"/>
  <c r="AB109" i="41"/>
  <c r="AA109" i="41"/>
  <c r="Z109" i="41"/>
  <c r="Y109" i="41"/>
  <c r="X109" i="41"/>
  <c r="W109" i="41"/>
  <c r="V109" i="41"/>
  <c r="U109" i="41"/>
  <c r="T109" i="41"/>
  <c r="S109" i="41"/>
  <c r="R109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AD108" i="41"/>
  <c r="AC108" i="41"/>
  <c r="AB108" i="41"/>
  <c r="AA108" i="41"/>
  <c r="AH108" i="41" s="1"/>
  <c r="Z108" i="41"/>
  <c r="Y108" i="41"/>
  <c r="X108" i="41"/>
  <c r="W108" i="41"/>
  <c r="V108" i="41"/>
  <c r="U108" i="41"/>
  <c r="T108" i="41"/>
  <c r="S108" i="41"/>
  <c r="R108" i="41"/>
  <c r="Q108" i="41"/>
  <c r="P108" i="41"/>
  <c r="O108" i="41"/>
  <c r="N108" i="41"/>
  <c r="M108" i="41"/>
  <c r="L108" i="41"/>
  <c r="K108" i="41"/>
  <c r="J108" i="41"/>
  <c r="I108" i="41"/>
  <c r="H108" i="41"/>
  <c r="G108" i="41"/>
  <c r="F108" i="41"/>
  <c r="E108" i="41"/>
  <c r="AI108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AI107" i="41"/>
  <c r="AD106" i="41"/>
  <c r="AC106" i="41"/>
  <c r="AB106" i="41"/>
  <c r="AA106" i="41"/>
  <c r="Z106" i="41"/>
  <c r="Y106" i="41"/>
  <c r="X106" i="41"/>
  <c r="W106" i="41"/>
  <c r="V106" i="41"/>
  <c r="U106" i="41"/>
  <c r="T106" i="41"/>
  <c r="S106" i="41"/>
  <c r="R106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AD105" i="41"/>
  <c r="AC105" i="41"/>
  <c r="AB105" i="41"/>
  <c r="AA105" i="41"/>
  <c r="Z105" i="41"/>
  <c r="Y105" i="41"/>
  <c r="X105" i="41"/>
  <c r="W105" i="41"/>
  <c r="V105" i="41"/>
  <c r="U105" i="41"/>
  <c r="T105" i="41"/>
  <c r="S105" i="41"/>
  <c r="R105" i="41"/>
  <c r="Q105" i="41"/>
  <c r="P105" i="41"/>
  <c r="O105" i="41"/>
  <c r="N105" i="41"/>
  <c r="M105" i="41"/>
  <c r="L105" i="41"/>
  <c r="K105" i="41"/>
  <c r="J105" i="41"/>
  <c r="I105" i="41"/>
  <c r="AH105" i="41" s="1"/>
  <c r="H105" i="41"/>
  <c r="G105" i="41"/>
  <c r="F105" i="41"/>
  <c r="E105" i="41"/>
  <c r="BJ23" i="41"/>
  <c r="AD104" i="41"/>
  <c r="AD110" i="41" s="1"/>
  <c r="BH23" i="41" s="1"/>
  <c r="AC104" i="41"/>
  <c r="AB104" i="41"/>
  <c r="AA104" i="41"/>
  <c r="AA110" i="41" s="1"/>
  <c r="Z104" i="41"/>
  <c r="Y104" i="41"/>
  <c r="X104" i="41"/>
  <c r="X110" i="41" s="1"/>
  <c r="BE23" i="41" s="1"/>
  <c r="W104" i="41"/>
  <c r="V104" i="41"/>
  <c r="U104" i="41"/>
  <c r="U110" i="41" s="1"/>
  <c r="T104" i="41"/>
  <c r="S104" i="41"/>
  <c r="S110" i="41" s="1"/>
  <c r="BA23" i="41" s="1"/>
  <c r="R104" i="41"/>
  <c r="Q104" i="41"/>
  <c r="P104" i="41"/>
  <c r="O104" i="41"/>
  <c r="N104" i="41"/>
  <c r="M104" i="41"/>
  <c r="L104" i="41"/>
  <c r="K104" i="41"/>
  <c r="J104" i="41"/>
  <c r="I104" i="41"/>
  <c r="H104" i="41"/>
  <c r="G104" i="41"/>
  <c r="F104" i="41"/>
  <c r="F110" i="41" s="1"/>
  <c r="E104" i="41"/>
  <c r="E110" i="41" s="1"/>
  <c r="AP23" i="41" s="1"/>
  <c r="AI101" i="41"/>
  <c r="AH101" i="41"/>
  <c r="AI99" i="41"/>
  <c r="AH99" i="41"/>
  <c r="AG99" i="41"/>
  <c r="AI98" i="41"/>
  <c r="AH98" i="41"/>
  <c r="AI97" i="41"/>
  <c r="AH97" i="41"/>
  <c r="AI96" i="41"/>
  <c r="AH96" i="41"/>
  <c r="AG95" i="41"/>
  <c r="AD95" i="41"/>
  <c r="AD111" i="41" s="1"/>
  <c r="AC95" i="41"/>
  <c r="AB95" i="41"/>
  <c r="AA95" i="41"/>
  <c r="Z95" i="41"/>
  <c r="BF19" i="41" s="1"/>
  <c r="Y95" i="41"/>
  <c r="X5" i="41" s="1"/>
  <c r="X95" i="41"/>
  <c r="W5" i="41" s="1"/>
  <c r="W95" i="41"/>
  <c r="V5" i="41" s="1"/>
  <c r="V95" i="41"/>
  <c r="BD19" i="41" s="1"/>
  <c r="U95" i="41"/>
  <c r="U111" i="41" s="1"/>
  <c r="T95" i="41"/>
  <c r="BB19" i="41" s="1"/>
  <c r="S95" i="41"/>
  <c r="R5" i="41" s="1"/>
  <c r="R95" i="41"/>
  <c r="AZ19" i="41" s="1"/>
  <c r="Q95" i="41"/>
  <c r="P5" i="41" s="1"/>
  <c r="P95" i="41"/>
  <c r="O5" i="41" s="1"/>
  <c r="O95" i="41"/>
  <c r="N5" i="41" s="1"/>
  <c r="N95" i="41"/>
  <c r="M95" i="41"/>
  <c r="L95" i="41"/>
  <c r="K5" i="41" s="1"/>
  <c r="K95" i="41"/>
  <c r="AT19" i="41" s="1"/>
  <c r="J95" i="41"/>
  <c r="I5" i="41" s="1"/>
  <c r="I95" i="41"/>
  <c r="H5" i="41" s="1"/>
  <c r="H95" i="41"/>
  <c r="G5" i="41" s="1"/>
  <c r="G95" i="41"/>
  <c r="AR19" i="41" s="1"/>
  <c r="F95" i="41"/>
  <c r="F111" i="41" s="1"/>
  <c r="E95" i="41"/>
  <c r="AI94" i="41"/>
  <c r="AH94" i="41"/>
  <c r="AI93" i="41"/>
  <c r="AH93" i="41"/>
  <c r="AI92" i="41"/>
  <c r="AH92" i="41"/>
  <c r="AI91" i="41"/>
  <c r="AH91" i="41"/>
  <c r="AI90" i="41"/>
  <c r="AH90" i="41"/>
  <c r="AI89" i="41"/>
  <c r="AH89" i="41"/>
  <c r="AI88" i="41"/>
  <c r="AH88" i="41"/>
  <c r="AI87" i="41"/>
  <c r="AH87" i="41"/>
  <c r="AI86" i="41"/>
  <c r="AH86" i="41"/>
  <c r="AI85" i="41"/>
  <c r="AH85" i="41"/>
  <c r="AI84" i="41"/>
  <c r="AH84" i="41"/>
  <c r="AG83" i="41"/>
  <c r="AD83" i="41"/>
  <c r="AC83" i="41"/>
  <c r="AB83" i="41"/>
  <c r="BG20" i="41" s="1"/>
  <c r="AA83" i="41"/>
  <c r="Z83" i="41"/>
  <c r="Y83" i="41"/>
  <c r="X83" i="41"/>
  <c r="W83" i="41"/>
  <c r="V83" i="41"/>
  <c r="U83" i="41"/>
  <c r="T83" i="41"/>
  <c r="BB20" i="41" s="1"/>
  <c r="S83" i="41"/>
  <c r="BA20" i="41" s="1"/>
  <c r="R83" i="41"/>
  <c r="AZ20" i="41" s="1"/>
  <c r="Q83" i="41"/>
  <c r="P83" i="41"/>
  <c r="O83" i="41"/>
  <c r="N83" i="41"/>
  <c r="M83" i="41"/>
  <c r="AU20" i="41" s="1"/>
  <c r="L83" i="41"/>
  <c r="K83" i="41"/>
  <c r="AT20" i="41" s="1"/>
  <c r="J83" i="41"/>
  <c r="I83" i="41"/>
  <c r="H83" i="41"/>
  <c r="G83" i="41"/>
  <c r="F83" i="41"/>
  <c r="E83" i="41"/>
  <c r="AO20" i="41"/>
  <c r="AI82" i="41"/>
  <c r="AH82" i="41"/>
  <c r="AI81" i="41"/>
  <c r="AH81" i="41"/>
  <c r="AI80" i="41"/>
  <c r="AH80" i="41"/>
  <c r="AD79" i="41"/>
  <c r="AC79" i="41"/>
  <c r="AB79" i="41"/>
  <c r="BG18" i="41" s="1"/>
  <c r="AA79" i="41"/>
  <c r="Z79" i="41"/>
  <c r="Y79" i="41"/>
  <c r="X79" i="41"/>
  <c r="W79" i="41"/>
  <c r="V79" i="41"/>
  <c r="U79" i="41"/>
  <c r="T79" i="41"/>
  <c r="S79" i="41"/>
  <c r="R79" i="41"/>
  <c r="AZ18" i="41" s="1"/>
  <c r="Q79" i="41"/>
  <c r="AY18" i="41" s="1"/>
  <c r="P79" i="41"/>
  <c r="AX18" i="41" s="1"/>
  <c r="O79" i="41"/>
  <c r="AW18" i="41" s="1"/>
  <c r="N79" i="41"/>
  <c r="AV18" i="41" s="1"/>
  <c r="M79" i="41"/>
  <c r="AU18" i="41" s="1"/>
  <c r="L79" i="41"/>
  <c r="K79" i="41"/>
  <c r="J79" i="41"/>
  <c r="I79" i="41"/>
  <c r="H79" i="41"/>
  <c r="G79" i="41"/>
  <c r="AR18" i="41" s="1"/>
  <c r="F79" i="41"/>
  <c r="E79" i="41"/>
  <c r="BK78" i="41"/>
  <c r="AI78" i="41"/>
  <c r="AH78" i="41"/>
  <c r="AG78" i="41"/>
  <c r="AG79" i="41" s="1"/>
  <c r="AG3" i="41" s="1"/>
  <c r="BV77" i="41"/>
  <c r="BE77" i="41"/>
  <c r="AI77" i="41"/>
  <c r="AH77" i="41"/>
  <c r="BM76" i="41"/>
  <c r="BH76" i="41"/>
  <c r="BG76" i="41"/>
  <c r="AI76" i="41"/>
  <c r="AH76" i="41"/>
  <c r="BQ75" i="41"/>
  <c r="AI75" i="41"/>
  <c r="AH75" i="41"/>
  <c r="BL74" i="41"/>
  <c r="BK74" i="41"/>
  <c r="BD74" i="41"/>
  <c r="BC74" i="41"/>
  <c r="AI74" i="41"/>
  <c r="AH74" i="41"/>
  <c r="AI73" i="41"/>
  <c r="AH73" i="41"/>
  <c r="AI72" i="41"/>
  <c r="AH72" i="41"/>
  <c r="BW71" i="41"/>
  <c r="BW78" i="41" s="1"/>
  <c r="BV71" i="41"/>
  <c r="BV78" i="41" s="1"/>
  <c r="BU71" i="41"/>
  <c r="BU78" i="41" s="1"/>
  <c r="BT71" i="41"/>
  <c r="BT78" i="41" s="1"/>
  <c r="BS71" i="41"/>
  <c r="BS78" i="41" s="1"/>
  <c r="BR71" i="41"/>
  <c r="BR78" i="41" s="1"/>
  <c r="BQ71" i="41"/>
  <c r="BQ78" i="41" s="1"/>
  <c r="BP71" i="41"/>
  <c r="BP78" i="41" s="1"/>
  <c r="BO71" i="41"/>
  <c r="BO78" i="41" s="1"/>
  <c r="BN71" i="41"/>
  <c r="BN78" i="41" s="1"/>
  <c r="BM71" i="41"/>
  <c r="BM78" i="41" s="1"/>
  <c r="BL71" i="41"/>
  <c r="BL78" i="41" s="1"/>
  <c r="BK71" i="41"/>
  <c r="BJ71" i="41"/>
  <c r="BJ78" i="41" s="1"/>
  <c r="BI71" i="41"/>
  <c r="BI78" i="41" s="1"/>
  <c r="BH71" i="41"/>
  <c r="BH78" i="41" s="1"/>
  <c r="BG71" i="41"/>
  <c r="BG78" i="41" s="1"/>
  <c r="BF71" i="41"/>
  <c r="BF78" i="41" s="1"/>
  <c r="BE71" i="41"/>
  <c r="BE78" i="41" s="1"/>
  <c r="BD71" i="41"/>
  <c r="BD78" i="41" s="1"/>
  <c r="BC71" i="41"/>
  <c r="BC78" i="41" s="1"/>
  <c r="BB71" i="41"/>
  <c r="BB78" i="41" s="1"/>
  <c r="BA71" i="41"/>
  <c r="BA78" i="41" s="1"/>
  <c r="AZ71" i="41"/>
  <c r="AZ78" i="41" s="1"/>
  <c r="AI71" i="41"/>
  <c r="AH71" i="41"/>
  <c r="BW70" i="41"/>
  <c r="BW77" i="41" s="1"/>
  <c r="BV70" i="41"/>
  <c r="BU70" i="41"/>
  <c r="BU77" i="41" s="1"/>
  <c r="BT70" i="41"/>
  <c r="BT77" i="41" s="1"/>
  <c r="BS70" i="41"/>
  <c r="BS77" i="41" s="1"/>
  <c r="BR70" i="41"/>
  <c r="BR77" i="41" s="1"/>
  <c r="BQ70" i="41"/>
  <c r="BQ77" i="41" s="1"/>
  <c r="BP70" i="41"/>
  <c r="BP77" i="41" s="1"/>
  <c r="BO70" i="41"/>
  <c r="BO77" i="41" s="1"/>
  <c r="BN70" i="41"/>
  <c r="BN77" i="41" s="1"/>
  <c r="BM70" i="41"/>
  <c r="BM77" i="41" s="1"/>
  <c r="BL70" i="41"/>
  <c r="BL77" i="41" s="1"/>
  <c r="BK70" i="41"/>
  <c r="BK77" i="41" s="1"/>
  <c r="BJ70" i="41"/>
  <c r="BJ77" i="41" s="1"/>
  <c r="BI70" i="41"/>
  <c r="BI77" i="41" s="1"/>
  <c r="BH70" i="41"/>
  <c r="BH77" i="41" s="1"/>
  <c r="BG70" i="41"/>
  <c r="BG77" i="41" s="1"/>
  <c r="BF70" i="41"/>
  <c r="BF77" i="41" s="1"/>
  <c r="BE70" i="41"/>
  <c r="BD70" i="41"/>
  <c r="BD77" i="41" s="1"/>
  <c r="BC70" i="41"/>
  <c r="BC77" i="41" s="1"/>
  <c r="BB70" i="41"/>
  <c r="BB77" i="41" s="1"/>
  <c r="BA70" i="41"/>
  <c r="BA77" i="41" s="1"/>
  <c r="AZ70" i="41"/>
  <c r="AZ77" i="41" s="1"/>
  <c r="AI70" i="41"/>
  <c r="AH70" i="41"/>
  <c r="BW69" i="41"/>
  <c r="BW76" i="41" s="1"/>
  <c r="BV69" i="41"/>
  <c r="BV76" i="41" s="1"/>
  <c r="BU69" i="41"/>
  <c r="BU76" i="41" s="1"/>
  <c r="BT69" i="41"/>
  <c r="BT76" i="41" s="1"/>
  <c r="BS69" i="41"/>
  <c r="BS76" i="41" s="1"/>
  <c r="BR69" i="41"/>
  <c r="BR76" i="41" s="1"/>
  <c r="BQ69" i="41"/>
  <c r="BQ76" i="41" s="1"/>
  <c r="BP69" i="41"/>
  <c r="BP76" i="41" s="1"/>
  <c r="BO69" i="41"/>
  <c r="BO76" i="41" s="1"/>
  <c r="BN69" i="41"/>
  <c r="BN76" i="41" s="1"/>
  <c r="BM69" i="41"/>
  <c r="BL69" i="41"/>
  <c r="BL76" i="41" s="1"/>
  <c r="BK69" i="41"/>
  <c r="BK76" i="41" s="1"/>
  <c r="BJ69" i="41"/>
  <c r="BJ76" i="41" s="1"/>
  <c r="BI69" i="41"/>
  <c r="BI76" i="41" s="1"/>
  <c r="BH69" i="41"/>
  <c r="BG69" i="41"/>
  <c r="BF69" i="41"/>
  <c r="BF76" i="41" s="1"/>
  <c r="BE69" i="41"/>
  <c r="BE76" i="41" s="1"/>
  <c r="BD69" i="41"/>
  <c r="BD76" i="41" s="1"/>
  <c r="BC69" i="41"/>
  <c r="BC76" i="41" s="1"/>
  <c r="BB69" i="41"/>
  <c r="BB76" i="41" s="1"/>
  <c r="BA69" i="41"/>
  <c r="BA76" i="41" s="1"/>
  <c r="AZ69" i="41"/>
  <c r="AZ76" i="41" s="1"/>
  <c r="AI69" i="41"/>
  <c r="AH69" i="41"/>
  <c r="BW68" i="41"/>
  <c r="BW75" i="41" s="1"/>
  <c r="BV68" i="41"/>
  <c r="BV75" i="41" s="1"/>
  <c r="BU68" i="41"/>
  <c r="BU75" i="41" s="1"/>
  <c r="BT68" i="41"/>
  <c r="BT75" i="41" s="1"/>
  <c r="BS68" i="41"/>
  <c r="BS75" i="41" s="1"/>
  <c r="BR68" i="41"/>
  <c r="BR75" i="41" s="1"/>
  <c r="BQ68" i="41"/>
  <c r="BP68" i="41"/>
  <c r="BP75" i="41" s="1"/>
  <c r="BO68" i="41"/>
  <c r="BO75" i="41" s="1"/>
  <c r="BN68" i="41"/>
  <c r="BN75" i="41" s="1"/>
  <c r="BM68" i="41"/>
  <c r="BM75" i="41" s="1"/>
  <c r="BL68" i="41"/>
  <c r="BL75" i="41" s="1"/>
  <c r="BK68" i="41"/>
  <c r="BK75" i="41" s="1"/>
  <c r="BJ68" i="41"/>
  <c r="BJ75" i="41" s="1"/>
  <c r="BI68" i="41"/>
  <c r="BI75" i="41" s="1"/>
  <c r="BH68" i="41"/>
  <c r="BH75" i="41" s="1"/>
  <c r="BG68" i="41"/>
  <c r="BG75" i="41" s="1"/>
  <c r="BF68" i="41"/>
  <c r="BF75" i="41" s="1"/>
  <c r="BE68" i="41"/>
  <c r="BE75" i="41" s="1"/>
  <c r="BD68" i="41"/>
  <c r="BD75" i="41" s="1"/>
  <c r="BC68" i="41"/>
  <c r="BC75" i="41" s="1"/>
  <c r="BB68" i="41"/>
  <c r="BB75" i="41" s="1"/>
  <c r="BA68" i="41"/>
  <c r="BA75" i="41" s="1"/>
  <c r="AZ68" i="41"/>
  <c r="AZ75" i="41" s="1"/>
  <c r="AI68" i="41"/>
  <c r="AH68" i="41"/>
  <c r="BW67" i="41"/>
  <c r="BW74" i="41" s="1"/>
  <c r="BV67" i="41"/>
  <c r="BV74" i="41" s="1"/>
  <c r="BU67" i="41"/>
  <c r="BU74" i="41" s="1"/>
  <c r="BT67" i="41"/>
  <c r="BT74" i="41" s="1"/>
  <c r="BS67" i="41"/>
  <c r="BS74" i="41" s="1"/>
  <c r="BR67" i="41"/>
  <c r="BR74" i="41" s="1"/>
  <c r="BQ67" i="41"/>
  <c r="BQ74" i="41" s="1"/>
  <c r="BP67" i="41"/>
  <c r="BP74" i="41" s="1"/>
  <c r="BO67" i="41"/>
  <c r="BO74" i="41" s="1"/>
  <c r="BN67" i="41"/>
  <c r="BN74" i="41" s="1"/>
  <c r="BM67" i="41"/>
  <c r="BM74" i="41" s="1"/>
  <c r="BL67" i="41"/>
  <c r="BK67" i="41"/>
  <c r="BJ67" i="41"/>
  <c r="BJ74" i="41" s="1"/>
  <c r="BI67" i="41"/>
  <c r="BI74" i="41" s="1"/>
  <c r="BH67" i="41"/>
  <c r="BH74" i="41" s="1"/>
  <c r="BG67" i="41"/>
  <c r="BG74" i="41" s="1"/>
  <c r="BF67" i="41"/>
  <c r="BF74" i="41" s="1"/>
  <c r="BE67" i="41"/>
  <c r="BE74" i="41" s="1"/>
  <c r="BD67" i="41"/>
  <c r="BC67" i="41"/>
  <c r="BB67" i="41"/>
  <c r="BB74" i="41" s="1"/>
  <c r="BA67" i="41"/>
  <c r="BA74" i="41" s="1"/>
  <c r="AZ67" i="41"/>
  <c r="AZ74" i="41" s="1"/>
  <c r="AI67" i="41"/>
  <c r="AH67" i="41"/>
  <c r="BW66" i="41"/>
  <c r="BW73" i="41" s="1"/>
  <c r="BV66" i="41"/>
  <c r="BV73" i="41" s="1"/>
  <c r="BU66" i="41"/>
  <c r="BU73" i="41" s="1"/>
  <c r="BT66" i="41"/>
  <c r="BT73" i="41" s="1"/>
  <c r="BS66" i="41"/>
  <c r="BS73" i="41" s="1"/>
  <c r="BR66" i="41"/>
  <c r="BR73" i="41" s="1"/>
  <c r="BQ66" i="41"/>
  <c r="BQ73" i="41" s="1"/>
  <c r="BP66" i="41"/>
  <c r="BP73" i="41" s="1"/>
  <c r="BO66" i="41"/>
  <c r="BO73" i="41" s="1"/>
  <c r="BN66" i="41"/>
  <c r="BN73" i="41" s="1"/>
  <c r="BM66" i="41"/>
  <c r="BM73" i="41" s="1"/>
  <c r="BL66" i="41"/>
  <c r="BL73" i="41" s="1"/>
  <c r="BK66" i="41"/>
  <c r="BK73" i="41" s="1"/>
  <c r="BJ66" i="41"/>
  <c r="BJ73" i="41" s="1"/>
  <c r="BI66" i="41"/>
  <c r="BI73" i="41" s="1"/>
  <c r="BH66" i="41"/>
  <c r="BH73" i="41" s="1"/>
  <c r="BG66" i="41"/>
  <c r="BG73" i="41" s="1"/>
  <c r="BF66" i="41"/>
  <c r="BF73" i="41" s="1"/>
  <c r="BE66" i="41"/>
  <c r="BE73" i="41" s="1"/>
  <c r="BD66" i="41"/>
  <c r="BD73" i="41" s="1"/>
  <c r="BC66" i="41"/>
  <c r="BC73" i="41" s="1"/>
  <c r="BB66" i="41"/>
  <c r="BB73" i="41" s="1"/>
  <c r="BA66" i="41"/>
  <c r="BA73" i="41" s="1"/>
  <c r="AZ66" i="41"/>
  <c r="AZ73" i="41" s="1"/>
  <c r="AI66" i="41"/>
  <c r="AH66" i="41"/>
  <c r="AG65" i="41"/>
  <c r="AD65" i="41"/>
  <c r="AC65" i="41"/>
  <c r="AB65" i="41"/>
  <c r="BG17" i="41" s="1"/>
  <c r="AA65" i="41"/>
  <c r="Z65" i="41"/>
  <c r="BF17" i="41" s="1"/>
  <c r="Y65" i="41"/>
  <c r="X65" i="41"/>
  <c r="W65" i="41"/>
  <c r="V65" i="41"/>
  <c r="U65" i="41"/>
  <c r="T65" i="41"/>
  <c r="BB17" i="41" s="1"/>
  <c r="S65" i="41"/>
  <c r="R65" i="41"/>
  <c r="AZ17" i="41" s="1"/>
  <c r="Q65" i="41"/>
  <c r="AY17" i="41" s="1"/>
  <c r="P65" i="41"/>
  <c r="AX17" i="41" s="1"/>
  <c r="O65" i="41"/>
  <c r="AW17" i="41" s="1"/>
  <c r="N65" i="41"/>
  <c r="M65" i="41"/>
  <c r="L65" i="41"/>
  <c r="K65" i="41"/>
  <c r="AT17" i="41" s="1"/>
  <c r="J65" i="41"/>
  <c r="I65" i="41"/>
  <c r="H65" i="41"/>
  <c r="G65" i="41"/>
  <c r="AR17" i="41" s="1"/>
  <c r="F65" i="41"/>
  <c r="AQ17" i="41" s="1"/>
  <c r="E65" i="41"/>
  <c r="AM17" i="41"/>
  <c r="AI64" i="41"/>
  <c r="AH64" i="41"/>
  <c r="AI63" i="41"/>
  <c r="AH63" i="41"/>
  <c r="AI62" i="41"/>
  <c r="AH62" i="41"/>
  <c r="AG61" i="41"/>
  <c r="AG100" i="41" s="1"/>
  <c r="AF7" i="41"/>
  <c r="AD61" i="41"/>
  <c r="AC61" i="41"/>
  <c r="AB61" i="41"/>
  <c r="BG16" i="41" s="1"/>
  <c r="AA61" i="41"/>
  <c r="Z61" i="41"/>
  <c r="Y61" i="41"/>
  <c r="X61" i="41"/>
  <c r="W61" i="41"/>
  <c r="V61" i="41"/>
  <c r="U61" i="41"/>
  <c r="T61" i="41"/>
  <c r="S61" i="41"/>
  <c r="BA16" i="41" s="1"/>
  <c r="R61" i="41"/>
  <c r="Q61" i="41"/>
  <c r="P61" i="41"/>
  <c r="O61" i="41"/>
  <c r="N61" i="41"/>
  <c r="M61" i="41"/>
  <c r="L61" i="41"/>
  <c r="K61" i="41"/>
  <c r="K100" i="41" s="1"/>
  <c r="K102" i="41" s="1"/>
  <c r="K103" i="41" s="1"/>
  <c r="K7" i="41" s="1"/>
  <c r="J61" i="41"/>
  <c r="I61" i="41"/>
  <c r="H61" i="41"/>
  <c r="G61" i="41"/>
  <c r="F61" i="41"/>
  <c r="E61" i="41"/>
  <c r="C7" i="41"/>
  <c r="AI60" i="41"/>
  <c r="AH60" i="41"/>
  <c r="AI59" i="41"/>
  <c r="AH59" i="41"/>
  <c r="AI58" i="41"/>
  <c r="AH58" i="41"/>
  <c r="AI57" i="41"/>
  <c r="AH57" i="41"/>
  <c r="AI56" i="41"/>
  <c r="AH56" i="41"/>
  <c r="AI55" i="41"/>
  <c r="AH55" i="41"/>
  <c r="AI54" i="41"/>
  <c r="AH54" i="41"/>
  <c r="AI53" i="41"/>
  <c r="AH53" i="41"/>
  <c r="AI52" i="41"/>
  <c r="AH52" i="41"/>
  <c r="AI51" i="41"/>
  <c r="AH51" i="41"/>
  <c r="AI50" i="41"/>
  <c r="AH50" i="41"/>
  <c r="AI49" i="41"/>
  <c r="AH49" i="41"/>
  <c r="AI48" i="41"/>
  <c r="AH48" i="41"/>
  <c r="AI47" i="41"/>
  <c r="AH47" i="41"/>
  <c r="AI46" i="41"/>
  <c r="AH46" i="41"/>
  <c r="AI45" i="41"/>
  <c r="AH45" i="41"/>
  <c r="AI44" i="41"/>
  <c r="AH44" i="41"/>
  <c r="AI43" i="41"/>
  <c r="AH43" i="41"/>
  <c r="AI42" i="41"/>
  <c r="AH42" i="41"/>
  <c r="AI41" i="41"/>
  <c r="AH41" i="41"/>
  <c r="AI40" i="41"/>
  <c r="AH40" i="41"/>
  <c r="AI39" i="41"/>
  <c r="AH39" i="41"/>
  <c r="AI38" i="41"/>
  <c r="AH38" i="41"/>
  <c r="AI37" i="41"/>
  <c r="AH37" i="41"/>
  <c r="AI36" i="41"/>
  <c r="AH36" i="41"/>
  <c r="AI35" i="41"/>
  <c r="AH35" i="41"/>
  <c r="AI34" i="41"/>
  <c r="AH34" i="41"/>
  <c r="AI33" i="41"/>
  <c r="AH33" i="41"/>
  <c r="AI32" i="41"/>
  <c r="AH32" i="41"/>
  <c r="AI31" i="41"/>
  <c r="AH31" i="41"/>
  <c r="AI30" i="41"/>
  <c r="AH30" i="41"/>
  <c r="AI29" i="41"/>
  <c r="AH29" i="41"/>
  <c r="AI28" i="41"/>
  <c r="AH28" i="41"/>
  <c r="AI27" i="41"/>
  <c r="AH27" i="41"/>
  <c r="AI26" i="41"/>
  <c r="AH26" i="41"/>
  <c r="AI25" i="41"/>
  <c r="AH25" i="41"/>
  <c r="AI24" i="41"/>
  <c r="AH24" i="41"/>
  <c r="BC23" i="41"/>
  <c r="AQ23" i="41"/>
  <c r="AO23" i="41"/>
  <c r="AN23" i="41"/>
  <c r="AM23" i="41"/>
  <c r="AI23" i="41"/>
  <c r="AH23" i="41"/>
  <c r="AI22" i="41"/>
  <c r="AH22" i="41"/>
  <c r="BJ21" i="41"/>
  <c r="BI21" i="41"/>
  <c r="BH21" i="41"/>
  <c r="BG21" i="41"/>
  <c r="BF21" i="41"/>
  <c r="BE21" i="41"/>
  <c r="BD21" i="41"/>
  <c r="BC21" i="41"/>
  <c r="BB21" i="41"/>
  <c r="BA21" i="41"/>
  <c r="AZ21" i="41"/>
  <c r="AY21" i="41"/>
  <c r="AX21" i="41"/>
  <c r="AW21" i="41"/>
  <c r="AV21" i="41"/>
  <c r="AU21" i="41"/>
  <c r="AT21" i="41"/>
  <c r="AS21" i="41"/>
  <c r="AR21" i="41"/>
  <c r="AQ21" i="41"/>
  <c r="AP21" i="41"/>
  <c r="AO21" i="41"/>
  <c r="AN21" i="41"/>
  <c r="AM21" i="41"/>
  <c r="AI21" i="41"/>
  <c r="AH21" i="41"/>
  <c r="BJ20" i="41"/>
  <c r="BI20" i="41"/>
  <c r="BH20" i="41"/>
  <c r="BF20" i="41"/>
  <c r="BE20" i="41"/>
  <c r="BD20" i="41"/>
  <c r="BC20" i="41"/>
  <c r="AY20" i="41"/>
  <c r="AX20" i="41"/>
  <c r="AW20" i="41"/>
  <c r="AV20" i="41"/>
  <c r="AS20" i="41"/>
  <c r="AR20" i="41"/>
  <c r="AQ20" i="41"/>
  <c r="AP20" i="41"/>
  <c r="AN20" i="41"/>
  <c r="AM20" i="41"/>
  <c r="AI20" i="41"/>
  <c r="AH20" i="41"/>
  <c r="BJ19" i="41"/>
  <c r="BI19" i="41"/>
  <c r="AU19" i="41"/>
  <c r="AO19" i="41"/>
  <c r="AN19" i="41"/>
  <c r="AM19" i="41"/>
  <c r="AI19" i="41"/>
  <c r="AH19" i="41"/>
  <c r="BJ18" i="41"/>
  <c r="BI18" i="41"/>
  <c r="BH18" i="41"/>
  <c r="BF18" i="41"/>
  <c r="BE18" i="41"/>
  <c r="BD18" i="41"/>
  <c r="BC18" i="41"/>
  <c r="BB18" i="41"/>
  <c r="BA18" i="41"/>
  <c r="AT18" i="41"/>
  <c r="AS18" i="41"/>
  <c r="AQ18" i="41"/>
  <c r="AP18" i="41"/>
  <c r="AO18" i="41"/>
  <c r="AN18" i="41"/>
  <c r="AM18" i="41"/>
  <c r="AI18" i="41"/>
  <c r="AH18" i="41"/>
  <c r="BJ17" i="41"/>
  <c r="BI17" i="41"/>
  <c r="BH17" i="41"/>
  <c r="BE17" i="41"/>
  <c r="BD17" i="41"/>
  <c r="BC17" i="41"/>
  <c r="BA17" i="41"/>
  <c r="AV17" i="41"/>
  <c r="AU17" i="41"/>
  <c r="AS17" i="41"/>
  <c r="AP17" i="41"/>
  <c r="AO17" i="41"/>
  <c r="AN17" i="41"/>
  <c r="AI17" i="41"/>
  <c r="AH17" i="41"/>
  <c r="BJ16" i="41"/>
  <c r="BI16" i="41"/>
  <c r="BH16" i="41"/>
  <c r="BC16" i="41"/>
  <c r="BB16" i="41"/>
  <c r="AX16" i="41"/>
  <c r="AW16" i="41"/>
  <c r="AT16" i="41"/>
  <c r="AR16" i="41"/>
  <c r="AP16" i="41"/>
  <c r="AO16" i="41"/>
  <c r="AN16" i="41"/>
  <c r="AM16" i="41"/>
  <c r="AI16" i="41"/>
  <c r="AH16" i="41"/>
  <c r="AI15" i="41"/>
  <c r="AH15" i="41"/>
  <c r="AI14" i="41"/>
  <c r="AH14" i="41"/>
  <c r="AI13" i="41"/>
  <c r="AH13" i="41"/>
  <c r="AL12" i="41"/>
  <c r="AI12" i="41"/>
  <c r="AH12" i="41"/>
  <c r="AI11" i="41"/>
  <c r="AH11" i="41"/>
  <c r="AF5" i="41"/>
  <c r="AE5" i="41"/>
  <c r="AD5" i="41"/>
  <c r="T5" i="41"/>
  <c r="L5" i="41"/>
  <c r="J5" i="41"/>
  <c r="F5" i="41"/>
  <c r="D5" i="41"/>
  <c r="C5" i="41"/>
  <c r="B5" i="41"/>
  <c r="AG4" i="41"/>
  <c r="K4" i="41"/>
  <c r="E4" i="41"/>
  <c r="H4" i="41" s="1"/>
  <c r="B4" i="41"/>
  <c r="D261" i="41" s="1"/>
  <c r="AG2" i="41"/>
  <c r="AG6" i="41" s="1"/>
  <c r="BI22" i="41" l="1"/>
  <c r="BJ22" i="41"/>
  <c r="BJ24" i="41" s="1"/>
  <c r="AC5" i="41"/>
  <c r="BH19" i="41"/>
  <c r="BH22" i="41" s="1"/>
  <c r="BH24" i="41" s="1"/>
  <c r="AD100" i="41"/>
  <c r="AD102" i="41" s="1"/>
  <c r="AD103" i="41" s="1"/>
  <c r="AD7" i="41" s="1"/>
  <c r="AC110" i="41"/>
  <c r="AC111" i="41"/>
  <c r="AB5" i="41"/>
  <c r="AC100" i="41"/>
  <c r="AC102" i="41" s="1"/>
  <c r="AC103" i="41" s="1"/>
  <c r="AC7" i="41" s="1"/>
  <c r="BG19" i="41"/>
  <c r="AA5" i="41"/>
  <c r="AB110" i="41"/>
  <c r="BG23" i="41" s="1"/>
  <c r="BG22" i="41"/>
  <c r="AA111" i="41"/>
  <c r="Z5" i="41"/>
  <c r="Y5" i="41"/>
  <c r="Z110" i="41"/>
  <c r="BF23" i="41" s="1"/>
  <c r="Z100" i="41"/>
  <c r="Z102" i="41" s="1"/>
  <c r="Z103" i="41" s="1"/>
  <c r="Z7" i="41" s="1"/>
  <c r="Y100" i="41"/>
  <c r="Y102" i="41" s="1"/>
  <c r="BE19" i="41"/>
  <c r="X100" i="41"/>
  <c r="X102" i="41" s="1"/>
  <c r="X103" i="41" s="1"/>
  <c r="X7" i="41" s="1"/>
  <c r="BE16" i="41"/>
  <c r="BE22" i="41" s="1"/>
  <c r="BE24" i="41" s="1"/>
  <c r="W100" i="41"/>
  <c r="W102" i="41" s="1"/>
  <c r="V110" i="41"/>
  <c r="BD23" i="41" s="1"/>
  <c r="V111" i="41"/>
  <c r="U5" i="41"/>
  <c r="V100" i="41"/>
  <c r="V102" i="41" s="1"/>
  <c r="V103" i="41" s="1"/>
  <c r="V7" i="41" s="1"/>
  <c r="BC19" i="41"/>
  <c r="U100" i="41"/>
  <c r="U102" i="41" s="1"/>
  <c r="U103" i="41" s="1"/>
  <c r="U7" i="41" s="1"/>
  <c r="BC22" i="41"/>
  <c r="BC24" i="41" s="1"/>
  <c r="S5" i="41"/>
  <c r="T110" i="41"/>
  <c r="BB23" i="41" s="1"/>
  <c r="BB22" i="41"/>
  <c r="BA19" i="41"/>
  <c r="S111" i="41"/>
  <c r="BA22" i="41"/>
  <c r="BA24" i="41" s="1"/>
  <c r="R110" i="41"/>
  <c r="AZ23" i="41" s="1"/>
  <c r="R111" i="41"/>
  <c r="Q5" i="41"/>
  <c r="R100" i="41"/>
  <c r="R102" i="41" s="1"/>
  <c r="R103" i="41" s="1"/>
  <c r="R7" i="41" s="1"/>
  <c r="AY19" i="41"/>
  <c r="Q100" i="41"/>
  <c r="Q102" i="41" s="1"/>
  <c r="AY16" i="41"/>
  <c r="AY22" i="41"/>
  <c r="P110" i="41"/>
  <c r="AX23" i="41" s="1"/>
  <c r="AX19" i="41"/>
  <c r="P100" i="41"/>
  <c r="P102" i="41" s="1"/>
  <c r="P103" i="41" s="1"/>
  <c r="P7" i="41" s="1"/>
  <c r="AX22" i="41"/>
  <c r="AX24" i="41" s="1"/>
  <c r="AW19" i="41"/>
  <c r="AW22" i="41"/>
  <c r="O100" i="41"/>
  <c r="O102" i="41" s="1"/>
  <c r="N110" i="41"/>
  <c r="AV23" i="41" s="1"/>
  <c r="AH109" i="41"/>
  <c r="AV19" i="41"/>
  <c r="M5" i="41"/>
  <c r="N100" i="41"/>
  <c r="N102" i="41" s="1"/>
  <c r="N103" i="41" s="1"/>
  <c r="N7" i="41" s="1"/>
  <c r="M110" i="41"/>
  <c r="AU23" i="41" s="1"/>
  <c r="M100" i="41"/>
  <c r="M102" i="41" s="1"/>
  <c r="M103" i="41" s="1"/>
  <c r="M7" i="41" s="1"/>
  <c r="AU16" i="41"/>
  <c r="AU22" i="41" s="1"/>
  <c r="AU24" i="41" s="1"/>
  <c r="L110" i="41"/>
  <c r="L111" i="41" s="1"/>
  <c r="AT22" i="41"/>
  <c r="AT24" i="41" s="1"/>
  <c r="J110" i="41"/>
  <c r="J111" i="41"/>
  <c r="J100" i="41"/>
  <c r="J102" i="41" s="1"/>
  <c r="J103" i="41" s="1"/>
  <c r="J7" i="41" s="1"/>
  <c r="AS19" i="41"/>
  <c r="I100" i="41"/>
  <c r="I102" i="41" s="1"/>
  <c r="AS16" i="41"/>
  <c r="AS22" i="41" s="1"/>
  <c r="H110" i="41"/>
  <c r="H100" i="41"/>
  <c r="H102" i="41" s="1"/>
  <c r="H103" i="41" s="1"/>
  <c r="H7" i="41" s="1"/>
  <c r="AI83" i="41"/>
  <c r="AR22" i="41"/>
  <c r="AR24" i="41" s="1"/>
  <c r="G100" i="41"/>
  <c r="G102" i="41" s="1"/>
  <c r="G103" i="41" s="1"/>
  <c r="G7" i="41" s="1"/>
  <c r="F100" i="41"/>
  <c r="F102" i="41" s="1"/>
  <c r="F103" i="41" s="1"/>
  <c r="F7" i="41" s="1"/>
  <c r="E5" i="41"/>
  <c r="AQ19" i="41"/>
  <c r="AH79" i="41"/>
  <c r="AQ16" i="41"/>
  <c r="AQ22" i="41" s="1"/>
  <c r="AQ24" i="41" s="1"/>
  <c r="AN22" i="41"/>
  <c r="AN24" i="41" s="1"/>
  <c r="E111" i="41"/>
  <c r="E100" i="41"/>
  <c r="E102" i="41" s="1"/>
  <c r="E103" i="41" s="1"/>
  <c r="E7" i="41" s="1"/>
  <c r="AP19" i="41"/>
  <c r="AP22" i="41"/>
  <c r="AP24" i="41" s="1"/>
  <c r="AO22" i="41"/>
  <c r="AO24" i="41" s="1"/>
  <c r="AM22" i="41"/>
  <c r="AH65" i="41"/>
  <c r="G110" i="41"/>
  <c r="AR23" i="41" s="1"/>
  <c r="O110" i="41"/>
  <c r="AW23" i="41" s="1"/>
  <c r="W110" i="41"/>
  <c r="W103" i="41" s="1"/>
  <c r="W7" i="41" s="1"/>
  <c r="BI23" i="41"/>
  <c r="BI24" i="41" s="1"/>
  <c r="AL13" i="41"/>
  <c r="AV16" i="41"/>
  <c r="AV22" i="41" s="1"/>
  <c r="BD16" i="41"/>
  <c r="BD22" i="41" s="1"/>
  <c r="BD24" i="41" s="1"/>
  <c r="S100" i="41"/>
  <c r="S102" i="41" s="1"/>
  <c r="S103" i="41" s="1"/>
  <c r="S7" i="41" s="1"/>
  <c r="AA100" i="41"/>
  <c r="AA102" i="41" s="1"/>
  <c r="AA103" i="41" s="1"/>
  <c r="AA7" i="41" s="1"/>
  <c r="AI61" i="41"/>
  <c r="AI65" i="41"/>
  <c r="I110" i="41"/>
  <c r="AS23" i="41" s="1"/>
  <c r="Q110" i="41"/>
  <c r="AY23" i="41" s="1"/>
  <c r="Y110" i="41"/>
  <c r="Y111" i="41" s="1"/>
  <c r="AH104" i="41"/>
  <c r="D7" i="41"/>
  <c r="L100" i="41"/>
  <c r="L102" i="41" s="1"/>
  <c r="L103" i="41" s="1"/>
  <c r="L7" i="41" s="1"/>
  <c r="T100" i="41"/>
  <c r="T102" i="41" s="1"/>
  <c r="AB100" i="41"/>
  <c r="AB102" i="41" s="1"/>
  <c r="AB103" i="41" s="1"/>
  <c r="AB7" i="41" s="1"/>
  <c r="G111" i="41"/>
  <c r="AI104" i="41"/>
  <c r="BF16" i="41"/>
  <c r="BF22" i="41" s="1"/>
  <c r="BF24" i="41" s="1"/>
  <c r="H111" i="41"/>
  <c r="P111" i="41"/>
  <c r="X111" i="41"/>
  <c r="AI105" i="41"/>
  <c r="AI106" i="41"/>
  <c r="BG82" i="41" a="1"/>
  <c r="AI79" i="41"/>
  <c r="I111" i="41"/>
  <c r="Q111" i="41"/>
  <c r="AG102" i="41"/>
  <c r="AH106" i="41"/>
  <c r="AZ16" i="41"/>
  <c r="AZ22" i="41" s="1"/>
  <c r="AZ24" i="41" s="1"/>
  <c r="AH95" i="41"/>
  <c r="AI95" i="41"/>
  <c r="D255" i="41"/>
  <c r="E249" i="41"/>
  <c r="AH61" i="41"/>
  <c r="AH83" i="41"/>
  <c r="K111" i="41"/>
  <c r="AI109" i="41"/>
  <c r="AH107" i="41"/>
  <c r="BG24" i="41" l="1"/>
  <c r="AB111" i="41"/>
  <c r="Z111" i="41"/>
  <c r="W111" i="41"/>
  <c r="BB24" i="41"/>
  <c r="T103" i="41"/>
  <c r="T7" i="41" s="1"/>
  <c r="T111" i="41"/>
  <c r="AW24" i="41"/>
  <c r="AY24" i="41"/>
  <c r="O111" i="41"/>
  <c r="O103" i="41"/>
  <c r="O7" i="41" s="1"/>
  <c r="AV24" i="41"/>
  <c r="N111" i="41"/>
  <c r="M111" i="41"/>
  <c r="AS24" i="41"/>
  <c r="B259" i="41"/>
  <c r="C259" i="41"/>
  <c r="AI100" i="41"/>
  <c r="AM24" i="41"/>
  <c r="AT8" i="41"/>
  <c r="F249" i="41"/>
  <c r="E255" i="41"/>
  <c r="E121" i="41"/>
  <c r="I103" i="41"/>
  <c r="I7" i="41" s="1"/>
  <c r="Q103" i="41"/>
  <c r="Q7" i="41" s="1"/>
  <c r="Y103" i="41"/>
  <c r="Y7" i="41" s="1"/>
  <c r="AH110" i="41"/>
  <c r="AI110" i="41"/>
  <c r="BK105" i="41"/>
  <c r="BI104" i="41"/>
  <c r="BG103" i="41"/>
  <c r="BK101" i="41"/>
  <c r="BI100" i="41"/>
  <c r="BG99" i="41"/>
  <c r="BK97" i="41"/>
  <c r="BI96" i="41"/>
  <c r="BG95" i="41"/>
  <c r="BK93" i="41"/>
  <c r="BI92" i="41"/>
  <c r="BG91" i="41"/>
  <c r="BK89" i="41"/>
  <c r="BI88" i="41"/>
  <c r="BG87" i="41"/>
  <c r="BK85" i="41"/>
  <c r="BI84" i="41"/>
  <c r="BG83" i="41"/>
  <c r="BJ105" i="41"/>
  <c r="BH104" i="41"/>
  <c r="BL102" i="41"/>
  <c r="BJ101" i="41"/>
  <c r="BH100" i="41"/>
  <c r="BL98" i="41"/>
  <c r="BJ97" i="41"/>
  <c r="BH96" i="41"/>
  <c r="BL94" i="41"/>
  <c r="BJ93" i="41"/>
  <c r="BH92" i="41"/>
  <c r="BL90" i="41"/>
  <c r="BJ89" i="41"/>
  <c r="BH88" i="41"/>
  <c r="BL86" i="41"/>
  <c r="BJ85" i="41"/>
  <c r="BH84" i="41"/>
  <c r="BL82" i="41"/>
  <c r="BI105" i="41"/>
  <c r="BG104" i="41"/>
  <c r="BK102" i="41"/>
  <c r="BI101" i="41"/>
  <c r="BG100" i="41"/>
  <c r="BK98" i="41"/>
  <c r="BI97" i="41"/>
  <c r="BG96" i="41"/>
  <c r="BK94" i="41"/>
  <c r="BI93" i="41"/>
  <c r="BG92" i="41"/>
  <c r="BK90" i="41"/>
  <c r="BI89" i="41"/>
  <c r="BG88" i="41"/>
  <c r="BK86" i="41"/>
  <c r="BI85" i="41"/>
  <c r="BG84" i="41"/>
  <c r="BK82" i="41"/>
  <c r="BH105" i="41"/>
  <c r="BL103" i="41"/>
  <c r="BJ102" i="41"/>
  <c r="BH101" i="41"/>
  <c r="BL99" i="41"/>
  <c r="BJ98" i="41"/>
  <c r="BH97" i="41"/>
  <c r="BL95" i="41"/>
  <c r="BJ94" i="41"/>
  <c r="BH93" i="41"/>
  <c r="BL91" i="41"/>
  <c r="BJ90" i="41"/>
  <c r="BH89" i="41"/>
  <c r="BL87" i="41"/>
  <c r="BJ86" i="41"/>
  <c r="BH85" i="41"/>
  <c r="BL83" i="41"/>
  <c r="BJ82" i="41"/>
  <c r="BK104" i="41"/>
  <c r="BI103" i="41"/>
  <c r="BG102" i="41"/>
  <c r="BK100" i="41"/>
  <c r="BI99" i="41"/>
  <c r="BG98" i="41"/>
  <c r="BK96" i="41"/>
  <c r="BI95" i="41"/>
  <c r="BG94" i="41"/>
  <c r="BK92" i="41"/>
  <c r="BI91" i="41"/>
  <c r="BG90" i="41"/>
  <c r="BK88" i="41"/>
  <c r="BI87" i="41"/>
  <c r="BG86" i="41"/>
  <c r="BK84" i="41"/>
  <c r="BI83" i="41"/>
  <c r="BG82" i="41"/>
  <c r="BL105" i="41"/>
  <c r="BJ104" i="41"/>
  <c r="BH103" i="41"/>
  <c r="BL101" i="41"/>
  <c r="BJ100" i="41"/>
  <c r="BH99" i="41"/>
  <c r="BL97" i="41"/>
  <c r="BJ96" i="41"/>
  <c r="BH95" i="41"/>
  <c r="BL93" i="41"/>
  <c r="BJ92" i="41"/>
  <c r="BH91" i="41"/>
  <c r="BL89" i="41"/>
  <c r="BJ88" i="41"/>
  <c r="BH87" i="41"/>
  <c r="BL85" i="41"/>
  <c r="BJ84" i="41"/>
  <c r="BH83" i="41"/>
  <c r="BL100" i="41"/>
  <c r="BJ95" i="41"/>
  <c r="BH90" i="41"/>
  <c r="BL84" i="41"/>
  <c r="BH102" i="41"/>
  <c r="BG105" i="41"/>
  <c r="BK99" i="41"/>
  <c r="BI94" i="41"/>
  <c r="BG89" i="41"/>
  <c r="BK83" i="41"/>
  <c r="BJ91" i="41"/>
  <c r="BL104" i="41"/>
  <c r="BJ99" i="41"/>
  <c r="BH94" i="41"/>
  <c r="BL88" i="41"/>
  <c r="BJ83" i="41"/>
  <c r="BK103" i="41"/>
  <c r="BI98" i="41"/>
  <c r="BG93" i="41"/>
  <c r="BK87" i="41"/>
  <c r="BI82" i="41"/>
  <c r="BJ103" i="41"/>
  <c r="BH98" i="41"/>
  <c r="BL92" i="41"/>
  <c r="BJ87" i="41"/>
  <c r="BH82" i="41"/>
  <c r="BI102" i="41"/>
  <c r="BG97" i="41"/>
  <c r="BK91" i="41"/>
  <c r="BI86" i="41"/>
  <c r="BL96" i="41"/>
  <c r="BH86" i="41"/>
  <c r="BG101" i="41"/>
  <c r="BK95" i="41"/>
  <c r="BI90" i="41"/>
  <c r="BG85" i="41"/>
  <c r="AI102" i="41"/>
  <c r="AH102" i="41"/>
  <c r="AE7" i="41"/>
  <c r="AH100" i="41"/>
  <c r="AI111" i="41" l="1"/>
  <c r="AT9" i="41"/>
  <c r="K6" i="41"/>
  <c r="AH111" i="41"/>
  <c r="AH103" i="41"/>
  <c r="AI103" i="41"/>
  <c r="B7" i="41"/>
  <c r="A7" i="41" s="1"/>
  <c r="G249" i="41"/>
  <c r="F255" i="41"/>
  <c r="F121" i="41"/>
  <c r="AB145" i="40"/>
  <c r="H249" i="41" l="1"/>
  <c r="G255" i="41"/>
  <c r="G121" i="41"/>
  <c r="I249" i="41" l="1"/>
  <c r="H255" i="41"/>
  <c r="H121" i="41"/>
  <c r="I255" i="41" l="1"/>
  <c r="I121" i="41"/>
  <c r="J249" i="41"/>
  <c r="J255" i="41" l="1"/>
  <c r="J121" i="41"/>
  <c r="K249" i="41"/>
  <c r="K255" i="41" l="1"/>
  <c r="K121" i="41"/>
  <c r="L249" i="41"/>
  <c r="L255" i="41" l="1"/>
  <c r="L121" i="41"/>
  <c r="M249" i="41"/>
  <c r="N249" i="41" l="1"/>
  <c r="M255" i="41"/>
  <c r="M121" i="41"/>
  <c r="O249" i="41" l="1"/>
  <c r="N255" i="41"/>
  <c r="N121" i="41"/>
  <c r="P249" i="41" l="1"/>
  <c r="O255" i="41"/>
  <c r="O121" i="41"/>
  <c r="Q249" i="41" l="1"/>
  <c r="P255" i="41"/>
  <c r="Q255" i="41" l="1"/>
  <c r="Q121" i="41"/>
  <c r="R249" i="41"/>
  <c r="R255" i="41" l="1"/>
  <c r="R121" i="41"/>
  <c r="S249" i="41"/>
  <c r="S255" i="41" l="1"/>
  <c r="S121" i="41"/>
  <c r="T249" i="41"/>
  <c r="T255" i="41" l="1"/>
  <c r="T121" i="41"/>
  <c r="U249" i="41"/>
  <c r="Z124" i="40"/>
  <c r="Z60" i="40"/>
  <c r="Y124" i="40"/>
  <c r="Y60" i="40"/>
  <c r="X124" i="40"/>
  <c r="X60" i="40"/>
  <c r="W124" i="40"/>
  <c r="W60" i="40"/>
  <c r="V124" i="40"/>
  <c r="V60" i="40"/>
  <c r="U121" i="41" l="1"/>
  <c r="V249" i="41"/>
  <c r="U255" i="41"/>
  <c r="U124" i="40"/>
  <c r="U60" i="40"/>
  <c r="T124" i="40"/>
  <c r="T60" i="40"/>
  <c r="S124" i="40"/>
  <c r="S60" i="40"/>
  <c r="R124" i="40"/>
  <c r="R60" i="40"/>
  <c r="R61" i="40"/>
  <c r="R65" i="40"/>
  <c r="R79" i="40"/>
  <c r="R83" i="40"/>
  <c r="W249" i="41" l="1"/>
  <c r="V255" i="41"/>
  <c r="V121" i="41"/>
  <c r="B121" i="40"/>
  <c r="B109" i="40"/>
  <c r="B108" i="40"/>
  <c r="B107" i="40"/>
  <c r="B106" i="40"/>
  <c r="B105" i="40"/>
  <c r="B104" i="40"/>
  <c r="B110" i="40" s="1"/>
  <c r="B95" i="40"/>
  <c r="AF5" i="40" s="1"/>
  <c r="B83" i="40"/>
  <c r="AM20" i="40" s="1"/>
  <c r="B79" i="40"/>
  <c r="B65" i="40"/>
  <c r="B61" i="40"/>
  <c r="AG255" i="40"/>
  <c r="C255" i="40"/>
  <c r="D254" i="40"/>
  <c r="J253" i="40"/>
  <c r="K253" i="40" s="1"/>
  <c r="L253" i="40" s="1"/>
  <c r="M253" i="40" s="1"/>
  <c r="N253" i="40" s="1"/>
  <c r="O253" i="40" s="1"/>
  <c r="P253" i="40" s="1"/>
  <c r="Q253" i="40" s="1"/>
  <c r="R253" i="40" s="1"/>
  <c r="S253" i="40" s="1"/>
  <c r="T253" i="40" s="1"/>
  <c r="U253" i="40" s="1"/>
  <c r="V253" i="40" s="1"/>
  <c r="W253" i="40" s="1"/>
  <c r="X253" i="40" s="1"/>
  <c r="Y253" i="40" s="1"/>
  <c r="Z253" i="40" s="1"/>
  <c r="AA253" i="40" s="1"/>
  <c r="AB253" i="40" s="1"/>
  <c r="AC253" i="40" s="1"/>
  <c r="AD253" i="40" s="1"/>
  <c r="AE253" i="40" s="1"/>
  <c r="AF253" i="40" s="1"/>
  <c r="B253" i="40" s="1"/>
  <c r="E253" i="40"/>
  <c r="F253" i="40" s="1"/>
  <c r="G253" i="40" s="1"/>
  <c r="H253" i="40" s="1"/>
  <c r="I253" i="40" s="1"/>
  <c r="D253" i="40"/>
  <c r="H252" i="40"/>
  <c r="I252" i="40" s="1"/>
  <c r="J252" i="40" s="1"/>
  <c r="K252" i="40" s="1"/>
  <c r="L252" i="40" s="1"/>
  <c r="M252" i="40" s="1"/>
  <c r="N252" i="40" s="1"/>
  <c r="O252" i="40" s="1"/>
  <c r="P252" i="40" s="1"/>
  <c r="Q252" i="40" s="1"/>
  <c r="R252" i="40" s="1"/>
  <c r="S252" i="40" s="1"/>
  <c r="T252" i="40" s="1"/>
  <c r="U252" i="40" s="1"/>
  <c r="V252" i="40" s="1"/>
  <c r="W252" i="40" s="1"/>
  <c r="X252" i="40" s="1"/>
  <c r="Y252" i="40" s="1"/>
  <c r="Z252" i="40" s="1"/>
  <c r="AA252" i="40" s="1"/>
  <c r="AB252" i="40" s="1"/>
  <c r="AC252" i="40" s="1"/>
  <c r="AD252" i="40" s="1"/>
  <c r="AE252" i="40" s="1"/>
  <c r="AF252" i="40" s="1"/>
  <c r="B252" i="40" s="1"/>
  <c r="D252" i="40"/>
  <c r="E252" i="40" s="1"/>
  <c r="F252" i="40" s="1"/>
  <c r="G252" i="40" s="1"/>
  <c r="F251" i="40"/>
  <c r="G251" i="40" s="1"/>
  <c r="H251" i="40" s="1"/>
  <c r="I251" i="40" s="1"/>
  <c r="J251" i="40" s="1"/>
  <c r="K251" i="40" s="1"/>
  <c r="L251" i="40" s="1"/>
  <c r="M251" i="40" s="1"/>
  <c r="N251" i="40" s="1"/>
  <c r="O251" i="40" s="1"/>
  <c r="P251" i="40" s="1"/>
  <c r="Q251" i="40" s="1"/>
  <c r="R251" i="40" s="1"/>
  <c r="S251" i="40" s="1"/>
  <c r="T251" i="40" s="1"/>
  <c r="U251" i="40" s="1"/>
  <c r="V251" i="40" s="1"/>
  <c r="W251" i="40" s="1"/>
  <c r="X251" i="40" s="1"/>
  <c r="Y251" i="40" s="1"/>
  <c r="Z251" i="40" s="1"/>
  <c r="AA251" i="40" s="1"/>
  <c r="AB251" i="40" s="1"/>
  <c r="AC251" i="40" s="1"/>
  <c r="AD251" i="40" s="1"/>
  <c r="AE251" i="40" s="1"/>
  <c r="AF251" i="40" s="1"/>
  <c r="B251" i="40" s="1"/>
  <c r="D251" i="40"/>
  <c r="E251" i="40" s="1"/>
  <c r="D250" i="40"/>
  <c r="E250" i="40" s="1"/>
  <c r="F250" i="40" s="1"/>
  <c r="G250" i="40" s="1"/>
  <c r="H250" i="40" s="1"/>
  <c r="I250" i="40" s="1"/>
  <c r="J250" i="40" s="1"/>
  <c r="K250" i="40" s="1"/>
  <c r="L250" i="40" s="1"/>
  <c r="M250" i="40" s="1"/>
  <c r="N250" i="40" s="1"/>
  <c r="O250" i="40" s="1"/>
  <c r="P250" i="40" s="1"/>
  <c r="Q250" i="40" s="1"/>
  <c r="R250" i="40" s="1"/>
  <c r="S250" i="40" s="1"/>
  <c r="T250" i="40" s="1"/>
  <c r="U250" i="40" s="1"/>
  <c r="V250" i="40" s="1"/>
  <c r="W250" i="40" s="1"/>
  <c r="X250" i="40" s="1"/>
  <c r="Y250" i="40" s="1"/>
  <c r="Z250" i="40" s="1"/>
  <c r="AA250" i="40" s="1"/>
  <c r="AB250" i="40" s="1"/>
  <c r="AC250" i="40" s="1"/>
  <c r="AD250" i="40" s="1"/>
  <c r="AE250" i="40" s="1"/>
  <c r="AF250" i="40" s="1"/>
  <c r="B250" i="40" s="1"/>
  <c r="E249" i="40"/>
  <c r="F249" i="40" s="1"/>
  <c r="D249" i="40"/>
  <c r="AG247" i="40"/>
  <c r="AF247" i="40"/>
  <c r="AE247" i="40"/>
  <c r="AD247" i="40"/>
  <c r="AC247" i="40"/>
  <c r="AB247" i="40"/>
  <c r="AA247" i="40"/>
  <c r="Z247" i="40"/>
  <c r="Y247" i="40"/>
  <c r="Y121" i="40" s="1"/>
  <c r="X247" i="40"/>
  <c r="W247" i="40"/>
  <c r="V247" i="40"/>
  <c r="U247" i="40"/>
  <c r="T247" i="40"/>
  <c r="S247" i="40"/>
  <c r="R247" i="40"/>
  <c r="Q247" i="40"/>
  <c r="P247" i="40"/>
  <c r="O247" i="40"/>
  <c r="N247" i="40"/>
  <c r="M247" i="40"/>
  <c r="L247" i="40"/>
  <c r="K247" i="40"/>
  <c r="J247" i="40"/>
  <c r="I247" i="40"/>
  <c r="H247" i="40"/>
  <c r="G247" i="40"/>
  <c r="F247" i="40"/>
  <c r="E247" i="40"/>
  <c r="D247" i="40"/>
  <c r="C247" i="40"/>
  <c r="B247" i="40"/>
  <c r="AI133" i="40"/>
  <c r="AH133" i="40"/>
  <c r="AI132" i="40"/>
  <c r="AH132" i="40"/>
  <c r="AI131" i="40"/>
  <c r="AH131" i="40"/>
  <c r="AI130" i="40"/>
  <c r="AH130" i="40"/>
  <c r="AI129" i="40"/>
  <c r="AH129" i="40"/>
  <c r="AI126" i="40"/>
  <c r="AH126" i="40"/>
  <c r="AI125" i="40"/>
  <c r="AH125" i="40"/>
  <c r="AI124" i="40"/>
  <c r="AH124" i="40"/>
  <c r="AI123" i="40"/>
  <c r="AH123" i="40"/>
  <c r="AI122" i="40"/>
  <c r="AH122" i="40"/>
  <c r="Z121" i="40"/>
  <c r="C121" i="40"/>
  <c r="AI120" i="40"/>
  <c r="AH120" i="40"/>
  <c r="AI119" i="40"/>
  <c r="AH119" i="40"/>
  <c r="AI118" i="40"/>
  <c r="AH118" i="40"/>
  <c r="AI117" i="40"/>
  <c r="AH117" i="40"/>
  <c r="AI116" i="40"/>
  <c r="AH116" i="40"/>
  <c r="AI115" i="40"/>
  <c r="AH115" i="40"/>
  <c r="AI114" i="40"/>
  <c r="AH114" i="40"/>
  <c r="AI113" i="40"/>
  <c r="AH113" i="40"/>
  <c r="AI112" i="40"/>
  <c r="AH112" i="40"/>
  <c r="Z109" i="40"/>
  <c r="Y109" i="40"/>
  <c r="X109" i="40"/>
  <c r="W109" i="40"/>
  <c r="V109" i="40"/>
  <c r="U109" i="40"/>
  <c r="T109" i="40"/>
  <c r="S109" i="40"/>
  <c r="R109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AH109" i="40"/>
  <c r="Z108" i="40"/>
  <c r="Y108" i="40"/>
  <c r="X108" i="40"/>
  <c r="W108" i="40"/>
  <c r="V108" i="40"/>
  <c r="U108" i="40"/>
  <c r="T108" i="40"/>
  <c r="S108" i="40"/>
  <c r="R108" i="40"/>
  <c r="Q108" i="40"/>
  <c r="P108" i="40"/>
  <c r="O108" i="40"/>
  <c r="N108" i="40"/>
  <c r="M108" i="40"/>
  <c r="L108" i="40"/>
  <c r="K108" i="40"/>
  <c r="J108" i="40"/>
  <c r="I108" i="40"/>
  <c r="H108" i="40"/>
  <c r="G108" i="40"/>
  <c r="F108" i="40"/>
  <c r="E108" i="40"/>
  <c r="D108" i="40"/>
  <c r="C108" i="40"/>
  <c r="AI108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L110" i="40" s="1"/>
  <c r="K107" i="40"/>
  <c r="J107" i="40"/>
  <c r="I107" i="40"/>
  <c r="H107" i="40"/>
  <c r="G107" i="40"/>
  <c r="F107" i="40"/>
  <c r="E107" i="40"/>
  <c r="D107" i="40"/>
  <c r="C107" i="40"/>
  <c r="Z106" i="40"/>
  <c r="Y106" i="40"/>
  <c r="X106" i="40"/>
  <c r="W106" i="40"/>
  <c r="V106" i="40"/>
  <c r="U106" i="40"/>
  <c r="U110" i="40" s="1"/>
  <c r="BC23" i="40" s="1"/>
  <c r="T106" i="40"/>
  <c r="S106" i="40"/>
  <c r="R106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Z105" i="40"/>
  <c r="Y105" i="40"/>
  <c r="X105" i="40"/>
  <c r="W105" i="40"/>
  <c r="V105" i="40"/>
  <c r="U105" i="40"/>
  <c r="T105" i="40"/>
  <c r="S105" i="40"/>
  <c r="R105" i="40"/>
  <c r="Q105" i="40"/>
  <c r="P105" i="40"/>
  <c r="O105" i="40"/>
  <c r="N105" i="40"/>
  <c r="M105" i="40"/>
  <c r="L105" i="40"/>
  <c r="K105" i="40"/>
  <c r="J105" i="40"/>
  <c r="I105" i="40"/>
  <c r="H105" i="40"/>
  <c r="G105" i="40"/>
  <c r="F105" i="40"/>
  <c r="F110" i="40" s="1"/>
  <c r="AQ23" i="40" s="1"/>
  <c r="E105" i="40"/>
  <c r="D105" i="40"/>
  <c r="C105" i="40"/>
  <c r="BJ23" i="40"/>
  <c r="Z104" i="40"/>
  <c r="Y104" i="40"/>
  <c r="X104" i="40"/>
  <c r="W104" i="40"/>
  <c r="V104" i="40"/>
  <c r="U104" i="40"/>
  <c r="T104" i="40"/>
  <c r="S104" i="40"/>
  <c r="R104" i="40"/>
  <c r="Q104" i="40"/>
  <c r="P104" i="40"/>
  <c r="P110" i="40" s="1"/>
  <c r="O104" i="40"/>
  <c r="N104" i="40"/>
  <c r="M104" i="40"/>
  <c r="L104" i="40"/>
  <c r="K104" i="40"/>
  <c r="K110" i="40" s="1"/>
  <c r="K111" i="40" s="1"/>
  <c r="J104" i="40"/>
  <c r="I104" i="40"/>
  <c r="H104" i="40"/>
  <c r="G104" i="40"/>
  <c r="F104" i="40"/>
  <c r="E104" i="40"/>
  <c r="D104" i="40"/>
  <c r="C104" i="40"/>
  <c r="C110" i="40" s="1"/>
  <c r="C111" i="40" s="1"/>
  <c r="AI101" i="40"/>
  <c r="AH101" i="40"/>
  <c r="AA7" i="40"/>
  <c r="AI99" i="40"/>
  <c r="AH99" i="40"/>
  <c r="AG99" i="40"/>
  <c r="AI98" i="40"/>
  <c r="AH98" i="40"/>
  <c r="AI97" i="40"/>
  <c r="AH97" i="40"/>
  <c r="AI96" i="40"/>
  <c r="AH96" i="40"/>
  <c r="AG95" i="40"/>
  <c r="Z95" i="40"/>
  <c r="BF19" i="40" s="1"/>
  <c r="Y95" i="40"/>
  <c r="X95" i="40"/>
  <c r="W5" i="40" s="1"/>
  <c r="W95" i="40"/>
  <c r="V95" i="40"/>
  <c r="U95" i="40"/>
  <c r="T5" i="40" s="1"/>
  <c r="T95" i="40"/>
  <c r="S95" i="40"/>
  <c r="BA19" i="40" s="1"/>
  <c r="R95" i="40"/>
  <c r="Q95" i="40"/>
  <c r="P95" i="40"/>
  <c r="O5" i="40" s="1"/>
  <c r="O95" i="40"/>
  <c r="N95" i="40"/>
  <c r="M95" i="40"/>
  <c r="L95" i="40"/>
  <c r="K95" i="40"/>
  <c r="J95" i="40"/>
  <c r="I5" i="40" s="1"/>
  <c r="I95" i="40"/>
  <c r="H95" i="40"/>
  <c r="G5" i="40" s="1"/>
  <c r="G95" i="40"/>
  <c r="F95" i="40"/>
  <c r="E95" i="40"/>
  <c r="AP19" i="40" s="1"/>
  <c r="D95" i="40"/>
  <c r="AO19" i="40" s="1"/>
  <c r="C95" i="40"/>
  <c r="AI94" i="40"/>
  <c r="AH94" i="40"/>
  <c r="AI93" i="40"/>
  <c r="AH93" i="40"/>
  <c r="AI92" i="40"/>
  <c r="AH92" i="40"/>
  <c r="AI91" i="40"/>
  <c r="AH91" i="40"/>
  <c r="AI90" i="40"/>
  <c r="AH90" i="40"/>
  <c r="AI89" i="40"/>
  <c r="AH89" i="40"/>
  <c r="AI88" i="40"/>
  <c r="AH88" i="40"/>
  <c r="AI87" i="40"/>
  <c r="AH87" i="40"/>
  <c r="AI86" i="40"/>
  <c r="AH86" i="40"/>
  <c r="AI85" i="40"/>
  <c r="AH85" i="40"/>
  <c r="AI84" i="40"/>
  <c r="AH84" i="40"/>
  <c r="AG83" i="40"/>
  <c r="BH20" i="40"/>
  <c r="Z83" i="40"/>
  <c r="BF20" i="40" s="1"/>
  <c r="Y83" i="40"/>
  <c r="X83" i="40"/>
  <c r="W83" i="40"/>
  <c r="V83" i="40"/>
  <c r="BD20" i="40" s="1"/>
  <c r="U83" i="40"/>
  <c r="BC20" i="40" s="1"/>
  <c r="T83" i="40"/>
  <c r="S83" i="40"/>
  <c r="BA20" i="40" s="1"/>
  <c r="Q83" i="40"/>
  <c r="P83" i="40"/>
  <c r="O83" i="40"/>
  <c r="N83" i="40"/>
  <c r="AV20" i="40" s="1"/>
  <c r="M83" i="40"/>
  <c r="AU20" i="40" s="1"/>
  <c r="L83" i="40"/>
  <c r="K83" i="40"/>
  <c r="J83" i="40"/>
  <c r="I83" i="40"/>
  <c r="H83" i="40"/>
  <c r="G83" i="40"/>
  <c r="F83" i="40"/>
  <c r="AQ20" i="40" s="1"/>
  <c r="E83" i="40"/>
  <c r="D83" i="40"/>
  <c r="C83" i="40"/>
  <c r="AI82" i="40"/>
  <c r="AH82" i="40"/>
  <c r="AI81" i="40"/>
  <c r="AH81" i="40"/>
  <c r="AI80" i="40"/>
  <c r="AH80" i="40"/>
  <c r="Z79" i="40"/>
  <c r="Y79" i="40"/>
  <c r="X79" i="40"/>
  <c r="W79" i="40"/>
  <c r="V79" i="40"/>
  <c r="BD18" i="40" s="1"/>
  <c r="U79" i="40"/>
  <c r="BC18" i="40" s="1"/>
  <c r="T79" i="40"/>
  <c r="BB18" i="40" s="1"/>
  <c r="S79" i="40"/>
  <c r="Q79" i="40"/>
  <c r="AY18" i="40" s="1"/>
  <c r="P79" i="40"/>
  <c r="AX18" i="40" s="1"/>
  <c r="O79" i="40"/>
  <c r="N79" i="40"/>
  <c r="M79" i="40"/>
  <c r="L79" i="40"/>
  <c r="K79" i="40"/>
  <c r="J79" i="40"/>
  <c r="I79" i="40"/>
  <c r="AS18" i="40" s="1"/>
  <c r="H79" i="40"/>
  <c r="G79" i="40"/>
  <c r="F79" i="40"/>
  <c r="AQ18" i="40" s="1"/>
  <c r="E79" i="40"/>
  <c r="AP18" i="40" s="1"/>
  <c r="D79" i="40"/>
  <c r="C79" i="40"/>
  <c r="AN18" i="40" s="1"/>
  <c r="BP78" i="40"/>
  <c r="BK78" i="40"/>
  <c r="BH78" i="40"/>
  <c r="BC78" i="40"/>
  <c r="AI78" i="40"/>
  <c r="AH78" i="40"/>
  <c r="AG78" i="40"/>
  <c r="AG79" i="40" s="1"/>
  <c r="AG3" i="40" s="1"/>
  <c r="BO77" i="40"/>
  <c r="BL77" i="40"/>
  <c r="BG77" i="40"/>
  <c r="AI77" i="40"/>
  <c r="AH77" i="40"/>
  <c r="BN76" i="40"/>
  <c r="BM76" i="40"/>
  <c r="BF76" i="40"/>
  <c r="AI76" i="40"/>
  <c r="AH76" i="40"/>
  <c r="BO75" i="40"/>
  <c r="AI75" i="40"/>
  <c r="AH75" i="40"/>
  <c r="BR74" i="40"/>
  <c r="BQ74" i="40"/>
  <c r="BK74" i="40"/>
  <c r="BF74" i="40"/>
  <c r="BC74" i="40"/>
  <c r="BB74" i="40"/>
  <c r="AI74" i="40"/>
  <c r="AH74" i="40"/>
  <c r="BD73" i="40"/>
  <c r="AI73" i="40"/>
  <c r="AH73" i="40"/>
  <c r="AI72" i="40"/>
  <c r="AH72" i="40"/>
  <c r="BW71" i="40"/>
  <c r="BW78" i="40" s="1"/>
  <c r="BV71" i="40"/>
  <c r="BV78" i="40" s="1"/>
  <c r="BU71" i="40"/>
  <c r="BU78" i="40" s="1"/>
  <c r="BT71" i="40"/>
  <c r="BT78" i="40" s="1"/>
  <c r="BS71" i="40"/>
  <c r="BS78" i="40" s="1"/>
  <c r="BR71" i="40"/>
  <c r="BR78" i="40" s="1"/>
  <c r="BQ71" i="40"/>
  <c r="BQ78" i="40" s="1"/>
  <c r="BP71" i="40"/>
  <c r="BO71" i="40"/>
  <c r="BO78" i="40" s="1"/>
  <c r="BN71" i="40"/>
  <c r="BN78" i="40" s="1"/>
  <c r="BM71" i="40"/>
  <c r="BM78" i="40" s="1"/>
  <c r="BL71" i="40"/>
  <c r="BL78" i="40" s="1"/>
  <c r="BK71" i="40"/>
  <c r="BJ71" i="40"/>
  <c r="BJ78" i="40" s="1"/>
  <c r="BI71" i="40"/>
  <c r="BI78" i="40" s="1"/>
  <c r="BH71" i="40"/>
  <c r="BG71" i="40"/>
  <c r="BG78" i="40" s="1"/>
  <c r="BF71" i="40"/>
  <c r="BF78" i="40" s="1"/>
  <c r="BE71" i="40"/>
  <c r="BE78" i="40" s="1"/>
  <c r="BD71" i="40"/>
  <c r="BD78" i="40" s="1"/>
  <c r="BC71" i="40"/>
  <c r="BB71" i="40"/>
  <c r="BB78" i="40" s="1"/>
  <c r="BA71" i="40"/>
  <c r="BA78" i="40" s="1"/>
  <c r="AZ71" i="40"/>
  <c r="AZ78" i="40" s="1"/>
  <c r="AI71" i="40"/>
  <c r="AH71" i="40"/>
  <c r="BW70" i="40"/>
  <c r="BW77" i="40" s="1"/>
  <c r="BV70" i="40"/>
  <c r="BV77" i="40" s="1"/>
  <c r="BU70" i="40"/>
  <c r="BU77" i="40" s="1"/>
  <c r="BT70" i="40"/>
  <c r="BT77" i="40" s="1"/>
  <c r="BS70" i="40"/>
  <c r="BS77" i="40" s="1"/>
  <c r="BR70" i="40"/>
  <c r="BR77" i="40" s="1"/>
  <c r="BQ70" i="40"/>
  <c r="BQ77" i="40" s="1"/>
  <c r="BP70" i="40"/>
  <c r="BP77" i="40" s="1"/>
  <c r="BO70" i="40"/>
  <c r="BN70" i="40"/>
  <c r="BN77" i="40" s="1"/>
  <c r="BM70" i="40"/>
  <c r="BM77" i="40" s="1"/>
  <c r="BL70" i="40"/>
  <c r="BK70" i="40"/>
  <c r="BK77" i="40" s="1"/>
  <c r="BJ70" i="40"/>
  <c r="BJ77" i="40" s="1"/>
  <c r="BI70" i="40"/>
  <c r="BI77" i="40" s="1"/>
  <c r="BH70" i="40"/>
  <c r="BH77" i="40" s="1"/>
  <c r="BG70" i="40"/>
  <c r="BF70" i="40"/>
  <c r="BF77" i="40" s="1"/>
  <c r="BE70" i="40"/>
  <c r="BE77" i="40" s="1"/>
  <c r="BD70" i="40"/>
  <c r="BD77" i="40" s="1"/>
  <c r="BC70" i="40"/>
  <c r="BC77" i="40" s="1"/>
  <c r="BB70" i="40"/>
  <c r="BB77" i="40" s="1"/>
  <c r="BA70" i="40"/>
  <c r="BA77" i="40" s="1"/>
  <c r="AZ70" i="40"/>
  <c r="AZ77" i="40" s="1"/>
  <c r="AI70" i="40"/>
  <c r="AH70" i="40"/>
  <c r="BW69" i="40"/>
  <c r="BW76" i="40" s="1"/>
  <c r="BV69" i="40"/>
  <c r="BV76" i="40" s="1"/>
  <c r="BU69" i="40"/>
  <c r="BU76" i="40" s="1"/>
  <c r="BT69" i="40"/>
  <c r="BT76" i="40" s="1"/>
  <c r="BS69" i="40"/>
  <c r="BS76" i="40" s="1"/>
  <c r="BR69" i="40"/>
  <c r="BR76" i="40" s="1"/>
  <c r="BQ69" i="40"/>
  <c r="BQ76" i="40" s="1"/>
  <c r="BP69" i="40"/>
  <c r="BP76" i="40" s="1"/>
  <c r="BO69" i="40"/>
  <c r="BO76" i="40" s="1"/>
  <c r="BN69" i="40"/>
  <c r="BM69" i="40"/>
  <c r="BL69" i="40"/>
  <c r="BL76" i="40" s="1"/>
  <c r="BK69" i="40"/>
  <c r="BK76" i="40" s="1"/>
  <c r="BJ69" i="40"/>
  <c r="BJ76" i="40" s="1"/>
  <c r="BI69" i="40"/>
  <c r="BI76" i="40" s="1"/>
  <c r="BH69" i="40"/>
  <c r="BH76" i="40" s="1"/>
  <c r="BG69" i="40"/>
  <c r="BG76" i="40" s="1"/>
  <c r="BF69" i="40"/>
  <c r="BE69" i="40"/>
  <c r="BE76" i="40" s="1"/>
  <c r="BD69" i="40"/>
  <c r="BD76" i="40" s="1"/>
  <c r="BC69" i="40"/>
  <c r="BC76" i="40" s="1"/>
  <c r="BB69" i="40"/>
  <c r="BB76" i="40" s="1"/>
  <c r="BA69" i="40"/>
  <c r="BA76" i="40" s="1"/>
  <c r="AZ69" i="40"/>
  <c r="AZ76" i="40" s="1"/>
  <c r="AI69" i="40"/>
  <c r="AH69" i="40"/>
  <c r="BW68" i="40"/>
  <c r="BW75" i="40" s="1"/>
  <c r="BV68" i="40"/>
  <c r="BV75" i="40" s="1"/>
  <c r="BU68" i="40"/>
  <c r="BU75" i="40" s="1"/>
  <c r="BT68" i="40"/>
  <c r="BT75" i="40" s="1"/>
  <c r="BS68" i="40"/>
  <c r="BS75" i="40" s="1"/>
  <c r="BR68" i="40"/>
  <c r="BR75" i="40" s="1"/>
  <c r="BQ68" i="40"/>
  <c r="BQ75" i="40" s="1"/>
  <c r="BP68" i="40"/>
  <c r="BP75" i="40" s="1"/>
  <c r="BO68" i="40"/>
  <c r="BN68" i="40"/>
  <c r="BN75" i="40" s="1"/>
  <c r="BM68" i="40"/>
  <c r="BM75" i="40" s="1"/>
  <c r="BL68" i="40"/>
  <c r="BL75" i="40" s="1"/>
  <c r="BK68" i="40"/>
  <c r="BK75" i="40" s="1"/>
  <c r="BJ68" i="40"/>
  <c r="BJ75" i="40" s="1"/>
  <c r="BI68" i="40"/>
  <c r="BI75" i="40" s="1"/>
  <c r="BH68" i="40"/>
  <c r="BH75" i="40" s="1"/>
  <c r="BG68" i="40"/>
  <c r="BG75" i="40" s="1"/>
  <c r="BF68" i="40"/>
  <c r="BF75" i="40" s="1"/>
  <c r="BE68" i="40"/>
  <c r="BE75" i="40" s="1"/>
  <c r="BD68" i="40"/>
  <c r="BD75" i="40" s="1"/>
  <c r="BC68" i="40"/>
  <c r="BC75" i="40" s="1"/>
  <c r="BB68" i="40"/>
  <c r="BB75" i="40" s="1"/>
  <c r="BA68" i="40"/>
  <c r="BA75" i="40" s="1"/>
  <c r="AZ68" i="40"/>
  <c r="AZ75" i="40" s="1"/>
  <c r="AI68" i="40"/>
  <c r="AH68" i="40"/>
  <c r="BW67" i="40"/>
  <c r="BW74" i="40" s="1"/>
  <c r="BV67" i="40"/>
  <c r="BV74" i="40" s="1"/>
  <c r="BU67" i="40"/>
  <c r="BU74" i="40" s="1"/>
  <c r="BT67" i="40"/>
  <c r="BT74" i="40" s="1"/>
  <c r="BS67" i="40"/>
  <c r="BS74" i="40" s="1"/>
  <c r="BR67" i="40"/>
  <c r="BQ67" i="40"/>
  <c r="BP67" i="40"/>
  <c r="BP74" i="40" s="1"/>
  <c r="BO67" i="40"/>
  <c r="BO74" i="40" s="1"/>
  <c r="BN67" i="40"/>
  <c r="BN74" i="40" s="1"/>
  <c r="BM67" i="40"/>
  <c r="BM74" i="40" s="1"/>
  <c r="BL67" i="40"/>
  <c r="BL74" i="40" s="1"/>
  <c r="BK67" i="40"/>
  <c r="BJ67" i="40"/>
  <c r="BJ74" i="40" s="1"/>
  <c r="BI67" i="40"/>
  <c r="BI74" i="40" s="1"/>
  <c r="BH67" i="40"/>
  <c r="BH74" i="40" s="1"/>
  <c r="BG67" i="40"/>
  <c r="BG74" i="40" s="1"/>
  <c r="BF67" i="40"/>
  <c r="BE67" i="40"/>
  <c r="BE74" i="40" s="1"/>
  <c r="BD67" i="40"/>
  <c r="BD74" i="40" s="1"/>
  <c r="BC67" i="40"/>
  <c r="BB67" i="40"/>
  <c r="BA67" i="40"/>
  <c r="BA74" i="40" s="1"/>
  <c r="AZ67" i="40"/>
  <c r="AZ74" i="40" s="1"/>
  <c r="AI67" i="40"/>
  <c r="AH67" i="40"/>
  <c r="BW66" i="40"/>
  <c r="BW73" i="40" s="1"/>
  <c r="BV66" i="40"/>
  <c r="BV73" i="40" s="1"/>
  <c r="BU66" i="40"/>
  <c r="BU73" i="40" s="1"/>
  <c r="BT66" i="40"/>
  <c r="BT73" i="40" s="1"/>
  <c r="BS66" i="40"/>
  <c r="BS73" i="40" s="1"/>
  <c r="BR66" i="40"/>
  <c r="BR73" i="40" s="1"/>
  <c r="BQ66" i="40"/>
  <c r="BQ73" i="40" s="1"/>
  <c r="BP66" i="40"/>
  <c r="BP73" i="40" s="1"/>
  <c r="BO66" i="40"/>
  <c r="BO73" i="40" s="1"/>
  <c r="BN66" i="40"/>
  <c r="BN73" i="40" s="1"/>
  <c r="BM66" i="40"/>
  <c r="BM73" i="40" s="1"/>
  <c r="BL66" i="40"/>
  <c r="BL73" i="40" s="1"/>
  <c r="BK66" i="40"/>
  <c r="BK73" i="40" s="1"/>
  <c r="BJ66" i="40"/>
  <c r="BJ73" i="40" s="1"/>
  <c r="BI66" i="40"/>
  <c r="BI73" i="40" s="1"/>
  <c r="BH66" i="40"/>
  <c r="BH73" i="40" s="1"/>
  <c r="BG66" i="40"/>
  <c r="BG73" i="40" s="1"/>
  <c r="BF66" i="40"/>
  <c r="BF73" i="40" s="1"/>
  <c r="BE66" i="40"/>
  <c r="BE73" i="40" s="1"/>
  <c r="BD66" i="40"/>
  <c r="BC66" i="40"/>
  <c r="BC73" i="40" s="1"/>
  <c r="BB66" i="40"/>
  <c r="BB73" i="40" s="1"/>
  <c r="BA66" i="40"/>
  <c r="BA73" i="40" s="1"/>
  <c r="AZ66" i="40"/>
  <c r="AZ73" i="40" s="1"/>
  <c r="AI66" i="40"/>
  <c r="AH66" i="40"/>
  <c r="AG65" i="40"/>
  <c r="BJ17" i="40"/>
  <c r="BG17" i="40"/>
  <c r="Z65" i="40"/>
  <c r="BF17" i="40" s="1"/>
  <c r="Y65" i="40"/>
  <c r="X65" i="40"/>
  <c r="W65" i="40"/>
  <c r="V65" i="40"/>
  <c r="U65" i="40"/>
  <c r="BC17" i="40" s="1"/>
  <c r="T65" i="40"/>
  <c r="BB17" i="40" s="1"/>
  <c r="S65" i="40"/>
  <c r="BA17" i="40" s="1"/>
  <c r="Q65" i="40"/>
  <c r="AY17" i="40" s="1"/>
  <c r="P65" i="40"/>
  <c r="O65" i="40"/>
  <c r="N65" i="40"/>
  <c r="M65" i="40"/>
  <c r="AU17" i="40" s="1"/>
  <c r="L65" i="40"/>
  <c r="K65" i="40"/>
  <c r="AT17" i="40" s="1"/>
  <c r="J65" i="40"/>
  <c r="I65" i="40"/>
  <c r="AS17" i="40" s="1"/>
  <c r="H65" i="40"/>
  <c r="G65" i="40"/>
  <c r="AR17" i="40" s="1"/>
  <c r="F65" i="40"/>
  <c r="E65" i="40"/>
  <c r="D65" i="40"/>
  <c r="AO17" i="40" s="1"/>
  <c r="C65" i="40"/>
  <c r="AI64" i="40"/>
  <c r="AH64" i="40"/>
  <c r="AI63" i="40"/>
  <c r="AH63" i="40"/>
  <c r="AI62" i="40"/>
  <c r="AH62" i="40"/>
  <c r="AG61" i="40"/>
  <c r="AG100" i="40" s="1"/>
  <c r="AF7" i="40"/>
  <c r="AD7" i="40"/>
  <c r="AB7" i="40"/>
  <c r="Z61" i="40"/>
  <c r="Y61" i="40"/>
  <c r="X61" i="40"/>
  <c r="W61" i="40"/>
  <c r="V61" i="40"/>
  <c r="BD16" i="40" s="1"/>
  <c r="U61" i="40"/>
  <c r="T61" i="40"/>
  <c r="S61" i="40"/>
  <c r="Q61" i="40"/>
  <c r="P61" i="40"/>
  <c r="O61" i="40"/>
  <c r="AW16" i="40" s="1"/>
  <c r="N61" i="40"/>
  <c r="M61" i="40"/>
  <c r="L61" i="40"/>
  <c r="K61" i="40"/>
  <c r="J61" i="40"/>
  <c r="I61" i="40"/>
  <c r="AS16" i="40" s="1"/>
  <c r="H61" i="40"/>
  <c r="G61" i="40"/>
  <c r="F61" i="40"/>
  <c r="E61" i="40"/>
  <c r="AP16" i="40" s="1"/>
  <c r="D61" i="40"/>
  <c r="C61" i="40"/>
  <c r="AI60" i="40"/>
  <c r="AH60" i="40"/>
  <c r="AI59" i="40"/>
  <c r="AH59" i="40"/>
  <c r="AI58" i="40"/>
  <c r="AH58" i="40"/>
  <c r="AI57" i="40"/>
  <c r="AH57" i="40"/>
  <c r="AI56" i="40"/>
  <c r="AH56" i="40"/>
  <c r="AI55" i="40"/>
  <c r="AH55" i="40"/>
  <c r="AI54" i="40"/>
  <c r="AH54" i="40"/>
  <c r="AI53" i="40"/>
  <c r="AH53" i="40"/>
  <c r="AI52" i="40"/>
  <c r="AH52" i="40"/>
  <c r="AI51" i="40"/>
  <c r="AH51" i="40"/>
  <c r="AI50" i="40"/>
  <c r="AH50" i="40"/>
  <c r="AI49" i="40"/>
  <c r="AH49" i="40"/>
  <c r="AI48" i="40"/>
  <c r="AH48" i="40"/>
  <c r="AI47" i="40"/>
  <c r="AH47" i="40"/>
  <c r="AI46" i="40"/>
  <c r="AH46" i="40"/>
  <c r="AI45" i="40"/>
  <c r="AH45" i="40"/>
  <c r="AI44" i="40"/>
  <c r="AH44" i="40"/>
  <c r="AI43" i="40"/>
  <c r="AH43" i="40"/>
  <c r="AI42" i="40"/>
  <c r="AH42" i="40"/>
  <c r="AI41" i="40"/>
  <c r="AH41" i="40"/>
  <c r="AI40" i="40"/>
  <c r="AH40" i="40"/>
  <c r="AI39" i="40"/>
  <c r="AH39" i="40"/>
  <c r="AI38" i="40"/>
  <c r="AH38" i="40"/>
  <c r="AI37" i="40"/>
  <c r="AH37" i="40"/>
  <c r="AI36" i="40"/>
  <c r="AH36" i="40"/>
  <c r="AI35" i="40"/>
  <c r="AH35" i="40"/>
  <c r="AI34" i="40"/>
  <c r="AH34" i="40"/>
  <c r="AI33" i="40"/>
  <c r="AH33" i="40"/>
  <c r="AI32" i="40"/>
  <c r="AH32" i="40"/>
  <c r="AI31" i="40"/>
  <c r="AH31" i="40"/>
  <c r="AI30" i="40"/>
  <c r="AH30" i="40"/>
  <c r="AI29" i="40"/>
  <c r="AH29" i="40"/>
  <c r="AI28" i="40"/>
  <c r="AH28" i="40"/>
  <c r="AI27" i="40"/>
  <c r="AH27" i="40"/>
  <c r="AI26" i="40"/>
  <c r="AH26" i="40"/>
  <c r="AI25" i="40"/>
  <c r="AH25" i="40"/>
  <c r="AI24" i="40"/>
  <c r="AH24" i="40"/>
  <c r="BI23" i="40"/>
  <c r="BH23" i="40"/>
  <c r="BG23" i="40"/>
  <c r="AI23" i="40"/>
  <c r="AH23" i="40"/>
  <c r="AI22" i="40"/>
  <c r="AH22" i="40"/>
  <c r="BJ21" i="40"/>
  <c r="BI21" i="40"/>
  <c r="BH21" i="40"/>
  <c r="BG21" i="40"/>
  <c r="BF21" i="40"/>
  <c r="BE21" i="40"/>
  <c r="BD21" i="40"/>
  <c r="BC21" i="40"/>
  <c r="BB21" i="40"/>
  <c r="BA21" i="40"/>
  <c r="AZ21" i="40"/>
  <c r="AY21" i="40"/>
  <c r="AX21" i="40"/>
  <c r="AW21" i="40"/>
  <c r="AV21" i="40"/>
  <c r="AU21" i="40"/>
  <c r="AT21" i="40"/>
  <c r="AS21" i="40"/>
  <c r="AR21" i="40"/>
  <c r="AQ21" i="40"/>
  <c r="AP21" i="40"/>
  <c r="AO21" i="40"/>
  <c r="AN21" i="40"/>
  <c r="AM21" i="40"/>
  <c r="AI21" i="40"/>
  <c r="AH21" i="40"/>
  <c r="BJ20" i="40"/>
  <c r="BI20" i="40"/>
  <c r="BG20" i="40"/>
  <c r="BE20" i="40"/>
  <c r="BB20" i="40"/>
  <c r="AZ20" i="40"/>
  <c r="AY20" i="40"/>
  <c r="AX20" i="40"/>
  <c r="AW20" i="40"/>
  <c r="AT20" i="40"/>
  <c r="AS20" i="40"/>
  <c r="AR20" i="40"/>
  <c r="AP20" i="40"/>
  <c r="AO20" i="40"/>
  <c r="AN20" i="40"/>
  <c r="AI20" i="40"/>
  <c r="AH20" i="40"/>
  <c r="BJ19" i="40"/>
  <c r="BI19" i="40"/>
  <c r="BH19" i="40"/>
  <c r="BG19" i="40"/>
  <c r="BD19" i="40"/>
  <c r="AZ19" i="40"/>
  <c r="AY19" i="40"/>
  <c r="AU19" i="40"/>
  <c r="AT19" i="40"/>
  <c r="AS19" i="40"/>
  <c r="AQ19" i="40"/>
  <c r="AN19" i="40"/>
  <c r="AI19" i="40"/>
  <c r="AH19" i="40"/>
  <c r="BJ18" i="40"/>
  <c r="BI18" i="40"/>
  <c r="BH18" i="40"/>
  <c r="BG18" i="40"/>
  <c r="BF18" i="40"/>
  <c r="BE18" i="40"/>
  <c r="BA18" i="40"/>
  <c r="AZ18" i="40"/>
  <c r="AW18" i="40"/>
  <c r="AV18" i="40"/>
  <c r="AU18" i="40"/>
  <c r="AT18" i="40"/>
  <c r="AR18" i="40"/>
  <c r="AO18" i="40"/>
  <c r="AI18" i="40"/>
  <c r="AH18" i="40"/>
  <c r="BI17" i="40"/>
  <c r="BH17" i="40"/>
  <c r="BE17" i="40"/>
  <c r="BD17" i="40"/>
  <c r="AZ17" i="40"/>
  <c r="AX17" i="40"/>
  <c r="AW17" i="40"/>
  <c r="AV17" i="40"/>
  <c r="AQ17" i="40"/>
  <c r="AP17" i="40"/>
  <c r="AN17" i="40"/>
  <c r="AM17" i="40"/>
  <c r="AI17" i="40"/>
  <c r="AH17" i="40"/>
  <c r="BJ16" i="40"/>
  <c r="BI16" i="40"/>
  <c r="BH16" i="40"/>
  <c r="BF16" i="40"/>
  <c r="BE16" i="40"/>
  <c r="BC16" i="40"/>
  <c r="AZ16" i="40"/>
  <c r="AX16" i="40"/>
  <c r="AU16" i="40"/>
  <c r="AQ16" i="40"/>
  <c r="AO16" i="40"/>
  <c r="AN16" i="40"/>
  <c r="AM16" i="40"/>
  <c r="AI16" i="40"/>
  <c r="AH16" i="40"/>
  <c r="AI15" i="40"/>
  <c r="AH15" i="40"/>
  <c r="AI14" i="40"/>
  <c r="AH14" i="40"/>
  <c r="AI13" i="40"/>
  <c r="AH13" i="40"/>
  <c r="AL12" i="40"/>
  <c r="AI12" i="40"/>
  <c r="AH12" i="40"/>
  <c r="AI11" i="40"/>
  <c r="AH11" i="40"/>
  <c r="AE7" i="40"/>
  <c r="AE5" i="40"/>
  <c r="AD5" i="40"/>
  <c r="AC5" i="40"/>
  <c r="AB5" i="40"/>
  <c r="Z5" i="40"/>
  <c r="Y5" i="40"/>
  <c r="X5" i="40"/>
  <c r="U5" i="40"/>
  <c r="R5" i="40"/>
  <c r="Q5" i="40"/>
  <c r="P5" i="40"/>
  <c r="L5" i="40"/>
  <c r="J5" i="40"/>
  <c r="H5" i="40"/>
  <c r="E5" i="40"/>
  <c r="B5" i="40"/>
  <c r="AG4" i="40"/>
  <c r="K4" i="40"/>
  <c r="E4" i="40"/>
  <c r="H4" i="40" s="1"/>
  <c r="B4" i="40"/>
  <c r="D261" i="40" s="1"/>
  <c r="AF61" i="39"/>
  <c r="AF65" i="39"/>
  <c r="AE61" i="39"/>
  <c r="AE65" i="39"/>
  <c r="AE79" i="39"/>
  <c r="AE83" i="39"/>
  <c r="AE95" i="39"/>
  <c r="AE104" i="39"/>
  <c r="AE105" i="39"/>
  <c r="AE106" i="39"/>
  <c r="AE107" i="39"/>
  <c r="AE108" i="39"/>
  <c r="AE109" i="39"/>
  <c r="AD61" i="39"/>
  <c r="AD65" i="39"/>
  <c r="X249" i="41" l="1"/>
  <c r="W121" i="41"/>
  <c r="W255" i="41"/>
  <c r="BH22" i="40"/>
  <c r="BH24" i="40" s="1"/>
  <c r="BI22" i="40"/>
  <c r="BI24" i="40" s="1"/>
  <c r="BF22" i="40"/>
  <c r="Y110" i="40"/>
  <c r="Y100" i="40"/>
  <c r="Y102" i="40" s="1"/>
  <c r="Y103" i="40" s="1"/>
  <c r="Y7" i="40" s="1"/>
  <c r="X110" i="40"/>
  <c r="BE23" i="40" s="1"/>
  <c r="BE19" i="40"/>
  <c r="BE22" i="40" s="1"/>
  <c r="X100" i="40"/>
  <c r="X102" i="40" s="1"/>
  <c r="W110" i="40"/>
  <c r="W111" i="40" s="1"/>
  <c r="V5" i="40"/>
  <c r="W100" i="40"/>
  <c r="W102" i="40" s="1"/>
  <c r="W103" i="40" s="1"/>
  <c r="W7" i="40" s="1"/>
  <c r="V110" i="40"/>
  <c r="BD23" i="40" s="1"/>
  <c r="BD22" i="40"/>
  <c r="BC19" i="40"/>
  <c r="T110" i="40"/>
  <c r="BB23" i="40" s="1"/>
  <c r="BC22" i="40"/>
  <c r="BC24" i="40" s="1"/>
  <c r="T100" i="40"/>
  <c r="T102" i="40" s="1"/>
  <c r="T103" i="40" s="1"/>
  <c r="T7" i="40" s="1"/>
  <c r="S110" i="40"/>
  <c r="S111" i="40"/>
  <c r="S100" i="40"/>
  <c r="S102" i="40" s="1"/>
  <c r="S103" i="40" s="1"/>
  <c r="S7" i="40" s="1"/>
  <c r="BA16" i="40"/>
  <c r="BA22" i="40" s="1"/>
  <c r="AZ22" i="40"/>
  <c r="Q110" i="40"/>
  <c r="AY23" i="40" s="1"/>
  <c r="Q100" i="40"/>
  <c r="Q102" i="40" s="1"/>
  <c r="Q103" i="40" s="1"/>
  <c r="Q7" i="40" s="1"/>
  <c r="AX19" i="40"/>
  <c r="P111" i="40"/>
  <c r="P100" i="40"/>
  <c r="P102" i="40" s="1"/>
  <c r="P103" i="40" s="1"/>
  <c r="P7" i="40" s="1"/>
  <c r="AX22" i="40"/>
  <c r="O110" i="40"/>
  <c r="AW23" i="40" s="1"/>
  <c r="N5" i="40"/>
  <c r="AW19" i="40"/>
  <c r="AW22" i="40" s="1"/>
  <c r="AW24" i="40" s="1"/>
  <c r="O100" i="40"/>
  <c r="O102" i="40" s="1"/>
  <c r="O103" i="40" s="1"/>
  <c r="O7" i="40" s="1"/>
  <c r="AV19" i="40"/>
  <c r="N110" i="40"/>
  <c r="AV23" i="40" s="1"/>
  <c r="M5" i="40"/>
  <c r="N100" i="40"/>
  <c r="N102" i="40" s="1"/>
  <c r="N103" i="40" s="1"/>
  <c r="N7" i="40" s="1"/>
  <c r="M110" i="40"/>
  <c r="AU23" i="40" s="1"/>
  <c r="AU22" i="40"/>
  <c r="L100" i="40"/>
  <c r="L102" i="40" s="1"/>
  <c r="L103" i="40" s="1"/>
  <c r="L7" i="40" s="1"/>
  <c r="K100" i="40"/>
  <c r="K102" i="40" s="1"/>
  <c r="K103" i="40" s="1"/>
  <c r="K7" i="40" s="1"/>
  <c r="I110" i="40"/>
  <c r="AS23" i="40" s="1"/>
  <c r="H110" i="40"/>
  <c r="H111" i="40" s="1"/>
  <c r="G111" i="40"/>
  <c r="G110" i="40"/>
  <c r="AR23" i="40" s="1"/>
  <c r="F5" i="40"/>
  <c r="AR19" i="40"/>
  <c r="F111" i="40"/>
  <c r="E110" i="40"/>
  <c r="AP23" i="40" s="1"/>
  <c r="G100" i="40"/>
  <c r="G102" i="40" s="1"/>
  <c r="G103" i="40" s="1"/>
  <c r="G7" i="40" s="1"/>
  <c r="H100" i="40"/>
  <c r="H102" i="40" s="1"/>
  <c r="AR16" i="40"/>
  <c r="I100" i="40"/>
  <c r="I102" i="40" s="1"/>
  <c r="I103" i="40" s="1"/>
  <c r="I7" i="40" s="1"/>
  <c r="AT16" i="40"/>
  <c r="AT22" i="40" s="1"/>
  <c r="D5" i="40"/>
  <c r="F100" i="40"/>
  <c r="F102" i="40" s="1"/>
  <c r="F103" i="40" s="1"/>
  <c r="F7" i="40" s="1"/>
  <c r="AS22" i="40"/>
  <c r="AS24" i="40" s="1"/>
  <c r="AP22" i="40"/>
  <c r="AQ22" i="40"/>
  <c r="AQ24" i="40" s="1"/>
  <c r="AI65" i="40"/>
  <c r="D100" i="40"/>
  <c r="D102" i="40" s="1"/>
  <c r="C100" i="40"/>
  <c r="C102" i="40" s="1"/>
  <c r="C103" i="40" s="1"/>
  <c r="C7" i="40" s="1"/>
  <c r="AI79" i="40"/>
  <c r="AN22" i="40"/>
  <c r="AM19" i="40"/>
  <c r="B100" i="40"/>
  <c r="B102" i="40" s="1"/>
  <c r="B111" i="40"/>
  <c r="B103" i="40"/>
  <c r="AM18" i="40"/>
  <c r="BG82" i="40" a="1"/>
  <c r="BG99" i="40" s="1"/>
  <c r="AM22" i="40"/>
  <c r="AH107" i="40"/>
  <c r="AO22" i="40"/>
  <c r="BJ22" i="40"/>
  <c r="BJ24" i="40" s="1"/>
  <c r="T111" i="40"/>
  <c r="X111" i="40"/>
  <c r="C5" i="40"/>
  <c r="J100" i="40"/>
  <c r="J102" i="40" s="1"/>
  <c r="R100" i="40"/>
  <c r="R102" i="40" s="1"/>
  <c r="Z100" i="40"/>
  <c r="Z102" i="40" s="1"/>
  <c r="Z103" i="40" s="1"/>
  <c r="Z7" i="40" s="1"/>
  <c r="AH61" i="40"/>
  <c r="AH65" i="40"/>
  <c r="E111" i="40"/>
  <c r="M111" i="40"/>
  <c r="U111" i="40"/>
  <c r="V100" i="40"/>
  <c r="V102" i="40" s="1"/>
  <c r="V103" i="40" s="1"/>
  <c r="V7" i="40" s="1"/>
  <c r="AI104" i="40"/>
  <c r="AH105" i="40"/>
  <c r="AI107" i="40"/>
  <c r="BB16" i="40"/>
  <c r="AN23" i="40"/>
  <c r="AN24" i="40" s="1"/>
  <c r="L111" i="40"/>
  <c r="AG2" i="40"/>
  <c r="AG6" i="40" s="1"/>
  <c r="K5" i="40"/>
  <c r="S5" i="40"/>
  <c r="AA5" i="40"/>
  <c r="AL13" i="40"/>
  <c r="AV16" i="40"/>
  <c r="AV22" i="40" s="1"/>
  <c r="AV24" i="40" s="1"/>
  <c r="AX23" i="40"/>
  <c r="AI61" i="40"/>
  <c r="AH104" i="40"/>
  <c r="J110" i="40"/>
  <c r="R110" i="40"/>
  <c r="AZ23" i="40" s="1"/>
  <c r="AZ24" i="40" s="1"/>
  <c r="Z110" i="40"/>
  <c r="BF23" i="40" s="1"/>
  <c r="BF24" i="40" s="1"/>
  <c r="AI105" i="40"/>
  <c r="AI106" i="40"/>
  <c r="E100" i="40"/>
  <c r="E102" i="40" s="1"/>
  <c r="E103" i="40" s="1"/>
  <c r="E7" i="40" s="1"/>
  <c r="M100" i="40"/>
  <c r="M102" i="40" s="1"/>
  <c r="M103" i="40" s="1"/>
  <c r="M7" i="40" s="1"/>
  <c r="U100" i="40"/>
  <c r="U102" i="40" s="1"/>
  <c r="U103" i="40" s="1"/>
  <c r="U7" i="40" s="1"/>
  <c r="AC7" i="40"/>
  <c r="AH79" i="40"/>
  <c r="BG16" i="40"/>
  <c r="BG22" i="40" s="1"/>
  <c r="BG24" i="40" s="1"/>
  <c r="BA23" i="40"/>
  <c r="I111" i="40"/>
  <c r="Q111" i="40"/>
  <c r="Y111" i="40"/>
  <c r="AG102" i="40"/>
  <c r="AY16" i="40"/>
  <c r="AY22" i="40" s="1"/>
  <c r="AY24" i="40" s="1"/>
  <c r="BB19" i="40"/>
  <c r="AT23" i="40"/>
  <c r="AI95" i="40"/>
  <c r="J111" i="40"/>
  <c r="Z111" i="40"/>
  <c r="AH95" i="40"/>
  <c r="AI109" i="40"/>
  <c r="D255" i="40"/>
  <c r="D121" i="40"/>
  <c r="E254" i="40"/>
  <c r="AI83" i="40"/>
  <c r="AH83" i="40"/>
  <c r="D110" i="40"/>
  <c r="AO23" i="40" s="1"/>
  <c r="G249" i="40"/>
  <c r="AH106" i="40"/>
  <c r="AH108" i="40"/>
  <c r="AE110" i="39"/>
  <c r="AE111" i="39"/>
  <c r="AE100" i="39"/>
  <c r="AE102" i="39" s="1"/>
  <c r="AE103" i="39" s="1"/>
  <c r="Y249" i="41" l="1"/>
  <c r="X255" i="41"/>
  <c r="X121" i="41"/>
  <c r="X103" i="40"/>
  <c r="X7" i="40" s="1"/>
  <c r="BE24" i="40"/>
  <c r="BD24" i="40"/>
  <c r="V111" i="40"/>
  <c r="BA24" i="40"/>
  <c r="R111" i="40"/>
  <c r="R103" i="40"/>
  <c r="R7" i="40" s="1"/>
  <c r="AX24" i="40"/>
  <c r="O111" i="40"/>
  <c r="N111" i="40"/>
  <c r="AU24" i="40"/>
  <c r="AT24" i="40"/>
  <c r="H103" i="40"/>
  <c r="H7" i="40" s="1"/>
  <c r="AR22" i="40"/>
  <c r="AR24" i="40" s="1"/>
  <c r="C259" i="40"/>
  <c r="AP24" i="40"/>
  <c r="BL82" i="40"/>
  <c r="BG85" i="40"/>
  <c r="BI89" i="40"/>
  <c r="BK83" i="40"/>
  <c r="BL89" i="40"/>
  <c r="BI94" i="40"/>
  <c r="BK98" i="40"/>
  <c r="BJ90" i="40"/>
  <c r="BL87" i="40"/>
  <c r="BH97" i="40"/>
  <c r="BH82" i="40"/>
  <c r="BL92" i="40"/>
  <c r="BJ103" i="40"/>
  <c r="BJ101" i="40"/>
  <c r="BI88" i="40"/>
  <c r="BI91" i="40"/>
  <c r="BK91" i="40"/>
  <c r="BG90" i="40"/>
  <c r="BH89" i="40"/>
  <c r="BL91" i="40"/>
  <c r="BL83" i="40"/>
  <c r="BG101" i="40"/>
  <c r="BK92" i="40"/>
  <c r="BI82" i="40"/>
  <c r="BI99" i="40"/>
  <c r="BH91" i="40"/>
  <c r="BJ83" i="40"/>
  <c r="BH94" i="40"/>
  <c r="BL104" i="40"/>
  <c r="BH92" i="40"/>
  <c r="BL102" i="40"/>
  <c r="BK89" i="40"/>
  <c r="BI100" i="40"/>
  <c r="BG92" i="40"/>
  <c r="BH103" i="40"/>
  <c r="BH93" i="40"/>
  <c r="BH104" i="40"/>
  <c r="BL99" i="40"/>
  <c r="BL95" i="40"/>
  <c r="BJ96" i="40"/>
  <c r="BL97" i="40"/>
  <c r="BG96" i="40"/>
  <c r="BG88" i="40"/>
  <c r="BH105" i="40"/>
  <c r="BG97" i="40"/>
  <c r="BJ86" i="40"/>
  <c r="BK103" i="40"/>
  <c r="BH86" i="40"/>
  <c r="BL96" i="40"/>
  <c r="BH84" i="40"/>
  <c r="BL94" i="40"/>
  <c r="BJ105" i="40"/>
  <c r="BI92" i="40"/>
  <c r="BG103" i="40"/>
  <c r="BG102" i="40"/>
  <c r="BG98" i="40"/>
  <c r="BJ98" i="40"/>
  <c r="BG104" i="40"/>
  <c r="BI98" i="40"/>
  <c r="BI90" i="40"/>
  <c r="BG82" i="40"/>
  <c r="BH99" i="40"/>
  <c r="BK88" i="40"/>
  <c r="BL105" i="40"/>
  <c r="BI97" i="40"/>
  <c r="BJ87" i="40"/>
  <c r="BH98" i="40"/>
  <c r="BJ85" i="40"/>
  <c r="BH96" i="40"/>
  <c r="BG83" i="40"/>
  <c r="BK93" i="40"/>
  <c r="BI104" i="40"/>
  <c r="BG91" i="40"/>
  <c r="BG100" i="40"/>
  <c r="BI83" i="40"/>
  <c r="BJ92" i="40"/>
  <c r="BH101" i="40"/>
  <c r="BK90" i="40"/>
  <c r="BK99" i="40"/>
  <c r="BL88" i="40"/>
  <c r="BJ99" i="40"/>
  <c r="BL86" i="40"/>
  <c r="BJ97" i="40"/>
  <c r="BI84" i="40"/>
  <c r="BG95" i="40"/>
  <c r="BL85" i="40"/>
  <c r="BH85" i="40"/>
  <c r="BI102" i="40"/>
  <c r="BK102" i="40"/>
  <c r="BI85" i="40"/>
  <c r="BJ102" i="40"/>
  <c r="BJ94" i="40"/>
  <c r="BI86" i="40"/>
  <c r="BI103" i="40"/>
  <c r="BG93" i="40"/>
  <c r="BK84" i="40"/>
  <c r="BL101" i="40"/>
  <c r="BH90" i="40"/>
  <c r="BL100" i="40"/>
  <c r="BH88" i="40"/>
  <c r="BL98" i="40"/>
  <c r="BK85" i="40"/>
  <c r="BI96" i="40"/>
  <c r="BL93" i="40"/>
  <c r="BI93" i="40"/>
  <c r="BG86" i="40"/>
  <c r="BK94" i="40"/>
  <c r="BI101" i="40"/>
  <c r="BJ95" i="40"/>
  <c r="BK101" i="40"/>
  <c r="BI95" i="40"/>
  <c r="BH83" i="40"/>
  <c r="BK100" i="40"/>
  <c r="BJ100" i="40"/>
  <c r="BG84" i="40"/>
  <c r="BJ82" i="40"/>
  <c r="BK105" i="40"/>
  <c r="BG105" i="40"/>
  <c r="BI87" i="40"/>
  <c r="BJ104" i="40"/>
  <c r="BK82" i="40"/>
  <c r="BK87" i="40"/>
  <c r="BK104" i="40"/>
  <c r="BK96" i="40"/>
  <c r="BJ88" i="40"/>
  <c r="BI105" i="40"/>
  <c r="BH95" i="40"/>
  <c r="BK86" i="40"/>
  <c r="BL103" i="40"/>
  <c r="BJ91" i="40"/>
  <c r="BH102" i="40"/>
  <c r="BJ89" i="40"/>
  <c r="BH100" i="40"/>
  <c r="BG87" i="40"/>
  <c r="BK97" i="40"/>
  <c r="BK95" i="40"/>
  <c r="BG94" i="40"/>
  <c r="BJ84" i="40"/>
  <c r="BL84" i="40"/>
  <c r="BJ93" i="40"/>
  <c r="BH87" i="40"/>
  <c r="BG89" i="40"/>
  <c r="BL90" i="40"/>
  <c r="F254" i="40"/>
  <c r="E121" i="40"/>
  <c r="AI110" i="40"/>
  <c r="AM23" i="40"/>
  <c r="AM24" i="40" s="1"/>
  <c r="AH110" i="40"/>
  <c r="AI111" i="40"/>
  <c r="AH111" i="40"/>
  <c r="D103" i="40"/>
  <c r="D7" i="40" s="1"/>
  <c r="H249" i="40"/>
  <c r="D111" i="40"/>
  <c r="J103" i="40"/>
  <c r="J7" i="40" s="1"/>
  <c r="E255" i="40"/>
  <c r="AH100" i="40"/>
  <c r="AI100" i="40"/>
  <c r="AO24" i="40"/>
  <c r="BB22" i="40"/>
  <c r="BB24" i="40" s="1"/>
  <c r="B259" i="40"/>
  <c r="Y255" i="41" l="1"/>
  <c r="Z249" i="41"/>
  <c r="K6" i="40"/>
  <c r="AT9" i="40"/>
  <c r="AI102" i="40"/>
  <c r="AH102" i="40"/>
  <c r="I249" i="40"/>
  <c r="AT8" i="40"/>
  <c r="G254" i="40"/>
  <c r="F255" i="40"/>
  <c r="F121" i="40"/>
  <c r="Z255" i="41" l="1"/>
  <c r="AA249" i="41"/>
  <c r="J249" i="40"/>
  <c r="H254" i="40"/>
  <c r="G255" i="40"/>
  <c r="G121" i="40"/>
  <c r="AI103" i="40"/>
  <c r="AH103" i="40"/>
  <c r="B7" i="40"/>
  <c r="A7" i="40" s="1"/>
  <c r="AA255" i="41" l="1"/>
  <c r="AA121" i="41"/>
  <c r="AB249" i="41"/>
  <c r="I254" i="40"/>
  <c r="H121" i="40"/>
  <c r="H255" i="40"/>
  <c r="K249" i="40"/>
  <c r="AB255" i="41" l="1"/>
  <c r="AB121" i="41"/>
  <c r="AC249" i="41"/>
  <c r="L249" i="40"/>
  <c r="J254" i="40"/>
  <c r="I255" i="40"/>
  <c r="I121" i="40"/>
  <c r="AC121" i="41" l="1"/>
  <c r="AD249" i="41"/>
  <c r="AC255" i="41"/>
  <c r="K254" i="40"/>
  <c r="J121" i="40"/>
  <c r="J255" i="40"/>
  <c r="M249" i="40"/>
  <c r="Z60" i="39"/>
  <c r="AE249" i="41" l="1"/>
  <c r="AD255" i="41"/>
  <c r="AD121" i="41"/>
  <c r="N249" i="40"/>
  <c r="L254" i="40"/>
  <c r="K255" i="40"/>
  <c r="K121" i="40"/>
  <c r="AF249" i="41" l="1"/>
  <c r="AE255" i="41"/>
  <c r="AE121" i="41"/>
  <c r="M254" i="40"/>
  <c r="L121" i="40"/>
  <c r="L255" i="40"/>
  <c r="O249" i="40"/>
  <c r="AF255" i="41" l="1"/>
  <c r="B249" i="41"/>
  <c r="AF121" i="41"/>
  <c r="P249" i="40"/>
  <c r="N254" i="40"/>
  <c r="M121" i="40"/>
  <c r="M255" i="40"/>
  <c r="B255" i="41" l="1"/>
  <c r="O254" i="40"/>
  <c r="N121" i="40"/>
  <c r="N255" i="40"/>
  <c r="Q249" i="40"/>
  <c r="AI121" i="41" l="1"/>
  <c r="AH121" i="41"/>
  <c r="R249" i="40"/>
  <c r="P254" i="40"/>
  <c r="O121" i="40"/>
  <c r="O255" i="40"/>
  <c r="Q254" i="40" l="1"/>
  <c r="P255" i="40"/>
  <c r="S249" i="40"/>
  <c r="T249" i="40" l="1"/>
  <c r="R254" i="40"/>
  <c r="Q255" i="40"/>
  <c r="Q121" i="40"/>
  <c r="S254" i="40" l="1"/>
  <c r="R255" i="40"/>
  <c r="R121" i="40"/>
  <c r="U249" i="40"/>
  <c r="V249" i="40" l="1"/>
  <c r="T254" i="40"/>
  <c r="S255" i="40"/>
  <c r="S121" i="40"/>
  <c r="U254" i="40" l="1"/>
  <c r="T255" i="40"/>
  <c r="T121" i="40"/>
  <c r="W249" i="40"/>
  <c r="X249" i="40" l="1"/>
  <c r="V254" i="40"/>
  <c r="U121" i="40"/>
  <c r="U255" i="40"/>
  <c r="W254" i="40" l="1"/>
  <c r="V255" i="40"/>
  <c r="V121" i="40"/>
  <c r="Y249" i="40"/>
  <c r="Z249" i="40" l="1"/>
  <c r="X254" i="40"/>
  <c r="W255" i="40"/>
  <c r="W121" i="40"/>
  <c r="Y254" i="40" l="1"/>
  <c r="X255" i="40"/>
  <c r="X121" i="40"/>
  <c r="AA249" i="40"/>
  <c r="AB249" i="40" l="1"/>
  <c r="Z254" i="40"/>
  <c r="Y255" i="40"/>
  <c r="AA254" i="40" l="1"/>
  <c r="Z255" i="40"/>
  <c r="AC249" i="40"/>
  <c r="AD249" i="40" l="1"/>
  <c r="AB254" i="40"/>
  <c r="AA255" i="40"/>
  <c r="AC254" i="40" l="1"/>
  <c r="AB255" i="40"/>
  <c r="AE249" i="40"/>
  <c r="AF249" i="40" l="1"/>
  <c r="AD254" i="40"/>
  <c r="AC255" i="40"/>
  <c r="AE254" i="40" l="1"/>
  <c r="AD255" i="40"/>
  <c r="B249" i="40"/>
  <c r="AF254" i="40" l="1"/>
  <c r="AE255" i="40"/>
  <c r="B254" i="40" l="1"/>
  <c r="AF255" i="40"/>
  <c r="B255" i="40" l="1"/>
  <c r="AI121" i="40" l="1"/>
  <c r="AH121" i="40"/>
  <c r="Y60" i="39" l="1"/>
  <c r="X60" i="39"/>
  <c r="V60" i="39" l="1"/>
  <c r="U124" i="39"/>
  <c r="U60" i="39"/>
  <c r="T60" i="39" l="1"/>
  <c r="S60" i="39"/>
  <c r="R124" i="39" l="1"/>
  <c r="R60" i="39"/>
  <c r="R61" i="39"/>
  <c r="R65" i="39"/>
  <c r="R79" i="39"/>
  <c r="R83" i="39"/>
  <c r="R95" i="39"/>
  <c r="Q124" i="39"/>
  <c r="Q65" i="39"/>
  <c r="Q60" i="39"/>
  <c r="P124" i="39"/>
  <c r="P60" i="39"/>
  <c r="P61" i="39"/>
  <c r="P65" i="39"/>
  <c r="R100" i="39" l="1"/>
  <c r="O124" i="39"/>
  <c r="O60" i="39"/>
  <c r="N124" i="39"/>
  <c r="N60" i="39"/>
  <c r="M124" i="39" l="1"/>
  <c r="M60" i="39"/>
  <c r="J61" i="39" l="1"/>
  <c r="K61" i="39"/>
  <c r="J65" i="39"/>
  <c r="K65" i="39"/>
  <c r="H61" i="39" l="1"/>
  <c r="I61" i="39"/>
  <c r="H65" i="39"/>
  <c r="I65" i="39"/>
  <c r="F60" i="39"/>
  <c r="F61" i="39"/>
  <c r="G61" i="39"/>
  <c r="F65" i="39"/>
  <c r="G65" i="39"/>
  <c r="F79" i="39"/>
  <c r="G79" i="39"/>
  <c r="F83" i="39"/>
  <c r="G83" i="39"/>
  <c r="F95" i="39"/>
  <c r="G95" i="39"/>
  <c r="F104" i="39"/>
  <c r="F110" i="39" s="1"/>
  <c r="G104" i="39"/>
  <c r="F105" i="39"/>
  <c r="G105" i="39"/>
  <c r="F106" i="39"/>
  <c r="G106" i="39"/>
  <c r="F107" i="39"/>
  <c r="G107" i="39"/>
  <c r="F108" i="39"/>
  <c r="G108" i="39"/>
  <c r="F109" i="39"/>
  <c r="G109" i="39"/>
  <c r="G110" i="39" l="1"/>
  <c r="F100" i="39"/>
  <c r="F102" i="39" s="1"/>
  <c r="G100" i="39"/>
  <c r="G102" i="39" s="1"/>
  <c r="G103" i="39" s="1"/>
  <c r="G111" i="39"/>
  <c r="F111" i="39"/>
  <c r="F103" i="39"/>
  <c r="E60" i="39" l="1"/>
  <c r="E61" i="39"/>
  <c r="E65" i="39"/>
  <c r="D60" i="39"/>
  <c r="C60" i="39" l="1"/>
  <c r="AF60" i="38"/>
  <c r="AE60" i="38"/>
  <c r="AG255" i="39"/>
  <c r="C255" i="39"/>
  <c r="D254" i="39"/>
  <c r="E253" i="39"/>
  <c r="F253" i="39" s="1"/>
  <c r="G253" i="39" s="1"/>
  <c r="H253" i="39" s="1"/>
  <c r="I253" i="39" s="1"/>
  <c r="J253" i="39" s="1"/>
  <c r="K253" i="39" s="1"/>
  <c r="L253" i="39" s="1"/>
  <c r="M253" i="39" s="1"/>
  <c r="N253" i="39" s="1"/>
  <c r="O253" i="39" s="1"/>
  <c r="P253" i="39" s="1"/>
  <c r="Q253" i="39" s="1"/>
  <c r="R253" i="39" s="1"/>
  <c r="S253" i="39" s="1"/>
  <c r="T253" i="39" s="1"/>
  <c r="U253" i="39" s="1"/>
  <c r="V253" i="39" s="1"/>
  <c r="W253" i="39" s="1"/>
  <c r="X253" i="39" s="1"/>
  <c r="Y253" i="39" s="1"/>
  <c r="Z253" i="39" s="1"/>
  <c r="AA253" i="39" s="1"/>
  <c r="AB253" i="39" s="1"/>
  <c r="AC253" i="39" s="1"/>
  <c r="AD253" i="39" s="1"/>
  <c r="AE253" i="39" s="1"/>
  <c r="AF253" i="39" s="1"/>
  <c r="B253" i="39" s="1"/>
  <c r="D253" i="39"/>
  <c r="D252" i="39"/>
  <c r="E252" i="39" s="1"/>
  <c r="F252" i="39" s="1"/>
  <c r="G252" i="39" s="1"/>
  <c r="H252" i="39" s="1"/>
  <c r="I252" i="39" s="1"/>
  <c r="J252" i="39" s="1"/>
  <c r="K252" i="39" s="1"/>
  <c r="L252" i="39" s="1"/>
  <c r="M252" i="39" s="1"/>
  <c r="N252" i="39" s="1"/>
  <c r="O252" i="39" s="1"/>
  <c r="P252" i="39" s="1"/>
  <c r="Q252" i="39" s="1"/>
  <c r="R252" i="39" s="1"/>
  <c r="S252" i="39" s="1"/>
  <c r="T252" i="39" s="1"/>
  <c r="U252" i="39" s="1"/>
  <c r="V252" i="39" s="1"/>
  <c r="W252" i="39" s="1"/>
  <c r="X252" i="39" s="1"/>
  <c r="Y252" i="39" s="1"/>
  <c r="Z252" i="39" s="1"/>
  <c r="AA252" i="39" s="1"/>
  <c r="AB252" i="39" s="1"/>
  <c r="AC252" i="39" s="1"/>
  <c r="AD252" i="39" s="1"/>
  <c r="AE252" i="39" s="1"/>
  <c r="AF252" i="39" s="1"/>
  <c r="B252" i="39" s="1"/>
  <c r="D251" i="39"/>
  <c r="E251" i="39" s="1"/>
  <c r="F251" i="39" s="1"/>
  <c r="G251" i="39" s="1"/>
  <c r="H251" i="39" s="1"/>
  <c r="I251" i="39" s="1"/>
  <c r="J251" i="39" s="1"/>
  <c r="K251" i="39" s="1"/>
  <c r="L251" i="39" s="1"/>
  <c r="M251" i="39" s="1"/>
  <c r="N251" i="39" s="1"/>
  <c r="O251" i="39" s="1"/>
  <c r="P251" i="39" s="1"/>
  <c r="Q251" i="39" s="1"/>
  <c r="R251" i="39" s="1"/>
  <c r="S251" i="39" s="1"/>
  <c r="T251" i="39" s="1"/>
  <c r="U251" i="39" s="1"/>
  <c r="V251" i="39" s="1"/>
  <c r="W251" i="39" s="1"/>
  <c r="X251" i="39" s="1"/>
  <c r="Y251" i="39" s="1"/>
  <c r="Z251" i="39" s="1"/>
  <c r="AA251" i="39" s="1"/>
  <c r="AB251" i="39" s="1"/>
  <c r="AC251" i="39" s="1"/>
  <c r="AD251" i="39" s="1"/>
  <c r="AE251" i="39" s="1"/>
  <c r="AF251" i="39" s="1"/>
  <c r="B251" i="39" s="1"/>
  <c r="L250" i="39"/>
  <c r="M250" i="39" s="1"/>
  <c r="N250" i="39" s="1"/>
  <c r="O250" i="39" s="1"/>
  <c r="P250" i="39" s="1"/>
  <c r="Q250" i="39" s="1"/>
  <c r="R250" i="39" s="1"/>
  <c r="S250" i="39" s="1"/>
  <c r="T250" i="39" s="1"/>
  <c r="U250" i="39" s="1"/>
  <c r="V250" i="39" s="1"/>
  <c r="W250" i="39" s="1"/>
  <c r="X250" i="39" s="1"/>
  <c r="Y250" i="39" s="1"/>
  <c r="Z250" i="39" s="1"/>
  <c r="AA250" i="39" s="1"/>
  <c r="AB250" i="39" s="1"/>
  <c r="AC250" i="39" s="1"/>
  <c r="AD250" i="39" s="1"/>
  <c r="AE250" i="39" s="1"/>
  <c r="AF250" i="39" s="1"/>
  <c r="B250" i="39" s="1"/>
  <c r="D250" i="39"/>
  <c r="E250" i="39" s="1"/>
  <c r="F250" i="39" s="1"/>
  <c r="G250" i="39" s="1"/>
  <c r="H250" i="39" s="1"/>
  <c r="I250" i="39" s="1"/>
  <c r="J250" i="39" s="1"/>
  <c r="K250" i="39" s="1"/>
  <c r="D249" i="39"/>
  <c r="AG247" i="39"/>
  <c r="AF247" i="39"/>
  <c r="AE247" i="39"/>
  <c r="AD247" i="39"/>
  <c r="AC247" i="39"/>
  <c r="AB247" i="39"/>
  <c r="AA247" i="39"/>
  <c r="Z247" i="39"/>
  <c r="Y247" i="39"/>
  <c r="Y121" i="39" s="1"/>
  <c r="X247" i="39"/>
  <c r="W247" i="39"/>
  <c r="V247" i="39"/>
  <c r="U247" i="39"/>
  <c r="T247" i="39"/>
  <c r="S247" i="39"/>
  <c r="R247" i="39"/>
  <c r="Q247" i="39"/>
  <c r="P247" i="39"/>
  <c r="O247" i="39"/>
  <c r="N247" i="39"/>
  <c r="M247" i="39"/>
  <c r="L247" i="39"/>
  <c r="K247" i="39"/>
  <c r="J247" i="39"/>
  <c r="I247" i="39"/>
  <c r="H247" i="39"/>
  <c r="G247" i="39"/>
  <c r="F247" i="39"/>
  <c r="E247" i="39"/>
  <c r="D247" i="39"/>
  <c r="C247" i="39"/>
  <c r="B247" i="39"/>
  <c r="AI133" i="39"/>
  <c r="AH133" i="39"/>
  <c r="AI132" i="39"/>
  <c r="AH132" i="39"/>
  <c r="AI131" i="39"/>
  <c r="AH131" i="39"/>
  <c r="AI130" i="39"/>
  <c r="AH130" i="39"/>
  <c r="AI129" i="39"/>
  <c r="AH129" i="39"/>
  <c r="AI126" i="39"/>
  <c r="AH126" i="39"/>
  <c r="AI125" i="39"/>
  <c r="AH125" i="39"/>
  <c r="AI124" i="39"/>
  <c r="AH124" i="39"/>
  <c r="AI123" i="39"/>
  <c r="AH123" i="39"/>
  <c r="AI122" i="39"/>
  <c r="AH122" i="39"/>
  <c r="Z121" i="39"/>
  <c r="C121" i="39"/>
  <c r="AI120" i="39"/>
  <c r="AH120" i="39"/>
  <c r="AI119" i="39"/>
  <c r="AH119" i="39"/>
  <c r="AI118" i="39"/>
  <c r="AH118" i="39"/>
  <c r="AI117" i="39"/>
  <c r="AH117" i="39"/>
  <c r="AI116" i="39"/>
  <c r="AH116" i="39"/>
  <c r="AI115" i="39"/>
  <c r="AH115" i="39"/>
  <c r="AI114" i="39"/>
  <c r="AH114" i="39"/>
  <c r="AI113" i="39"/>
  <c r="AH113" i="39"/>
  <c r="AI112" i="39"/>
  <c r="AH112" i="39"/>
  <c r="AF109" i="39"/>
  <c r="AD109" i="39"/>
  <c r="AC109" i="39"/>
  <c r="AB109" i="39"/>
  <c r="AA109" i="39"/>
  <c r="Z109" i="39"/>
  <c r="Y109" i="39"/>
  <c r="X109" i="39"/>
  <c r="W109" i="39"/>
  <c r="V109" i="39"/>
  <c r="U109" i="39"/>
  <c r="T109" i="39"/>
  <c r="S109" i="39"/>
  <c r="R109" i="39"/>
  <c r="Q109" i="39"/>
  <c r="P109" i="39"/>
  <c r="O109" i="39"/>
  <c r="N109" i="39"/>
  <c r="M109" i="39"/>
  <c r="L109" i="39"/>
  <c r="K109" i="39"/>
  <c r="J109" i="39"/>
  <c r="I109" i="39"/>
  <c r="H109" i="39"/>
  <c r="E109" i="39"/>
  <c r="D109" i="39"/>
  <c r="C109" i="39"/>
  <c r="B109" i="39"/>
  <c r="AF108" i="39"/>
  <c r="AD108" i="39"/>
  <c r="AC108" i="39"/>
  <c r="AB108" i="39"/>
  <c r="AA108" i="39"/>
  <c r="Z108" i="39"/>
  <c r="Y108" i="39"/>
  <c r="X108" i="39"/>
  <c r="W108" i="39"/>
  <c r="V108" i="39"/>
  <c r="U108" i="39"/>
  <c r="T108" i="39"/>
  <c r="S108" i="39"/>
  <c r="R108" i="39"/>
  <c r="Q108" i="39"/>
  <c r="P108" i="39"/>
  <c r="O108" i="39"/>
  <c r="N108" i="39"/>
  <c r="M108" i="39"/>
  <c r="L108" i="39"/>
  <c r="K108" i="39"/>
  <c r="J108" i="39"/>
  <c r="I108" i="39"/>
  <c r="H108" i="39"/>
  <c r="E108" i="39"/>
  <c r="D108" i="39"/>
  <c r="C108" i="39"/>
  <c r="B108" i="39"/>
  <c r="AF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E107" i="39"/>
  <c r="D107" i="39"/>
  <c r="C107" i="39"/>
  <c r="B107" i="39"/>
  <c r="AF106" i="39"/>
  <c r="AD106" i="39"/>
  <c r="AC106" i="39"/>
  <c r="AB106" i="39"/>
  <c r="AA106" i="39"/>
  <c r="Z106" i="39"/>
  <c r="Y106" i="39"/>
  <c r="X106" i="39"/>
  <c r="W106" i="39"/>
  <c r="V106" i="39"/>
  <c r="U106" i="39"/>
  <c r="T106" i="39"/>
  <c r="S106" i="39"/>
  <c r="R106" i="39"/>
  <c r="Q106" i="39"/>
  <c r="P106" i="39"/>
  <c r="O106" i="39"/>
  <c r="N106" i="39"/>
  <c r="M106" i="39"/>
  <c r="L106" i="39"/>
  <c r="K106" i="39"/>
  <c r="J106" i="39"/>
  <c r="I106" i="39"/>
  <c r="H106" i="39"/>
  <c r="E106" i="39"/>
  <c r="D106" i="39"/>
  <c r="C106" i="39"/>
  <c r="B106" i="39"/>
  <c r="AF105" i="39"/>
  <c r="AD105" i="39"/>
  <c r="AC105" i="39"/>
  <c r="AB105" i="39"/>
  <c r="AA105" i="39"/>
  <c r="Z105" i="39"/>
  <c r="Y105" i="39"/>
  <c r="X105" i="39"/>
  <c r="W105" i="39"/>
  <c r="V105" i="39"/>
  <c r="U105" i="39"/>
  <c r="T105" i="39"/>
  <c r="S105" i="39"/>
  <c r="R105" i="39"/>
  <c r="Q105" i="39"/>
  <c r="P105" i="39"/>
  <c r="O105" i="39"/>
  <c r="N105" i="39"/>
  <c r="M105" i="39"/>
  <c r="L105" i="39"/>
  <c r="K105" i="39"/>
  <c r="J105" i="39"/>
  <c r="I105" i="39"/>
  <c r="H105" i="39"/>
  <c r="AQ23" i="39"/>
  <c r="E105" i="39"/>
  <c r="D105" i="39"/>
  <c r="C105" i="39"/>
  <c r="B105" i="39"/>
  <c r="AF104" i="39"/>
  <c r="AF110" i="39" s="1"/>
  <c r="AD104" i="39"/>
  <c r="AC104" i="39"/>
  <c r="AB104" i="39"/>
  <c r="AA104" i="39"/>
  <c r="Z104" i="39"/>
  <c r="Y104" i="39"/>
  <c r="Y110" i="39" s="1"/>
  <c r="X104" i="39"/>
  <c r="X110" i="39" s="1"/>
  <c r="W104" i="39"/>
  <c r="V104" i="39"/>
  <c r="U104" i="39"/>
  <c r="T104" i="39"/>
  <c r="S104" i="39"/>
  <c r="R104" i="39"/>
  <c r="Q104" i="39"/>
  <c r="P104" i="39"/>
  <c r="O104" i="39"/>
  <c r="N104" i="39"/>
  <c r="M104" i="39"/>
  <c r="L104" i="39"/>
  <c r="K104" i="39"/>
  <c r="J104" i="39"/>
  <c r="I104" i="39"/>
  <c r="H104" i="39"/>
  <c r="E104" i="39"/>
  <c r="D104" i="39"/>
  <c r="C104" i="39"/>
  <c r="B104" i="39"/>
  <c r="AI101" i="39"/>
  <c r="AH101" i="39"/>
  <c r="AI99" i="39"/>
  <c r="AH99" i="39"/>
  <c r="AG99" i="39"/>
  <c r="AI98" i="39"/>
  <c r="AH98" i="39"/>
  <c r="AI97" i="39"/>
  <c r="AH97" i="39"/>
  <c r="AI96" i="39"/>
  <c r="AH96" i="39"/>
  <c r="AG95" i="39"/>
  <c r="AF95" i="39"/>
  <c r="BJ19" i="39" s="1"/>
  <c r="AD95" i="39"/>
  <c r="AC95" i="39"/>
  <c r="AB5" i="39" s="1"/>
  <c r="AB95" i="39"/>
  <c r="BG19" i="39" s="1"/>
  <c r="AA95" i="39"/>
  <c r="Z95" i="39"/>
  <c r="Y5" i="39" s="1"/>
  <c r="Y95" i="39"/>
  <c r="X5" i="39" s="1"/>
  <c r="X95" i="39"/>
  <c r="W95" i="39"/>
  <c r="V95" i="39"/>
  <c r="U95" i="39"/>
  <c r="T95" i="39"/>
  <c r="S5" i="39" s="1"/>
  <c r="S95" i="39"/>
  <c r="R5" i="39" s="1"/>
  <c r="Q95" i="39"/>
  <c r="P95" i="39"/>
  <c r="AX19" i="39" s="1"/>
  <c r="O95" i="39"/>
  <c r="N95" i="39"/>
  <c r="M95" i="39"/>
  <c r="L5" i="39" s="1"/>
  <c r="L95" i="39"/>
  <c r="K5" i="39" s="1"/>
  <c r="K95" i="39"/>
  <c r="AT19" i="39" s="1"/>
  <c r="J95" i="39"/>
  <c r="I95" i="39"/>
  <c r="AS19" i="39" s="1"/>
  <c r="H95" i="39"/>
  <c r="G5" i="39" s="1"/>
  <c r="E95" i="39"/>
  <c r="D5" i="39" s="1"/>
  <c r="D95" i="39"/>
  <c r="C5" i="39" s="1"/>
  <c r="C95" i="39"/>
  <c r="AN19" i="39" s="1"/>
  <c r="B95" i="39"/>
  <c r="AF5" i="39" s="1"/>
  <c r="AI94" i="39"/>
  <c r="AH94" i="39"/>
  <c r="AI93" i="39"/>
  <c r="AH93" i="39"/>
  <c r="AI92" i="39"/>
  <c r="AH92" i="39"/>
  <c r="AI91" i="39"/>
  <c r="AH91" i="39"/>
  <c r="AI90" i="39"/>
  <c r="AH90" i="39"/>
  <c r="AI89" i="39"/>
  <c r="AH89" i="39"/>
  <c r="AI88" i="39"/>
  <c r="AH88" i="39"/>
  <c r="AI87" i="39"/>
  <c r="AH87" i="39"/>
  <c r="AI86" i="39"/>
  <c r="AH86" i="39"/>
  <c r="AI85" i="39"/>
  <c r="AH85" i="39"/>
  <c r="AI84" i="39"/>
  <c r="AH84" i="39"/>
  <c r="AG83" i="39"/>
  <c r="AG4" i="39" s="1"/>
  <c r="AF83" i="39"/>
  <c r="AD83" i="39"/>
  <c r="AC83" i="39"/>
  <c r="AB83" i="39"/>
  <c r="Z83" i="39"/>
  <c r="Y83" i="39"/>
  <c r="X83" i="39"/>
  <c r="W83" i="39"/>
  <c r="V83" i="39"/>
  <c r="BD20" i="39" s="1"/>
  <c r="U83" i="39"/>
  <c r="BC20" i="39" s="1"/>
  <c r="T83" i="39"/>
  <c r="S83" i="39"/>
  <c r="Q83" i="39"/>
  <c r="AY20" i="39" s="1"/>
  <c r="P83" i="39"/>
  <c r="O83" i="39"/>
  <c r="N83" i="39"/>
  <c r="M83" i="39"/>
  <c r="L83" i="39"/>
  <c r="K83" i="39"/>
  <c r="J83" i="39"/>
  <c r="I83" i="39"/>
  <c r="AS20" i="39" s="1"/>
  <c r="H83" i="39"/>
  <c r="E83" i="39"/>
  <c r="D83" i="39"/>
  <c r="C83" i="39"/>
  <c r="B83" i="39"/>
  <c r="AM20" i="39" s="1"/>
  <c r="AI82" i="39"/>
  <c r="AH82" i="39"/>
  <c r="AI81" i="39"/>
  <c r="AH81" i="39"/>
  <c r="AI80" i="39"/>
  <c r="AH80" i="39"/>
  <c r="AF79" i="39"/>
  <c r="BJ18" i="39" s="1"/>
  <c r="BI18" i="39"/>
  <c r="AD79" i="39"/>
  <c r="BH18" i="39" s="1"/>
  <c r="AC79" i="39"/>
  <c r="AB79" i="39"/>
  <c r="Z79" i="39"/>
  <c r="Y79" i="39"/>
  <c r="X79" i="39"/>
  <c r="BE18" i="39" s="1"/>
  <c r="W79" i="39"/>
  <c r="V79" i="39"/>
  <c r="BD18" i="39" s="1"/>
  <c r="U79" i="39"/>
  <c r="T79" i="39"/>
  <c r="S79" i="39"/>
  <c r="Q79" i="39"/>
  <c r="P79" i="39"/>
  <c r="O79" i="39"/>
  <c r="AW18" i="39" s="1"/>
  <c r="N79" i="39"/>
  <c r="AV18" i="39" s="1"/>
  <c r="M79" i="39"/>
  <c r="L79" i="39"/>
  <c r="K79" i="39"/>
  <c r="J79" i="39"/>
  <c r="I79" i="39"/>
  <c r="H79" i="39"/>
  <c r="E79" i="39"/>
  <c r="AP18" i="39" s="1"/>
  <c r="D79" i="39"/>
  <c r="AO18" i="39" s="1"/>
  <c r="C79" i="39"/>
  <c r="B79" i="39"/>
  <c r="BM78" i="39"/>
  <c r="BF78" i="39"/>
  <c r="AI78" i="39"/>
  <c r="AH78" i="39"/>
  <c r="AG78" i="39"/>
  <c r="AG79" i="39" s="1"/>
  <c r="BN77" i="39"/>
  <c r="AI77" i="39"/>
  <c r="AH77" i="39"/>
  <c r="AI76" i="39"/>
  <c r="AH76" i="39"/>
  <c r="BR75" i="39"/>
  <c r="AI75" i="39"/>
  <c r="AH75" i="39"/>
  <c r="AI74" i="39"/>
  <c r="AH74" i="39"/>
  <c r="AI73" i="39"/>
  <c r="AH73" i="39"/>
  <c r="AI72" i="39"/>
  <c r="AH72" i="39"/>
  <c r="BW71" i="39"/>
  <c r="BW78" i="39" s="1"/>
  <c r="BV71" i="39"/>
  <c r="BV78" i="39" s="1"/>
  <c r="BU71" i="39"/>
  <c r="BU78" i="39" s="1"/>
  <c r="BT71" i="39"/>
  <c r="BT78" i="39" s="1"/>
  <c r="BS71" i="39"/>
  <c r="BS78" i="39" s="1"/>
  <c r="BR71" i="39"/>
  <c r="BR78" i="39" s="1"/>
  <c r="BQ71" i="39"/>
  <c r="BQ78" i="39" s="1"/>
  <c r="BP71" i="39"/>
  <c r="BP78" i="39" s="1"/>
  <c r="BO71" i="39"/>
  <c r="BO78" i="39" s="1"/>
  <c r="BN71" i="39"/>
  <c r="BN78" i="39" s="1"/>
  <c r="BM71" i="39"/>
  <c r="BL71" i="39"/>
  <c r="BL78" i="39" s="1"/>
  <c r="BK71" i="39"/>
  <c r="BK78" i="39" s="1"/>
  <c r="BJ71" i="39"/>
  <c r="BJ78" i="39" s="1"/>
  <c r="BI71" i="39"/>
  <c r="BI78" i="39" s="1"/>
  <c r="BH71" i="39"/>
  <c r="BH78" i="39" s="1"/>
  <c r="BG71" i="39"/>
  <c r="BG78" i="39" s="1"/>
  <c r="BF71" i="39"/>
  <c r="BE71" i="39"/>
  <c r="BE78" i="39" s="1"/>
  <c r="BD71" i="39"/>
  <c r="BD78" i="39" s="1"/>
  <c r="BC71" i="39"/>
  <c r="BC78" i="39" s="1"/>
  <c r="BB71" i="39"/>
  <c r="BB78" i="39" s="1"/>
  <c r="BA71" i="39"/>
  <c r="BA78" i="39" s="1"/>
  <c r="AZ71" i="39"/>
  <c r="AZ78" i="39" s="1"/>
  <c r="AI71" i="39"/>
  <c r="AH71" i="39"/>
  <c r="BW70" i="39"/>
  <c r="BW77" i="39" s="1"/>
  <c r="BV70" i="39"/>
  <c r="BV77" i="39" s="1"/>
  <c r="BU70" i="39"/>
  <c r="BU77" i="39" s="1"/>
  <c r="BT70" i="39"/>
  <c r="BT77" i="39" s="1"/>
  <c r="BS70" i="39"/>
  <c r="BS77" i="39" s="1"/>
  <c r="BR70" i="39"/>
  <c r="BR77" i="39" s="1"/>
  <c r="BQ70" i="39"/>
  <c r="BQ77" i="39" s="1"/>
  <c r="BP70" i="39"/>
  <c r="BP77" i="39" s="1"/>
  <c r="BO70" i="39"/>
  <c r="BO77" i="39" s="1"/>
  <c r="BN70" i="39"/>
  <c r="BM70" i="39"/>
  <c r="BM77" i="39" s="1"/>
  <c r="BL70" i="39"/>
  <c r="BL77" i="39" s="1"/>
  <c r="BK70" i="39"/>
  <c r="BK77" i="39" s="1"/>
  <c r="BJ70" i="39"/>
  <c r="BJ77" i="39" s="1"/>
  <c r="BI70" i="39"/>
  <c r="BI77" i="39" s="1"/>
  <c r="BH70" i="39"/>
  <c r="BH77" i="39" s="1"/>
  <c r="BG70" i="39"/>
  <c r="BG77" i="39" s="1"/>
  <c r="BF70" i="39"/>
  <c r="BF77" i="39" s="1"/>
  <c r="BE70" i="39"/>
  <c r="BE77" i="39" s="1"/>
  <c r="BD70" i="39"/>
  <c r="BD77" i="39" s="1"/>
  <c r="BC70" i="39"/>
  <c r="BC77" i="39" s="1"/>
  <c r="BB70" i="39"/>
  <c r="BB77" i="39" s="1"/>
  <c r="BA70" i="39"/>
  <c r="BA77" i="39" s="1"/>
  <c r="AZ70" i="39"/>
  <c r="AZ77" i="39" s="1"/>
  <c r="AI70" i="39"/>
  <c r="AH70" i="39"/>
  <c r="BW69" i="39"/>
  <c r="BW76" i="39" s="1"/>
  <c r="BV69" i="39"/>
  <c r="BV76" i="39" s="1"/>
  <c r="BU69" i="39"/>
  <c r="BU76" i="39" s="1"/>
  <c r="BT69" i="39"/>
  <c r="BT76" i="39" s="1"/>
  <c r="BS69" i="39"/>
  <c r="BS76" i="39" s="1"/>
  <c r="BR69" i="39"/>
  <c r="BR76" i="39" s="1"/>
  <c r="BQ69" i="39"/>
  <c r="BQ76" i="39" s="1"/>
  <c r="BP69" i="39"/>
  <c r="BP76" i="39" s="1"/>
  <c r="BO69" i="39"/>
  <c r="BO76" i="39" s="1"/>
  <c r="BN69" i="39"/>
  <c r="BN76" i="39" s="1"/>
  <c r="BM69" i="39"/>
  <c r="BM76" i="39" s="1"/>
  <c r="BL69" i="39"/>
  <c r="BL76" i="39" s="1"/>
  <c r="BK69" i="39"/>
  <c r="BK76" i="39" s="1"/>
  <c r="BJ69" i="39"/>
  <c r="BJ76" i="39" s="1"/>
  <c r="BI69" i="39"/>
  <c r="BI76" i="39" s="1"/>
  <c r="BH69" i="39"/>
  <c r="BH76" i="39" s="1"/>
  <c r="BG69" i="39"/>
  <c r="BG76" i="39" s="1"/>
  <c r="BF69" i="39"/>
  <c r="BF76" i="39" s="1"/>
  <c r="BE69" i="39"/>
  <c r="BE76" i="39" s="1"/>
  <c r="BD69" i="39"/>
  <c r="BD76" i="39" s="1"/>
  <c r="BC69" i="39"/>
  <c r="BC76" i="39" s="1"/>
  <c r="BB69" i="39"/>
  <c r="BB76" i="39" s="1"/>
  <c r="BA69" i="39"/>
  <c r="BA76" i="39" s="1"/>
  <c r="AZ69" i="39"/>
  <c r="AZ76" i="39" s="1"/>
  <c r="AI69" i="39"/>
  <c r="AH69" i="39"/>
  <c r="BW68" i="39"/>
  <c r="BW75" i="39" s="1"/>
  <c r="BV68" i="39"/>
  <c r="BV75" i="39" s="1"/>
  <c r="BU68" i="39"/>
  <c r="BU75" i="39" s="1"/>
  <c r="BT68" i="39"/>
  <c r="BT75" i="39" s="1"/>
  <c r="BS68" i="39"/>
  <c r="BS75" i="39" s="1"/>
  <c r="BR68" i="39"/>
  <c r="BQ68" i="39"/>
  <c r="BQ75" i="39" s="1"/>
  <c r="BP68" i="39"/>
  <c r="BP75" i="39" s="1"/>
  <c r="BO68" i="39"/>
  <c r="BO75" i="39" s="1"/>
  <c r="BN68" i="39"/>
  <c r="BN75" i="39" s="1"/>
  <c r="BM68" i="39"/>
  <c r="BM75" i="39" s="1"/>
  <c r="BL68" i="39"/>
  <c r="BL75" i="39" s="1"/>
  <c r="BK68" i="39"/>
  <c r="BK75" i="39" s="1"/>
  <c r="BJ68" i="39"/>
  <c r="BJ75" i="39" s="1"/>
  <c r="BI68" i="39"/>
  <c r="BI75" i="39" s="1"/>
  <c r="BH68" i="39"/>
  <c r="BH75" i="39" s="1"/>
  <c r="BG68" i="39"/>
  <c r="BG75" i="39" s="1"/>
  <c r="BF68" i="39"/>
  <c r="BF75" i="39" s="1"/>
  <c r="BE68" i="39"/>
  <c r="BE75" i="39" s="1"/>
  <c r="BD68" i="39"/>
  <c r="BD75" i="39" s="1"/>
  <c r="BC68" i="39"/>
  <c r="BC75" i="39" s="1"/>
  <c r="BB68" i="39"/>
  <c r="BB75" i="39" s="1"/>
  <c r="BA68" i="39"/>
  <c r="BA75" i="39" s="1"/>
  <c r="AZ68" i="39"/>
  <c r="AZ75" i="39" s="1"/>
  <c r="AI68" i="39"/>
  <c r="AH68" i="39"/>
  <c r="BW67" i="39"/>
  <c r="BW74" i="39" s="1"/>
  <c r="BV67" i="39"/>
  <c r="BV74" i="39" s="1"/>
  <c r="BU67" i="39"/>
  <c r="BU74" i="39" s="1"/>
  <c r="BT67" i="39"/>
  <c r="BT74" i="39" s="1"/>
  <c r="BS67" i="39"/>
  <c r="BS74" i="39" s="1"/>
  <c r="BR67" i="39"/>
  <c r="BR74" i="39" s="1"/>
  <c r="BQ67" i="39"/>
  <c r="BQ74" i="39" s="1"/>
  <c r="BP67" i="39"/>
  <c r="BP74" i="39" s="1"/>
  <c r="BO67" i="39"/>
  <c r="BO74" i="39" s="1"/>
  <c r="BN67" i="39"/>
  <c r="BN74" i="39" s="1"/>
  <c r="BM67" i="39"/>
  <c r="BM74" i="39" s="1"/>
  <c r="BL67" i="39"/>
  <c r="BL74" i="39" s="1"/>
  <c r="BK67" i="39"/>
  <c r="BK74" i="39" s="1"/>
  <c r="BJ67" i="39"/>
  <c r="BJ74" i="39" s="1"/>
  <c r="BI67" i="39"/>
  <c r="BI74" i="39" s="1"/>
  <c r="BH67" i="39"/>
  <c r="BH74" i="39" s="1"/>
  <c r="BG67" i="39"/>
  <c r="BG74" i="39" s="1"/>
  <c r="BF67" i="39"/>
  <c r="BF74" i="39" s="1"/>
  <c r="BE67" i="39"/>
  <c r="BE74" i="39" s="1"/>
  <c r="BD67" i="39"/>
  <c r="BD74" i="39" s="1"/>
  <c r="BC67" i="39"/>
  <c r="BC74" i="39" s="1"/>
  <c r="BB67" i="39"/>
  <c r="BB74" i="39" s="1"/>
  <c r="BA67" i="39"/>
  <c r="BA74" i="39" s="1"/>
  <c r="AZ67" i="39"/>
  <c r="AZ74" i="39" s="1"/>
  <c r="AI67" i="39"/>
  <c r="AH67" i="39"/>
  <c r="BW66" i="39"/>
  <c r="BW73" i="39" s="1"/>
  <c r="BV66" i="39"/>
  <c r="BV73" i="39" s="1"/>
  <c r="BU66" i="39"/>
  <c r="BU73" i="39" s="1"/>
  <c r="BT66" i="39"/>
  <c r="BT73" i="39" s="1"/>
  <c r="BS66" i="39"/>
  <c r="BS73" i="39" s="1"/>
  <c r="BR66" i="39"/>
  <c r="BR73" i="39" s="1"/>
  <c r="BQ66" i="39"/>
  <c r="BQ73" i="39" s="1"/>
  <c r="BP66" i="39"/>
  <c r="BP73" i="39" s="1"/>
  <c r="BO66" i="39"/>
  <c r="BO73" i="39" s="1"/>
  <c r="BN66" i="39"/>
  <c r="BN73" i="39" s="1"/>
  <c r="BM66" i="39"/>
  <c r="BM73" i="39" s="1"/>
  <c r="BL66" i="39"/>
  <c r="BL73" i="39" s="1"/>
  <c r="BK66" i="39"/>
  <c r="BK73" i="39" s="1"/>
  <c r="BJ66" i="39"/>
  <c r="BJ73" i="39" s="1"/>
  <c r="BI66" i="39"/>
  <c r="BI73" i="39" s="1"/>
  <c r="BH66" i="39"/>
  <c r="BH73" i="39" s="1"/>
  <c r="BG66" i="39"/>
  <c r="BG73" i="39" s="1"/>
  <c r="BF66" i="39"/>
  <c r="BF73" i="39" s="1"/>
  <c r="BE66" i="39"/>
  <c r="BE73" i="39" s="1"/>
  <c r="BD66" i="39"/>
  <c r="BD73" i="39" s="1"/>
  <c r="BC66" i="39"/>
  <c r="BC73" i="39" s="1"/>
  <c r="BB66" i="39"/>
  <c r="BB73" i="39" s="1"/>
  <c r="BA66" i="39"/>
  <c r="BA73" i="39" s="1"/>
  <c r="AZ66" i="39"/>
  <c r="AI66" i="39"/>
  <c r="AH66" i="39"/>
  <c r="AG65" i="39"/>
  <c r="BH17" i="39"/>
  <c r="AC65" i="39"/>
  <c r="Z65" i="39"/>
  <c r="Y65" i="39"/>
  <c r="X65" i="39"/>
  <c r="BE17" i="39" s="1"/>
  <c r="W65" i="39"/>
  <c r="V65" i="39"/>
  <c r="BD17" i="39" s="1"/>
  <c r="U65" i="39"/>
  <c r="BC17" i="39" s="1"/>
  <c r="T65" i="39"/>
  <c r="S65" i="39"/>
  <c r="BA17" i="39" s="1"/>
  <c r="AZ17" i="39"/>
  <c r="AY17" i="39"/>
  <c r="O65" i="39"/>
  <c r="N65" i="39"/>
  <c r="AV17" i="39" s="1"/>
  <c r="M65" i="39"/>
  <c r="AU17" i="39" s="1"/>
  <c r="L65" i="39"/>
  <c r="AR17" i="39"/>
  <c r="AQ17" i="39"/>
  <c r="D65" i="39"/>
  <c r="C65" i="39"/>
  <c r="B65" i="39"/>
  <c r="AI64" i="39"/>
  <c r="AH64" i="39"/>
  <c r="AI63" i="39"/>
  <c r="AH63" i="39"/>
  <c r="AI62" i="39"/>
  <c r="AH62" i="39"/>
  <c r="AG61" i="39"/>
  <c r="BJ16" i="39"/>
  <c r="BH16" i="39"/>
  <c r="AC61" i="39"/>
  <c r="AA100" i="39"/>
  <c r="AA102" i="39" s="1"/>
  <c r="Z61" i="39"/>
  <c r="Y61" i="39"/>
  <c r="X61" i="39"/>
  <c r="W61" i="39"/>
  <c r="V61" i="39"/>
  <c r="U61" i="39"/>
  <c r="BC16" i="39" s="1"/>
  <c r="T61" i="39"/>
  <c r="S61" i="39"/>
  <c r="BA16" i="39" s="1"/>
  <c r="Q61" i="39"/>
  <c r="AY16" i="39" s="1"/>
  <c r="AX16" i="39"/>
  <c r="O61" i="39"/>
  <c r="AW16" i="39" s="1"/>
  <c r="N61" i="39"/>
  <c r="AV16" i="39" s="1"/>
  <c r="M61" i="39"/>
  <c r="AU16" i="39" s="1"/>
  <c r="L61" i="39"/>
  <c r="F7" i="39"/>
  <c r="D61" i="39"/>
  <c r="AO16" i="39" s="1"/>
  <c r="C61" i="39"/>
  <c r="AN16" i="39" s="1"/>
  <c r="B61" i="39"/>
  <c r="AM16" i="39" s="1"/>
  <c r="AI60" i="39"/>
  <c r="AH60" i="39"/>
  <c r="AI59" i="39"/>
  <c r="AH59" i="39"/>
  <c r="AI58" i="39"/>
  <c r="AH58" i="39"/>
  <c r="AI57" i="39"/>
  <c r="AH57" i="39"/>
  <c r="AI56" i="39"/>
  <c r="AH56" i="39"/>
  <c r="AI55" i="39"/>
  <c r="AH55" i="39"/>
  <c r="AI54" i="39"/>
  <c r="AH54" i="39"/>
  <c r="AI53" i="39"/>
  <c r="AH53" i="39"/>
  <c r="AI52" i="39"/>
  <c r="AH52" i="39"/>
  <c r="AI51" i="39"/>
  <c r="AH51" i="39"/>
  <c r="AI50" i="39"/>
  <c r="AH50" i="39"/>
  <c r="AI49" i="39"/>
  <c r="AH49" i="39"/>
  <c r="AI48" i="39"/>
  <c r="AH48" i="39"/>
  <c r="AI47" i="39"/>
  <c r="AH47" i="39"/>
  <c r="AI46" i="39"/>
  <c r="AH46" i="39"/>
  <c r="AI45" i="39"/>
  <c r="AH45" i="39"/>
  <c r="AI44" i="39"/>
  <c r="AH44" i="39"/>
  <c r="AI43" i="39"/>
  <c r="AH43" i="39"/>
  <c r="AI42" i="39"/>
  <c r="AH42" i="39"/>
  <c r="AI41" i="39"/>
  <c r="AH41" i="39"/>
  <c r="AI40" i="39"/>
  <c r="AH40" i="39"/>
  <c r="AI39" i="39"/>
  <c r="AH39" i="39"/>
  <c r="AI38" i="39"/>
  <c r="AH38" i="39"/>
  <c r="AI37" i="39"/>
  <c r="AH37" i="39"/>
  <c r="AI36" i="39"/>
  <c r="AH36" i="39"/>
  <c r="AI35" i="39"/>
  <c r="AH35" i="39"/>
  <c r="AI34" i="39"/>
  <c r="AH34" i="39"/>
  <c r="AI33" i="39"/>
  <c r="AH33" i="39"/>
  <c r="AI32" i="39"/>
  <c r="AH32" i="39"/>
  <c r="AI31" i="39"/>
  <c r="AH31" i="39"/>
  <c r="AI30" i="39"/>
  <c r="AH30" i="39"/>
  <c r="AI29" i="39"/>
  <c r="AH29" i="39"/>
  <c r="AI28" i="39"/>
  <c r="AH28" i="39"/>
  <c r="AI27" i="39"/>
  <c r="AH27" i="39"/>
  <c r="AI26" i="39"/>
  <c r="AH26" i="39"/>
  <c r="AI25" i="39"/>
  <c r="AH25" i="39"/>
  <c r="AI24" i="39"/>
  <c r="AH24" i="39"/>
  <c r="BJ23" i="39"/>
  <c r="AR23" i="39"/>
  <c r="AI23" i="39"/>
  <c r="AH23" i="39"/>
  <c r="AI22" i="39"/>
  <c r="AH22" i="39"/>
  <c r="BJ21" i="39"/>
  <c r="BI21" i="39"/>
  <c r="BH21" i="39"/>
  <c r="BG21" i="39"/>
  <c r="BF21" i="39"/>
  <c r="BE21" i="39"/>
  <c r="BD21" i="39"/>
  <c r="BC21" i="39"/>
  <c r="BB21" i="39"/>
  <c r="BA21" i="39"/>
  <c r="AZ21" i="39"/>
  <c r="AY21" i="39"/>
  <c r="AX21" i="39"/>
  <c r="AW21" i="39"/>
  <c r="AV21" i="39"/>
  <c r="AU21" i="39"/>
  <c r="AT21" i="39"/>
  <c r="AS21" i="39"/>
  <c r="AR21" i="39"/>
  <c r="AQ21" i="39"/>
  <c r="AP21" i="39"/>
  <c r="AO21" i="39"/>
  <c r="AN21" i="39"/>
  <c r="AM21" i="39"/>
  <c r="AI21" i="39"/>
  <c r="AH21" i="39"/>
  <c r="BJ20" i="39"/>
  <c r="BI20" i="39"/>
  <c r="BH20" i="39"/>
  <c r="BG20" i="39"/>
  <c r="BF20" i="39"/>
  <c r="BE20" i="39"/>
  <c r="BB20" i="39"/>
  <c r="BA20" i="39"/>
  <c r="AZ20" i="39"/>
  <c r="AX20" i="39"/>
  <c r="AW20" i="39"/>
  <c r="AV20" i="39"/>
  <c r="AU20" i="39"/>
  <c r="AT20" i="39"/>
  <c r="AR20" i="39"/>
  <c r="AQ20" i="39"/>
  <c r="AP20" i="39"/>
  <c r="AO20" i="39"/>
  <c r="AN20" i="39"/>
  <c r="AI20" i="39"/>
  <c r="AH20" i="39"/>
  <c r="BI19" i="39"/>
  <c r="BE19" i="39"/>
  <c r="AZ19" i="39"/>
  <c r="AY19" i="39"/>
  <c r="AW19" i="39"/>
  <c r="AR19" i="39"/>
  <c r="AI19" i="39"/>
  <c r="AH19" i="39"/>
  <c r="BF18" i="39"/>
  <c r="BC18" i="39"/>
  <c r="BB18" i="39"/>
  <c r="BA18" i="39"/>
  <c r="AZ18" i="39"/>
  <c r="AY18" i="39"/>
  <c r="AX18" i="39"/>
  <c r="AU18" i="39"/>
  <c r="AT18" i="39"/>
  <c r="AS18" i="39"/>
  <c r="AR18" i="39"/>
  <c r="AQ18" i="39"/>
  <c r="AN18" i="39"/>
  <c r="AM18" i="39"/>
  <c r="AI18" i="39"/>
  <c r="AH18" i="39"/>
  <c r="BJ17" i="39"/>
  <c r="BI17" i="39"/>
  <c r="BG17" i="39"/>
  <c r="BF17" i="39"/>
  <c r="BB17" i="39"/>
  <c r="AX17" i="39"/>
  <c r="AW17" i="39"/>
  <c r="AT17" i="39"/>
  <c r="AS17" i="39"/>
  <c r="AP17" i="39"/>
  <c r="AO17" i="39"/>
  <c r="AN17" i="39"/>
  <c r="AI17" i="39"/>
  <c r="AH17" i="39"/>
  <c r="BF16" i="39"/>
  <c r="BE16" i="39"/>
  <c r="BB16" i="39"/>
  <c r="AZ16" i="39"/>
  <c r="AT16" i="39"/>
  <c r="AR16" i="39"/>
  <c r="AP16" i="39"/>
  <c r="AI16" i="39"/>
  <c r="AH16" i="39"/>
  <c r="AI15" i="39"/>
  <c r="AH15" i="39"/>
  <c r="AI14" i="39"/>
  <c r="AH14" i="39"/>
  <c r="AI13" i="39"/>
  <c r="AH13" i="39"/>
  <c r="AL12" i="39"/>
  <c r="AI12" i="39"/>
  <c r="AH12" i="39"/>
  <c r="AI11" i="39"/>
  <c r="AH11" i="39"/>
  <c r="AE5" i="39"/>
  <c r="AD5" i="39"/>
  <c r="AA5" i="39"/>
  <c r="Z5" i="39"/>
  <c r="W5" i="39"/>
  <c r="T5" i="39"/>
  <c r="Q5" i="39"/>
  <c r="P5" i="39"/>
  <c r="O5" i="39"/>
  <c r="J5" i="39"/>
  <c r="I5" i="39"/>
  <c r="F5" i="39"/>
  <c r="K4" i="39"/>
  <c r="E4" i="39"/>
  <c r="H4" i="39" s="1"/>
  <c r="B4" i="39"/>
  <c r="D261" i="39" s="1"/>
  <c r="AG3" i="39"/>
  <c r="AG2" i="39"/>
  <c r="AD60" i="38"/>
  <c r="AA121" i="38"/>
  <c r="AA109" i="38"/>
  <c r="AA108" i="38"/>
  <c r="AA107" i="38"/>
  <c r="AA106" i="38"/>
  <c r="AA105" i="38"/>
  <c r="AA104" i="38"/>
  <c r="AA110" i="38" s="1"/>
  <c r="AA95" i="38"/>
  <c r="AA111" i="38" s="1"/>
  <c r="AA83" i="38"/>
  <c r="AA79" i="38"/>
  <c r="AA65" i="38"/>
  <c r="AA61" i="38"/>
  <c r="AA100" i="38" s="1"/>
  <c r="AA102" i="38" s="1"/>
  <c r="AA103" i="38" s="1"/>
  <c r="Z61" i="38"/>
  <c r="Z65" i="38"/>
  <c r="Z79" i="38"/>
  <c r="Z83" i="38"/>
  <c r="Z95" i="38"/>
  <c r="Z104" i="38"/>
  <c r="Z105" i="38"/>
  <c r="Z106" i="38"/>
  <c r="Z107" i="38"/>
  <c r="Z108" i="38"/>
  <c r="Z109" i="38"/>
  <c r="Z121" i="38"/>
  <c r="Y61" i="38"/>
  <c r="Y65" i="38"/>
  <c r="Y79" i="38"/>
  <c r="Y83" i="38"/>
  <c r="Y95" i="38"/>
  <c r="Y104" i="38"/>
  <c r="Y105" i="38"/>
  <c r="Y106" i="38"/>
  <c r="Y107" i="38"/>
  <c r="Y108" i="38"/>
  <c r="Y109" i="38"/>
  <c r="Y121" i="38"/>
  <c r="X61" i="38"/>
  <c r="X65" i="38"/>
  <c r="X79" i="38"/>
  <c r="X83" i="38"/>
  <c r="X95" i="38"/>
  <c r="X104" i="38"/>
  <c r="X105" i="38"/>
  <c r="X106" i="38"/>
  <c r="X107" i="38"/>
  <c r="X108" i="38"/>
  <c r="X109" i="38"/>
  <c r="X121" i="38"/>
  <c r="E110" i="39" l="1"/>
  <c r="AP23" i="39" s="1"/>
  <c r="BI23" i="39"/>
  <c r="AG6" i="39"/>
  <c r="X111" i="39"/>
  <c r="AF111" i="39"/>
  <c r="D255" i="39"/>
  <c r="AD110" i="39"/>
  <c r="BH23" i="39" s="1"/>
  <c r="E249" i="39"/>
  <c r="F249" i="39" s="1"/>
  <c r="G249" i="39" s="1"/>
  <c r="AC110" i="39"/>
  <c r="AB100" i="39"/>
  <c r="AB102" i="39" s="1"/>
  <c r="BG18" i="39"/>
  <c r="BG16" i="39"/>
  <c r="BG22" i="39" s="1"/>
  <c r="BF19" i="39"/>
  <c r="BF22" i="39"/>
  <c r="Y111" i="39"/>
  <c r="BE23" i="39"/>
  <c r="BE22" i="39"/>
  <c r="W110" i="39"/>
  <c r="W111" i="39" s="1"/>
  <c r="V5" i="39"/>
  <c r="V110" i="39"/>
  <c r="BD23" i="39" s="1"/>
  <c r="V100" i="39"/>
  <c r="V102" i="39" s="1"/>
  <c r="V103" i="39" s="1"/>
  <c r="V7" i="39" s="1"/>
  <c r="BD16" i="39"/>
  <c r="U110" i="39"/>
  <c r="BC23" i="39" s="1"/>
  <c r="BB19" i="39"/>
  <c r="T100" i="39"/>
  <c r="T102" i="39" s="1"/>
  <c r="BA19" i="39"/>
  <c r="AZ22" i="39"/>
  <c r="Q110" i="39"/>
  <c r="AY23" i="39" s="1"/>
  <c r="AY22" i="39"/>
  <c r="AY24" i="39" s="1"/>
  <c r="P110" i="39"/>
  <c r="AX23" i="39" s="1"/>
  <c r="AX22" i="39"/>
  <c r="O111" i="39"/>
  <c r="O110" i="39"/>
  <c r="AW23" i="39" s="1"/>
  <c r="N5" i="39"/>
  <c r="AW22" i="39"/>
  <c r="AW24" i="39" s="1"/>
  <c r="N110" i="39"/>
  <c r="AV23" i="39" s="1"/>
  <c r="M110" i="39"/>
  <c r="AU23" i="39" s="1"/>
  <c r="L100" i="39"/>
  <c r="L102" i="39" s="1"/>
  <c r="K100" i="39"/>
  <c r="K102" i="39" s="1"/>
  <c r="AT22" i="39"/>
  <c r="H110" i="39"/>
  <c r="H111" i="39" s="1"/>
  <c r="H5" i="39"/>
  <c r="I110" i="39"/>
  <c r="AS23" i="39" s="1"/>
  <c r="I100" i="39"/>
  <c r="I102" i="39" s="1"/>
  <c r="I103" i="39" s="1"/>
  <c r="I7" i="39" s="1"/>
  <c r="AR22" i="39"/>
  <c r="AR24" i="39" s="1"/>
  <c r="AP19" i="39"/>
  <c r="AP22" i="39" s="1"/>
  <c r="AP24" i="39" s="1"/>
  <c r="AI106" i="39"/>
  <c r="AO19" i="39"/>
  <c r="AO22" i="39" s="1"/>
  <c r="D100" i="39"/>
  <c r="D102" i="39" s="1"/>
  <c r="AI108" i="39"/>
  <c r="C100" i="39"/>
  <c r="C102" i="39" s="1"/>
  <c r="B5" i="39"/>
  <c r="AN22" i="39"/>
  <c r="AH79" i="39"/>
  <c r="AH108" i="39"/>
  <c r="AH106" i="39"/>
  <c r="AM19" i="39"/>
  <c r="AL13" i="39"/>
  <c r="N100" i="39"/>
  <c r="N102" i="39" s="1"/>
  <c r="N103" i="39" s="1"/>
  <c r="N7" i="39" s="1"/>
  <c r="AH109" i="39"/>
  <c r="AI109" i="39"/>
  <c r="AQ19" i="39"/>
  <c r="E5" i="39"/>
  <c r="AV19" i="39"/>
  <c r="AV22" i="39" s="1"/>
  <c r="AV24" i="39" s="1"/>
  <c r="M5" i="39"/>
  <c r="AD100" i="39"/>
  <c r="AD102" i="39" s="1"/>
  <c r="AM17" i="39"/>
  <c r="AM22" i="39" s="1"/>
  <c r="AI65" i="39"/>
  <c r="AH65" i="39"/>
  <c r="AI105" i="39"/>
  <c r="J110" i="39"/>
  <c r="J111" i="39" s="1"/>
  <c r="R110" i="39"/>
  <c r="AZ23" i="39" s="1"/>
  <c r="AZ24" i="39" s="1"/>
  <c r="Z110" i="39"/>
  <c r="BF23" i="39" s="1"/>
  <c r="BF24" i="39" s="1"/>
  <c r="V111" i="39"/>
  <c r="BD19" i="39"/>
  <c r="BD22" i="39" s="1"/>
  <c r="BD24" i="39" s="1"/>
  <c r="U5" i="39"/>
  <c r="BJ22" i="39"/>
  <c r="BJ24" i="39" s="1"/>
  <c r="AI61" i="39"/>
  <c r="B100" i="39"/>
  <c r="J100" i="39"/>
  <c r="J102" i="39" s="1"/>
  <c r="R102" i="39"/>
  <c r="R103" i="39" s="1"/>
  <c r="R7" i="39" s="1"/>
  <c r="Z100" i="39"/>
  <c r="Z102" i="39" s="1"/>
  <c r="AH61" i="39"/>
  <c r="AQ16" i="39"/>
  <c r="BB22" i="39"/>
  <c r="BA22" i="39"/>
  <c r="BH19" i="39"/>
  <c r="BH22" i="39" s="1"/>
  <c r="BH24" i="39" s="1"/>
  <c r="AC5" i="39"/>
  <c r="AZ73" i="39"/>
  <c r="BG82" i="39" a="1"/>
  <c r="AI83" i="39"/>
  <c r="S100" i="39"/>
  <c r="S102" i="39" s="1"/>
  <c r="AI107" i="39"/>
  <c r="E100" i="39"/>
  <c r="E102" i="39" s="1"/>
  <c r="E103" i="39" s="1"/>
  <c r="E7" i="39" s="1"/>
  <c r="M100" i="39"/>
  <c r="M102" i="39" s="1"/>
  <c r="M103" i="39" s="1"/>
  <c r="M7" i="39" s="1"/>
  <c r="U100" i="39"/>
  <c r="U102" i="39" s="1"/>
  <c r="U103" i="39" s="1"/>
  <c r="U7" i="39" s="1"/>
  <c r="AC100" i="39"/>
  <c r="AC102" i="39" s="1"/>
  <c r="AC103" i="39" s="1"/>
  <c r="AC7" i="39" s="1"/>
  <c r="AI79" i="39"/>
  <c r="E111" i="39"/>
  <c r="M111" i="39"/>
  <c r="U111" i="39"/>
  <c r="AC111" i="39"/>
  <c r="E255" i="39"/>
  <c r="AI104" i="39"/>
  <c r="O100" i="39"/>
  <c r="O102" i="39" s="1"/>
  <c r="O103" i="39" s="1"/>
  <c r="O7" i="39" s="1"/>
  <c r="W100" i="39"/>
  <c r="W102" i="39" s="1"/>
  <c r="W103" i="39" s="1"/>
  <c r="W7" i="39" s="1"/>
  <c r="AE7" i="39"/>
  <c r="AS16" i="39"/>
  <c r="AS22" i="39" s="1"/>
  <c r="AS24" i="39" s="1"/>
  <c r="BI16" i="39"/>
  <c r="BI22" i="39" s="1"/>
  <c r="BI24" i="39" s="1"/>
  <c r="AU19" i="39"/>
  <c r="AU22" i="39" s="1"/>
  <c r="AU24" i="39" s="1"/>
  <c r="BC19" i="39"/>
  <c r="BC22" i="39" s="1"/>
  <c r="BC24" i="39" s="1"/>
  <c r="H100" i="39"/>
  <c r="H102" i="39" s="1"/>
  <c r="H103" i="39" s="1"/>
  <c r="H7" i="39" s="1"/>
  <c r="P100" i="39"/>
  <c r="P102" i="39" s="1"/>
  <c r="P103" i="39" s="1"/>
  <c r="P7" i="39" s="1"/>
  <c r="X100" i="39"/>
  <c r="X102" i="39" s="1"/>
  <c r="X103" i="39" s="1"/>
  <c r="X7" i="39" s="1"/>
  <c r="AF100" i="39"/>
  <c r="AF102" i="39" s="1"/>
  <c r="AF103" i="39" s="1"/>
  <c r="AF7" i="39" s="1"/>
  <c r="AG102" i="39"/>
  <c r="C110" i="39"/>
  <c r="AN23" i="39" s="1"/>
  <c r="K110" i="39"/>
  <c r="AT23" i="39" s="1"/>
  <c r="AT24" i="39" s="1"/>
  <c r="S110" i="39"/>
  <c r="BA23" i="39" s="1"/>
  <c r="AA110" i="39"/>
  <c r="AA103" i="39" s="1"/>
  <c r="AA7" i="39" s="1"/>
  <c r="H249" i="39"/>
  <c r="D121" i="39"/>
  <c r="E254" i="39"/>
  <c r="Q100" i="39"/>
  <c r="Q102" i="39" s="1"/>
  <c r="Q103" i="39" s="1"/>
  <c r="Q7" i="39" s="1"/>
  <c r="Y100" i="39"/>
  <c r="Y102" i="39" s="1"/>
  <c r="Y103" i="39" s="1"/>
  <c r="Y7" i="39" s="1"/>
  <c r="AG100" i="39"/>
  <c r="I111" i="39"/>
  <c r="Q111" i="39"/>
  <c r="D110" i="39"/>
  <c r="L110" i="39"/>
  <c r="L111" i="39" s="1"/>
  <c r="T110" i="39"/>
  <c r="BB23" i="39" s="1"/>
  <c r="AB110" i="39"/>
  <c r="BG23" i="39" s="1"/>
  <c r="BG24" i="39" s="1"/>
  <c r="AH83" i="39"/>
  <c r="AH95" i="39"/>
  <c r="B110" i="39"/>
  <c r="B111" i="39" s="1"/>
  <c r="AI95" i="39"/>
  <c r="AH104" i="39"/>
  <c r="AH105" i="39"/>
  <c r="AH107" i="39"/>
  <c r="Z110" i="38"/>
  <c r="Z111" i="38" s="1"/>
  <c r="Z100" i="38"/>
  <c r="Z102" i="38" s="1"/>
  <c r="Z103" i="38" s="1"/>
  <c r="Y110" i="38"/>
  <c r="Y111" i="38" s="1"/>
  <c r="Y100" i="38"/>
  <c r="Y102" i="38" s="1"/>
  <c r="Y103" i="38" s="1"/>
  <c r="X110" i="38"/>
  <c r="X111" i="38"/>
  <c r="X100" i="38"/>
  <c r="X102" i="38" s="1"/>
  <c r="X103" i="38" s="1"/>
  <c r="W61" i="38"/>
  <c r="W65" i="38"/>
  <c r="W79" i="38"/>
  <c r="W83" i="38"/>
  <c r="W95" i="38"/>
  <c r="W104" i="38"/>
  <c r="W105" i="38"/>
  <c r="W106" i="38"/>
  <c r="W107" i="38"/>
  <c r="W108" i="38"/>
  <c r="W109" i="38"/>
  <c r="W121" i="38"/>
  <c r="V61" i="38"/>
  <c r="V65" i="38"/>
  <c r="V79" i="38"/>
  <c r="V83" i="38"/>
  <c r="V95" i="38"/>
  <c r="V104" i="38"/>
  <c r="V105" i="38"/>
  <c r="V106" i="38"/>
  <c r="V107" i="38"/>
  <c r="V108" i="38"/>
  <c r="V109" i="38"/>
  <c r="V121" i="38"/>
  <c r="U61" i="38"/>
  <c r="U65" i="38"/>
  <c r="U79" i="38"/>
  <c r="U83" i="38"/>
  <c r="U95" i="38"/>
  <c r="U104" i="38"/>
  <c r="U105" i="38"/>
  <c r="U106" i="38"/>
  <c r="U107" i="38"/>
  <c r="U108" i="38"/>
  <c r="U109" i="38"/>
  <c r="U121" i="38"/>
  <c r="T61" i="38"/>
  <c r="T65" i="38"/>
  <c r="T79" i="38"/>
  <c r="T83" i="38"/>
  <c r="T95" i="38"/>
  <c r="T104" i="38"/>
  <c r="T105" i="38"/>
  <c r="T106" i="38"/>
  <c r="T107" i="38"/>
  <c r="T108" i="38"/>
  <c r="T109" i="38"/>
  <c r="T121" i="38"/>
  <c r="S61" i="38"/>
  <c r="S65" i="38"/>
  <c r="S79" i="38"/>
  <c r="S83" i="38"/>
  <c r="S95" i="38"/>
  <c r="S104" i="38"/>
  <c r="S105" i="38"/>
  <c r="S106" i="38"/>
  <c r="S107" i="38"/>
  <c r="S108" i="38"/>
  <c r="S109" i="38"/>
  <c r="S121" i="38"/>
  <c r="AD111" i="39" l="1"/>
  <c r="AD103" i="39"/>
  <c r="AD7" i="39" s="1"/>
  <c r="P111" i="39"/>
  <c r="N111" i="39"/>
  <c r="AA111" i="39"/>
  <c r="Z103" i="39"/>
  <c r="Z7" i="39" s="1"/>
  <c r="AX24" i="39"/>
  <c r="Z111" i="39"/>
  <c r="BE24" i="39"/>
  <c r="S103" i="39"/>
  <c r="S7" i="39" s="1"/>
  <c r="S111" i="39"/>
  <c r="R111" i="39"/>
  <c r="J103" i="39"/>
  <c r="J7" i="39" s="1"/>
  <c r="AN24" i="39"/>
  <c r="K111" i="39"/>
  <c r="BB24" i="39"/>
  <c r="AI110" i="39"/>
  <c r="AM23" i="39"/>
  <c r="AM24" i="39" s="1"/>
  <c r="AH110" i="39"/>
  <c r="AB111" i="39"/>
  <c r="C111" i="39"/>
  <c r="T103" i="39"/>
  <c r="T7" i="39" s="1"/>
  <c r="L103" i="39"/>
  <c r="L7" i="39" s="1"/>
  <c r="AQ22" i="39"/>
  <c r="AQ24" i="39" s="1"/>
  <c r="D103" i="39"/>
  <c r="D7" i="39" s="1"/>
  <c r="AO23" i="39"/>
  <c r="AO24" i="39" s="1"/>
  <c r="BK105" i="39"/>
  <c r="BI104" i="39"/>
  <c r="BG103" i="39"/>
  <c r="BK101" i="39"/>
  <c r="BI100" i="39"/>
  <c r="BG99" i="39"/>
  <c r="BK97" i="39"/>
  <c r="BI96" i="39"/>
  <c r="BG95" i="39"/>
  <c r="BK93" i="39"/>
  <c r="BI92" i="39"/>
  <c r="BG91" i="39"/>
  <c r="BK89" i="39"/>
  <c r="BI88" i="39"/>
  <c r="BG87" i="39"/>
  <c r="BK85" i="39"/>
  <c r="BI84" i="39"/>
  <c r="BG83" i="39"/>
  <c r="BG105" i="39"/>
  <c r="BK103" i="39"/>
  <c r="BI102" i="39"/>
  <c r="BG101" i="39"/>
  <c r="BK99" i="39"/>
  <c r="BI98" i="39"/>
  <c r="BG97" i="39"/>
  <c r="BK95" i="39"/>
  <c r="BI94" i="39"/>
  <c r="BG93" i="39"/>
  <c r="BK91" i="39"/>
  <c r="BI90" i="39"/>
  <c r="BG89" i="39"/>
  <c r="BK87" i="39"/>
  <c r="BI86" i="39"/>
  <c r="BG85" i="39"/>
  <c r="BK83" i="39"/>
  <c r="BI82" i="39"/>
  <c r="BL104" i="39"/>
  <c r="BJ103" i="39"/>
  <c r="BH102" i="39"/>
  <c r="BL100" i="39"/>
  <c r="BJ99" i="39"/>
  <c r="BH98" i="39"/>
  <c r="BL96" i="39"/>
  <c r="BJ95" i="39"/>
  <c r="BH94" i="39"/>
  <c r="BL92" i="39"/>
  <c r="BJ91" i="39"/>
  <c r="BH90" i="39"/>
  <c r="BL88" i="39"/>
  <c r="BJ87" i="39"/>
  <c r="BH86" i="39"/>
  <c r="BL84" i="39"/>
  <c r="BJ83" i="39"/>
  <c r="BH82" i="39"/>
  <c r="BK104" i="39"/>
  <c r="BI103" i="39"/>
  <c r="BG102" i="39"/>
  <c r="BK100" i="39"/>
  <c r="BI99" i="39"/>
  <c r="BG98" i="39"/>
  <c r="BK96" i="39"/>
  <c r="BI95" i="39"/>
  <c r="BG94" i="39"/>
  <c r="BK92" i="39"/>
  <c r="BI91" i="39"/>
  <c r="BG90" i="39"/>
  <c r="BK88" i="39"/>
  <c r="BI87" i="39"/>
  <c r="BG86" i="39"/>
  <c r="BK84" i="39"/>
  <c r="BI83" i="39"/>
  <c r="BG82" i="39"/>
  <c r="BI105" i="39"/>
  <c r="BK102" i="39"/>
  <c r="BG100" i="39"/>
  <c r="BI97" i="39"/>
  <c r="BK94" i="39"/>
  <c r="BG92" i="39"/>
  <c r="BI89" i="39"/>
  <c r="BK86" i="39"/>
  <c r="BG84" i="39"/>
  <c r="BH105" i="39"/>
  <c r="BJ102" i="39"/>
  <c r="BL99" i="39"/>
  <c r="BH97" i="39"/>
  <c r="BJ94" i="39"/>
  <c r="BL91" i="39"/>
  <c r="BH89" i="39"/>
  <c r="BJ86" i="39"/>
  <c r="BL83" i="39"/>
  <c r="BJ104" i="39"/>
  <c r="BL101" i="39"/>
  <c r="BH99" i="39"/>
  <c r="BJ96" i="39"/>
  <c r="BL93" i="39"/>
  <c r="BH91" i="39"/>
  <c r="BJ88" i="39"/>
  <c r="BL85" i="39"/>
  <c r="BH83" i="39"/>
  <c r="BG104" i="39"/>
  <c r="BI101" i="39"/>
  <c r="BK98" i="39"/>
  <c r="BG96" i="39"/>
  <c r="BI93" i="39"/>
  <c r="BK90" i="39"/>
  <c r="BG88" i="39"/>
  <c r="BI85" i="39"/>
  <c r="BK82" i="39"/>
  <c r="BL103" i="39"/>
  <c r="BH101" i="39"/>
  <c r="BJ98" i="39"/>
  <c r="BL95" i="39"/>
  <c r="BH93" i="39"/>
  <c r="BJ90" i="39"/>
  <c r="BL87" i="39"/>
  <c r="BH85" i="39"/>
  <c r="BJ82" i="39"/>
  <c r="BL105" i="39"/>
  <c r="BH103" i="39"/>
  <c r="BJ100" i="39"/>
  <c r="BL97" i="39"/>
  <c r="BH95" i="39"/>
  <c r="BJ92" i="39"/>
  <c r="BL89" i="39"/>
  <c r="BH87" i="39"/>
  <c r="BJ84" i="39"/>
  <c r="BH96" i="39"/>
  <c r="BJ85" i="39"/>
  <c r="BH88" i="39"/>
  <c r="BJ105" i="39"/>
  <c r="BL94" i="39"/>
  <c r="BH84" i="39"/>
  <c r="BH104" i="39"/>
  <c r="BJ93" i="39"/>
  <c r="BL82" i="39"/>
  <c r="BL102" i="39"/>
  <c r="BH92" i="39"/>
  <c r="BJ101" i="39"/>
  <c r="BL90" i="39"/>
  <c r="BL98" i="39"/>
  <c r="BH100" i="39"/>
  <c r="BJ89" i="39"/>
  <c r="BJ97" i="39"/>
  <c r="BL86" i="39"/>
  <c r="BA24" i="39"/>
  <c r="F254" i="39"/>
  <c r="E121" i="39"/>
  <c r="T111" i="39"/>
  <c r="G7" i="39"/>
  <c r="C259" i="39"/>
  <c r="B259" i="39"/>
  <c r="K103" i="39"/>
  <c r="K7" i="39" s="1"/>
  <c r="I249" i="39"/>
  <c r="D111" i="39"/>
  <c r="AB103" i="39"/>
  <c r="AB7" i="39" s="1"/>
  <c r="C103" i="39"/>
  <c r="C7" i="39" s="1"/>
  <c r="AI100" i="39"/>
  <c r="AH100" i="39"/>
  <c r="B102" i="39"/>
  <c r="W110" i="38"/>
  <c r="W111" i="38" s="1"/>
  <c r="V100" i="38"/>
  <c r="V102" i="38" s="1"/>
  <c r="W100" i="38"/>
  <c r="W102" i="38" s="1"/>
  <c r="V110" i="38"/>
  <c r="V103" i="38" s="1"/>
  <c r="U110" i="38"/>
  <c r="U111" i="38" s="1"/>
  <c r="U100" i="38"/>
  <c r="U102" i="38" s="1"/>
  <c r="T110" i="38"/>
  <c r="T111" i="38" s="1"/>
  <c r="T100" i="38"/>
  <c r="T102" i="38" s="1"/>
  <c r="T103" i="38" s="1"/>
  <c r="S110" i="38"/>
  <c r="S100" i="38"/>
  <c r="S102" i="38" s="1"/>
  <c r="S103" i="38" s="1"/>
  <c r="S111" i="38"/>
  <c r="K6" i="39" l="1"/>
  <c r="AI111" i="39"/>
  <c r="AT9" i="39"/>
  <c r="AH111" i="39"/>
  <c r="G254" i="39"/>
  <c r="F121" i="39"/>
  <c r="F255" i="39"/>
  <c r="B103" i="39"/>
  <c r="AI102" i="39"/>
  <c r="AH102" i="39"/>
  <c r="J249" i="39"/>
  <c r="AT8" i="39"/>
  <c r="W103" i="38"/>
  <c r="V111" i="38"/>
  <c r="U103" i="38"/>
  <c r="AI103" i="39" l="1"/>
  <c r="AH103" i="39"/>
  <c r="B7" i="39"/>
  <c r="A7" i="39" s="1"/>
  <c r="K249" i="39"/>
  <c r="H254" i="39"/>
  <c r="G255" i="39"/>
  <c r="G121" i="39"/>
  <c r="G61" i="38"/>
  <c r="G65" i="38"/>
  <c r="G79" i="38"/>
  <c r="G83" i="38"/>
  <c r="I254" i="39" l="1"/>
  <c r="H255" i="39"/>
  <c r="H121" i="39"/>
  <c r="L249" i="39"/>
  <c r="C61" i="38"/>
  <c r="D61" i="38"/>
  <c r="C65" i="38"/>
  <c r="D65" i="38"/>
  <c r="C79" i="38"/>
  <c r="D79" i="38"/>
  <c r="AO18" i="38" s="1"/>
  <c r="C83" i="38"/>
  <c r="AN20" i="38" s="1"/>
  <c r="D83" i="38"/>
  <c r="C95" i="38"/>
  <c r="D95" i="38"/>
  <c r="C104" i="38"/>
  <c r="D104" i="38"/>
  <c r="C105" i="38"/>
  <c r="D105" i="38"/>
  <c r="C106" i="38"/>
  <c r="C110" i="38" s="1"/>
  <c r="D106" i="38"/>
  <c r="D110" i="38" s="1"/>
  <c r="C107" i="38"/>
  <c r="D107" i="38"/>
  <c r="C108" i="38"/>
  <c r="D108" i="38"/>
  <c r="C109" i="38"/>
  <c r="D109" i="38"/>
  <c r="C121" i="38"/>
  <c r="D121" i="38"/>
  <c r="B121" i="38"/>
  <c r="B109" i="38"/>
  <c r="B108" i="38"/>
  <c r="B107" i="38"/>
  <c r="B106" i="38"/>
  <c r="B105" i="38"/>
  <c r="B104" i="38"/>
  <c r="B110" i="38" s="1"/>
  <c r="B95" i="38"/>
  <c r="B111" i="38" s="1"/>
  <c r="B83" i="38"/>
  <c r="B79" i="38"/>
  <c r="B65" i="38"/>
  <c r="B61" i="38"/>
  <c r="AG255" i="38"/>
  <c r="C255" i="38"/>
  <c r="D254" i="38"/>
  <c r="E254" i="38" s="1"/>
  <c r="F254" i="38" s="1"/>
  <c r="G254" i="38" s="1"/>
  <c r="H254" i="38" s="1"/>
  <c r="I254" i="38" s="1"/>
  <c r="J254" i="38" s="1"/>
  <c r="K254" i="38" s="1"/>
  <c r="L254" i="38" s="1"/>
  <c r="M254" i="38" s="1"/>
  <c r="N254" i="38" s="1"/>
  <c r="O254" i="38" s="1"/>
  <c r="P254" i="38" s="1"/>
  <c r="Q254" i="38" s="1"/>
  <c r="R254" i="38" s="1"/>
  <c r="S254" i="38" s="1"/>
  <c r="T254" i="38" s="1"/>
  <c r="U254" i="38" s="1"/>
  <c r="V254" i="38" s="1"/>
  <c r="W254" i="38" s="1"/>
  <c r="X254" i="38" s="1"/>
  <c r="Y254" i="38" s="1"/>
  <c r="Z254" i="38" s="1"/>
  <c r="AA254" i="38" s="1"/>
  <c r="AB254" i="38" s="1"/>
  <c r="AC254" i="38" s="1"/>
  <c r="AD254" i="38" s="1"/>
  <c r="AE254" i="38" s="1"/>
  <c r="AF254" i="38" s="1"/>
  <c r="B254" i="38" s="1"/>
  <c r="J253" i="38"/>
  <c r="K253" i="38" s="1"/>
  <c r="L253" i="38" s="1"/>
  <c r="M253" i="38" s="1"/>
  <c r="N253" i="38" s="1"/>
  <c r="O253" i="38" s="1"/>
  <c r="P253" i="38" s="1"/>
  <c r="Q253" i="38" s="1"/>
  <c r="R253" i="38" s="1"/>
  <c r="S253" i="38" s="1"/>
  <c r="T253" i="38" s="1"/>
  <c r="U253" i="38" s="1"/>
  <c r="V253" i="38" s="1"/>
  <c r="W253" i="38" s="1"/>
  <c r="X253" i="38" s="1"/>
  <c r="Y253" i="38" s="1"/>
  <c r="Z253" i="38" s="1"/>
  <c r="AA253" i="38" s="1"/>
  <c r="AB253" i="38" s="1"/>
  <c r="AC253" i="38" s="1"/>
  <c r="AD253" i="38" s="1"/>
  <c r="AE253" i="38" s="1"/>
  <c r="AF253" i="38" s="1"/>
  <c r="B253" i="38" s="1"/>
  <c r="D253" i="38"/>
  <c r="E253" i="38" s="1"/>
  <c r="F253" i="38" s="1"/>
  <c r="G253" i="38" s="1"/>
  <c r="H253" i="38" s="1"/>
  <c r="I253" i="38" s="1"/>
  <c r="Y252" i="38"/>
  <c r="Z252" i="38" s="1"/>
  <c r="AA252" i="38" s="1"/>
  <c r="AB252" i="38" s="1"/>
  <c r="AC252" i="38" s="1"/>
  <c r="AD252" i="38" s="1"/>
  <c r="AE252" i="38" s="1"/>
  <c r="AF252" i="38" s="1"/>
  <c r="B252" i="38" s="1"/>
  <c r="E252" i="38"/>
  <c r="F252" i="38" s="1"/>
  <c r="G252" i="38" s="1"/>
  <c r="H252" i="38" s="1"/>
  <c r="I252" i="38" s="1"/>
  <c r="J252" i="38" s="1"/>
  <c r="K252" i="38" s="1"/>
  <c r="L252" i="38" s="1"/>
  <c r="M252" i="38" s="1"/>
  <c r="N252" i="38" s="1"/>
  <c r="O252" i="38" s="1"/>
  <c r="P252" i="38" s="1"/>
  <c r="Q252" i="38" s="1"/>
  <c r="R252" i="38" s="1"/>
  <c r="S252" i="38" s="1"/>
  <c r="T252" i="38" s="1"/>
  <c r="U252" i="38" s="1"/>
  <c r="V252" i="38" s="1"/>
  <c r="W252" i="38" s="1"/>
  <c r="X252" i="38" s="1"/>
  <c r="D252" i="38"/>
  <c r="F251" i="38"/>
  <c r="G251" i="38" s="1"/>
  <c r="H251" i="38" s="1"/>
  <c r="I251" i="38" s="1"/>
  <c r="J251" i="38" s="1"/>
  <c r="K251" i="38" s="1"/>
  <c r="L251" i="38" s="1"/>
  <c r="M251" i="38" s="1"/>
  <c r="N251" i="38" s="1"/>
  <c r="O251" i="38" s="1"/>
  <c r="P251" i="38" s="1"/>
  <c r="Q251" i="38" s="1"/>
  <c r="R251" i="38" s="1"/>
  <c r="S251" i="38" s="1"/>
  <c r="T251" i="38" s="1"/>
  <c r="U251" i="38" s="1"/>
  <c r="V251" i="38" s="1"/>
  <c r="W251" i="38" s="1"/>
  <c r="X251" i="38" s="1"/>
  <c r="Y251" i="38" s="1"/>
  <c r="Z251" i="38" s="1"/>
  <c r="AA251" i="38" s="1"/>
  <c r="AB251" i="38" s="1"/>
  <c r="AC251" i="38" s="1"/>
  <c r="AD251" i="38" s="1"/>
  <c r="AE251" i="38" s="1"/>
  <c r="AF251" i="38" s="1"/>
  <c r="B251" i="38" s="1"/>
  <c r="D251" i="38"/>
  <c r="E251" i="38" s="1"/>
  <c r="D250" i="38"/>
  <c r="E250" i="38" s="1"/>
  <c r="F250" i="38" s="1"/>
  <c r="G250" i="38" s="1"/>
  <c r="H250" i="38" s="1"/>
  <c r="I250" i="38" s="1"/>
  <c r="J250" i="38" s="1"/>
  <c r="K250" i="38" s="1"/>
  <c r="L250" i="38" s="1"/>
  <c r="M250" i="38" s="1"/>
  <c r="N250" i="38" s="1"/>
  <c r="O250" i="38" s="1"/>
  <c r="P250" i="38" s="1"/>
  <c r="Q250" i="38" s="1"/>
  <c r="R250" i="38" s="1"/>
  <c r="S250" i="38" s="1"/>
  <c r="T250" i="38" s="1"/>
  <c r="U250" i="38" s="1"/>
  <c r="V250" i="38" s="1"/>
  <c r="W250" i="38" s="1"/>
  <c r="X250" i="38" s="1"/>
  <c r="Y250" i="38" s="1"/>
  <c r="Z250" i="38" s="1"/>
  <c r="AA250" i="38" s="1"/>
  <c r="AB250" i="38" s="1"/>
  <c r="AC250" i="38" s="1"/>
  <c r="AD250" i="38" s="1"/>
  <c r="AE250" i="38" s="1"/>
  <c r="AF250" i="38" s="1"/>
  <c r="B250" i="38" s="1"/>
  <c r="D249" i="38"/>
  <c r="AG247" i="38"/>
  <c r="AF247" i="38"/>
  <c r="AE247" i="38"/>
  <c r="AD247" i="38"/>
  <c r="AC247" i="38"/>
  <c r="AB247" i="38"/>
  <c r="AA247" i="38"/>
  <c r="Z247" i="38"/>
  <c r="Y247" i="38"/>
  <c r="X247" i="38"/>
  <c r="W247" i="38"/>
  <c r="V247" i="38"/>
  <c r="U247" i="38"/>
  <c r="T247" i="38"/>
  <c r="S247" i="38"/>
  <c r="R247" i="38"/>
  <c r="Q247" i="38"/>
  <c r="P247" i="38"/>
  <c r="O247" i="38"/>
  <c r="N247" i="38"/>
  <c r="M247" i="38"/>
  <c r="L247" i="38"/>
  <c r="K247" i="38"/>
  <c r="J247" i="38"/>
  <c r="I247" i="38"/>
  <c r="H247" i="38"/>
  <c r="G247" i="38"/>
  <c r="F247" i="38"/>
  <c r="E247" i="38"/>
  <c r="D247" i="38"/>
  <c r="C247" i="38"/>
  <c r="B247" i="38"/>
  <c r="AI133" i="38"/>
  <c r="AH133" i="38"/>
  <c r="AI132" i="38"/>
  <c r="AH132" i="38"/>
  <c r="AI131" i="38"/>
  <c r="AH131" i="38"/>
  <c r="AI130" i="38"/>
  <c r="AH130" i="38"/>
  <c r="AI129" i="38"/>
  <c r="AH129" i="38"/>
  <c r="AI126" i="38"/>
  <c r="AH126" i="38"/>
  <c r="AI125" i="38"/>
  <c r="AH125" i="38"/>
  <c r="AI124" i="38"/>
  <c r="AH124" i="38"/>
  <c r="AI123" i="38"/>
  <c r="AH123" i="38"/>
  <c r="AI122" i="38"/>
  <c r="AH122" i="38"/>
  <c r="AI120" i="38"/>
  <c r="AH120" i="38"/>
  <c r="AI119" i="38"/>
  <c r="AH119" i="38"/>
  <c r="AI118" i="38"/>
  <c r="AH118" i="38"/>
  <c r="AI117" i="38"/>
  <c r="AH117" i="38"/>
  <c r="AI116" i="38"/>
  <c r="AH116" i="38"/>
  <c r="AI115" i="38"/>
  <c r="AH115" i="38"/>
  <c r="AI114" i="38"/>
  <c r="AH114" i="38"/>
  <c r="AI113" i="38"/>
  <c r="AH113" i="38"/>
  <c r="AI112" i="38"/>
  <c r="AH112" i="38"/>
  <c r="AF109" i="38"/>
  <c r="AE109" i="38"/>
  <c r="AD109" i="38"/>
  <c r="AC109" i="38"/>
  <c r="AB109" i="38"/>
  <c r="R109" i="38"/>
  <c r="Q109" i="38"/>
  <c r="P109" i="38"/>
  <c r="O109" i="38"/>
  <c r="N109" i="38"/>
  <c r="M109" i="38"/>
  <c r="L109" i="38"/>
  <c r="K109" i="38"/>
  <c r="AI109" i="38" s="1"/>
  <c r="J109" i="38"/>
  <c r="I109" i="38"/>
  <c r="H109" i="38"/>
  <c r="G109" i="38"/>
  <c r="F109" i="38"/>
  <c r="E109" i="38"/>
  <c r="AH109" i="38"/>
  <c r="AF108" i="38"/>
  <c r="AE108" i="38"/>
  <c r="AD108" i="38"/>
  <c r="AC108" i="38"/>
  <c r="AB108" i="38"/>
  <c r="R108" i="38"/>
  <c r="Q108" i="38"/>
  <c r="P108" i="38"/>
  <c r="O108" i="38"/>
  <c r="N108" i="38"/>
  <c r="M108" i="38"/>
  <c r="L108" i="38"/>
  <c r="K108" i="38"/>
  <c r="J108" i="38"/>
  <c r="I108" i="38"/>
  <c r="H108" i="38"/>
  <c r="G108" i="38"/>
  <c r="F108" i="38"/>
  <c r="E108" i="38"/>
  <c r="AF107" i="38"/>
  <c r="AE107" i="38"/>
  <c r="AD107" i="38"/>
  <c r="AC107" i="38"/>
  <c r="AB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AF106" i="38"/>
  <c r="AE106" i="38"/>
  <c r="AD106" i="38"/>
  <c r="AC106" i="38"/>
  <c r="AB106" i="38"/>
  <c r="R106" i="38"/>
  <c r="Q106" i="38"/>
  <c r="P106" i="38"/>
  <c r="O106" i="38"/>
  <c r="N106" i="38"/>
  <c r="M106" i="38"/>
  <c r="L106" i="38"/>
  <c r="K106" i="38"/>
  <c r="J106" i="38"/>
  <c r="J110" i="38" s="1"/>
  <c r="I106" i="38"/>
  <c r="H106" i="38"/>
  <c r="G106" i="38"/>
  <c r="F106" i="38"/>
  <c r="E106" i="38"/>
  <c r="AF105" i="38"/>
  <c r="AE105" i="38"/>
  <c r="AD105" i="38"/>
  <c r="AC105" i="38"/>
  <c r="AB105" i="38"/>
  <c r="R105" i="38"/>
  <c r="Q105" i="38"/>
  <c r="P105" i="38"/>
  <c r="O105" i="38"/>
  <c r="N105" i="38"/>
  <c r="M105" i="38"/>
  <c r="L105" i="38"/>
  <c r="K105" i="38"/>
  <c r="K110" i="38" s="1"/>
  <c r="AT23" i="38" s="1"/>
  <c r="J105" i="38"/>
  <c r="I105" i="38"/>
  <c r="H105" i="38"/>
  <c r="G105" i="38"/>
  <c r="F105" i="38"/>
  <c r="E105" i="38"/>
  <c r="AF104" i="38"/>
  <c r="AE104" i="38"/>
  <c r="AD104" i="38"/>
  <c r="AC104" i="38"/>
  <c r="AC110" i="38" s="1"/>
  <c r="AB104" i="38"/>
  <c r="BA23" i="38"/>
  <c r="R104" i="38"/>
  <c r="Q104" i="38"/>
  <c r="Q110" i="38" s="1"/>
  <c r="AY23" i="38" s="1"/>
  <c r="P104" i="38"/>
  <c r="O104" i="38"/>
  <c r="N104" i="38"/>
  <c r="M104" i="38"/>
  <c r="L104" i="38"/>
  <c r="K104" i="38"/>
  <c r="J104" i="38"/>
  <c r="I104" i="38"/>
  <c r="I110" i="38" s="1"/>
  <c r="AS23" i="38" s="1"/>
  <c r="H104" i="38"/>
  <c r="H110" i="38" s="1"/>
  <c r="G104" i="38"/>
  <c r="F104" i="38"/>
  <c r="E104" i="38"/>
  <c r="E110" i="38" s="1"/>
  <c r="AA7" i="38"/>
  <c r="AI101" i="38"/>
  <c r="AH101" i="38"/>
  <c r="X7" i="38"/>
  <c r="AI99" i="38"/>
  <c r="AH99" i="38"/>
  <c r="AG99" i="38"/>
  <c r="AI98" i="38"/>
  <c r="AH98" i="38"/>
  <c r="AI97" i="38"/>
  <c r="AH97" i="38"/>
  <c r="AI96" i="38"/>
  <c r="AH96" i="38"/>
  <c r="AG95" i="38"/>
  <c r="AF95" i="38"/>
  <c r="AE5" i="38" s="1"/>
  <c r="AE95" i="38"/>
  <c r="AD5" i="38" s="1"/>
  <c r="AD95" i="38"/>
  <c r="AC5" i="38" s="1"/>
  <c r="AC95" i="38"/>
  <c r="AC111" i="38" s="1"/>
  <c r="AB95" i="38"/>
  <c r="R95" i="38"/>
  <c r="Q95" i="38"/>
  <c r="P95" i="38"/>
  <c r="O95" i="38"/>
  <c r="AW19" i="38" s="1"/>
  <c r="N95" i="38"/>
  <c r="AV19" i="38" s="1"/>
  <c r="M95" i="38"/>
  <c r="AU19" i="38" s="1"/>
  <c r="L95" i="38"/>
  <c r="K95" i="38"/>
  <c r="J95" i="38"/>
  <c r="I5" i="38" s="1"/>
  <c r="I95" i="38"/>
  <c r="H5" i="38" s="1"/>
  <c r="H95" i="38"/>
  <c r="G95" i="38"/>
  <c r="AR19" i="38" s="1"/>
  <c r="F95" i="38"/>
  <c r="E95" i="38"/>
  <c r="AI94" i="38"/>
  <c r="AH94" i="38"/>
  <c r="AI93" i="38"/>
  <c r="AH93" i="38"/>
  <c r="AI92" i="38"/>
  <c r="AH92" i="38"/>
  <c r="AI91" i="38"/>
  <c r="AH91" i="38"/>
  <c r="AI90" i="38"/>
  <c r="AH90" i="38"/>
  <c r="AI89" i="38"/>
  <c r="AH89" i="38"/>
  <c r="AI88" i="38"/>
  <c r="AH88" i="38"/>
  <c r="AI87" i="38"/>
  <c r="AH87" i="38"/>
  <c r="AI86" i="38"/>
  <c r="AH86" i="38"/>
  <c r="AI85" i="38"/>
  <c r="AH85" i="38"/>
  <c r="AI84" i="38"/>
  <c r="AH84" i="38"/>
  <c r="AG83" i="38"/>
  <c r="AF83" i="38"/>
  <c r="BJ20" i="38" s="1"/>
  <c r="AE83" i="38"/>
  <c r="AD83" i="38"/>
  <c r="BH20" i="38" s="1"/>
  <c r="AC83" i="38"/>
  <c r="AB83" i="38"/>
  <c r="BG20" i="38" s="1"/>
  <c r="BB20" i="38"/>
  <c r="BA20" i="38"/>
  <c r="R83" i="38"/>
  <c r="Q83" i="38"/>
  <c r="P83" i="38"/>
  <c r="O83" i="38"/>
  <c r="AW20" i="38" s="1"/>
  <c r="N83" i="38"/>
  <c r="M83" i="38"/>
  <c r="L83" i="38"/>
  <c r="K83" i="38"/>
  <c r="AT20" i="38" s="1"/>
  <c r="J83" i="38"/>
  <c r="I83" i="38"/>
  <c r="H83" i="38"/>
  <c r="F83" i="38"/>
  <c r="E83" i="38"/>
  <c r="AI82" i="38"/>
  <c r="AH82" i="38"/>
  <c r="AI81" i="38"/>
  <c r="AH81" i="38"/>
  <c r="AI80" i="38"/>
  <c r="AH80" i="38"/>
  <c r="AF79" i="38"/>
  <c r="AE79" i="38"/>
  <c r="AD79" i="38"/>
  <c r="AC79" i="38"/>
  <c r="AB79" i="38"/>
  <c r="BF18" i="38"/>
  <c r="BE18" i="38"/>
  <c r="BA18" i="38"/>
  <c r="R79" i="38"/>
  <c r="Q79" i="38"/>
  <c r="P79" i="38"/>
  <c r="AX18" i="38" s="1"/>
  <c r="O79" i="38"/>
  <c r="N79" i="38"/>
  <c r="M79" i="38"/>
  <c r="L79" i="38"/>
  <c r="K79" i="38"/>
  <c r="AT18" i="38" s="1"/>
  <c r="J79" i="38"/>
  <c r="I79" i="38"/>
  <c r="H79" i="38"/>
  <c r="F79" i="38"/>
  <c r="AQ18" i="38" s="1"/>
  <c r="E79" i="38"/>
  <c r="AP18" i="38" s="1"/>
  <c r="BT78" i="38"/>
  <c r="BL78" i="38"/>
  <c r="BI78" i="38"/>
  <c r="BD78" i="38"/>
  <c r="AI78" i="38"/>
  <c r="AH78" i="38"/>
  <c r="AG78" i="38"/>
  <c r="AG79" i="38" s="1"/>
  <c r="BV77" i="38"/>
  <c r="BC77" i="38"/>
  <c r="BA77" i="38"/>
  <c r="AI77" i="38"/>
  <c r="AH77" i="38"/>
  <c r="BH76" i="38"/>
  <c r="BE76" i="38"/>
  <c r="AI76" i="38"/>
  <c r="AH76" i="38"/>
  <c r="BU75" i="38"/>
  <c r="AI75" i="38"/>
  <c r="AH75" i="38"/>
  <c r="BV74" i="38"/>
  <c r="BU74" i="38"/>
  <c r="BL74" i="38"/>
  <c r="BI74" i="38"/>
  <c r="BE74" i="38"/>
  <c r="BD74" i="38"/>
  <c r="AI74" i="38"/>
  <c r="AH74" i="38"/>
  <c r="BK73" i="38"/>
  <c r="BB73" i="38"/>
  <c r="AI73" i="38"/>
  <c r="AH73" i="38"/>
  <c r="AI72" i="38"/>
  <c r="AH72" i="38"/>
  <c r="BW71" i="38"/>
  <c r="BW78" i="38" s="1"/>
  <c r="BV71" i="38"/>
  <c r="BV78" i="38" s="1"/>
  <c r="BU71" i="38"/>
  <c r="BU78" i="38" s="1"/>
  <c r="BT71" i="38"/>
  <c r="BS71" i="38"/>
  <c r="BS78" i="38" s="1"/>
  <c r="BR71" i="38"/>
  <c r="BR78" i="38" s="1"/>
  <c r="BQ71" i="38"/>
  <c r="BQ78" i="38" s="1"/>
  <c r="BP71" i="38"/>
  <c r="BP78" i="38" s="1"/>
  <c r="BO71" i="38"/>
  <c r="BO78" i="38" s="1"/>
  <c r="BN71" i="38"/>
  <c r="BN78" i="38" s="1"/>
  <c r="BM71" i="38"/>
  <c r="BM78" i="38" s="1"/>
  <c r="BL71" i="38"/>
  <c r="BK71" i="38"/>
  <c r="BK78" i="38" s="1"/>
  <c r="BJ71" i="38"/>
  <c r="BJ78" i="38" s="1"/>
  <c r="BI71" i="38"/>
  <c r="BH71" i="38"/>
  <c r="BH78" i="38" s="1"/>
  <c r="BG71" i="38"/>
  <c r="BG78" i="38" s="1"/>
  <c r="BF71" i="38"/>
  <c r="BF78" i="38" s="1"/>
  <c r="BE71" i="38"/>
  <c r="BE78" i="38" s="1"/>
  <c r="BD71" i="38"/>
  <c r="BC71" i="38"/>
  <c r="BC78" i="38" s="1"/>
  <c r="BB71" i="38"/>
  <c r="BB78" i="38" s="1"/>
  <c r="BA71" i="38"/>
  <c r="BA78" i="38" s="1"/>
  <c r="AZ71" i="38"/>
  <c r="AZ78" i="38" s="1"/>
  <c r="AI71" i="38"/>
  <c r="AH71" i="38"/>
  <c r="BW70" i="38"/>
  <c r="BW77" i="38" s="1"/>
  <c r="BV70" i="38"/>
  <c r="BU70" i="38"/>
  <c r="BU77" i="38" s="1"/>
  <c r="BT70" i="38"/>
  <c r="BT77" i="38" s="1"/>
  <c r="BS70" i="38"/>
  <c r="BS77" i="38" s="1"/>
  <c r="BR70" i="38"/>
  <c r="BR77" i="38" s="1"/>
  <c r="BQ70" i="38"/>
  <c r="BQ77" i="38" s="1"/>
  <c r="BP70" i="38"/>
  <c r="BP77" i="38" s="1"/>
  <c r="BO70" i="38"/>
  <c r="BO77" i="38" s="1"/>
  <c r="BN70" i="38"/>
  <c r="BN77" i="38" s="1"/>
  <c r="BM70" i="38"/>
  <c r="BM77" i="38" s="1"/>
  <c r="BL70" i="38"/>
  <c r="BL77" i="38" s="1"/>
  <c r="BK70" i="38"/>
  <c r="BK77" i="38" s="1"/>
  <c r="BJ70" i="38"/>
  <c r="BJ77" i="38" s="1"/>
  <c r="BI70" i="38"/>
  <c r="BI77" i="38" s="1"/>
  <c r="BH70" i="38"/>
  <c r="BH77" i="38" s="1"/>
  <c r="BG70" i="38"/>
  <c r="BG77" i="38" s="1"/>
  <c r="BF70" i="38"/>
  <c r="BF77" i="38" s="1"/>
  <c r="BE70" i="38"/>
  <c r="BE77" i="38" s="1"/>
  <c r="BD70" i="38"/>
  <c r="BD77" i="38" s="1"/>
  <c r="BC70" i="38"/>
  <c r="BB70" i="38"/>
  <c r="BB77" i="38" s="1"/>
  <c r="BA70" i="38"/>
  <c r="AZ70" i="38"/>
  <c r="AZ77" i="38" s="1"/>
  <c r="AI70" i="38"/>
  <c r="AH70" i="38"/>
  <c r="BW69" i="38"/>
  <c r="BW76" i="38" s="1"/>
  <c r="BV69" i="38"/>
  <c r="BV76" i="38" s="1"/>
  <c r="BU69" i="38"/>
  <c r="BU76" i="38" s="1"/>
  <c r="BT69" i="38"/>
  <c r="BT76" i="38" s="1"/>
  <c r="BS69" i="38"/>
  <c r="BS76" i="38" s="1"/>
  <c r="BR69" i="38"/>
  <c r="BR76" i="38" s="1"/>
  <c r="BQ69" i="38"/>
  <c r="BQ76" i="38" s="1"/>
  <c r="BP69" i="38"/>
  <c r="BP76" i="38" s="1"/>
  <c r="BO69" i="38"/>
  <c r="BO76" i="38" s="1"/>
  <c r="BN69" i="38"/>
  <c r="BN76" i="38" s="1"/>
  <c r="BM69" i="38"/>
  <c r="BM76" i="38" s="1"/>
  <c r="BL69" i="38"/>
  <c r="BL76" i="38" s="1"/>
  <c r="BK69" i="38"/>
  <c r="BK76" i="38" s="1"/>
  <c r="BJ69" i="38"/>
  <c r="BJ76" i="38" s="1"/>
  <c r="BI69" i="38"/>
  <c r="BI76" i="38" s="1"/>
  <c r="BH69" i="38"/>
  <c r="BG69" i="38"/>
  <c r="BG76" i="38" s="1"/>
  <c r="BF69" i="38"/>
  <c r="BF76" i="38" s="1"/>
  <c r="BE69" i="38"/>
  <c r="BD69" i="38"/>
  <c r="BD76" i="38" s="1"/>
  <c r="BC69" i="38"/>
  <c r="BC76" i="38" s="1"/>
  <c r="BB69" i="38"/>
  <c r="BB76" i="38" s="1"/>
  <c r="BA69" i="38"/>
  <c r="BA76" i="38" s="1"/>
  <c r="AZ69" i="38"/>
  <c r="AZ76" i="38" s="1"/>
  <c r="AI69" i="38"/>
  <c r="AH69" i="38"/>
  <c r="BW68" i="38"/>
  <c r="BW75" i="38" s="1"/>
  <c r="BV68" i="38"/>
  <c r="BV75" i="38" s="1"/>
  <c r="BU68" i="38"/>
  <c r="BT68" i="38"/>
  <c r="BT75" i="38" s="1"/>
  <c r="BS68" i="38"/>
  <c r="BS75" i="38" s="1"/>
  <c r="BR68" i="38"/>
  <c r="BR75" i="38" s="1"/>
  <c r="BQ68" i="38"/>
  <c r="BQ75" i="38" s="1"/>
  <c r="BP68" i="38"/>
  <c r="BP75" i="38" s="1"/>
  <c r="BO68" i="38"/>
  <c r="BO75" i="38" s="1"/>
  <c r="BN68" i="38"/>
  <c r="BN75" i="38" s="1"/>
  <c r="BM68" i="38"/>
  <c r="BM75" i="38" s="1"/>
  <c r="BL68" i="38"/>
  <c r="BL75" i="38" s="1"/>
  <c r="BK68" i="38"/>
  <c r="BK75" i="38" s="1"/>
  <c r="BJ68" i="38"/>
  <c r="BJ75" i="38" s="1"/>
  <c r="BI68" i="38"/>
  <c r="BI75" i="38" s="1"/>
  <c r="BH68" i="38"/>
  <c r="BH75" i="38" s="1"/>
  <c r="BG68" i="38"/>
  <c r="BG75" i="38" s="1"/>
  <c r="BF68" i="38"/>
  <c r="BF75" i="38" s="1"/>
  <c r="BE68" i="38"/>
  <c r="BE75" i="38" s="1"/>
  <c r="BD68" i="38"/>
  <c r="BD75" i="38" s="1"/>
  <c r="BC68" i="38"/>
  <c r="BC75" i="38" s="1"/>
  <c r="BB68" i="38"/>
  <c r="BB75" i="38" s="1"/>
  <c r="BA68" i="38"/>
  <c r="BA75" i="38" s="1"/>
  <c r="AZ68" i="38"/>
  <c r="AZ75" i="38" s="1"/>
  <c r="AI68" i="38"/>
  <c r="AH68" i="38"/>
  <c r="BW67" i="38"/>
  <c r="BW74" i="38" s="1"/>
  <c r="BV67" i="38"/>
  <c r="BU67" i="38"/>
  <c r="BT67" i="38"/>
  <c r="BT74" i="38" s="1"/>
  <c r="BS67" i="38"/>
  <c r="BS74" i="38" s="1"/>
  <c r="BR67" i="38"/>
  <c r="BR74" i="38" s="1"/>
  <c r="BQ67" i="38"/>
  <c r="BQ74" i="38" s="1"/>
  <c r="BP67" i="38"/>
  <c r="BP74" i="38" s="1"/>
  <c r="BO67" i="38"/>
  <c r="BO74" i="38" s="1"/>
  <c r="BN67" i="38"/>
  <c r="BN74" i="38" s="1"/>
  <c r="BM67" i="38"/>
  <c r="BM74" i="38" s="1"/>
  <c r="BL67" i="38"/>
  <c r="BK67" i="38"/>
  <c r="BK74" i="38" s="1"/>
  <c r="BJ67" i="38"/>
  <c r="BJ74" i="38" s="1"/>
  <c r="BI67" i="38"/>
  <c r="BH67" i="38"/>
  <c r="BH74" i="38" s="1"/>
  <c r="BG67" i="38"/>
  <c r="BG74" i="38" s="1"/>
  <c r="BF67" i="38"/>
  <c r="BF74" i="38" s="1"/>
  <c r="BE67" i="38"/>
  <c r="BD67" i="38"/>
  <c r="BC67" i="38"/>
  <c r="BC74" i="38" s="1"/>
  <c r="BB67" i="38"/>
  <c r="BB74" i="38" s="1"/>
  <c r="BA67" i="38"/>
  <c r="BA74" i="38" s="1"/>
  <c r="AZ67" i="38"/>
  <c r="AZ74" i="38" s="1"/>
  <c r="AI67" i="38"/>
  <c r="AH67" i="38"/>
  <c r="BW66" i="38"/>
  <c r="BW73" i="38" s="1"/>
  <c r="BV66" i="38"/>
  <c r="BV73" i="38" s="1"/>
  <c r="BU66" i="38"/>
  <c r="BU73" i="38" s="1"/>
  <c r="BT66" i="38"/>
  <c r="BT73" i="38" s="1"/>
  <c r="BS66" i="38"/>
  <c r="BS73" i="38" s="1"/>
  <c r="BR66" i="38"/>
  <c r="BR73" i="38" s="1"/>
  <c r="BQ66" i="38"/>
  <c r="BQ73" i="38" s="1"/>
  <c r="BP66" i="38"/>
  <c r="BP73" i="38" s="1"/>
  <c r="BO66" i="38"/>
  <c r="BO73" i="38" s="1"/>
  <c r="BN66" i="38"/>
  <c r="BN73" i="38" s="1"/>
  <c r="BM66" i="38"/>
  <c r="BM73" i="38" s="1"/>
  <c r="BL66" i="38"/>
  <c r="BL73" i="38" s="1"/>
  <c r="BK66" i="38"/>
  <c r="BJ66" i="38"/>
  <c r="BJ73" i="38" s="1"/>
  <c r="BI66" i="38"/>
  <c r="BI73" i="38" s="1"/>
  <c r="BH66" i="38"/>
  <c r="BH73" i="38" s="1"/>
  <c r="BG66" i="38"/>
  <c r="BG73" i="38" s="1"/>
  <c r="BF66" i="38"/>
  <c r="BF73" i="38" s="1"/>
  <c r="BE66" i="38"/>
  <c r="BE73" i="38" s="1"/>
  <c r="BD66" i="38"/>
  <c r="BD73" i="38" s="1"/>
  <c r="BC66" i="38"/>
  <c r="BC73" i="38" s="1"/>
  <c r="BB66" i="38"/>
  <c r="BA66" i="38"/>
  <c r="BA73" i="38" s="1"/>
  <c r="AZ66" i="38"/>
  <c r="AI66" i="38"/>
  <c r="AH66" i="38"/>
  <c r="AG65" i="38"/>
  <c r="AF65" i="38"/>
  <c r="AE65" i="38"/>
  <c r="BI17" i="38" s="1"/>
  <c r="AD65" i="38"/>
  <c r="BH17" i="38" s="1"/>
  <c r="AC65" i="38"/>
  <c r="AB65" i="38"/>
  <c r="BF17" i="38"/>
  <c r="BC17" i="38"/>
  <c r="BA17" i="38"/>
  <c r="R65" i="38"/>
  <c r="AZ17" i="38" s="1"/>
  <c r="Q65" i="38"/>
  <c r="AY17" i="38" s="1"/>
  <c r="P65" i="38"/>
  <c r="O65" i="38"/>
  <c r="N65" i="38"/>
  <c r="M65" i="38"/>
  <c r="AU17" i="38" s="1"/>
  <c r="L65" i="38"/>
  <c r="K65" i="38"/>
  <c r="J65" i="38"/>
  <c r="I65" i="38"/>
  <c r="H65" i="38"/>
  <c r="AR17" i="38"/>
  <c r="F65" i="38"/>
  <c r="AQ17" i="38" s="1"/>
  <c r="E65" i="38"/>
  <c r="AN17" i="38"/>
  <c r="AM17" i="38"/>
  <c r="AI64" i="38"/>
  <c r="AH64" i="38"/>
  <c r="AI63" i="38"/>
  <c r="AH63" i="38"/>
  <c r="AI62" i="38"/>
  <c r="AH62" i="38"/>
  <c r="AG61" i="38"/>
  <c r="AF61" i="38"/>
  <c r="BJ16" i="38" s="1"/>
  <c r="AE61" i="38"/>
  <c r="AD61" i="38"/>
  <c r="BH16" i="38" s="1"/>
  <c r="AC61" i="38"/>
  <c r="AB61" i="38"/>
  <c r="BG16" i="38" s="1"/>
  <c r="Z7" i="38"/>
  <c r="BE16" i="38"/>
  <c r="R61" i="38"/>
  <c r="Q61" i="38"/>
  <c r="P61" i="38"/>
  <c r="O61" i="38"/>
  <c r="N61" i="38"/>
  <c r="M61" i="38"/>
  <c r="L61" i="38"/>
  <c r="K61" i="38"/>
  <c r="J61" i="38"/>
  <c r="I61" i="38"/>
  <c r="H61" i="38"/>
  <c r="F61" i="38"/>
  <c r="E61" i="38"/>
  <c r="AP16" i="38" s="1"/>
  <c r="AI60" i="38"/>
  <c r="AH60" i="38"/>
  <c r="AI59" i="38"/>
  <c r="AH59" i="38"/>
  <c r="AI58" i="38"/>
  <c r="AH58" i="38"/>
  <c r="AI57" i="38"/>
  <c r="AH57" i="38"/>
  <c r="AI56" i="38"/>
  <c r="AH56" i="38"/>
  <c r="AI55" i="38"/>
  <c r="AH55" i="38"/>
  <c r="AI54" i="38"/>
  <c r="AH54" i="38"/>
  <c r="AI53" i="38"/>
  <c r="AH53" i="38"/>
  <c r="AI52" i="38"/>
  <c r="AH52" i="38"/>
  <c r="AI51" i="38"/>
  <c r="AH51" i="38"/>
  <c r="AI50" i="38"/>
  <c r="AH50" i="38"/>
  <c r="AI49" i="38"/>
  <c r="AH49" i="38"/>
  <c r="AI48" i="38"/>
  <c r="AH48" i="38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I38" i="38"/>
  <c r="AH38" i="38"/>
  <c r="AI37" i="38"/>
  <c r="AH37" i="38"/>
  <c r="AI36" i="38"/>
  <c r="AH36" i="38"/>
  <c r="AI35" i="38"/>
  <c r="AH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BF23" i="38"/>
  <c r="BE23" i="38"/>
  <c r="BC23" i="38"/>
  <c r="BB23" i="38"/>
  <c r="AP23" i="38"/>
  <c r="AI23" i="38"/>
  <c r="AH23" i="38"/>
  <c r="AI22" i="38"/>
  <c r="AH22" i="38"/>
  <c r="BJ21" i="38"/>
  <c r="BI21" i="38"/>
  <c r="BH21" i="38"/>
  <c r="BG21" i="38"/>
  <c r="BF21" i="38"/>
  <c r="BE21" i="38"/>
  <c r="BD21" i="38"/>
  <c r="BC21" i="38"/>
  <c r="BB21" i="38"/>
  <c r="BA21" i="38"/>
  <c r="AZ21" i="38"/>
  <c r="AY21" i="38"/>
  <c r="AX21" i="38"/>
  <c r="AW21" i="38"/>
  <c r="AV21" i="38"/>
  <c r="AU21" i="38"/>
  <c r="AT21" i="38"/>
  <c r="AS21" i="38"/>
  <c r="AR21" i="38"/>
  <c r="AQ21" i="38"/>
  <c r="AP21" i="38"/>
  <c r="AO21" i="38"/>
  <c r="AN21" i="38"/>
  <c r="AM21" i="38"/>
  <c r="AI21" i="38"/>
  <c r="AH21" i="38"/>
  <c r="BI20" i="38"/>
  <c r="BF20" i="38"/>
  <c r="BE20" i="38"/>
  <c r="BD20" i="38"/>
  <c r="BC20" i="38"/>
  <c r="AZ20" i="38"/>
  <c r="AY20" i="38"/>
  <c r="AX20" i="38"/>
  <c r="AV20" i="38"/>
  <c r="AU20" i="38"/>
  <c r="AS20" i="38"/>
  <c r="AR20" i="38"/>
  <c r="AQ20" i="38"/>
  <c r="AP20" i="38"/>
  <c r="AM20" i="38"/>
  <c r="AI20" i="38"/>
  <c r="AH20" i="38"/>
  <c r="BF19" i="38"/>
  <c r="BE19" i="38"/>
  <c r="BD19" i="38"/>
  <c r="BC19" i="38"/>
  <c r="BB19" i="38"/>
  <c r="BA19" i="38"/>
  <c r="AZ19" i="38"/>
  <c r="AT19" i="38"/>
  <c r="AQ19" i="38"/>
  <c r="AP19" i="38"/>
  <c r="AO19" i="38"/>
  <c r="AI19" i="38"/>
  <c r="AH19" i="38"/>
  <c r="BJ18" i="38"/>
  <c r="BI18" i="38"/>
  <c r="BH18" i="38"/>
  <c r="BG18" i="38"/>
  <c r="BD18" i="38"/>
  <c r="BC18" i="38"/>
  <c r="BB18" i="38"/>
  <c r="AZ18" i="38"/>
  <c r="AY18" i="38"/>
  <c r="AW18" i="38"/>
  <c r="AV18" i="38"/>
  <c r="AU18" i="38"/>
  <c r="AS18" i="38"/>
  <c r="AR18" i="38"/>
  <c r="AN18" i="38"/>
  <c r="AI18" i="38"/>
  <c r="AH18" i="38"/>
  <c r="BJ17" i="38"/>
  <c r="BG17" i="38"/>
  <c r="BE17" i="38"/>
  <c r="BD17" i="38"/>
  <c r="BB17" i="38"/>
  <c r="AX17" i="38"/>
  <c r="AW17" i="38"/>
  <c r="AV17" i="38"/>
  <c r="AT17" i="38"/>
  <c r="AS17" i="38"/>
  <c r="AP17" i="38"/>
  <c r="AO17" i="38"/>
  <c r="AI17" i="38"/>
  <c r="AH17" i="38"/>
  <c r="BF16" i="38"/>
  <c r="BD16" i="38"/>
  <c r="BC16" i="38"/>
  <c r="BB16" i="38"/>
  <c r="AY16" i="38"/>
  <c r="AV16" i="38"/>
  <c r="AU16" i="38"/>
  <c r="AS16" i="38"/>
  <c r="AR16" i="38"/>
  <c r="AQ16" i="38"/>
  <c r="AO16" i="38"/>
  <c r="AN16" i="38"/>
  <c r="AM16" i="38"/>
  <c r="AI16" i="38"/>
  <c r="AH16" i="38"/>
  <c r="AI15" i="38"/>
  <c r="AH15" i="38"/>
  <c r="AI14" i="38"/>
  <c r="AH14" i="38"/>
  <c r="AI13" i="38"/>
  <c r="AH13" i="38"/>
  <c r="AL12" i="38"/>
  <c r="AI12" i="38"/>
  <c r="AH12" i="38"/>
  <c r="AI11" i="38"/>
  <c r="AH11" i="38"/>
  <c r="U7" i="38"/>
  <c r="Y5" i="38"/>
  <c r="X5" i="38"/>
  <c r="W5" i="38"/>
  <c r="V5" i="38"/>
  <c r="U5" i="38"/>
  <c r="T5" i="38"/>
  <c r="S5" i="38"/>
  <c r="Q5" i="38"/>
  <c r="P5" i="38"/>
  <c r="O5" i="38"/>
  <c r="M5" i="38"/>
  <c r="K5" i="38"/>
  <c r="G5" i="38"/>
  <c r="E5" i="38"/>
  <c r="C5" i="38"/>
  <c r="AG4" i="38"/>
  <c r="K4" i="38"/>
  <c r="E4" i="38"/>
  <c r="H4" i="38" s="1"/>
  <c r="B4" i="38"/>
  <c r="AG3" i="38"/>
  <c r="AG2" i="38"/>
  <c r="AG6" i="38" s="1"/>
  <c r="D261" i="38" l="1"/>
  <c r="BJ19" i="38"/>
  <c r="AF110" i="38"/>
  <c r="BJ23" i="38" s="1"/>
  <c r="AF111" i="38"/>
  <c r="BJ22" i="38"/>
  <c r="BJ24" i="38" s="1"/>
  <c r="BI19" i="38"/>
  <c r="AE100" i="38"/>
  <c r="AE102" i="38" s="1"/>
  <c r="BI16" i="38"/>
  <c r="BI22" i="38" s="1"/>
  <c r="M249" i="39"/>
  <c r="J254" i="39"/>
  <c r="I121" i="39"/>
  <c r="I255" i="39"/>
  <c r="BH19" i="38"/>
  <c r="BH22" i="38"/>
  <c r="AD100" i="38"/>
  <c r="AD102" i="38" s="1"/>
  <c r="AB5" i="38"/>
  <c r="AC100" i="38"/>
  <c r="AC102" i="38" s="1"/>
  <c r="AC103" i="38" s="1"/>
  <c r="AC7" i="38" s="1"/>
  <c r="AB110" i="38"/>
  <c r="BG23" i="38" s="1"/>
  <c r="BG19" i="38"/>
  <c r="AA5" i="38"/>
  <c r="BD22" i="38"/>
  <c r="BC22" i="38"/>
  <c r="BC24" i="38" s="1"/>
  <c r="BB22" i="38"/>
  <c r="BB24" i="38" s="1"/>
  <c r="R110" i="38"/>
  <c r="R100" i="38"/>
  <c r="R102" i="38" s="1"/>
  <c r="R103" i="38" s="1"/>
  <c r="R7" i="38" s="1"/>
  <c r="Q111" i="38"/>
  <c r="P110" i="38"/>
  <c r="AX23" i="38" s="1"/>
  <c r="AX19" i="38"/>
  <c r="P100" i="38"/>
  <c r="P102" i="38" s="1"/>
  <c r="P103" i="38" s="1"/>
  <c r="P7" i="38" s="1"/>
  <c r="AX16" i="38"/>
  <c r="N5" i="38"/>
  <c r="O100" i="38"/>
  <c r="O102" i="38" s="1"/>
  <c r="M110" i="38"/>
  <c r="AU23" i="38" s="1"/>
  <c r="AV22" i="38"/>
  <c r="N100" i="38"/>
  <c r="N102" i="38" s="1"/>
  <c r="L5" i="38"/>
  <c r="L110" i="38"/>
  <c r="L111" i="38"/>
  <c r="AH108" i="38"/>
  <c r="M111" i="38"/>
  <c r="AU22" i="38"/>
  <c r="AU24" i="38" s="1"/>
  <c r="M100" i="38"/>
  <c r="M102" i="38" s="1"/>
  <c r="M103" i="38" s="1"/>
  <c r="M7" i="38" s="1"/>
  <c r="L100" i="38"/>
  <c r="L102" i="38" s="1"/>
  <c r="L103" i="38" s="1"/>
  <c r="L7" i="38" s="1"/>
  <c r="J111" i="38"/>
  <c r="J100" i="38"/>
  <c r="J102" i="38" s="1"/>
  <c r="J103" i="38" s="1"/>
  <c r="J7" i="38" s="1"/>
  <c r="AS19" i="38"/>
  <c r="I111" i="38"/>
  <c r="AR22" i="38"/>
  <c r="H111" i="38"/>
  <c r="H100" i="38"/>
  <c r="H102" i="38" s="1"/>
  <c r="H103" i="38" s="1"/>
  <c r="H7" i="38" s="1"/>
  <c r="G100" i="38"/>
  <c r="G102" i="38" s="1"/>
  <c r="F5" i="38"/>
  <c r="AQ22" i="38"/>
  <c r="F100" i="38"/>
  <c r="F102" i="38" s="1"/>
  <c r="E111" i="38"/>
  <c r="D5" i="38"/>
  <c r="E100" i="38"/>
  <c r="E102" i="38" s="1"/>
  <c r="E103" i="38" s="1"/>
  <c r="E7" i="38" s="1"/>
  <c r="D100" i="38"/>
  <c r="D102" i="38" s="1"/>
  <c r="C100" i="38"/>
  <c r="C102" i="38" s="1"/>
  <c r="AN23" i="38"/>
  <c r="C111" i="38"/>
  <c r="D103" i="38"/>
  <c r="D7" i="38" s="1"/>
  <c r="AO23" i="38"/>
  <c r="D111" i="38"/>
  <c r="C103" i="38"/>
  <c r="AI79" i="38"/>
  <c r="AM19" i="38"/>
  <c r="AI95" i="38"/>
  <c r="AF5" i="38"/>
  <c r="B100" i="38"/>
  <c r="B102" i="38" s="1"/>
  <c r="B103" i="38" s="1"/>
  <c r="AI107" i="38"/>
  <c r="AH106" i="38"/>
  <c r="AM18" i="38"/>
  <c r="AM22" i="38" s="1"/>
  <c r="AL13" i="38"/>
  <c r="F103" i="38"/>
  <c r="F7" i="38" s="1"/>
  <c r="BG22" i="38"/>
  <c r="BG24" i="38" s="1"/>
  <c r="BF22" i="38"/>
  <c r="BF24" i="38" s="1"/>
  <c r="T7" i="38"/>
  <c r="AB100" i="38"/>
  <c r="AB102" i="38" s="1"/>
  <c r="AB103" i="38" s="1"/>
  <c r="AB7" i="38" s="1"/>
  <c r="F110" i="38"/>
  <c r="AI105" i="38"/>
  <c r="N110" i="38"/>
  <c r="AD110" i="38"/>
  <c r="AH65" i="38"/>
  <c r="AP22" i="38"/>
  <c r="AP24" i="38" s="1"/>
  <c r="AZ16" i="38"/>
  <c r="AZ22" i="38" s="1"/>
  <c r="AH61" i="38"/>
  <c r="K100" i="38"/>
  <c r="K102" i="38" s="1"/>
  <c r="K103" i="38" s="1"/>
  <c r="K7" i="38" s="1"/>
  <c r="AT16" i="38"/>
  <c r="AT22" i="38" s="1"/>
  <c r="AT24" i="38" s="1"/>
  <c r="S7" i="38"/>
  <c r="BA16" i="38"/>
  <c r="BA22" i="38" s="1"/>
  <c r="BA24" i="38" s="1"/>
  <c r="AI61" i="38"/>
  <c r="BG82" i="38" a="1"/>
  <c r="AH95" i="38"/>
  <c r="G110" i="38"/>
  <c r="AR23" i="38" s="1"/>
  <c r="AR24" i="38" s="1"/>
  <c r="AH104" i="38"/>
  <c r="O110" i="38"/>
  <c r="AW23" i="38" s="1"/>
  <c r="W7" i="38"/>
  <c r="AE110" i="38"/>
  <c r="BI23" i="38" s="1"/>
  <c r="AO20" i="38"/>
  <c r="AX22" i="38"/>
  <c r="AX24" i="38" s="1"/>
  <c r="C7" i="38"/>
  <c r="AH83" i="38"/>
  <c r="AI83" i="38"/>
  <c r="AN19" i="38"/>
  <c r="AN22" i="38" s="1"/>
  <c r="B5" i="38"/>
  <c r="K111" i="38"/>
  <c r="J5" i="38"/>
  <c r="R5" i="38"/>
  <c r="Z5" i="38"/>
  <c r="AI65" i="38"/>
  <c r="O103" i="38"/>
  <c r="O7" i="38" s="1"/>
  <c r="AS22" i="38"/>
  <c r="AS24" i="38" s="1"/>
  <c r="AO22" i="38"/>
  <c r="BE22" i="38"/>
  <c r="BE24" i="38" s="1"/>
  <c r="AW16" i="38"/>
  <c r="AW22" i="38" s="1"/>
  <c r="AY19" i="38"/>
  <c r="AY22" i="38" s="1"/>
  <c r="AY24" i="38" s="1"/>
  <c r="AZ73" i="38"/>
  <c r="AH79" i="38"/>
  <c r="AI104" i="38"/>
  <c r="AH105" i="38"/>
  <c r="AI106" i="38"/>
  <c r="AH107" i="38"/>
  <c r="AI108" i="38"/>
  <c r="D255" i="38"/>
  <c r="E249" i="38"/>
  <c r="AF100" i="38"/>
  <c r="AF102" i="38" s="1"/>
  <c r="AF103" i="38" s="1"/>
  <c r="AF7" i="38" s="1"/>
  <c r="I100" i="38"/>
  <c r="I102" i="38" s="1"/>
  <c r="I103" i="38" s="1"/>
  <c r="I7" i="38" s="1"/>
  <c r="Q100" i="38"/>
  <c r="Q102" i="38" s="1"/>
  <c r="Q103" i="38" s="1"/>
  <c r="Q7" i="38" s="1"/>
  <c r="Y7" i="38"/>
  <c r="AG100" i="38"/>
  <c r="AG102" i="38"/>
  <c r="AE111" i="38" l="1"/>
  <c r="AE103" i="38"/>
  <c r="AE7" i="38" s="1"/>
  <c r="BI24" i="38"/>
  <c r="K254" i="39"/>
  <c r="J255" i="39"/>
  <c r="J121" i="39"/>
  <c r="N249" i="39"/>
  <c r="AB111" i="38"/>
  <c r="R111" i="38"/>
  <c r="AZ23" i="38"/>
  <c r="AZ24" i="38" s="1"/>
  <c r="P111" i="38"/>
  <c r="C259" i="38"/>
  <c r="G111" i="38"/>
  <c r="G103" i="38"/>
  <c r="G7" i="38" s="1"/>
  <c r="AO24" i="38"/>
  <c r="AN24" i="38"/>
  <c r="AT8" i="38"/>
  <c r="AI100" i="38"/>
  <c r="AD111" i="38"/>
  <c r="BH23" i="38"/>
  <c r="BH24" i="38" s="1"/>
  <c r="AH100" i="38"/>
  <c r="AI102" i="38"/>
  <c r="AH102" i="38"/>
  <c r="BD23" i="38"/>
  <c r="BD24" i="38" s="1"/>
  <c r="F249" i="38"/>
  <c r="E255" i="38"/>
  <c r="E121" i="38"/>
  <c r="AW24" i="38"/>
  <c r="AV23" i="38"/>
  <c r="AV24" i="38" s="1"/>
  <c r="N111" i="38"/>
  <c r="BK105" i="38"/>
  <c r="BI104" i="38"/>
  <c r="BG103" i="38"/>
  <c r="BK101" i="38"/>
  <c r="BI100" i="38"/>
  <c r="BG99" i="38"/>
  <c r="BK97" i="38"/>
  <c r="BI96" i="38"/>
  <c r="BG95" i="38"/>
  <c r="BK93" i="38"/>
  <c r="BI92" i="38"/>
  <c r="BG91" i="38"/>
  <c r="BK89" i="38"/>
  <c r="BI88" i="38"/>
  <c r="BG87" i="38"/>
  <c r="BK85" i="38"/>
  <c r="BI84" i="38"/>
  <c r="BG83" i="38"/>
  <c r="BI105" i="38"/>
  <c r="BG104" i="38"/>
  <c r="BK102" i="38"/>
  <c r="BI101" i="38"/>
  <c r="BG100" i="38"/>
  <c r="BK98" i="38"/>
  <c r="BI97" i="38"/>
  <c r="BG96" i="38"/>
  <c r="BK94" i="38"/>
  <c r="BI93" i="38"/>
  <c r="BG92" i="38"/>
  <c r="BK90" i="38"/>
  <c r="BI89" i="38"/>
  <c r="BG88" i="38"/>
  <c r="BK86" i="38"/>
  <c r="BI85" i="38"/>
  <c r="BG84" i="38"/>
  <c r="BK82" i="38"/>
  <c r="BH104" i="38"/>
  <c r="BI102" i="38"/>
  <c r="BK100" i="38"/>
  <c r="BL98" i="38"/>
  <c r="BG97" i="38"/>
  <c r="BI95" i="38"/>
  <c r="BJ93" i="38"/>
  <c r="BK91" i="38"/>
  <c r="BG90" i="38"/>
  <c r="BH88" i="38"/>
  <c r="BI86" i="38"/>
  <c r="BK84" i="38"/>
  <c r="BL82" i="38"/>
  <c r="BL105" i="38"/>
  <c r="BH102" i="38"/>
  <c r="BJ100" i="38"/>
  <c r="BJ98" i="38"/>
  <c r="BL96" i="38"/>
  <c r="BH95" i="38"/>
  <c r="BH93" i="38"/>
  <c r="BJ91" i="38"/>
  <c r="BL89" i="38"/>
  <c r="BL87" i="38"/>
  <c r="BJ84" i="38"/>
  <c r="BJ82" i="38"/>
  <c r="BL103" i="38"/>
  <c r="BJ105" i="38"/>
  <c r="BK103" i="38"/>
  <c r="BG102" i="38"/>
  <c r="BH100" i="38"/>
  <c r="BI98" i="38"/>
  <c r="BK96" i="38"/>
  <c r="BL94" i="38"/>
  <c r="BG93" i="38"/>
  <c r="BI91" i="38"/>
  <c r="BJ89" i="38"/>
  <c r="BK87" i="38"/>
  <c r="BG86" i="38"/>
  <c r="BH84" i="38"/>
  <c r="BI82" i="38"/>
  <c r="BH105" i="38"/>
  <c r="BJ103" i="38"/>
  <c r="BL101" i="38"/>
  <c r="BL99" i="38"/>
  <c r="BH98" i="38"/>
  <c r="BJ96" i="38"/>
  <c r="BJ94" i="38"/>
  <c r="BL92" i="38"/>
  <c r="BH91" i="38"/>
  <c r="BH89" i="38"/>
  <c r="BJ87" i="38"/>
  <c r="BL85" i="38"/>
  <c r="BL83" i="38"/>
  <c r="BH82" i="38"/>
  <c r="BG105" i="38"/>
  <c r="BI103" i="38"/>
  <c r="BJ101" i="38"/>
  <c r="BK99" i="38"/>
  <c r="BG98" i="38"/>
  <c r="BH96" i="38"/>
  <c r="BI94" i="38"/>
  <c r="BK92" i="38"/>
  <c r="BL90" i="38"/>
  <c r="BG89" i="38"/>
  <c r="BI87" i="38"/>
  <c r="BJ85" i="38"/>
  <c r="BK83" i="38"/>
  <c r="BG82" i="38"/>
  <c r="BL104" i="38"/>
  <c r="BH103" i="38"/>
  <c r="BH101" i="38"/>
  <c r="BJ99" i="38"/>
  <c r="BL97" i="38"/>
  <c r="BL95" i="38"/>
  <c r="BH94" i="38"/>
  <c r="BJ92" i="38"/>
  <c r="BJ90" i="38"/>
  <c r="BL88" i="38"/>
  <c r="BH87" i="38"/>
  <c r="BH85" i="38"/>
  <c r="BJ83" i="38"/>
  <c r="BI99" i="38"/>
  <c r="BH92" i="38"/>
  <c r="BH86" i="38"/>
  <c r="BH99" i="38"/>
  <c r="BL91" i="38"/>
  <c r="BG85" i="38"/>
  <c r="BL93" i="38"/>
  <c r="BJ86" i="38"/>
  <c r="BK104" i="38"/>
  <c r="BJ97" i="38"/>
  <c r="BI90" i="38"/>
  <c r="BL84" i="38"/>
  <c r="BJ102" i="38"/>
  <c r="BJ88" i="38"/>
  <c r="BG94" i="38"/>
  <c r="BL86" i="38"/>
  <c r="BL100" i="38"/>
  <c r="BJ104" i="38"/>
  <c r="BH97" i="38"/>
  <c r="BH90" i="38"/>
  <c r="BI83" i="38"/>
  <c r="BG101" i="38"/>
  <c r="BL102" i="38"/>
  <c r="BK95" i="38"/>
  <c r="BK88" i="38"/>
  <c r="BH83" i="38"/>
  <c r="BJ95" i="38"/>
  <c r="N103" i="38"/>
  <c r="N7" i="38" s="1"/>
  <c r="V7" i="38"/>
  <c r="F111" i="38"/>
  <c r="AQ23" i="38"/>
  <c r="AQ24" i="38" s="1"/>
  <c r="AM23" i="38"/>
  <c r="AM24" i="38" s="1"/>
  <c r="AI110" i="38"/>
  <c r="AH110" i="38"/>
  <c r="O111" i="38"/>
  <c r="B259" i="38"/>
  <c r="K6" i="38" s="1"/>
  <c r="AD103" i="38"/>
  <c r="AD7" i="38" s="1"/>
  <c r="O249" i="39" l="1"/>
  <c r="L254" i="39"/>
  <c r="K255" i="39"/>
  <c r="K121" i="39"/>
  <c r="AI103" i="38"/>
  <c r="AH103" i="38"/>
  <c r="B7" i="38"/>
  <c r="A7" i="38" s="1"/>
  <c r="AT9" i="38"/>
  <c r="AI111" i="38"/>
  <c r="AH111" i="38"/>
  <c r="G249" i="38"/>
  <c r="F255" i="38"/>
  <c r="F121" i="38"/>
  <c r="M254" i="39" l="1"/>
  <c r="L255" i="39"/>
  <c r="L121" i="39"/>
  <c r="P249" i="39"/>
  <c r="H249" i="38"/>
  <c r="G255" i="38"/>
  <c r="G121" i="38"/>
  <c r="Q249" i="39" l="1"/>
  <c r="N254" i="39"/>
  <c r="M255" i="39"/>
  <c r="M121" i="39"/>
  <c r="I249" i="38"/>
  <c r="H255" i="38"/>
  <c r="H121" i="38"/>
  <c r="O254" i="39" l="1"/>
  <c r="N255" i="39"/>
  <c r="N121" i="39"/>
  <c r="R249" i="39"/>
  <c r="I255" i="38"/>
  <c r="I121" i="38"/>
  <c r="J249" i="38"/>
  <c r="S249" i="39" l="1"/>
  <c r="P254" i="39"/>
  <c r="O255" i="39"/>
  <c r="O121" i="39"/>
  <c r="J255" i="38"/>
  <c r="J121" i="38"/>
  <c r="K249" i="38"/>
  <c r="Q254" i="39" l="1"/>
  <c r="P255" i="39"/>
  <c r="T249" i="39"/>
  <c r="K255" i="38"/>
  <c r="L249" i="38"/>
  <c r="K121" i="38"/>
  <c r="U249" i="39" l="1"/>
  <c r="R254" i="39"/>
  <c r="Q255" i="39"/>
  <c r="Q121" i="39"/>
  <c r="L255" i="38"/>
  <c r="L121" i="38"/>
  <c r="M249" i="38"/>
  <c r="V249" i="39" l="1"/>
  <c r="S254" i="39"/>
  <c r="R255" i="39"/>
  <c r="R121" i="39"/>
  <c r="N249" i="38"/>
  <c r="M255" i="38"/>
  <c r="M121" i="38"/>
  <c r="T254" i="39" l="1"/>
  <c r="S121" i="39"/>
  <c r="S255" i="39"/>
  <c r="W249" i="39"/>
  <c r="O249" i="38"/>
  <c r="N255" i="38"/>
  <c r="N121" i="38"/>
  <c r="X249" i="39" l="1"/>
  <c r="U254" i="39"/>
  <c r="T255" i="39"/>
  <c r="T121" i="39"/>
  <c r="P249" i="38"/>
  <c r="O121" i="38"/>
  <c r="O255" i="38"/>
  <c r="V254" i="39" l="1"/>
  <c r="U121" i="39"/>
  <c r="U255" i="39"/>
  <c r="Y249" i="39"/>
  <c r="Q249" i="38"/>
  <c r="P255" i="38"/>
  <c r="W254" i="39" l="1"/>
  <c r="V121" i="39"/>
  <c r="V255" i="39"/>
  <c r="Z249" i="39"/>
  <c r="Q255" i="38"/>
  <c r="Q121" i="38"/>
  <c r="R249" i="38"/>
  <c r="AA249" i="39" l="1"/>
  <c r="X254" i="39"/>
  <c r="W255" i="39"/>
  <c r="W121" i="39"/>
  <c r="R255" i="38"/>
  <c r="R121" i="38"/>
  <c r="S249" i="38"/>
  <c r="Y254" i="39" l="1"/>
  <c r="X121" i="39"/>
  <c r="X255" i="39"/>
  <c r="AB249" i="39"/>
  <c r="S255" i="38"/>
  <c r="T249" i="38"/>
  <c r="AC249" i="39" l="1"/>
  <c r="Z254" i="39"/>
  <c r="Y255" i="39"/>
  <c r="T255" i="38"/>
  <c r="U249" i="38"/>
  <c r="AA254" i="39" l="1"/>
  <c r="Z255" i="39"/>
  <c r="AD249" i="39"/>
  <c r="V249" i="38"/>
  <c r="U255" i="38"/>
  <c r="AB254" i="39" l="1"/>
  <c r="AA255" i="39"/>
  <c r="AA121" i="39"/>
  <c r="AE249" i="39"/>
  <c r="W249" i="38"/>
  <c r="V255" i="38"/>
  <c r="AF249" i="39" l="1"/>
  <c r="AC254" i="39"/>
  <c r="AB255" i="39"/>
  <c r="AB121" i="39"/>
  <c r="X249" i="38"/>
  <c r="W255" i="38"/>
  <c r="AD254" i="39" l="1"/>
  <c r="AC121" i="39"/>
  <c r="AC255" i="39"/>
  <c r="B249" i="39"/>
  <c r="Y249" i="38"/>
  <c r="X255" i="38"/>
  <c r="AE254" i="39" l="1"/>
  <c r="AD255" i="39"/>
  <c r="AD121" i="39"/>
  <c r="Y255" i="38"/>
  <c r="Z249" i="38"/>
  <c r="AF254" i="39" l="1"/>
  <c r="AE255" i="39"/>
  <c r="AE121" i="39"/>
  <c r="Z255" i="38"/>
  <c r="AA249" i="38"/>
  <c r="B254" i="39" l="1"/>
  <c r="AF255" i="39"/>
  <c r="AF121" i="39"/>
  <c r="AA255" i="38"/>
  <c r="AB249" i="38"/>
  <c r="B255" i="39" l="1"/>
  <c r="B121" i="39"/>
  <c r="AB255" i="38"/>
  <c r="AB121" i="38"/>
  <c r="AC249" i="38"/>
  <c r="AI121" i="39" l="1"/>
  <c r="AH121" i="39"/>
  <c r="AC121" i="38"/>
  <c r="AD249" i="38"/>
  <c r="AC255" i="38"/>
  <c r="AE249" i="38" l="1"/>
  <c r="AD255" i="38"/>
  <c r="AD121" i="38"/>
  <c r="AF249" i="38" l="1"/>
  <c r="AE255" i="38"/>
  <c r="AE121" i="38"/>
  <c r="AF255" i="38" l="1"/>
  <c r="AF121" i="38"/>
  <c r="B249" i="38"/>
  <c r="B255" i="38" l="1"/>
  <c r="AI121" i="38" l="1"/>
  <c r="AH121" i="38"/>
  <c r="AG255" i="20" l="1"/>
  <c r="C255" i="20"/>
  <c r="D254" i="20"/>
  <c r="D121" i="20" s="1"/>
  <c r="J253" i="20"/>
  <c r="K253" i="20" s="1"/>
  <c r="L253" i="20" s="1"/>
  <c r="M253" i="20" s="1"/>
  <c r="N253" i="20" s="1"/>
  <c r="O253" i="20" s="1"/>
  <c r="P253" i="20" s="1"/>
  <c r="Q253" i="20" s="1"/>
  <c r="R253" i="20" s="1"/>
  <c r="S253" i="20" s="1"/>
  <c r="T253" i="20" s="1"/>
  <c r="U253" i="20" s="1"/>
  <c r="V253" i="20" s="1"/>
  <c r="W253" i="20" s="1"/>
  <c r="X253" i="20" s="1"/>
  <c r="Y253" i="20" s="1"/>
  <c r="Z253" i="20" s="1"/>
  <c r="AA253" i="20" s="1"/>
  <c r="AB253" i="20" s="1"/>
  <c r="AC253" i="20" s="1"/>
  <c r="AD253" i="20" s="1"/>
  <c r="AE253" i="20" s="1"/>
  <c r="AF253" i="20" s="1"/>
  <c r="B253" i="20" s="1"/>
  <c r="G253" i="20"/>
  <c r="H253" i="20" s="1"/>
  <c r="I253" i="20" s="1"/>
  <c r="F253" i="20"/>
  <c r="E253" i="20"/>
  <c r="D253" i="20"/>
  <c r="E252" i="20"/>
  <c r="F252" i="20" s="1"/>
  <c r="G252" i="20" s="1"/>
  <c r="H252" i="20" s="1"/>
  <c r="I252" i="20" s="1"/>
  <c r="J252" i="20" s="1"/>
  <c r="K252" i="20" s="1"/>
  <c r="L252" i="20" s="1"/>
  <c r="M252" i="20" s="1"/>
  <c r="N252" i="20" s="1"/>
  <c r="O252" i="20" s="1"/>
  <c r="P252" i="20" s="1"/>
  <c r="Q252" i="20" s="1"/>
  <c r="R252" i="20" s="1"/>
  <c r="S252" i="20" s="1"/>
  <c r="T252" i="20" s="1"/>
  <c r="U252" i="20" s="1"/>
  <c r="V252" i="20" s="1"/>
  <c r="W252" i="20" s="1"/>
  <c r="X252" i="20" s="1"/>
  <c r="Y252" i="20" s="1"/>
  <c r="Z252" i="20" s="1"/>
  <c r="AA252" i="20" s="1"/>
  <c r="AB252" i="20" s="1"/>
  <c r="AC252" i="20" s="1"/>
  <c r="AD252" i="20" s="1"/>
  <c r="AE252" i="20" s="1"/>
  <c r="AF252" i="20" s="1"/>
  <c r="B252" i="20" s="1"/>
  <c r="D252" i="20"/>
  <c r="G251" i="20"/>
  <c r="H251" i="20" s="1"/>
  <c r="I251" i="20" s="1"/>
  <c r="J251" i="20" s="1"/>
  <c r="K251" i="20" s="1"/>
  <c r="L251" i="20" s="1"/>
  <c r="M251" i="20" s="1"/>
  <c r="N251" i="20" s="1"/>
  <c r="O251" i="20" s="1"/>
  <c r="P251" i="20" s="1"/>
  <c r="Q251" i="20" s="1"/>
  <c r="R251" i="20" s="1"/>
  <c r="S251" i="20" s="1"/>
  <c r="T251" i="20" s="1"/>
  <c r="U251" i="20" s="1"/>
  <c r="V251" i="20" s="1"/>
  <c r="W251" i="20" s="1"/>
  <c r="X251" i="20" s="1"/>
  <c r="Y251" i="20" s="1"/>
  <c r="Z251" i="20" s="1"/>
  <c r="AA251" i="20" s="1"/>
  <c r="AB251" i="20" s="1"/>
  <c r="AC251" i="20" s="1"/>
  <c r="AD251" i="20" s="1"/>
  <c r="AE251" i="20" s="1"/>
  <c r="AF251" i="20" s="1"/>
  <c r="B251" i="20" s="1"/>
  <c r="F251" i="20"/>
  <c r="E251" i="20"/>
  <c r="D251" i="20"/>
  <c r="D250" i="20"/>
  <c r="G249" i="20"/>
  <c r="H249" i="20" s="1"/>
  <c r="F249" i="20"/>
  <c r="E249" i="20"/>
  <c r="D249" i="20"/>
  <c r="AG247" i="20"/>
  <c r="AF247" i="20"/>
  <c r="AE247" i="20"/>
  <c r="AD247" i="20"/>
  <c r="AC247" i="20"/>
  <c r="AB247" i="20"/>
  <c r="AA247" i="20"/>
  <c r="Z247" i="20"/>
  <c r="Z121" i="20" s="1"/>
  <c r="Y247" i="20"/>
  <c r="Y121" i="20" s="1"/>
  <c r="X247" i="20"/>
  <c r="W247" i="20"/>
  <c r="V247" i="20"/>
  <c r="U247" i="20"/>
  <c r="T247" i="20"/>
  <c r="S247" i="20"/>
  <c r="R247" i="20"/>
  <c r="Q247" i="20"/>
  <c r="P247" i="20"/>
  <c r="O247" i="20"/>
  <c r="N247" i="20"/>
  <c r="M247" i="20"/>
  <c r="L247" i="20"/>
  <c r="K247" i="20"/>
  <c r="J247" i="20"/>
  <c r="I247" i="20"/>
  <c r="H247" i="20"/>
  <c r="G247" i="20"/>
  <c r="F247" i="20"/>
  <c r="E247" i="20"/>
  <c r="D247" i="20"/>
  <c r="C247" i="20"/>
  <c r="B247" i="20"/>
  <c r="AI133" i="20"/>
  <c r="AH133" i="20"/>
  <c r="AI132" i="20"/>
  <c r="AH132" i="20"/>
  <c r="AI131" i="20"/>
  <c r="AH131" i="20"/>
  <c r="AI130" i="20"/>
  <c r="AH130" i="20"/>
  <c r="AI129" i="20"/>
  <c r="AH129" i="20"/>
  <c r="AI126" i="20"/>
  <c r="AH126" i="20"/>
  <c r="AI125" i="20"/>
  <c r="AH125" i="20"/>
  <c r="AI124" i="20"/>
  <c r="AH124" i="20"/>
  <c r="AI123" i="20"/>
  <c r="AH123" i="20"/>
  <c r="AI122" i="20"/>
  <c r="AH122" i="20"/>
  <c r="C121" i="20"/>
  <c r="AI120" i="20"/>
  <c r="AH120" i="20"/>
  <c r="AI119" i="20"/>
  <c r="AH119" i="20"/>
  <c r="AI118" i="20"/>
  <c r="AH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C111" i="20"/>
  <c r="U111" i="20"/>
  <c r="R110" i="20"/>
  <c r="J110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AH109" i="20" s="1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AF107" i="20"/>
  <c r="AE107" i="20"/>
  <c r="AD107" i="20"/>
  <c r="AC107" i="20"/>
  <c r="AB107" i="20"/>
  <c r="AA107" i="20"/>
  <c r="Z107" i="20"/>
  <c r="Y107" i="20"/>
  <c r="Y110" i="20" s="1"/>
  <c r="X107" i="20"/>
  <c r="W107" i="20"/>
  <c r="V107" i="20"/>
  <c r="U107" i="20"/>
  <c r="T107" i="20"/>
  <c r="S107" i="20"/>
  <c r="R107" i="20"/>
  <c r="Q107" i="20"/>
  <c r="Q110" i="20" s="1"/>
  <c r="P107" i="20"/>
  <c r="O107" i="20"/>
  <c r="N107" i="20"/>
  <c r="M107" i="20"/>
  <c r="L107" i="20"/>
  <c r="K107" i="20"/>
  <c r="J107" i="20"/>
  <c r="I107" i="20"/>
  <c r="I110" i="20" s="1"/>
  <c r="AS23" i="20" s="1"/>
  <c r="H107" i="20"/>
  <c r="G107" i="20"/>
  <c r="F107" i="20"/>
  <c r="E107" i="20"/>
  <c r="D107" i="20"/>
  <c r="AH107" i="20" s="1"/>
  <c r="C107" i="20"/>
  <c r="B107" i="20"/>
  <c r="AF106" i="20"/>
  <c r="AE106" i="20"/>
  <c r="AD106" i="20"/>
  <c r="AC106" i="20"/>
  <c r="AC110" i="20" s="1"/>
  <c r="AB106" i="20"/>
  <c r="AA106" i="20"/>
  <c r="Z106" i="20"/>
  <c r="Z110" i="20" s="1"/>
  <c r="BF23" i="20" s="1"/>
  <c r="Y106" i="20"/>
  <c r="X106" i="20"/>
  <c r="W106" i="20"/>
  <c r="V106" i="20"/>
  <c r="U106" i="20"/>
  <c r="U110" i="20" s="1"/>
  <c r="BC23" i="20" s="1"/>
  <c r="T106" i="20"/>
  <c r="S106" i="20"/>
  <c r="R106" i="20"/>
  <c r="Q106" i="20"/>
  <c r="P106" i="20"/>
  <c r="O106" i="20"/>
  <c r="N106" i="20"/>
  <c r="M106" i="20"/>
  <c r="M110" i="20" s="1"/>
  <c r="M111" i="20" s="1"/>
  <c r="L106" i="20"/>
  <c r="K106" i="20"/>
  <c r="J106" i="20"/>
  <c r="I106" i="20"/>
  <c r="H106" i="20"/>
  <c r="G106" i="20"/>
  <c r="F106" i="20"/>
  <c r="E106" i="20"/>
  <c r="E110" i="20" s="1"/>
  <c r="AP23" i="20" s="1"/>
  <c r="D106" i="20"/>
  <c r="C106" i="20"/>
  <c r="B106" i="20"/>
  <c r="AF105" i="20"/>
  <c r="AE105" i="20"/>
  <c r="AD105" i="20"/>
  <c r="AD110" i="20" s="1"/>
  <c r="AC105" i="20"/>
  <c r="AB105" i="20"/>
  <c r="AA105" i="20"/>
  <c r="Z105" i="20"/>
  <c r="Y105" i="20"/>
  <c r="X105" i="20"/>
  <c r="W105" i="20"/>
  <c r="V105" i="20"/>
  <c r="V110" i="20" s="1"/>
  <c r="BD23" i="20" s="1"/>
  <c r="U105" i="20"/>
  <c r="T105" i="20"/>
  <c r="S105" i="20"/>
  <c r="R105" i="20"/>
  <c r="Q105" i="20"/>
  <c r="P105" i="20"/>
  <c r="O105" i="20"/>
  <c r="N105" i="20"/>
  <c r="N110" i="20" s="1"/>
  <c r="AV23" i="20" s="1"/>
  <c r="M105" i="20"/>
  <c r="L105" i="20"/>
  <c r="K105" i="20"/>
  <c r="J105" i="20"/>
  <c r="I105" i="20"/>
  <c r="H105" i="20"/>
  <c r="G105" i="20"/>
  <c r="F105" i="20"/>
  <c r="F110" i="20" s="1"/>
  <c r="E105" i="20"/>
  <c r="D105" i="20"/>
  <c r="C105" i="20"/>
  <c r="B105" i="20"/>
  <c r="AF104" i="20"/>
  <c r="AE104" i="20"/>
  <c r="AE110" i="20" s="1"/>
  <c r="AD104" i="20"/>
  <c r="AC104" i="20"/>
  <c r="AB104" i="20"/>
  <c r="AA104" i="20"/>
  <c r="Z104" i="20"/>
  <c r="Y104" i="20"/>
  <c r="X104" i="20"/>
  <c r="W104" i="20"/>
  <c r="W110" i="20" s="1"/>
  <c r="V104" i="20"/>
  <c r="U104" i="20"/>
  <c r="T104" i="20"/>
  <c r="S104" i="20"/>
  <c r="R104" i="20"/>
  <c r="Q104" i="20"/>
  <c r="P104" i="20"/>
  <c r="O104" i="20"/>
  <c r="O110" i="20" s="1"/>
  <c r="N104" i="20"/>
  <c r="M104" i="20"/>
  <c r="L104" i="20"/>
  <c r="K104" i="20"/>
  <c r="J104" i="20"/>
  <c r="I104" i="20"/>
  <c r="H104" i="20"/>
  <c r="G104" i="20"/>
  <c r="G110" i="20" s="1"/>
  <c r="F104" i="20"/>
  <c r="E104" i="20"/>
  <c r="D104" i="20"/>
  <c r="C104" i="20"/>
  <c r="B104" i="20"/>
  <c r="AI104" i="20" s="1"/>
  <c r="AI101" i="20"/>
  <c r="AH101" i="20"/>
  <c r="AI99" i="20"/>
  <c r="AH99" i="20"/>
  <c r="AG99" i="20"/>
  <c r="AI98" i="20"/>
  <c r="AH98" i="20"/>
  <c r="AI97" i="20"/>
  <c r="AH97" i="20"/>
  <c r="AI96" i="20"/>
  <c r="AH96" i="20"/>
  <c r="AG95" i="20"/>
  <c r="AF95" i="20"/>
  <c r="AE95" i="20"/>
  <c r="AD95" i="20"/>
  <c r="AC95" i="20"/>
  <c r="AB95" i="20"/>
  <c r="AA95" i="20"/>
  <c r="Z95" i="20"/>
  <c r="Y95" i="20"/>
  <c r="Y111" i="20" s="1"/>
  <c r="X95" i="20"/>
  <c r="W95" i="20"/>
  <c r="V95" i="20"/>
  <c r="U95" i="20"/>
  <c r="T95" i="20"/>
  <c r="S95" i="20"/>
  <c r="R95" i="20"/>
  <c r="Q95" i="20"/>
  <c r="Q111" i="20" s="1"/>
  <c r="P95" i="20"/>
  <c r="O95" i="20"/>
  <c r="N95" i="20"/>
  <c r="M95" i="20"/>
  <c r="L95" i="20"/>
  <c r="K95" i="20"/>
  <c r="J95" i="20"/>
  <c r="I95" i="20"/>
  <c r="I111" i="20" s="1"/>
  <c r="H95" i="20"/>
  <c r="G95" i="20"/>
  <c r="F95" i="20"/>
  <c r="E95" i="20"/>
  <c r="D95" i="20"/>
  <c r="C95" i="20"/>
  <c r="B95" i="20"/>
  <c r="AI94" i="20"/>
  <c r="AH94" i="20"/>
  <c r="AI93" i="20"/>
  <c r="AH93" i="20"/>
  <c r="AI92" i="20"/>
  <c r="AH92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AY20" i="20" s="1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J96" i="20"/>
  <c r="AI82" i="20"/>
  <c r="AH82" i="20"/>
  <c r="AI81" i="20"/>
  <c r="AH81" i="20"/>
  <c r="AI80" i="20"/>
  <c r="AH80" i="20"/>
  <c r="AF79" i="20"/>
  <c r="AE79" i="20"/>
  <c r="AD79" i="20"/>
  <c r="AC79" i="20"/>
  <c r="AB79" i="20"/>
  <c r="AA79" i="20"/>
  <c r="Z79" i="20"/>
  <c r="Y79" i="20"/>
  <c r="X79" i="20"/>
  <c r="W79" i="20"/>
  <c r="V79" i="20"/>
  <c r="BD18" i="20" s="1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AQ18" i="20" s="1"/>
  <c r="E79" i="20"/>
  <c r="D79" i="20"/>
  <c r="C79" i="20"/>
  <c r="B79" i="20"/>
  <c r="BP78" i="20"/>
  <c r="BI78" i="20"/>
  <c r="BA78" i="20"/>
  <c r="AI78" i="20"/>
  <c r="AH78" i="20"/>
  <c r="AG78" i="20"/>
  <c r="AG79" i="20" s="1"/>
  <c r="BT77" i="20"/>
  <c r="BR77" i="20"/>
  <c r="BL77" i="20"/>
  <c r="BH77" i="20"/>
  <c r="BD77" i="20"/>
  <c r="BB77" i="20"/>
  <c r="AZ77" i="20"/>
  <c r="AI77" i="20"/>
  <c r="AH77" i="20"/>
  <c r="BV76" i="20"/>
  <c r="BT76" i="20"/>
  <c r="BP76" i="20"/>
  <c r="BL76" i="20"/>
  <c r="BJ76" i="20"/>
  <c r="BI76" i="20"/>
  <c r="BF76" i="20"/>
  <c r="BE76" i="20"/>
  <c r="BB76" i="20"/>
  <c r="AI76" i="20"/>
  <c r="AH76" i="20"/>
  <c r="BW75" i="20"/>
  <c r="BV75" i="20"/>
  <c r="BT75" i="20"/>
  <c r="BO75" i="20"/>
  <c r="BL75" i="20"/>
  <c r="BD75" i="20"/>
  <c r="AZ75" i="20"/>
  <c r="AI75" i="20"/>
  <c r="AH75" i="20"/>
  <c r="BV74" i="20"/>
  <c r="BQ74" i="20"/>
  <c r="BP74" i="20"/>
  <c r="BN74" i="20"/>
  <c r="BJ74" i="20"/>
  <c r="BH74" i="20"/>
  <c r="BF74" i="20"/>
  <c r="BC74" i="20"/>
  <c r="BA74" i="20"/>
  <c r="AI74" i="20"/>
  <c r="AH74" i="20"/>
  <c r="BU73" i="20"/>
  <c r="BS73" i="20"/>
  <c r="BP73" i="20"/>
  <c r="BM73" i="20"/>
  <c r="BK73" i="20"/>
  <c r="BH73" i="20"/>
  <c r="BE73" i="20"/>
  <c r="BC73" i="20"/>
  <c r="AZ73" i="20"/>
  <c r="AI73" i="20"/>
  <c r="AH73" i="20"/>
  <c r="AI72" i="20"/>
  <c r="AH72" i="20"/>
  <c r="BW71" i="20"/>
  <c r="BW78" i="20" s="1"/>
  <c r="BV71" i="20"/>
  <c r="BV78" i="20" s="1"/>
  <c r="BU71" i="20"/>
  <c r="BU78" i="20" s="1"/>
  <c r="BT71" i="20"/>
  <c r="BT78" i="20" s="1"/>
  <c r="BS71" i="20"/>
  <c r="BS78" i="20" s="1"/>
  <c r="BR71" i="20"/>
  <c r="BR78" i="20" s="1"/>
  <c r="BQ71" i="20"/>
  <c r="BQ78" i="20" s="1"/>
  <c r="BP71" i="20"/>
  <c r="BO71" i="20"/>
  <c r="BO78" i="20" s="1"/>
  <c r="BN71" i="20"/>
  <c r="BN78" i="20" s="1"/>
  <c r="BM71" i="20"/>
  <c r="BM78" i="20" s="1"/>
  <c r="BL71" i="20"/>
  <c r="BL78" i="20" s="1"/>
  <c r="BK71" i="20"/>
  <c r="BK78" i="20" s="1"/>
  <c r="BJ71" i="20"/>
  <c r="BJ78" i="20" s="1"/>
  <c r="BI71" i="20"/>
  <c r="BH71" i="20"/>
  <c r="BH78" i="20" s="1"/>
  <c r="BG71" i="20"/>
  <c r="BG78" i="20" s="1"/>
  <c r="BF71" i="20"/>
  <c r="BF78" i="20" s="1"/>
  <c r="BE71" i="20"/>
  <c r="BE78" i="20" s="1"/>
  <c r="BD71" i="20"/>
  <c r="BD78" i="20" s="1"/>
  <c r="BC71" i="20"/>
  <c r="BC78" i="20" s="1"/>
  <c r="BB71" i="20"/>
  <c r="BB78" i="20" s="1"/>
  <c r="BA71" i="20"/>
  <c r="AZ71" i="20"/>
  <c r="AZ78" i="20" s="1"/>
  <c r="AI71" i="20"/>
  <c r="AH71" i="20"/>
  <c r="BW70" i="20"/>
  <c r="BW77" i="20" s="1"/>
  <c r="BV70" i="20"/>
  <c r="BV77" i="20" s="1"/>
  <c r="BU70" i="20"/>
  <c r="BU77" i="20" s="1"/>
  <c r="BT70" i="20"/>
  <c r="BS70" i="20"/>
  <c r="BS77" i="20" s="1"/>
  <c r="BR70" i="20"/>
  <c r="BQ70" i="20"/>
  <c r="BQ77" i="20" s="1"/>
  <c r="BP70" i="20"/>
  <c r="BP77" i="20" s="1"/>
  <c r="BO70" i="20"/>
  <c r="BO77" i="20" s="1"/>
  <c r="BN70" i="20"/>
  <c r="BN77" i="20" s="1"/>
  <c r="BM70" i="20"/>
  <c r="BM77" i="20" s="1"/>
  <c r="BL70" i="20"/>
  <c r="BK70" i="20"/>
  <c r="BK77" i="20" s="1"/>
  <c r="BJ70" i="20"/>
  <c r="BJ77" i="20" s="1"/>
  <c r="BI70" i="20"/>
  <c r="BI77" i="20" s="1"/>
  <c r="BH70" i="20"/>
  <c r="BG70" i="20"/>
  <c r="BG77" i="20" s="1"/>
  <c r="BF70" i="20"/>
  <c r="BF77" i="20" s="1"/>
  <c r="BE70" i="20"/>
  <c r="BE77" i="20" s="1"/>
  <c r="BD70" i="20"/>
  <c r="BC70" i="20"/>
  <c r="BC77" i="20" s="1"/>
  <c r="BB70" i="20"/>
  <c r="BA70" i="20"/>
  <c r="BA77" i="20" s="1"/>
  <c r="AZ70" i="20"/>
  <c r="AI70" i="20"/>
  <c r="AH70" i="20"/>
  <c r="BW69" i="20"/>
  <c r="BW76" i="20" s="1"/>
  <c r="BV69" i="20"/>
  <c r="BU69" i="20"/>
  <c r="BU76" i="20" s="1"/>
  <c r="BT69" i="20"/>
  <c r="BS69" i="20"/>
  <c r="BS76" i="20" s="1"/>
  <c r="BR69" i="20"/>
  <c r="BR76" i="20" s="1"/>
  <c r="BQ69" i="20"/>
  <c r="BQ76" i="20" s="1"/>
  <c r="BP69" i="20"/>
  <c r="BO69" i="20"/>
  <c r="BO76" i="20" s="1"/>
  <c r="BN69" i="20"/>
  <c r="BN76" i="20" s="1"/>
  <c r="BM69" i="20"/>
  <c r="BM76" i="20" s="1"/>
  <c r="BL69" i="20"/>
  <c r="BK69" i="20"/>
  <c r="BK76" i="20" s="1"/>
  <c r="BJ69" i="20"/>
  <c r="BI69" i="20"/>
  <c r="BH69" i="20"/>
  <c r="BH76" i="20" s="1"/>
  <c r="BG69" i="20"/>
  <c r="BG76" i="20" s="1"/>
  <c r="BF69" i="20"/>
  <c r="BE69" i="20"/>
  <c r="BD69" i="20"/>
  <c r="BD76" i="20" s="1"/>
  <c r="BC69" i="20"/>
  <c r="BC76" i="20" s="1"/>
  <c r="BB69" i="20"/>
  <c r="BA69" i="20"/>
  <c r="BA76" i="20" s="1"/>
  <c r="AZ69" i="20"/>
  <c r="AZ76" i="20" s="1"/>
  <c r="AI69" i="20"/>
  <c r="AH69" i="20"/>
  <c r="BW68" i="20"/>
  <c r="BV68" i="20"/>
  <c r="BU68" i="20"/>
  <c r="BU75" i="20" s="1"/>
  <c r="BT68" i="20"/>
  <c r="BS68" i="20"/>
  <c r="BS75" i="20" s="1"/>
  <c r="BR68" i="20"/>
  <c r="BR75" i="20" s="1"/>
  <c r="BQ68" i="20"/>
  <c r="BQ75" i="20" s="1"/>
  <c r="BP68" i="20"/>
  <c r="BP75" i="20" s="1"/>
  <c r="BO68" i="20"/>
  <c r="BN68" i="20"/>
  <c r="BN75" i="20" s="1"/>
  <c r="BM68" i="20"/>
  <c r="BM75" i="20" s="1"/>
  <c r="BL68" i="20"/>
  <c r="BK68" i="20"/>
  <c r="BK75" i="20" s="1"/>
  <c r="BJ68" i="20"/>
  <c r="BJ75" i="20" s="1"/>
  <c r="BI68" i="20"/>
  <c r="BI75" i="20" s="1"/>
  <c r="BH68" i="20"/>
  <c r="BH75" i="20" s="1"/>
  <c r="BG68" i="20"/>
  <c r="BG75" i="20" s="1"/>
  <c r="BF68" i="20"/>
  <c r="BF75" i="20" s="1"/>
  <c r="BE68" i="20"/>
  <c r="BE75" i="20" s="1"/>
  <c r="BD68" i="20"/>
  <c r="BC68" i="20"/>
  <c r="BC75" i="20" s="1"/>
  <c r="BB68" i="20"/>
  <c r="BB75" i="20" s="1"/>
  <c r="BA68" i="20"/>
  <c r="BA75" i="20" s="1"/>
  <c r="AZ68" i="20"/>
  <c r="AI68" i="20"/>
  <c r="AH68" i="20"/>
  <c r="BW67" i="20"/>
  <c r="BW74" i="20" s="1"/>
  <c r="BV67" i="20"/>
  <c r="BU67" i="20"/>
  <c r="BU74" i="20" s="1"/>
  <c r="BT67" i="20"/>
  <c r="BT74" i="20" s="1"/>
  <c r="BS67" i="20"/>
  <c r="BS74" i="20" s="1"/>
  <c r="BR67" i="20"/>
  <c r="BR74" i="20" s="1"/>
  <c r="BQ67" i="20"/>
  <c r="BP67" i="20"/>
  <c r="BO67" i="20"/>
  <c r="BO74" i="20" s="1"/>
  <c r="BN67" i="20"/>
  <c r="BM67" i="20"/>
  <c r="BM74" i="20" s="1"/>
  <c r="BL67" i="20"/>
  <c r="BL74" i="20" s="1"/>
  <c r="BK67" i="20"/>
  <c r="BK74" i="20" s="1"/>
  <c r="BJ67" i="20"/>
  <c r="BI67" i="20"/>
  <c r="BI74" i="20" s="1"/>
  <c r="BH67" i="20"/>
  <c r="BG67" i="20"/>
  <c r="BG74" i="20" s="1"/>
  <c r="BF67" i="20"/>
  <c r="BE67" i="20"/>
  <c r="BE74" i="20" s="1"/>
  <c r="BD67" i="20"/>
  <c r="BD74" i="20" s="1"/>
  <c r="BC67" i="20"/>
  <c r="BB67" i="20"/>
  <c r="BB74" i="20" s="1"/>
  <c r="BA67" i="20"/>
  <c r="AZ67" i="20"/>
  <c r="AZ74" i="20" s="1"/>
  <c r="AI67" i="20"/>
  <c r="AH67" i="20"/>
  <c r="BW66" i="20"/>
  <c r="BW73" i="20" s="1"/>
  <c r="BV66" i="20"/>
  <c r="BV73" i="20" s="1"/>
  <c r="BU66" i="20"/>
  <c r="BT66" i="20"/>
  <c r="BT73" i="20" s="1"/>
  <c r="BS66" i="20"/>
  <c r="BR66" i="20"/>
  <c r="BR73" i="20" s="1"/>
  <c r="BQ66" i="20"/>
  <c r="BQ73" i="20" s="1"/>
  <c r="BP66" i="20"/>
  <c r="BO66" i="20"/>
  <c r="BO73" i="20" s="1"/>
  <c r="BN66" i="20"/>
  <c r="BN73" i="20" s="1"/>
  <c r="BM66" i="20"/>
  <c r="BL66" i="20"/>
  <c r="BL73" i="20" s="1"/>
  <c r="BK66" i="20"/>
  <c r="BJ66" i="20"/>
  <c r="BJ73" i="20" s="1"/>
  <c r="BI66" i="20"/>
  <c r="BI73" i="20" s="1"/>
  <c r="BH66" i="20"/>
  <c r="BG66" i="20"/>
  <c r="BG73" i="20" s="1"/>
  <c r="BF66" i="20"/>
  <c r="BF73" i="20" s="1"/>
  <c r="BE66" i="20"/>
  <c r="BD66" i="20"/>
  <c r="BD73" i="20" s="1"/>
  <c r="BC66" i="20"/>
  <c r="BB66" i="20"/>
  <c r="BB73" i="20" s="1"/>
  <c r="BA66" i="20"/>
  <c r="BA73" i="20" s="1"/>
  <c r="AZ66" i="20"/>
  <c r="BG82" i="20" s="1" a="1"/>
  <c r="BL87" i="20" s="1"/>
  <c r="AI66" i="20"/>
  <c r="AH66" i="20"/>
  <c r="AG65" i="20"/>
  <c r="AF65" i="20"/>
  <c r="AE65" i="20"/>
  <c r="BI17" i="20" s="1"/>
  <c r="AD65" i="20"/>
  <c r="AC65" i="20"/>
  <c r="AB65" i="20"/>
  <c r="BG17" i="20" s="1"/>
  <c r="AA65" i="20"/>
  <c r="Z65" i="20"/>
  <c r="Y65" i="20"/>
  <c r="X65" i="20"/>
  <c r="W65" i="20"/>
  <c r="V65" i="20"/>
  <c r="U65" i="20"/>
  <c r="BC17" i="20" s="1"/>
  <c r="T65" i="20"/>
  <c r="BB17" i="20" s="1"/>
  <c r="S65" i="20"/>
  <c r="R65" i="20"/>
  <c r="Q65" i="20"/>
  <c r="AY17" i="20" s="1"/>
  <c r="P65" i="20"/>
  <c r="O65" i="20"/>
  <c r="AW17" i="20" s="1"/>
  <c r="N65" i="20"/>
  <c r="M65" i="20"/>
  <c r="AU17" i="20" s="1"/>
  <c r="L65" i="20"/>
  <c r="K65" i="20"/>
  <c r="J65" i="20"/>
  <c r="I65" i="20"/>
  <c r="AS17" i="20" s="1"/>
  <c r="H65" i="20"/>
  <c r="G65" i="20"/>
  <c r="AR17" i="20" s="1"/>
  <c r="F65" i="20"/>
  <c r="E65" i="20"/>
  <c r="AP17" i="20" s="1"/>
  <c r="D65" i="20"/>
  <c r="AO17" i="20" s="1"/>
  <c r="C65" i="20"/>
  <c r="B65" i="20"/>
  <c r="AI64" i="20"/>
  <c r="AH64" i="20"/>
  <c r="AI63" i="20"/>
  <c r="AH63" i="20"/>
  <c r="AI62" i="20"/>
  <c r="AH62" i="20"/>
  <c r="AG61" i="20"/>
  <c r="AG100" i="20" s="1"/>
  <c r="AF61" i="20"/>
  <c r="AF100" i="20" s="1"/>
  <c r="AF102" i="20" s="1"/>
  <c r="AE61" i="20"/>
  <c r="AD61" i="20"/>
  <c r="AC61" i="20"/>
  <c r="AB61" i="20"/>
  <c r="AA61" i="20"/>
  <c r="AA100" i="20" s="1"/>
  <c r="AA102" i="20" s="1"/>
  <c r="Z61" i="20"/>
  <c r="BF16" i="20" s="1"/>
  <c r="BF22" i="20" s="1"/>
  <c r="BF24" i="20" s="1"/>
  <c r="Y61" i="20"/>
  <c r="Y100" i="20" s="1"/>
  <c r="Y102" i="20" s="1"/>
  <c r="Y103" i="20" s="1"/>
  <c r="Y7" i="20" s="1"/>
  <c r="X61" i="20"/>
  <c r="X100" i="20" s="1"/>
  <c r="X102" i="20" s="1"/>
  <c r="W61" i="20"/>
  <c r="W100" i="20" s="1"/>
  <c r="W102" i="20" s="1"/>
  <c r="W103" i="20" s="1"/>
  <c r="W7" i="20" s="1"/>
  <c r="V61" i="20"/>
  <c r="U61" i="20"/>
  <c r="T61" i="20"/>
  <c r="S61" i="20"/>
  <c r="S100" i="20" s="1"/>
  <c r="S102" i="20" s="1"/>
  <c r="R61" i="20"/>
  <c r="AZ16" i="20" s="1"/>
  <c r="Q61" i="20"/>
  <c r="Q100" i="20" s="1"/>
  <c r="Q102" i="20" s="1"/>
  <c r="P61" i="20"/>
  <c r="P100" i="20" s="1"/>
  <c r="P102" i="20" s="1"/>
  <c r="O61" i="20"/>
  <c r="O100" i="20" s="1"/>
  <c r="O102" i="20" s="1"/>
  <c r="O103" i="20" s="1"/>
  <c r="O7" i="20" s="1"/>
  <c r="N61" i="20"/>
  <c r="M61" i="20"/>
  <c r="L61" i="20"/>
  <c r="K61" i="20"/>
  <c r="K100" i="20" s="1"/>
  <c r="K102" i="20" s="1"/>
  <c r="J61" i="20"/>
  <c r="I61" i="20"/>
  <c r="I100" i="20" s="1"/>
  <c r="I102" i="20" s="1"/>
  <c r="I103" i="20" s="1"/>
  <c r="I7" i="20" s="1"/>
  <c r="H61" i="20"/>
  <c r="H100" i="20" s="1"/>
  <c r="H102" i="20" s="1"/>
  <c r="G61" i="20"/>
  <c r="G100" i="20" s="1"/>
  <c r="G102" i="20" s="1"/>
  <c r="F61" i="20"/>
  <c r="F100" i="20" s="1"/>
  <c r="F102" i="20" s="1"/>
  <c r="F103" i="20" s="1"/>
  <c r="F7" i="20" s="1"/>
  <c r="E61" i="20"/>
  <c r="D61" i="20"/>
  <c r="C61" i="20"/>
  <c r="C100" i="20" s="1"/>
  <c r="C102" i="20" s="1"/>
  <c r="B61" i="20"/>
  <c r="AM16" i="20" s="1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BI23" i="20"/>
  <c r="BH23" i="20"/>
  <c r="AZ23" i="20"/>
  <c r="AY23" i="20"/>
  <c r="AW23" i="20"/>
  <c r="AR23" i="20"/>
  <c r="AQ23" i="20"/>
  <c r="AI23" i="20"/>
  <c r="AH23" i="20"/>
  <c r="AI22" i="20"/>
  <c r="AH22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I21" i="20"/>
  <c r="AH21" i="20"/>
  <c r="BJ20" i="20"/>
  <c r="BI20" i="20"/>
  <c r="BH20" i="20"/>
  <c r="BG20" i="20"/>
  <c r="BF20" i="20"/>
  <c r="BE20" i="20"/>
  <c r="BD20" i="20"/>
  <c r="BC20" i="20"/>
  <c r="BB20" i="20"/>
  <c r="BA20" i="20"/>
  <c r="AZ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I20" i="20"/>
  <c r="AH20" i="20"/>
  <c r="BJ19" i="20"/>
  <c r="BI19" i="20"/>
  <c r="BH19" i="20"/>
  <c r="BG19" i="20"/>
  <c r="BF19" i="20"/>
  <c r="BE19" i="20"/>
  <c r="BC19" i="20"/>
  <c r="BB19" i="20"/>
  <c r="BA19" i="20"/>
  <c r="AZ19" i="20"/>
  <c r="AY19" i="20"/>
  <c r="AX19" i="20"/>
  <c r="AW19" i="20"/>
  <c r="AU19" i="20"/>
  <c r="AT19" i="20"/>
  <c r="AS19" i="20"/>
  <c r="AR19" i="20"/>
  <c r="AQ19" i="20"/>
  <c r="AP19" i="20"/>
  <c r="AO19" i="20"/>
  <c r="AN19" i="20"/>
  <c r="AM19" i="20"/>
  <c r="AI19" i="20"/>
  <c r="AH19" i="20"/>
  <c r="BJ18" i="20"/>
  <c r="BI18" i="20"/>
  <c r="BG18" i="20"/>
  <c r="BF18" i="20"/>
  <c r="BE18" i="20"/>
  <c r="BC18" i="20"/>
  <c r="BB18" i="20"/>
  <c r="BA18" i="20"/>
  <c r="AZ18" i="20"/>
  <c r="AY18" i="20"/>
  <c r="AX18" i="20"/>
  <c r="AW18" i="20"/>
  <c r="AU18" i="20"/>
  <c r="AT18" i="20"/>
  <c r="AS18" i="20"/>
  <c r="AR18" i="20"/>
  <c r="AP18" i="20"/>
  <c r="AO18" i="20"/>
  <c r="AN18" i="20"/>
  <c r="AM18" i="20"/>
  <c r="AI18" i="20"/>
  <c r="AH18" i="20"/>
  <c r="BJ17" i="20"/>
  <c r="BH17" i="20"/>
  <c r="BF17" i="20"/>
  <c r="BE17" i="20"/>
  <c r="BD17" i="20"/>
  <c r="BA17" i="20"/>
  <c r="AZ17" i="20"/>
  <c r="AX17" i="20"/>
  <c r="AV17" i="20"/>
  <c r="AT17" i="20"/>
  <c r="AQ17" i="20"/>
  <c r="AN17" i="20"/>
  <c r="AM17" i="20"/>
  <c r="AI17" i="20"/>
  <c r="AH17" i="20"/>
  <c r="BJ16" i="20"/>
  <c r="BH16" i="20"/>
  <c r="BE16" i="20"/>
  <c r="BD16" i="20"/>
  <c r="BA16" i="20"/>
  <c r="AX16" i="20"/>
  <c r="AX22" i="20" s="1"/>
  <c r="AV16" i="20"/>
  <c r="AT16" i="20"/>
  <c r="AT22" i="20" s="1"/>
  <c r="AQ16" i="20"/>
  <c r="AP16" i="20"/>
  <c r="AO16" i="20"/>
  <c r="AN16" i="20"/>
  <c r="AI16" i="20"/>
  <c r="AH16" i="20"/>
  <c r="AI15" i="20"/>
  <c r="AH15" i="20"/>
  <c r="AI14" i="20"/>
  <c r="AH14" i="20"/>
  <c r="AI13" i="20"/>
  <c r="AH13" i="20"/>
  <c r="AL12" i="20"/>
  <c r="AI12" i="20"/>
  <c r="AH12" i="20"/>
  <c r="AI11" i="20"/>
  <c r="AH11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AG4" i="20"/>
  <c r="K4" i="20"/>
  <c r="E4" i="20"/>
  <c r="H4" i="20" s="1"/>
  <c r="B4" i="20"/>
  <c r="AG3" i="20"/>
  <c r="BA22" i="20" l="1"/>
  <c r="N100" i="20"/>
  <c r="N102" i="20" s="1"/>
  <c r="N103" i="20" s="1"/>
  <c r="N7" i="20" s="1"/>
  <c r="Q103" i="20"/>
  <c r="Q7" i="20" s="1"/>
  <c r="AN22" i="20"/>
  <c r="AQ22" i="20"/>
  <c r="AQ24" i="20" s="1"/>
  <c r="BJ22" i="20"/>
  <c r="BD22" i="20"/>
  <c r="BD24" i="20" s="1"/>
  <c r="G103" i="20"/>
  <c r="G7" i="20" s="1"/>
  <c r="AF103" i="20"/>
  <c r="AF7" i="20" s="1"/>
  <c r="AH65" i="20"/>
  <c r="BH18" i="20"/>
  <c r="BH22" i="20" s="1"/>
  <c r="BH24" i="20" s="1"/>
  <c r="AD100" i="20"/>
  <c r="AD102" i="20" s="1"/>
  <c r="AD103" i="20" s="1"/>
  <c r="AD7" i="20" s="1"/>
  <c r="BL97" i="20"/>
  <c r="BI16" i="20"/>
  <c r="BI22" i="20" s="1"/>
  <c r="BI24" i="20" s="1"/>
  <c r="AE100" i="20"/>
  <c r="AE102" i="20" s="1"/>
  <c r="AE103" i="20" s="1"/>
  <c r="AE7" i="20" s="1"/>
  <c r="AM22" i="20"/>
  <c r="AW16" i="20"/>
  <c r="AW22" i="20" s="1"/>
  <c r="AW24" i="20" s="1"/>
  <c r="AI65" i="20"/>
  <c r="BJ82" i="20"/>
  <c r="BG100" i="20"/>
  <c r="AO22" i="20"/>
  <c r="BH85" i="20"/>
  <c r="AP22" i="20"/>
  <c r="AP24" i="20" s="1"/>
  <c r="D100" i="20"/>
  <c r="D102" i="20" s="1"/>
  <c r="D103" i="20" s="1"/>
  <c r="D7" i="20" s="1"/>
  <c r="L100" i="20"/>
  <c r="L102" i="20" s="1"/>
  <c r="T100" i="20"/>
  <c r="T102" i="20" s="1"/>
  <c r="T103" i="20" s="1"/>
  <c r="T7" i="20" s="1"/>
  <c r="BB16" i="20"/>
  <c r="BB22" i="20" s="1"/>
  <c r="BB24" i="20" s="1"/>
  <c r="AB100" i="20"/>
  <c r="AB102" i="20" s="1"/>
  <c r="BG16" i="20"/>
  <c r="BG22" i="20" s="1"/>
  <c r="AI79" i="20"/>
  <c r="D255" i="20"/>
  <c r="E250" i="20"/>
  <c r="BK105" i="20"/>
  <c r="BI104" i="20"/>
  <c r="BG103" i="20"/>
  <c r="BK101" i="20"/>
  <c r="BI100" i="20"/>
  <c r="BG99" i="20"/>
  <c r="BK97" i="20"/>
  <c r="BI96" i="20"/>
  <c r="BG95" i="20"/>
  <c r="BK93" i="20"/>
  <c r="BI92" i="20"/>
  <c r="BG91" i="20"/>
  <c r="BK89" i="20"/>
  <c r="BI88" i="20"/>
  <c r="BG87" i="20"/>
  <c r="BK85" i="20"/>
  <c r="BI84" i="20"/>
  <c r="BG83" i="20"/>
  <c r="BJ105" i="20"/>
  <c r="BH104" i="20"/>
  <c r="BL102" i="20"/>
  <c r="BJ101" i="20"/>
  <c r="BH100" i="20"/>
  <c r="BL98" i="20"/>
  <c r="BJ97" i="20"/>
  <c r="BH96" i="20"/>
  <c r="BL94" i="20"/>
  <c r="BJ93" i="20"/>
  <c r="BH92" i="20"/>
  <c r="BL90" i="20"/>
  <c r="BJ89" i="20"/>
  <c r="BH88" i="20"/>
  <c r="BL86" i="20"/>
  <c r="BJ85" i="20"/>
  <c r="BH84" i="20"/>
  <c r="BL82" i="20"/>
  <c r="BH105" i="20"/>
  <c r="BL103" i="20"/>
  <c r="BJ102" i="20"/>
  <c r="BH101" i="20"/>
  <c r="BL99" i="20"/>
  <c r="BJ98" i="20"/>
  <c r="BH97" i="20"/>
  <c r="BL95" i="20"/>
  <c r="BJ94" i="20"/>
  <c r="BG105" i="20"/>
  <c r="BK103" i="20"/>
  <c r="BI102" i="20"/>
  <c r="BG101" i="20"/>
  <c r="BK99" i="20"/>
  <c r="BI98" i="20"/>
  <c r="BG97" i="20"/>
  <c r="BK95" i="20"/>
  <c r="BI94" i="20"/>
  <c r="BG93" i="20"/>
  <c r="BK91" i="20"/>
  <c r="BI90" i="20"/>
  <c r="BG89" i="20"/>
  <c r="BK87" i="20"/>
  <c r="BI86" i="20"/>
  <c r="BG85" i="20"/>
  <c r="BK83" i="20"/>
  <c r="BI82" i="20"/>
  <c r="BL104" i="20"/>
  <c r="BJ103" i="20"/>
  <c r="BH102" i="20"/>
  <c r="BL100" i="20"/>
  <c r="BJ99" i="20"/>
  <c r="BH98" i="20"/>
  <c r="BL96" i="20"/>
  <c r="BJ95" i="20"/>
  <c r="BH94" i="20"/>
  <c r="BL92" i="20"/>
  <c r="BJ91" i="20"/>
  <c r="BH90" i="20"/>
  <c r="BL88" i="20"/>
  <c r="BJ87" i="20"/>
  <c r="BH86" i="20"/>
  <c r="BL84" i="20"/>
  <c r="BJ83" i="20"/>
  <c r="BH82" i="20"/>
  <c r="BH103" i="20"/>
  <c r="BI99" i="20"/>
  <c r="BG96" i="20"/>
  <c r="BK92" i="20"/>
  <c r="BG90" i="20"/>
  <c r="BI87" i="20"/>
  <c r="BK84" i="20"/>
  <c r="BG82" i="20"/>
  <c r="BK102" i="20"/>
  <c r="BH99" i="20"/>
  <c r="BI95" i="20"/>
  <c r="BJ92" i="20"/>
  <c r="BL89" i="20"/>
  <c r="BH87" i="20"/>
  <c r="BJ84" i="20"/>
  <c r="BK104" i="20"/>
  <c r="BG94" i="20"/>
  <c r="BI91" i="20"/>
  <c r="BK88" i="20"/>
  <c r="BG86" i="20"/>
  <c r="BL105" i="20"/>
  <c r="BG102" i="20"/>
  <c r="BK98" i="20"/>
  <c r="BH95" i="20"/>
  <c r="BG92" i="20"/>
  <c r="BI89" i="20"/>
  <c r="BK86" i="20"/>
  <c r="BG84" i="20"/>
  <c r="BI105" i="20"/>
  <c r="BL101" i="20"/>
  <c r="BG98" i="20"/>
  <c r="BK94" i="20"/>
  <c r="BL91" i="20"/>
  <c r="BH89" i="20"/>
  <c r="BJ86" i="20"/>
  <c r="BL83" i="20"/>
  <c r="BI101" i="20"/>
  <c r="BJ104" i="20"/>
  <c r="BK100" i="20"/>
  <c r="BI97" i="20"/>
  <c r="BL93" i="20"/>
  <c r="BH91" i="20"/>
  <c r="BJ88" i="20"/>
  <c r="BL85" i="20"/>
  <c r="BH83" i="20"/>
  <c r="BG104" i="20"/>
  <c r="BJ100" i="20"/>
  <c r="BK96" i="20"/>
  <c r="BI93" i="20"/>
  <c r="BK90" i="20"/>
  <c r="BG88" i="20"/>
  <c r="BI85" i="20"/>
  <c r="BK82" i="20"/>
  <c r="BI83" i="20"/>
  <c r="BI103" i="20"/>
  <c r="AZ22" i="20"/>
  <c r="AZ24" i="20" s="1"/>
  <c r="AT24" i="20"/>
  <c r="S103" i="20"/>
  <c r="S7" i="20" s="1"/>
  <c r="D261" i="20"/>
  <c r="AL13" i="20"/>
  <c r="E100" i="20"/>
  <c r="E102" i="20" s="1"/>
  <c r="E103" i="20" s="1"/>
  <c r="E7" i="20" s="1"/>
  <c r="M100" i="20"/>
  <c r="M102" i="20" s="1"/>
  <c r="M103" i="20" s="1"/>
  <c r="M7" i="20" s="1"/>
  <c r="AU16" i="20"/>
  <c r="AU22" i="20" s="1"/>
  <c r="AU24" i="20" s="1"/>
  <c r="U100" i="20"/>
  <c r="U102" i="20" s="1"/>
  <c r="U103" i="20" s="1"/>
  <c r="U7" i="20" s="1"/>
  <c r="BC16" i="20"/>
  <c r="BC22" i="20" s="1"/>
  <c r="BC24" i="20" s="1"/>
  <c r="AC100" i="20"/>
  <c r="AC102" i="20" s="1"/>
  <c r="AC103" i="20" s="1"/>
  <c r="AC7" i="20" s="1"/>
  <c r="AH79" i="20"/>
  <c r="BJ90" i="20"/>
  <c r="AR16" i="20"/>
  <c r="AR22" i="20" s="1"/>
  <c r="AR24" i="20" s="1"/>
  <c r="BE22" i="20"/>
  <c r="AV18" i="20"/>
  <c r="AV22" i="20" s="1"/>
  <c r="AV24" i="20" s="1"/>
  <c r="V100" i="20"/>
  <c r="V102" i="20" s="1"/>
  <c r="V103" i="20" s="1"/>
  <c r="V7" i="20" s="1"/>
  <c r="BH93" i="20"/>
  <c r="F111" i="20"/>
  <c r="N111" i="20"/>
  <c r="V111" i="20"/>
  <c r="AD111" i="20"/>
  <c r="C110" i="20"/>
  <c r="AN23" i="20" s="1"/>
  <c r="AN24" i="20" s="1"/>
  <c r="K110" i="20"/>
  <c r="AT23" i="20" s="1"/>
  <c r="S110" i="20"/>
  <c r="BA23" i="20" s="1"/>
  <c r="BA24" i="20" s="1"/>
  <c r="AA110" i="20"/>
  <c r="AA103" i="20" s="1"/>
  <c r="AA7" i="20" s="1"/>
  <c r="I249" i="20"/>
  <c r="AY16" i="20"/>
  <c r="AY22" i="20" s="1"/>
  <c r="AY24" i="20" s="1"/>
  <c r="G111" i="20"/>
  <c r="O111" i="20"/>
  <c r="W111" i="20"/>
  <c r="AE111" i="20"/>
  <c r="D110" i="20"/>
  <c r="AO23" i="20" s="1"/>
  <c r="L110" i="20"/>
  <c r="L111" i="20" s="1"/>
  <c r="T110" i="20"/>
  <c r="BB23" i="20" s="1"/>
  <c r="AB110" i="20"/>
  <c r="BG23" i="20" s="1"/>
  <c r="E111" i="20"/>
  <c r="AS16" i="20"/>
  <c r="AS22" i="20" s="1"/>
  <c r="AS24" i="20" s="1"/>
  <c r="AU23" i="20"/>
  <c r="AG102" i="20"/>
  <c r="AI109" i="20"/>
  <c r="AV19" i="20"/>
  <c r="BD19" i="20"/>
  <c r="B111" i="20"/>
  <c r="AI95" i="20"/>
  <c r="J111" i="20"/>
  <c r="R111" i="20"/>
  <c r="Z111" i="20"/>
  <c r="AH95" i="20"/>
  <c r="AI106" i="20"/>
  <c r="B110" i="20"/>
  <c r="AG2" i="20"/>
  <c r="AG6" i="20" s="1"/>
  <c r="B100" i="20"/>
  <c r="J100" i="20"/>
  <c r="J102" i="20" s="1"/>
  <c r="J103" i="20" s="1"/>
  <c r="J7" i="20" s="1"/>
  <c r="R100" i="20"/>
  <c r="R102" i="20" s="1"/>
  <c r="R103" i="20" s="1"/>
  <c r="R7" i="20" s="1"/>
  <c r="Z100" i="20"/>
  <c r="Z102" i="20" s="1"/>
  <c r="Z103" i="20" s="1"/>
  <c r="Z7" i="20" s="1"/>
  <c r="AH61" i="20"/>
  <c r="AI83" i="20"/>
  <c r="AH83" i="20"/>
  <c r="K111" i="20"/>
  <c r="H110" i="20"/>
  <c r="H111" i="20" s="1"/>
  <c r="P110" i="20"/>
  <c r="X110" i="20"/>
  <c r="AF110" i="20"/>
  <c r="AH106" i="20"/>
  <c r="AI107" i="20"/>
  <c r="AI108" i="20"/>
  <c r="AI61" i="20"/>
  <c r="D111" i="20"/>
  <c r="T111" i="20"/>
  <c r="AI105" i="20"/>
  <c r="E254" i="20"/>
  <c r="AH104" i="20"/>
  <c r="AH105" i="20"/>
  <c r="AH108" i="20"/>
  <c r="B259" i="20" l="1"/>
  <c r="AA111" i="20"/>
  <c r="C259" i="20"/>
  <c r="K6" i="20" s="1"/>
  <c r="S111" i="20"/>
  <c r="AH111" i="20" s="1"/>
  <c r="L103" i="20"/>
  <c r="L7" i="20" s="1"/>
  <c r="AH100" i="20"/>
  <c r="B102" i="20"/>
  <c r="AI100" i="20"/>
  <c r="F250" i="20"/>
  <c r="E255" i="20"/>
  <c r="C111" i="20"/>
  <c r="AI111" i="20" s="1"/>
  <c r="AB111" i="20"/>
  <c r="AF111" i="20"/>
  <c r="BJ23" i="20"/>
  <c r="BJ24" i="20" s="1"/>
  <c r="AM23" i="20"/>
  <c r="AM24" i="20" s="1"/>
  <c r="AT9" i="20" s="1"/>
  <c r="AI110" i="20"/>
  <c r="AH110" i="20"/>
  <c r="C103" i="20"/>
  <c r="C7" i="20" s="1"/>
  <c r="H103" i="20"/>
  <c r="H7" i="20" s="1"/>
  <c r="F254" i="20"/>
  <c r="E121" i="20"/>
  <c r="BE24" i="20"/>
  <c r="BE23" i="20"/>
  <c r="X103" i="20"/>
  <c r="X7" i="20" s="1"/>
  <c r="X111" i="20"/>
  <c r="BG24" i="20"/>
  <c r="K103" i="20"/>
  <c r="K7" i="20" s="1"/>
  <c r="AT8" i="20"/>
  <c r="AX23" i="20"/>
  <c r="AX24" i="20" s="1"/>
  <c r="P111" i="20"/>
  <c r="P103" i="20"/>
  <c r="P7" i="20" s="1"/>
  <c r="J249" i="20"/>
  <c r="AB103" i="20"/>
  <c r="AB7" i="20" s="1"/>
  <c r="AO24" i="20"/>
  <c r="B103" i="20" l="1"/>
  <c r="AI102" i="20"/>
  <c r="AH102" i="20"/>
  <c r="K249" i="20"/>
  <c r="G254" i="20"/>
  <c r="F121" i="20"/>
  <c r="G250" i="20"/>
  <c r="F255" i="20"/>
  <c r="H254" i="20" l="1"/>
  <c r="G121" i="20"/>
  <c r="L249" i="20"/>
  <c r="H250" i="20"/>
  <c r="G255" i="20"/>
  <c r="AI103" i="20"/>
  <c r="AH103" i="20"/>
  <c r="B7" i="20"/>
  <c r="A7" i="20" s="1"/>
  <c r="I250" i="20" l="1"/>
  <c r="H255" i="20"/>
  <c r="M249" i="20"/>
  <c r="I254" i="20"/>
  <c r="H121" i="20"/>
  <c r="J254" i="20" l="1"/>
  <c r="I121" i="20"/>
  <c r="N249" i="20"/>
  <c r="J250" i="20"/>
  <c r="I255" i="20"/>
  <c r="K254" i="20" l="1"/>
  <c r="J121" i="20"/>
  <c r="K250" i="20"/>
  <c r="J255" i="20"/>
  <c r="O249" i="20"/>
  <c r="P249" i="20" l="1"/>
  <c r="L250" i="20"/>
  <c r="K255" i="20"/>
  <c r="L254" i="20"/>
  <c r="K121" i="20"/>
  <c r="M254" i="20" l="1"/>
  <c r="L121" i="20"/>
  <c r="M250" i="20"/>
  <c r="L255" i="20"/>
  <c r="Q249" i="20"/>
  <c r="N250" i="20" l="1"/>
  <c r="M255" i="20"/>
  <c r="R249" i="20"/>
  <c r="N254" i="20"/>
  <c r="M121" i="20"/>
  <c r="O254" i="20" l="1"/>
  <c r="N121" i="20"/>
  <c r="S249" i="20"/>
  <c r="O250" i="20"/>
  <c r="N255" i="20"/>
  <c r="P250" i="20" l="1"/>
  <c r="O255" i="20"/>
  <c r="T249" i="20"/>
  <c r="P254" i="20"/>
  <c r="Q254" i="20" s="1"/>
  <c r="O121" i="20"/>
  <c r="R254" i="20" l="1"/>
  <c r="Q121" i="20"/>
  <c r="U249" i="20"/>
  <c r="Q250" i="20"/>
  <c r="P255" i="20"/>
  <c r="R250" i="20" l="1"/>
  <c r="Q255" i="20"/>
  <c r="V249" i="20"/>
  <c r="S254" i="20"/>
  <c r="R121" i="20"/>
  <c r="T254" i="20" l="1"/>
  <c r="S121" i="20"/>
  <c r="W249" i="20"/>
  <c r="S250" i="20"/>
  <c r="R255" i="20"/>
  <c r="T250" i="20" l="1"/>
  <c r="S255" i="20"/>
  <c r="X249" i="20"/>
  <c r="U254" i="20"/>
  <c r="T121" i="20"/>
  <c r="V254" i="20" l="1"/>
  <c r="U121" i="20"/>
  <c r="Y249" i="20"/>
  <c r="U250" i="20"/>
  <c r="T255" i="20"/>
  <c r="V250" i="20" l="1"/>
  <c r="U255" i="20"/>
  <c r="Z249" i="20"/>
  <c r="W254" i="20"/>
  <c r="V121" i="20"/>
  <c r="X254" i="20" l="1"/>
  <c r="W121" i="20"/>
  <c r="AA249" i="20"/>
  <c r="W250" i="20"/>
  <c r="V255" i="20"/>
  <c r="X250" i="20" l="1"/>
  <c r="W255" i="20"/>
  <c r="AB249" i="20"/>
  <c r="Y254" i="20"/>
  <c r="Z254" i="20" s="1"/>
  <c r="AA254" i="20" s="1"/>
  <c r="AB254" i="20" s="1"/>
  <c r="AC254" i="20" s="1"/>
  <c r="AD254" i="20" s="1"/>
  <c r="AE254" i="20" s="1"/>
  <c r="AF254" i="20" s="1"/>
  <c r="B254" i="20" s="1"/>
  <c r="X121" i="20"/>
  <c r="AA121" i="20" l="1"/>
  <c r="AB121" i="20"/>
  <c r="AC249" i="20"/>
  <c r="Y250" i="20"/>
  <c r="X255" i="20"/>
  <c r="Z250" i="20" l="1"/>
  <c r="Y255" i="20"/>
  <c r="AC121" i="20"/>
  <c r="AD249" i="20"/>
  <c r="AE249" i="20" l="1"/>
  <c r="AD121" i="20"/>
  <c r="AA250" i="20"/>
  <c r="Z255" i="20"/>
  <c r="AB250" i="20" l="1"/>
  <c r="AA255" i="20"/>
  <c r="AF249" i="20"/>
  <c r="AE121" i="20"/>
  <c r="AF121" i="20" l="1"/>
  <c r="B249" i="20"/>
  <c r="AC250" i="20"/>
  <c r="AB255" i="20"/>
  <c r="B121" i="20" l="1"/>
  <c r="AD250" i="20"/>
  <c r="AC255" i="20"/>
  <c r="AE250" i="20" l="1"/>
  <c r="AD255" i="20"/>
  <c r="AI121" i="20"/>
  <c r="AH121" i="20"/>
  <c r="AF250" i="20" l="1"/>
  <c r="AE255" i="20"/>
  <c r="B250" i="20" l="1"/>
  <c r="B255" i="20" s="1"/>
  <c r="AF255" i="20"/>
  <c r="AG252" i="2" l="1"/>
  <c r="C252" i="2"/>
  <c r="E251" i="2"/>
  <c r="F251" i="2" s="1"/>
  <c r="G251" i="2" s="1"/>
  <c r="H251" i="2" s="1"/>
  <c r="I251" i="2" s="1"/>
  <c r="J251" i="2" s="1"/>
  <c r="K251" i="2" s="1"/>
  <c r="L251" i="2" s="1"/>
  <c r="M251" i="2" s="1"/>
  <c r="N251" i="2" s="1"/>
  <c r="O251" i="2" s="1"/>
  <c r="P251" i="2" s="1"/>
  <c r="Q251" i="2" s="1"/>
  <c r="R251" i="2" s="1"/>
  <c r="S251" i="2" s="1"/>
  <c r="T251" i="2" s="1"/>
  <c r="U251" i="2" s="1"/>
  <c r="V251" i="2" s="1"/>
  <c r="W251" i="2" s="1"/>
  <c r="X251" i="2" s="1"/>
  <c r="Y251" i="2" s="1"/>
  <c r="Z251" i="2" s="1"/>
  <c r="AA251" i="2" s="1"/>
  <c r="AB251" i="2" s="1"/>
  <c r="AC251" i="2" s="1"/>
  <c r="AD251" i="2" s="1"/>
  <c r="AE251" i="2" s="1"/>
  <c r="AF251" i="2" s="1"/>
  <c r="B251" i="2" s="1"/>
  <c r="D251" i="2"/>
  <c r="D250" i="2"/>
  <c r="E250" i="2" s="1"/>
  <c r="F250" i="2" s="1"/>
  <c r="G250" i="2" s="1"/>
  <c r="H250" i="2" s="1"/>
  <c r="I250" i="2" s="1"/>
  <c r="J250" i="2" s="1"/>
  <c r="K250" i="2" s="1"/>
  <c r="L250" i="2" s="1"/>
  <c r="M250" i="2" s="1"/>
  <c r="N250" i="2" s="1"/>
  <c r="O250" i="2" s="1"/>
  <c r="P250" i="2" s="1"/>
  <c r="Q250" i="2" s="1"/>
  <c r="R250" i="2" s="1"/>
  <c r="S250" i="2" s="1"/>
  <c r="T250" i="2" s="1"/>
  <c r="U250" i="2" s="1"/>
  <c r="V250" i="2" s="1"/>
  <c r="W250" i="2" s="1"/>
  <c r="X250" i="2" s="1"/>
  <c r="Y250" i="2" s="1"/>
  <c r="Z250" i="2" s="1"/>
  <c r="AA250" i="2" s="1"/>
  <c r="AB250" i="2" s="1"/>
  <c r="AC250" i="2" s="1"/>
  <c r="AD250" i="2" s="1"/>
  <c r="AE250" i="2" s="1"/>
  <c r="AF250" i="2" s="1"/>
  <c r="B250" i="2" s="1"/>
  <c r="E249" i="2"/>
  <c r="F249" i="2" s="1"/>
  <c r="G249" i="2" s="1"/>
  <c r="H249" i="2" s="1"/>
  <c r="I249" i="2" s="1"/>
  <c r="J249" i="2" s="1"/>
  <c r="K249" i="2" s="1"/>
  <c r="L249" i="2" s="1"/>
  <c r="M249" i="2" s="1"/>
  <c r="N249" i="2" s="1"/>
  <c r="O249" i="2" s="1"/>
  <c r="P249" i="2" s="1"/>
  <c r="Q249" i="2" s="1"/>
  <c r="R249" i="2" s="1"/>
  <c r="S249" i="2" s="1"/>
  <c r="T249" i="2" s="1"/>
  <c r="U249" i="2" s="1"/>
  <c r="V249" i="2" s="1"/>
  <c r="W249" i="2" s="1"/>
  <c r="X249" i="2" s="1"/>
  <c r="Y249" i="2" s="1"/>
  <c r="Z249" i="2" s="1"/>
  <c r="AA249" i="2" s="1"/>
  <c r="AB249" i="2" s="1"/>
  <c r="AC249" i="2" s="1"/>
  <c r="AD249" i="2" s="1"/>
  <c r="AE249" i="2" s="1"/>
  <c r="AF249" i="2" s="1"/>
  <c r="B249" i="2" s="1"/>
  <c r="D249" i="2"/>
  <c r="AE248" i="2"/>
  <c r="AF248" i="2" s="1"/>
  <c r="B248" i="2" s="1"/>
  <c r="P248" i="2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AA248" i="2" s="1"/>
  <c r="AB248" i="2" s="1"/>
  <c r="AC248" i="2" s="1"/>
  <c r="AD248" i="2" s="1"/>
  <c r="E248" i="2"/>
  <c r="F248" i="2" s="1"/>
  <c r="G248" i="2" s="1"/>
  <c r="H248" i="2" s="1"/>
  <c r="I248" i="2" s="1"/>
  <c r="J248" i="2" s="1"/>
  <c r="K248" i="2" s="1"/>
  <c r="L248" i="2" s="1"/>
  <c r="M248" i="2" s="1"/>
  <c r="N248" i="2" s="1"/>
  <c r="O248" i="2" s="1"/>
  <c r="D248" i="2"/>
  <c r="E247" i="2"/>
  <c r="F247" i="2" s="1"/>
  <c r="G247" i="2" s="1"/>
  <c r="H247" i="2" s="1"/>
  <c r="I247" i="2" s="1"/>
  <c r="J247" i="2" s="1"/>
  <c r="K247" i="2" s="1"/>
  <c r="L247" i="2" s="1"/>
  <c r="M247" i="2" s="1"/>
  <c r="N247" i="2" s="1"/>
  <c r="O247" i="2" s="1"/>
  <c r="P247" i="2" s="1"/>
  <c r="Q247" i="2" s="1"/>
  <c r="R247" i="2" s="1"/>
  <c r="S247" i="2" s="1"/>
  <c r="T247" i="2" s="1"/>
  <c r="U247" i="2" s="1"/>
  <c r="V247" i="2" s="1"/>
  <c r="W247" i="2" s="1"/>
  <c r="X247" i="2" s="1"/>
  <c r="Y247" i="2" s="1"/>
  <c r="Z247" i="2" s="1"/>
  <c r="AA247" i="2" s="1"/>
  <c r="AB247" i="2" s="1"/>
  <c r="AC247" i="2" s="1"/>
  <c r="AD247" i="2" s="1"/>
  <c r="AE247" i="2" s="1"/>
  <c r="AF247" i="2" s="1"/>
  <c r="B247" i="2" s="1"/>
  <c r="D247" i="2"/>
  <c r="D246" i="2"/>
  <c r="AG244" i="2"/>
  <c r="AF244" i="2"/>
  <c r="AE244" i="2"/>
  <c r="AD244" i="2"/>
  <c r="AC244" i="2"/>
  <c r="AB244" i="2"/>
  <c r="AA244" i="2"/>
  <c r="Z244" i="2"/>
  <c r="Z118" i="2" s="1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I130" i="2"/>
  <c r="AH130" i="2"/>
  <c r="AI129" i="2"/>
  <c r="AH129" i="2"/>
  <c r="AI128" i="2"/>
  <c r="AH128" i="2"/>
  <c r="AI127" i="2"/>
  <c r="AH127" i="2"/>
  <c r="AI126" i="2"/>
  <c r="AH126" i="2"/>
  <c r="AI123" i="2"/>
  <c r="AH123" i="2"/>
  <c r="AI122" i="2"/>
  <c r="AH122" i="2"/>
  <c r="AI121" i="2"/>
  <c r="AH121" i="2"/>
  <c r="AI120" i="2"/>
  <c r="AH120" i="2"/>
  <c r="AI119" i="2"/>
  <c r="AH119" i="2"/>
  <c r="Y118" i="2"/>
  <c r="C118" i="2"/>
  <c r="AI117" i="2"/>
  <c r="AH117" i="2"/>
  <c r="AI116" i="2"/>
  <c r="AH116" i="2"/>
  <c r="AI115" i="2"/>
  <c r="AH115" i="2"/>
  <c r="AI114" i="2"/>
  <c r="AH114" i="2"/>
  <c r="AI113" i="2"/>
  <c r="AH113" i="2"/>
  <c r="AI112" i="2"/>
  <c r="AH112" i="2"/>
  <c r="AI111" i="2"/>
  <c r="AH111" i="2"/>
  <c r="AI110" i="2"/>
  <c r="AH110" i="2"/>
  <c r="AI109" i="2"/>
  <c r="AH109" i="2"/>
  <c r="B108" i="2"/>
  <c r="Z107" i="2"/>
  <c r="S107" i="2"/>
  <c r="BA23" i="2" s="1"/>
  <c r="AI106" i="2"/>
  <c r="AH106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AH105" i="2" s="1"/>
  <c r="E105" i="2"/>
  <c r="D105" i="2"/>
  <c r="C105" i="2"/>
  <c r="B105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F107" i="2" s="1"/>
  <c r="AQ23" i="2" s="1"/>
  <c r="E104" i="2"/>
  <c r="D104" i="2"/>
  <c r="C104" i="2"/>
  <c r="B104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AI103" i="2" s="1"/>
  <c r="F103" i="2"/>
  <c r="E103" i="2"/>
  <c r="D103" i="2"/>
  <c r="C103" i="2"/>
  <c r="B103" i="2"/>
  <c r="AF102" i="2"/>
  <c r="AF107" i="2" s="1"/>
  <c r="AE102" i="2"/>
  <c r="AD102" i="2"/>
  <c r="AC102" i="2"/>
  <c r="AB102" i="2"/>
  <c r="AA102" i="2"/>
  <c r="Z102" i="2"/>
  <c r="Y102" i="2"/>
  <c r="X102" i="2"/>
  <c r="X107" i="2" s="1"/>
  <c r="BE23" i="2" s="1"/>
  <c r="W102" i="2"/>
  <c r="V102" i="2"/>
  <c r="U102" i="2"/>
  <c r="T102" i="2"/>
  <c r="S102" i="2"/>
  <c r="R102" i="2"/>
  <c r="Q102" i="2"/>
  <c r="P102" i="2"/>
  <c r="P107" i="2" s="1"/>
  <c r="AX23" i="2" s="1"/>
  <c r="O102" i="2"/>
  <c r="N102" i="2"/>
  <c r="M102" i="2"/>
  <c r="L102" i="2"/>
  <c r="K102" i="2"/>
  <c r="J102" i="2"/>
  <c r="I102" i="2"/>
  <c r="H102" i="2"/>
  <c r="H107" i="2" s="1"/>
  <c r="G102" i="2"/>
  <c r="F102" i="2"/>
  <c r="E102" i="2"/>
  <c r="D102" i="2"/>
  <c r="C102" i="2"/>
  <c r="B102" i="2"/>
  <c r="AF101" i="2"/>
  <c r="AE101" i="2"/>
  <c r="AD101" i="2"/>
  <c r="AC101" i="2"/>
  <c r="AC107" i="2" s="1"/>
  <c r="AB101" i="2"/>
  <c r="AB107" i="2" s="1"/>
  <c r="AA101" i="2"/>
  <c r="AA107" i="2" s="1"/>
  <c r="Z101" i="2"/>
  <c r="Y101" i="2"/>
  <c r="Y107" i="2" s="1"/>
  <c r="X101" i="2"/>
  <c r="W101" i="2"/>
  <c r="V101" i="2"/>
  <c r="U101" i="2"/>
  <c r="U107" i="2" s="1"/>
  <c r="T101" i="2"/>
  <c r="T107" i="2" s="1"/>
  <c r="S101" i="2"/>
  <c r="R101" i="2"/>
  <c r="R107" i="2" s="1"/>
  <c r="R108" i="2" s="1"/>
  <c r="Q101" i="2"/>
  <c r="Q107" i="2" s="1"/>
  <c r="P101" i="2"/>
  <c r="O101" i="2"/>
  <c r="N101" i="2"/>
  <c r="M101" i="2"/>
  <c r="M107" i="2" s="1"/>
  <c r="L101" i="2"/>
  <c r="L107" i="2" s="1"/>
  <c r="K101" i="2"/>
  <c r="K107" i="2" s="1"/>
  <c r="AT23" i="2" s="1"/>
  <c r="J101" i="2"/>
  <c r="J107" i="2" s="1"/>
  <c r="J108" i="2" s="1"/>
  <c r="I101" i="2"/>
  <c r="I107" i="2" s="1"/>
  <c r="AS23" i="2" s="1"/>
  <c r="H101" i="2"/>
  <c r="G101" i="2"/>
  <c r="F101" i="2"/>
  <c r="E101" i="2"/>
  <c r="E107" i="2" s="1"/>
  <c r="AP23" i="2" s="1"/>
  <c r="D101" i="2"/>
  <c r="D107" i="2" s="1"/>
  <c r="AO23" i="2" s="1"/>
  <c r="C101" i="2"/>
  <c r="C107" i="2" s="1"/>
  <c r="B101" i="2"/>
  <c r="B107" i="2" s="1"/>
  <c r="AA100" i="2"/>
  <c r="AI98" i="2"/>
  <c r="AH98" i="2"/>
  <c r="V97" i="2"/>
  <c r="V99" i="2" s="1"/>
  <c r="T97" i="2"/>
  <c r="T99" i="2" s="1"/>
  <c r="T100" i="2" s="1"/>
  <c r="T7" i="2" s="1"/>
  <c r="S97" i="2"/>
  <c r="S99" i="2" s="1"/>
  <c r="S100" i="2" s="1"/>
  <c r="S7" i="2" s="1"/>
  <c r="AI96" i="2"/>
  <c r="AH96" i="2"/>
  <c r="AG96" i="2"/>
  <c r="AI95" i="2"/>
  <c r="AH95" i="2"/>
  <c r="AI94" i="2"/>
  <c r="AH94" i="2"/>
  <c r="AI93" i="2"/>
  <c r="AH93" i="2"/>
  <c r="AG92" i="2"/>
  <c r="AF92" i="2"/>
  <c r="AE92" i="2"/>
  <c r="AD92" i="2"/>
  <c r="AC92" i="2"/>
  <c r="AC108" i="2" s="1"/>
  <c r="AB92" i="2"/>
  <c r="AA92" i="2"/>
  <c r="AA108" i="2" s="1"/>
  <c r="Z92" i="2"/>
  <c r="Y92" i="2"/>
  <c r="X5" i="2" s="1"/>
  <c r="X92" i="2"/>
  <c r="W92" i="2"/>
  <c r="V92" i="2"/>
  <c r="U92" i="2"/>
  <c r="U108" i="2" s="1"/>
  <c r="T92" i="2"/>
  <c r="S92" i="2"/>
  <c r="R92" i="2"/>
  <c r="Q92" i="2"/>
  <c r="Q108" i="2" s="1"/>
  <c r="P92" i="2"/>
  <c r="O92" i="2"/>
  <c r="N92" i="2"/>
  <c r="M92" i="2"/>
  <c r="M108" i="2" s="1"/>
  <c r="L92" i="2"/>
  <c r="K92" i="2"/>
  <c r="K108" i="2" s="1"/>
  <c r="J92" i="2"/>
  <c r="I92" i="2"/>
  <c r="H5" i="2" s="1"/>
  <c r="H92" i="2"/>
  <c r="G92" i="2"/>
  <c r="F92" i="2"/>
  <c r="E92" i="2"/>
  <c r="E108" i="2" s="1"/>
  <c r="D92" i="2"/>
  <c r="C92" i="2"/>
  <c r="C108" i="2" s="1"/>
  <c r="B92" i="2"/>
  <c r="AI91" i="2"/>
  <c r="AH91" i="2"/>
  <c r="AI90" i="2"/>
  <c r="AH90" i="2"/>
  <c r="AI89" i="2"/>
  <c r="AH89" i="2"/>
  <c r="AI88" i="2"/>
  <c r="AH88" i="2"/>
  <c r="AI87" i="2"/>
  <c r="AH87" i="2"/>
  <c r="AI86" i="2"/>
  <c r="AH86" i="2"/>
  <c r="AI85" i="2"/>
  <c r="AH85" i="2"/>
  <c r="AI84" i="2"/>
  <c r="AH84" i="2"/>
  <c r="AI83" i="2"/>
  <c r="AH83" i="2"/>
  <c r="AI82" i="2"/>
  <c r="AH82" i="2"/>
  <c r="AI81" i="2"/>
  <c r="AH81" i="2"/>
  <c r="BV80" i="2"/>
  <c r="BT80" i="2"/>
  <c r="BS80" i="2"/>
  <c r="BF80" i="2"/>
  <c r="BD80" i="2"/>
  <c r="AG80" i="2"/>
  <c r="AF80" i="2"/>
  <c r="AF97" i="2" s="1"/>
  <c r="AF99" i="2" s="1"/>
  <c r="AF100" i="2" s="1"/>
  <c r="AF7" i="2" s="1"/>
  <c r="AE80" i="2"/>
  <c r="BI20" i="2" s="1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AR20" i="2" s="1"/>
  <c r="F80" i="2"/>
  <c r="E80" i="2"/>
  <c r="D80" i="2"/>
  <c r="C80" i="2"/>
  <c r="B80" i="2"/>
  <c r="BP79" i="2"/>
  <c r="BN79" i="2"/>
  <c r="BM79" i="2"/>
  <c r="AZ79" i="2"/>
  <c r="AI79" i="2"/>
  <c r="AH79" i="2"/>
  <c r="BR78" i="2"/>
  <c r="BP78" i="2"/>
  <c r="BO78" i="2"/>
  <c r="BJ78" i="2"/>
  <c r="BH78" i="2"/>
  <c r="AI78" i="2"/>
  <c r="AH78" i="2"/>
  <c r="BW77" i="2"/>
  <c r="BV77" i="2"/>
  <c r="BL77" i="2"/>
  <c r="BI77" i="2"/>
  <c r="BH77" i="2"/>
  <c r="BG77" i="2"/>
  <c r="BD77" i="2"/>
  <c r="BC77" i="2"/>
  <c r="AI77" i="2"/>
  <c r="AH77" i="2"/>
  <c r="BV76" i="2"/>
  <c r="BU76" i="2"/>
  <c r="BT76" i="2"/>
  <c r="BN76" i="2"/>
  <c r="BM76" i="2"/>
  <c r="BL76" i="2"/>
  <c r="BK76" i="2"/>
  <c r="BF76" i="2"/>
  <c r="BE76" i="2"/>
  <c r="AG76" i="2"/>
  <c r="AG3" i="2" s="1"/>
  <c r="AG6" i="2" s="1"/>
  <c r="AF76" i="2"/>
  <c r="BJ18" i="2" s="1"/>
  <c r="AE76" i="2"/>
  <c r="BI18" i="2" s="1"/>
  <c r="AD76" i="2"/>
  <c r="BH18" i="2" s="1"/>
  <c r="AC76" i="2"/>
  <c r="AB76" i="2"/>
  <c r="AA76" i="2"/>
  <c r="Z76" i="2"/>
  <c r="BF18" i="2" s="1"/>
  <c r="Y76" i="2"/>
  <c r="X76" i="2"/>
  <c r="BE18" i="2" s="1"/>
  <c r="BE22" i="2" s="1"/>
  <c r="BE24" i="2" s="1"/>
  <c r="W76" i="2"/>
  <c r="V76" i="2"/>
  <c r="U76" i="2"/>
  <c r="T76" i="2"/>
  <c r="S76" i="2"/>
  <c r="R76" i="2"/>
  <c r="AZ18" i="2" s="1"/>
  <c r="Q76" i="2"/>
  <c r="AY18" i="2" s="1"/>
  <c r="P76" i="2"/>
  <c r="AX18" i="2" s="1"/>
  <c r="O76" i="2"/>
  <c r="AW18" i="2" s="1"/>
  <c r="N76" i="2"/>
  <c r="M76" i="2"/>
  <c r="L76" i="2"/>
  <c r="K76" i="2"/>
  <c r="J76" i="2"/>
  <c r="I76" i="2"/>
  <c r="I97" i="2" s="1"/>
  <c r="I99" i="2" s="1"/>
  <c r="I100" i="2" s="1"/>
  <c r="I7" i="2" s="1"/>
  <c r="H76" i="2"/>
  <c r="G76" i="2"/>
  <c r="AR18" i="2" s="1"/>
  <c r="F76" i="2"/>
  <c r="AQ18" i="2" s="1"/>
  <c r="E76" i="2"/>
  <c r="D76" i="2"/>
  <c r="C76" i="2"/>
  <c r="B76" i="2"/>
  <c r="BW75" i="2"/>
  <c r="BV75" i="2"/>
  <c r="BU75" i="2"/>
  <c r="BQ75" i="2"/>
  <c r="BP75" i="2"/>
  <c r="BO75" i="2"/>
  <c r="BN75" i="2"/>
  <c r="BM75" i="2"/>
  <c r="BL75" i="2"/>
  <c r="BI75" i="2"/>
  <c r="BH75" i="2"/>
  <c r="BG75" i="2"/>
  <c r="BF75" i="2"/>
  <c r="BE75" i="2"/>
  <c r="BD75" i="2"/>
  <c r="BC75" i="2"/>
  <c r="BA75" i="2"/>
  <c r="AZ75" i="2"/>
  <c r="AI75" i="2"/>
  <c r="AH75" i="2"/>
  <c r="AG75" i="2"/>
  <c r="AI74" i="2"/>
  <c r="AH74" i="2"/>
  <c r="BW73" i="2"/>
  <c r="BW80" i="2" s="1"/>
  <c r="BV73" i="2"/>
  <c r="BU73" i="2"/>
  <c r="BU80" i="2" s="1"/>
  <c r="BT73" i="2"/>
  <c r="BS73" i="2"/>
  <c r="BR73" i="2"/>
  <c r="BR80" i="2" s="1"/>
  <c r="BQ73" i="2"/>
  <c r="BQ80" i="2" s="1"/>
  <c r="BP73" i="2"/>
  <c r="BP80" i="2" s="1"/>
  <c r="BO73" i="2"/>
  <c r="BO80" i="2" s="1"/>
  <c r="BN73" i="2"/>
  <c r="BN80" i="2" s="1"/>
  <c r="BM73" i="2"/>
  <c r="BM80" i="2" s="1"/>
  <c r="BL73" i="2"/>
  <c r="BL80" i="2" s="1"/>
  <c r="BK73" i="2"/>
  <c r="BK80" i="2" s="1"/>
  <c r="BJ73" i="2"/>
  <c r="BJ80" i="2" s="1"/>
  <c r="BI73" i="2"/>
  <c r="BI80" i="2" s="1"/>
  <c r="BH73" i="2"/>
  <c r="BH80" i="2" s="1"/>
  <c r="BG73" i="2"/>
  <c r="BG80" i="2" s="1"/>
  <c r="BF73" i="2"/>
  <c r="BE73" i="2"/>
  <c r="BE80" i="2" s="1"/>
  <c r="BD73" i="2"/>
  <c r="BC73" i="2"/>
  <c r="BC80" i="2" s="1"/>
  <c r="BB73" i="2"/>
  <c r="BB80" i="2" s="1"/>
  <c r="BA73" i="2"/>
  <c r="BA80" i="2" s="1"/>
  <c r="AZ73" i="2"/>
  <c r="AZ80" i="2" s="1"/>
  <c r="AI73" i="2"/>
  <c r="AH73" i="2"/>
  <c r="BW72" i="2"/>
  <c r="BW79" i="2" s="1"/>
  <c r="BV72" i="2"/>
  <c r="BV79" i="2" s="1"/>
  <c r="BU72" i="2"/>
  <c r="BU79" i="2" s="1"/>
  <c r="BT72" i="2"/>
  <c r="BT79" i="2" s="1"/>
  <c r="BS72" i="2"/>
  <c r="BS79" i="2" s="1"/>
  <c r="BR72" i="2"/>
  <c r="BR79" i="2" s="1"/>
  <c r="BQ72" i="2"/>
  <c r="BQ79" i="2" s="1"/>
  <c r="BP72" i="2"/>
  <c r="BO72" i="2"/>
  <c r="BO79" i="2" s="1"/>
  <c r="BN72" i="2"/>
  <c r="BM72" i="2"/>
  <c r="BL72" i="2"/>
  <c r="BL79" i="2" s="1"/>
  <c r="BK72" i="2"/>
  <c r="BK79" i="2" s="1"/>
  <c r="BJ72" i="2"/>
  <c r="BJ79" i="2" s="1"/>
  <c r="BI72" i="2"/>
  <c r="BI79" i="2" s="1"/>
  <c r="BH72" i="2"/>
  <c r="BH79" i="2" s="1"/>
  <c r="BG72" i="2"/>
  <c r="BG79" i="2" s="1"/>
  <c r="BF72" i="2"/>
  <c r="BF79" i="2" s="1"/>
  <c r="BE72" i="2"/>
  <c r="BE79" i="2" s="1"/>
  <c r="BD72" i="2"/>
  <c r="BD79" i="2" s="1"/>
  <c r="BC72" i="2"/>
  <c r="BC79" i="2" s="1"/>
  <c r="BB72" i="2"/>
  <c r="BB79" i="2" s="1"/>
  <c r="BA72" i="2"/>
  <c r="BA79" i="2" s="1"/>
  <c r="AZ72" i="2"/>
  <c r="AI72" i="2"/>
  <c r="AH72" i="2"/>
  <c r="BW71" i="2"/>
  <c r="BW78" i="2" s="1"/>
  <c r="BV71" i="2"/>
  <c r="BV78" i="2" s="1"/>
  <c r="BU71" i="2"/>
  <c r="BU78" i="2" s="1"/>
  <c r="BT71" i="2"/>
  <c r="BT78" i="2" s="1"/>
  <c r="BS71" i="2"/>
  <c r="BS78" i="2" s="1"/>
  <c r="BR71" i="2"/>
  <c r="BQ71" i="2"/>
  <c r="BQ78" i="2" s="1"/>
  <c r="BP71" i="2"/>
  <c r="BO71" i="2"/>
  <c r="BN71" i="2"/>
  <c r="BN78" i="2" s="1"/>
  <c r="BM71" i="2"/>
  <c r="BM78" i="2" s="1"/>
  <c r="BL71" i="2"/>
  <c r="BL78" i="2" s="1"/>
  <c r="BK71" i="2"/>
  <c r="BK78" i="2" s="1"/>
  <c r="BJ71" i="2"/>
  <c r="BI71" i="2"/>
  <c r="BI78" i="2" s="1"/>
  <c r="BH71" i="2"/>
  <c r="BG71" i="2"/>
  <c r="BG78" i="2" s="1"/>
  <c r="BF71" i="2"/>
  <c r="BF78" i="2" s="1"/>
  <c r="BE71" i="2"/>
  <c r="BE78" i="2" s="1"/>
  <c r="BD71" i="2"/>
  <c r="BD78" i="2" s="1"/>
  <c r="BC71" i="2"/>
  <c r="BC78" i="2" s="1"/>
  <c r="BB71" i="2"/>
  <c r="BB78" i="2" s="1"/>
  <c r="BA71" i="2"/>
  <c r="BA78" i="2" s="1"/>
  <c r="AZ71" i="2"/>
  <c r="AZ78" i="2" s="1"/>
  <c r="AI71" i="2"/>
  <c r="AH71" i="2"/>
  <c r="BW70" i="2"/>
  <c r="BV70" i="2"/>
  <c r="BU70" i="2"/>
  <c r="BU77" i="2" s="1"/>
  <c r="BT70" i="2"/>
  <c r="BT77" i="2" s="1"/>
  <c r="BS70" i="2"/>
  <c r="BS77" i="2" s="1"/>
  <c r="BR70" i="2"/>
  <c r="BR77" i="2" s="1"/>
  <c r="BQ70" i="2"/>
  <c r="BQ77" i="2" s="1"/>
  <c r="BP70" i="2"/>
  <c r="BP77" i="2" s="1"/>
  <c r="BO70" i="2"/>
  <c r="BO77" i="2" s="1"/>
  <c r="BN70" i="2"/>
  <c r="BN77" i="2" s="1"/>
  <c r="BM70" i="2"/>
  <c r="BM77" i="2" s="1"/>
  <c r="BL70" i="2"/>
  <c r="BK70" i="2"/>
  <c r="BK77" i="2" s="1"/>
  <c r="BJ70" i="2"/>
  <c r="BJ77" i="2" s="1"/>
  <c r="BI70" i="2"/>
  <c r="BH70" i="2"/>
  <c r="BG70" i="2"/>
  <c r="BF70" i="2"/>
  <c r="BF77" i="2" s="1"/>
  <c r="BE70" i="2"/>
  <c r="BE77" i="2" s="1"/>
  <c r="BD70" i="2"/>
  <c r="BC70" i="2"/>
  <c r="BB70" i="2"/>
  <c r="BB77" i="2" s="1"/>
  <c r="BA70" i="2"/>
  <c r="BA77" i="2" s="1"/>
  <c r="AZ70" i="2"/>
  <c r="AZ77" i="2" s="1"/>
  <c r="AI70" i="2"/>
  <c r="AH70" i="2"/>
  <c r="BW69" i="2"/>
  <c r="BW76" i="2" s="1"/>
  <c r="BV69" i="2"/>
  <c r="BU69" i="2"/>
  <c r="BT69" i="2"/>
  <c r="BS69" i="2"/>
  <c r="BS76" i="2" s="1"/>
  <c r="BR69" i="2"/>
  <c r="BR76" i="2" s="1"/>
  <c r="BQ69" i="2"/>
  <c r="BQ76" i="2" s="1"/>
  <c r="BP69" i="2"/>
  <c r="BP76" i="2" s="1"/>
  <c r="BO69" i="2"/>
  <c r="BO76" i="2" s="1"/>
  <c r="BN69" i="2"/>
  <c r="BM69" i="2"/>
  <c r="BL69" i="2"/>
  <c r="BK69" i="2"/>
  <c r="BJ69" i="2"/>
  <c r="BJ76" i="2" s="1"/>
  <c r="BI69" i="2"/>
  <c r="BI76" i="2" s="1"/>
  <c r="BH69" i="2"/>
  <c r="BH76" i="2" s="1"/>
  <c r="BG69" i="2"/>
  <c r="BG76" i="2" s="1"/>
  <c r="BF69" i="2"/>
  <c r="BE69" i="2"/>
  <c r="BD69" i="2"/>
  <c r="BD76" i="2" s="1"/>
  <c r="BC69" i="2"/>
  <c r="BC76" i="2" s="1"/>
  <c r="BB69" i="2"/>
  <c r="BB76" i="2" s="1"/>
  <c r="BA69" i="2"/>
  <c r="BA76" i="2" s="1"/>
  <c r="AZ69" i="2"/>
  <c r="AZ76" i="2" s="1"/>
  <c r="AI69" i="2"/>
  <c r="AH69" i="2"/>
  <c r="BW68" i="2"/>
  <c r="BV68" i="2"/>
  <c r="BU68" i="2"/>
  <c r="BT68" i="2"/>
  <c r="BT75" i="2" s="1"/>
  <c r="BS68" i="2"/>
  <c r="BS75" i="2" s="1"/>
  <c r="BR68" i="2"/>
  <c r="BR75" i="2" s="1"/>
  <c r="BQ68" i="2"/>
  <c r="BP68" i="2"/>
  <c r="BO68" i="2"/>
  <c r="BN68" i="2"/>
  <c r="BM68" i="2"/>
  <c r="BL68" i="2"/>
  <c r="BK68" i="2"/>
  <c r="BK75" i="2" s="1"/>
  <c r="BJ68" i="2"/>
  <c r="BJ75" i="2" s="1"/>
  <c r="BI68" i="2"/>
  <c r="BH68" i="2"/>
  <c r="BG68" i="2"/>
  <c r="BF68" i="2"/>
  <c r="BE68" i="2"/>
  <c r="BD68" i="2"/>
  <c r="BC68" i="2"/>
  <c r="BB68" i="2"/>
  <c r="BB75" i="2" s="1"/>
  <c r="BA68" i="2"/>
  <c r="AZ68" i="2"/>
  <c r="AI68" i="2"/>
  <c r="AH68" i="2"/>
  <c r="AI67" i="2"/>
  <c r="AH67" i="2"/>
  <c r="AI66" i="2"/>
  <c r="AH66" i="2"/>
  <c r="AI65" i="2"/>
  <c r="AH65" i="2"/>
  <c r="AI64" i="2"/>
  <c r="AH64" i="2"/>
  <c r="AI63" i="2"/>
  <c r="AH63" i="2"/>
  <c r="AG62" i="2"/>
  <c r="AF62" i="2"/>
  <c r="AE62" i="2"/>
  <c r="BI17" i="2" s="1"/>
  <c r="AD62" i="2"/>
  <c r="AC62" i="2"/>
  <c r="AB62" i="2"/>
  <c r="AA62" i="2"/>
  <c r="Z62" i="2"/>
  <c r="BF17" i="2" s="1"/>
  <c r="Y62" i="2"/>
  <c r="X62" i="2"/>
  <c r="W62" i="2"/>
  <c r="V62" i="2"/>
  <c r="U62" i="2"/>
  <c r="T62" i="2"/>
  <c r="BB17" i="2" s="1"/>
  <c r="S62" i="2"/>
  <c r="BA17" i="2" s="1"/>
  <c r="R62" i="2"/>
  <c r="AZ17" i="2" s="1"/>
  <c r="Q62" i="2"/>
  <c r="P62" i="2"/>
  <c r="O62" i="2"/>
  <c r="N62" i="2"/>
  <c r="M62" i="2"/>
  <c r="AU17" i="2" s="1"/>
  <c r="L62" i="2"/>
  <c r="K62" i="2"/>
  <c r="AT17" i="2" s="1"/>
  <c r="J62" i="2"/>
  <c r="I62" i="2"/>
  <c r="H62" i="2"/>
  <c r="G62" i="2"/>
  <c r="F62" i="2"/>
  <c r="E62" i="2"/>
  <c r="D62" i="2"/>
  <c r="C62" i="2"/>
  <c r="B62" i="2"/>
  <c r="AM17" i="2" s="1"/>
  <c r="AI61" i="2"/>
  <c r="AH61" i="2"/>
  <c r="AI60" i="2"/>
  <c r="AH60" i="2"/>
  <c r="AI59" i="2"/>
  <c r="AH59" i="2"/>
  <c r="AG58" i="2"/>
  <c r="AF58" i="2"/>
  <c r="AE58" i="2"/>
  <c r="AD58" i="2"/>
  <c r="AD97" i="2" s="1"/>
  <c r="AD99" i="2" s="1"/>
  <c r="AC58" i="2"/>
  <c r="AC97" i="2" s="1"/>
  <c r="AC99" i="2" s="1"/>
  <c r="AC100" i="2" s="1"/>
  <c r="AC7" i="2" s="1"/>
  <c r="AB58" i="2"/>
  <c r="AB97" i="2" s="1"/>
  <c r="AB99" i="2" s="1"/>
  <c r="AB100" i="2" s="1"/>
  <c r="AB7" i="2" s="1"/>
  <c r="AA58" i="2"/>
  <c r="AA97" i="2" s="1"/>
  <c r="AA99" i="2" s="1"/>
  <c r="Z58" i="2"/>
  <c r="Z97" i="2" s="1"/>
  <c r="Z99" i="2" s="1"/>
  <c r="Z100" i="2" s="1"/>
  <c r="Z7" i="2" s="1"/>
  <c r="Y58" i="2"/>
  <c r="X58" i="2"/>
  <c r="W58" i="2"/>
  <c r="V58" i="2"/>
  <c r="BD16" i="2" s="1"/>
  <c r="U58" i="2"/>
  <c r="T58" i="2"/>
  <c r="BB16" i="2" s="1"/>
  <c r="BB22" i="2" s="1"/>
  <c r="BB24" i="2" s="1"/>
  <c r="S58" i="2"/>
  <c r="BA16" i="2" s="1"/>
  <c r="R58" i="2"/>
  <c r="R97" i="2" s="1"/>
  <c r="R99" i="2" s="1"/>
  <c r="R100" i="2" s="1"/>
  <c r="R7" i="2" s="1"/>
  <c r="Q58" i="2"/>
  <c r="P58" i="2"/>
  <c r="O58" i="2"/>
  <c r="N58" i="2"/>
  <c r="M58" i="2"/>
  <c r="L58" i="2"/>
  <c r="L97" i="2" s="1"/>
  <c r="L99" i="2" s="1"/>
  <c r="L100" i="2" s="1"/>
  <c r="L7" i="2" s="1"/>
  <c r="K58" i="2"/>
  <c r="K97" i="2" s="1"/>
  <c r="K99" i="2" s="1"/>
  <c r="K100" i="2" s="1"/>
  <c r="K7" i="2" s="1"/>
  <c r="J58" i="2"/>
  <c r="J97" i="2" s="1"/>
  <c r="J99" i="2" s="1"/>
  <c r="I58" i="2"/>
  <c r="H58" i="2"/>
  <c r="G58" i="2"/>
  <c r="F58" i="2"/>
  <c r="F97" i="2" s="1"/>
  <c r="F99" i="2" s="1"/>
  <c r="F100" i="2" s="1"/>
  <c r="F7" i="2" s="1"/>
  <c r="E58" i="2"/>
  <c r="E97" i="2" s="1"/>
  <c r="E99" i="2" s="1"/>
  <c r="E100" i="2" s="1"/>
  <c r="E7" i="2" s="1"/>
  <c r="D58" i="2"/>
  <c r="D97" i="2" s="1"/>
  <c r="D99" i="2" s="1"/>
  <c r="D100" i="2" s="1"/>
  <c r="D7" i="2" s="1"/>
  <c r="C58" i="2"/>
  <c r="B58" i="2"/>
  <c r="AM16" i="2" s="1"/>
  <c r="AI57" i="2"/>
  <c r="AH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BJ23" i="2"/>
  <c r="BG23" i="2"/>
  <c r="BC23" i="2"/>
  <c r="BB23" i="2"/>
  <c r="AZ23" i="2"/>
  <c r="AY23" i="2"/>
  <c r="AU23" i="2"/>
  <c r="AN23" i="2"/>
  <c r="AM23" i="2"/>
  <c r="AI23" i="2"/>
  <c r="AH23" i="2"/>
  <c r="AI22" i="2"/>
  <c r="AH22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I21" i="2"/>
  <c r="AH21" i="2"/>
  <c r="BJ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Q20" i="2"/>
  <c r="AP20" i="2"/>
  <c r="AO20" i="2"/>
  <c r="AN20" i="2"/>
  <c r="AI20" i="2"/>
  <c r="AH20" i="2"/>
  <c r="BJ19" i="2"/>
  <c r="BI19" i="2"/>
  <c r="BH19" i="2"/>
  <c r="BG19" i="2"/>
  <c r="BF19" i="2"/>
  <c r="BE19" i="2"/>
  <c r="BD19" i="2"/>
  <c r="BC19" i="2"/>
  <c r="BB19" i="2"/>
  <c r="AZ19" i="2"/>
  <c r="AX19" i="2"/>
  <c r="AW19" i="2"/>
  <c r="AV19" i="2"/>
  <c r="AU19" i="2"/>
  <c r="AR19" i="2"/>
  <c r="AQ19" i="2"/>
  <c r="AM19" i="2"/>
  <c r="AI19" i="2"/>
  <c r="AH19" i="2"/>
  <c r="BG18" i="2"/>
  <c r="BD18" i="2"/>
  <c r="BD22" i="2" s="1"/>
  <c r="BC18" i="2"/>
  <c r="BB18" i="2"/>
  <c r="BA18" i="2"/>
  <c r="AV18" i="2"/>
  <c r="AU18" i="2"/>
  <c r="AT18" i="2"/>
  <c r="AS18" i="2"/>
  <c r="AP18" i="2"/>
  <c r="AO18" i="2"/>
  <c r="AN18" i="2"/>
  <c r="AI18" i="2"/>
  <c r="AH18" i="2"/>
  <c r="BJ17" i="2"/>
  <c r="BH17" i="2"/>
  <c r="BG17" i="2"/>
  <c r="BE17" i="2"/>
  <c r="BD17" i="2"/>
  <c r="BC17" i="2"/>
  <c r="AY17" i="2"/>
  <c r="AX17" i="2"/>
  <c r="AW17" i="2"/>
  <c r="AV17" i="2"/>
  <c r="AS17" i="2"/>
  <c r="AR17" i="2"/>
  <c r="AQ17" i="2"/>
  <c r="AP17" i="2"/>
  <c r="AO17" i="2"/>
  <c r="AN17" i="2"/>
  <c r="AI17" i="2"/>
  <c r="AH17" i="2"/>
  <c r="BJ16" i="2"/>
  <c r="BJ22" i="2" s="1"/>
  <c r="BJ24" i="2" s="1"/>
  <c r="BI16" i="2"/>
  <c r="BI22" i="2" s="1"/>
  <c r="BH16" i="2"/>
  <c r="BG16" i="2"/>
  <c r="BF16" i="2"/>
  <c r="BE16" i="2"/>
  <c r="AY16" i="2"/>
  <c r="AX16" i="2"/>
  <c r="AX22" i="2" s="1"/>
  <c r="AX24" i="2" s="1"/>
  <c r="AW16" i="2"/>
  <c r="AW22" i="2" s="1"/>
  <c r="AT16" i="2"/>
  <c r="AS16" i="2"/>
  <c r="AR16" i="2"/>
  <c r="AQ16" i="2"/>
  <c r="AP16" i="2"/>
  <c r="AI16" i="2"/>
  <c r="AH16" i="2"/>
  <c r="AI15" i="2"/>
  <c r="AH15" i="2"/>
  <c r="AI14" i="2"/>
  <c r="AH14" i="2"/>
  <c r="AI13" i="2"/>
  <c r="AH13" i="2"/>
  <c r="AL12" i="2"/>
  <c r="AI12" i="2"/>
  <c r="AH12" i="2"/>
  <c r="AI11" i="2"/>
  <c r="AH11" i="2"/>
  <c r="AA7" i="2"/>
  <c r="AF5" i="2"/>
  <c r="AE5" i="2"/>
  <c r="AD5" i="2"/>
  <c r="AC5" i="2"/>
  <c r="AB5" i="2"/>
  <c r="Y5" i="2"/>
  <c r="W5" i="2"/>
  <c r="V5" i="2"/>
  <c r="U5" i="2"/>
  <c r="T5" i="2"/>
  <c r="Q5" i="2"/>
  <c r="O5" i="2"/>
  <c r="N5" i="2"/>
  <c r="M5" i="2"/>
  <c r="J5" i="2"/>
  <c r="I5" i="2"/>
  <c r="G5" i="2"/>
  <c r="F5" i="2"/>
  <c r="E5" i="2"/>
  <c r="AG4" i="2"/>
  <c r="K4" i="2"/>
  <c r="E4" i="2"/>
  <c r="H4" i="2" s="1"/>
  <c r="B4" i="2"/>
  <c r="AG2" i="2"/>
  <c r="BF22" i="2" l="1"/>
  <c r="J100" i="2"/>
  <c r="J7" i="2" s="1"/>
  <c r="AT22" i="2"/>
  <c r="AT24" i="2" s="1"/>
  <c r="BA22" i="2"/>
  <c r="BA24" i="2" s="1"/>
  <c r="BG22" i="2"/>
  <c r="BG24" i="2" s="1"/>
  <c r="AH62" i="2"/>
  <c r="AI92" i="2"/>
  <c r="AI58" i="2"/>
  <c r="Y97" i="2"/>
  <c r="Y99" i="2" s="1"/>
  <c r="Y100" i="2" s="1"/>
  <c r="Y7" i="2" s="1"/>
  <c r="AH101" i="2"/>
  <c r="AO16" i="2"/>
  <c r="AN19" i="2"/>
  <c r="AI76" i="2"/>
  <c r="D108" i="2"/>
  <c r="AO19" i="2"/>
  <c r="C5" i="2"/>
  <c r="L108" i="2"/>
  <c r="K5" i="2"/>
  <c r="T108" i="2"/>
  <c r="S5" i="2"/>
  <c r="AB108" i="2"/>
  <c r="AA5" i="2"/>
  <c r="B97" i="2"/>
  <c r="X97" i="2"/>
  <c r="X99" i="2" s="1"/>
  <c r="X100" i="2" s="1"/>
  <c r="X7" i="2" s="1"/>
  <c r="AI101" i="2"/>
  <c r="AH102" i="2"/>
  <c r="AI104" i="2"/>
  <c r="I108" i="2"/>
  <c r="U97" i="2"/>
  <c r="U99" i="2" s="1"/>
  <c r="U100" i="2" s="1"/>
  <c r="U7" i="2" s="1"/>
  <c r="BC16" i="2"/>
  <c r="BC22" i="2" s="1"/>
  <c r="BC24" i="2" s="1"/>
  <c r="P97" i="2"/>
  <c r="P99" i="2" s="1"/>
  <c r="P100" i="2" s="1"/>
  <c r="P7" i="2" s="1"/>
  <c r="AI102" i="2"/>
  <c r="AH103" i="2"/>
  <c r="Y108" i="2"/>
  <c r="Q97" i="2"/>
  <c r="Q99" i="2" s="1"/>
  <c r="Q100" i="2" s="1"/>
  <c r="Q7" i="2" s="1"/>
  <c r="AG99" i="2"/>
  <c r="D252" i="2"/>
  <c r="E246" i="2"/>
  <c r="D118" i="2"/>
  <c r="AH58" i="2"/>
  <c r="AH92" i="2"/>
  <c r="BF23" i="2"/>
  <c r="Z108" i="2"/>
  <c r="BH22" i="2"/>
  <c r="AN16" i="2"/>
  <c r="AN22" i="2" s="1"/>
  <c r="AN24" i="2" s="1"/>
  <c r="C97" i="2"/>
  <c r="C99" i="2" s="1"/>
  <c r="C100" i="2" s="1"/>
  <c r="C7" i="2" s="1"/>
  <c r="AI62" i="2"/>
  <c r="S108" i="2"/>
  <c r="B5" i="2"/>
  <c r="AH76" i="2"/>
  <c r="AZ16" i="2"/>
  <c r="AZ22" i="2" s="1"/>
  <c r="AZ24" i="2" s="1"/>
  <c r="AY19" i="2"/>
  <c r="AY22" i="2" s="1"/>
  <c r="AY24" i="2" s="1"/>
  <c r="M97" i="2"/>
  <c r="M99" i="2" s="1"/>
  <c r="M100" i="2" s="1"/>
  <c r="M7" i="2" s="1"/>
  <c r="AU16" i="2"/>
  <c r="AU22" i="2" s="1"/>
  <c r="AU24" i="2" s="1"/>
  <c r="P5" i="2"/>
  <c r="AQ22" i="2"/>
  <c r="AQ24" i="2" s="1"/>
  <c r="AM18" i="2"/>
  <c r="AM22" i="2" s="1"/>
  <c r="AV16" i="2"/>
  <c r="AV22" i="2" s="1"/>
  <c r="N97" i="2"/>
  <c r="N99" i="2" s="1"/>
  <c r="D258" i="2"/>
  <c r="AL13" i="2"/>
  <c r="Z5" i="2"/>
  <c r="AR22" i="2"/>
  <c r="AS19" i="2"/>
  <c r="AS22" i="2" s="1"/>
  <c r="AS24" i="2" s="1"/>
  <c r="BA19" i="2"/>
  <c r="G97" i="2"/>
  <c r="G99" i="2" s="1"/>
  <c r="O97" i="2"/>
  <c r="O99" i="2" s="1"/>
  <c r="W97" i="2"/>
  <c r="W99" i="2" s="1"/>
  <c r="W100" i="2" s="1"/>
  <c r="W7" i="2" s="1"/>
  <c r="AE97" i="2"/>
  <c r="AE99" i="2" s="1"/>
  <c r="AE100" i="2" s="1"/>
  <c r="AE7" i="2" s="1"/>
  <c r="AI80" i="2"/>
  <c r="AM20" i="2"/>
  <c r="AH80" i="2"/>
  <c r="AG97" i="2"/>
  <c r="R5" i="2"/>
  <c r="AT19" i="2"/>
  <c r="H97" i="2"/>
  <c r="H99" i="2" s="1"/>
  <c r="H100" i="2" s="1"/>
  <c r="H7" i="2" s="1"/>
  <c r="BG84" i="2" a="1"/>
  <c r="AH104" i="2"/>
  <c r="AI105" i="2"/>
  <c r="F108" i="2"/>
  <c r="V108" i="2"/>
  <c r="G107" i="2"/>
  <c r="O107" i="2"/>
  <c r="AW23" i="2" s="1"/>
  <c r="AW24" i="2" s="1"/>
  <c r="W107" i="2"/>
  <c r="W108" i="2" s="1"/>
  <c r="AE107" i="2"/>
  <c r="BI23" i="2" s="1"/>
  <c r="BI24" i="2" s="1"/>
  <c r="N107" i="2"/>
  <c r="AV23" i="2" s="1"/>
  <c r="V107" i="2"/>
  <c r="BD23" i="2" s="1"/>
  <c r="BD24" i="2" s="1"/>
  <c r="AD107" i="2"/>
  <c r="BH23" i="2" s="1"/>
  <c r="D5" i="2"/>
  <c r="L5" i="2"/>
  <c r="AP19" i="2"/>
  <c r="AP22" i="2" s="1"/>
  <c r="AP24" i="2" s="1"/>
  <c r="H108" i="2"/>
  <c r="P108" i="2"/>
  <c r="X108" i="2"/>
  <c r="AF108" i="2"/>
  <c r="AM24" i="2" l="1"/>
  <c r="G108" i="2"/>
  <c r="AR23" i="2"/>
  <c r="AR24" i="2" s="1"/>
  <c r="AH107" i="2"/>
  <c r="N108" i="2"/>
  <c r="AI108" i="2" s="1"/>
  <c r="F246" i="2"/>
  <c r="E252" i="2"/>
  <c r="E118" i="2"/>
  <c r="O100" i="2"/>
  <c r="O7" i="2" s="1"/>
  <c r="N100" i="2"/>
  <c r="N7" i="2" s="1"/>
  <c r="B99" i="2"/>
  <c r="AI97" i="2"/>
  <c r="AH97" i="2"/>
  <c r="AE108" i="2"/>
  <c r="C256" i="2"/>
  <c r="G100" i="2"/>
  <c r="G7" i="2" s="1"/>
  <c r="B256" i="2"/>
  <c r="AV24" i="2"/>
  <c r="BH24" i="2"/>
  <c r="O108" i="2"/>
  <c r="BI107" i="2"/>
  <c r="BG106" i="2"/>
  <c r="BK104" i="2"/>
  <c r="BI103" i="2"/>
  <c r="BG102" i="2"/>
  <c r="BK100" i="2"/>
  <c r="BI99" i="2"/>
  <c r="BG98" i="2"/>
  <c r="BK96" i="2"/>
  <c r="BI95" i="2"/>
  <c r="BG94" i="2"/>
  <c r="BK92" i="2"/>
  <c r="BI91" i="2"/>
  <c r="BG90" i="2"/>
  <c r="BK88" i="2"/>
  <c r="BI87" i="2"/>
  <c r="BG86" i="2"/>
  <c r="BK84" i="2"/>
  <c r="BK107" i="2"/>
  <c r="BI106" i="2"/>
  <c r="BG105" i="2"/>
  <c r="BK103" i="2"/>
  <c r="BI102" i="2"/>
  <c r="BG101" i="2"/>
  <c r="BK99" i="2"/>
  <c r="BI98" i="2"/>
  <c r="BG97" i="2"/>
  <c r="BK95" i="2"/>
  <c r="BI94" i="2"/>
  <c r="BG93" i="2"/>
  <c r="BK91" i="2"/>
  <c r="BI90" i="2"/>
  <c r="BG89" i="2"/>
  <c r="BK87" i="2"/>
  <c r="BI86" i="2"/>
  <c r="BG85" i="2"/>
  <c r="BG107" i="2"/>
  <c r="BI105" i="2"/>
  <c r="BJ103" i="2"/>
  <c r="BK101" i="2"/>
  <c r="BG100" i="2"/>
  <c r="BH98" i="2"/>
  <c r="BI96" i="2"/>
  <c r="BK94" i="2"/>
  <c r="BL92" i="2"/>
  <c r="BG91" i="2"/>
  <c r="BI89" i="2"/>
  <c r="BJ87" i="2"/>
  <c r="BK85" i="2"/>
  <c r="BG84" i="2"/>
  <c r="BL106" i="2"/>
  <c r="BH105" i="2"/>
  <c r="BH103" i="2"/>
  <c r="BJ101" i="2"/>
  <c r="BL99" i="2"/>
  <c r="BL97" i="2"/>
  <c r="BH96" i="2"/>
  <c r="BJ94" i="2"/>
  <c r="BJ92" i="2"/>
  <c r="BL90" i="2"/>
  <c r="BH89" i="2"/>
  <c r="BH87" i="2"/>
  <c r="BJ85" i="2"/>
  <c r="BK106" i="2"/>
  <c r="BL104" i="2"/>
  <c r="BG103" i="2"/>
  <c r="BI101" i="2"/>
  <c r="BJ99" i="2"/>
  <c r="BK97" i="2"/>
  <c r="BG96" i="2"/>
  <c r="BH94" i="2"/>
  <c r="BI92" i="2"/>
  <c r="BK90" i="2"/>
  <c r="BL88" i="2"/>
  <c r="BG87" i="2"/>
  <c r="BI85" i="2"/>
  <c r="BJ106" i="2"/>
  <c r="BJ104" i="2"/>
  <c r="BL102" i="2"/>
  <c r="BH101" i="2"/>
  <c r="BH106" i="2"/>
  <c r="BK102" i="2"/>
  <c r="BH99" i="2"/>
  <c r="BL96" i="2"/>
  <c r="BK93" i="2"/>
  <c r="BH91" i="2"/>
  <c r="BH88" i="2"/>
  <c r="BH85" i="2"/>
  <c r="BL105" i="2"/>
  <c r="BJ102" i="2"/>
  <c r="BG99" i="2"/>
  <c r="BJ96" i="2"/>
  <c r="BJ93" i="2"/>
  <c r="BJ90" i="2"/>
  <c r="BG88" i="2"/>
  <c r="BL84" i="2"/>
  <c r="BJ100" i="2"/>
  <c r="BG92" i="2"/>
  <c r="BJ86" i="2"/>
  <c r="BI100" i="2"/>
  <c r="BL91" i="2"/>
  <c r="BH86" i="2"/>
  <c r="BL103" i="2"/>
  <c r="BJ91" i="2"/>
  <c r="BL85" i="2"/>
  <c r="BK105" i="2"/>
  <c r="BH102" i="2"/>
  <c r="BL98" i="2"/>
  <c r="BL95" i="2"/>
  <c r="BI93" i="2"/>
  <c r="BH90" i="2"/>
  <c r="BL87" i="2"/>
  <c r="BJ84" i="2"/>
  <c r="BH97" i="2"/>
  <c r="BJ105" i="2"/>
  <c r="BL101" i="2"/>
  <c r="BK98" i="2"/>
  <c r="BJ95" i="2"/>
  <c r="BH93" i="2"/>
  <c r="BL89" i="2"/>
  <c r="BL86" i="2"/>
  <c r="BI84" i="2"/>
  <c r="BH104" i="2"/>
  <c r="BI104" i="2"/>
  <c r="BL100" i="2"/>
  <c r="BJ98" i="2"/>
  <c r="BH95" i="2"/>
  <c r="BH92" i="2"/>
  <c r="BK89" i="2"/>
  <c r="BK86" i="2"/>
  <c r="BH84" i="2"/>
  <c r="BL107" i="2"/>
  <c r="BJ97" i="2"/>
  <c r="BG95" i="2"/>
  <c r="BJ89" i="2"/>
  <c r="BJ107" i="2"/>
  <c r="BG104" i="2"/>
  <c r="BI97" i="2"/>
  <c r="BL94" i="2"/>
  <c r="BJ88" i="2"/>
  <c r="BH107" i="2"/>
  <c r="BH100" i="2"/>
  <c r="BL93" i="2"/>
  <c r="BI88" i="2"/>
  <c r="AD100" i="2"/>
  <c r="AD7" i="2" s="1"/>
  <c r="AO22" i="2"/>
  <c r="AO24" i="2" s="1"/>
  <c r="AD108" i="2"/>
  <c r="AI107" i="2"/>
  <c r="V100" i="2"/>
  <c r="V7" i="2" s="1"/>
  <c r="BF24" i="2"/>
  <c r="AI99" i="2" l="1"/>
  <c r="AH99" i="2"/>
  <c r="B100" i="2"/>
  <c r="K6" i="2"/>
  <c r="AT8" i="2"/>
  <c r="AT9" i="2"/>
  <c r="AH108" i="2"/>
  <c r="G246" i="2"/>
  <c r="F252" i="2"/>
  <c r="F118" i="2"/>
  <c r="H246" i="2" l="1"/>
  <c r="G118" i="2"/>
  <c r="G252" i="2"/>
  <c r="AH100" i="2"/>
  <c r="B7" i="2"/>
  <c r="A7" i="2" s="1"/>
  <c r="AI100" i="2"/>
  <c r="I246" i="2" l="1"/>
  <c r="H252" i="2"/>
  <c r="H118" i="2"/>
  <c r="I252" i="2" l="1"/>
  <c r="I118" i="2"/>
  <c r="J246" i="2"/>
  <c r="J252" i="2" l="1"/>
  <c r="J118" i="2"/>
  <c r="K246" i="2"/>
  <c r="K252" i="2" l="1"/>
  <c r="K118" i="2"/>
  <c r="L246" i="2"/>
  <c r="L252" i="2" l="1"/>
  <c r="L118" i="2"/>
  <c r="M246" i="2"/>
  <c r="N246" i="2" l="1"/>
  <c r="M252" i="2"/>
  <c r="M118" i="2"/>
  <c r="O246" i="2" l="1"/>
  <c r="N118" i="2"/>
  <c r="N252" i="2"/>
  <c r="P246" i="2" l="1"/>
  <c r="O252" i="2"/>
  <c r="O118" i="2"/>
  <c r="Q246" i="2" l="1"/>
  <c r="P252" i="2"/>
  <c r="Q252" i="2" l="1"/>
  <c r="Q118" i="2"/>
  <c r="R246" i="2"/>
  <c r="R252" i="2" l="1"/>
  <c r="R118" i="2"/>
  <c r="S246" i="2"/>
  <c r="S252" i="2" l="1"/>
  <c r="S118" i="2"/>
  <c r="T246" i="2"/>
  <c r="T252" i="2" l="1"/>
  <c r="T118" i="2"/>
  <c r="U246" i="2"/>
  <c r="U118" i="2" l="1"/>
  <c r="V246" i="2"/>
  <c r="U252" i="2"/>
  <c r="W246" i="2" l="1"/>
  <c r="V118" i="2"/>
  <c r="V252" i="2"/>
  <c r="X246" i="2" l="1"/>
  <c r="W252" i="2"/>
  <c r="W118" i="2"/>
  <c r="Y246" i="2" l="1"/>
  <c r="X252" i="2"/>
  <c r="X118" i="2"/>
  <c r="Y252" i="2" l="1"/>
  <c r="Z246" i="2"/>
  <c r="Z252" i="2" l="1"/>
  <c r="AA246" i="2"/>
  <c r="AA252" i="2" l="1"/>
  <c r="AA118" i="2"/>
  <c r="AB246" i="2"/>
  <c r="AB252" i="2" l="1"/>
  <c r="AB118" i="2"/>
  <c r="AC246" i="2"/>
  <c r="AC118" i="2" l="1"/>
  <c r="AD246" i="2"/>
  <c r="AC252" i="2"/>
  <c r="AE246" i="2" l="1"/>
  <c r="AD118" i="2"/>
  <c r="AD252" i="2"/>
  <c r="AF246" i="2" l="1"/>
  <c r="AE252" i="2"/>
  <c r="AE118" i="2"/>
  <c r="AF252" i="2" l="1"/>
  <c r="AF118" i="2"/>
  <c r="B246" i="2"/>
  <c r="B252" i="2" l="1"/>
  <c r="B118" i="2"/>
  <c r="AI118" i="2" l="1"/>
  <c r="AH1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BA8F514-00F0-45BD-8A4A-5F55FF3C480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FD77E17-4E6D-4ADD-9D87-3750F7506C8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8DE447B-2A5C-4A61-B757-65B26E57682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EADD47D-4C52-469A-8780-6E9F0A78F7E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9F6D59A-1ABE-45E5-B344-5C7CB913002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CED0903-E11B-4A25-BE7B-69B441E5E6F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1A174C6-5EC7-42F2-B88D-2EDB65C51CB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67ABA22-D5E5-43B5-8CD6-1BC1617DA9D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3124C6D-3AD1-4EB3-8F6C-4C51AC443D2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9EF13F4-914F-4D8E-A952-4B777D808E8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934035C-87E8-42C2-A58E-3A8672A3B7B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BE6AED4-1BED-4C72-ACE2-F49309A9549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4123920-F4A5-4B40-86F2-6EAE679CD36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5D2A7DD-2AC6-42F6-8163-1537B075F1E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6B061AD-A7AF-48D1-AC2F-53E8D6DE4B6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E2678F5-3028-46C6-99BC-809321A6706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69E33AD-011A-474A-8477-C3967B33F29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8641774-F7DD-439D-B8B2-08D7BA587DF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5B8CAD9-D52D-4D2A-91F8-282A2CC1F98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84D4984-B10F-4ECB-8DF2-19D809B699A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21119D7-D407-4222-87BF-00ECDB88D3D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0BA315A-C089-476F-84C0-80C2F453C46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E966734-1531-4388-B2C4-86A4B091542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A667429-D1EB-4559-90A0-A339D57CD7B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CE8EE1A-0060-4B6F-816F-615F2468B06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2CFE625-716B-4461-AF90-5D3C9C76012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C410F9E-7A7F-43EA-A32E-2D15F507EEC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6E06763-50C9-4CBA-8A87-C48AC3AC524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F113398-32B1-4F8D-8FCC-C68EE83D443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F62CDD6-E71E-4C8A-B239-D148A1E0B0D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1A06700-D638-4529-AB19-2279DBDBF2B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7CF8233-4132-44C9-BE9C-57ABC26ECC1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E6AA8A4-4199-4072-AB16-0282F338BED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7C3122B-0A27-46B6-8738-406CBD0A7EF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<sst xmlns="http://schemas.openxmlformats.org/spreadsheetml/2006/main" count="10342" uniqueCount="360">
  <si>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</si>
  <si>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</si>
  <si>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</si>
  <si>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</si>
  <si>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</si>
  <si>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</si>
  <si>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</si>
  <si>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</si>
  <si>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</si>
  <si>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</si>
  <si>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</si>
  <si>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</si>
  <si>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</si>
  <si>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</si>
  <si>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</si>
  <si>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</si>
  <si>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</si>
  <si>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</si>
  <si>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</si>
  <si>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</si>
  <si>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Likhu-II(55)</t>
  </si>
  <si>
    <t>Super Dordi (54)</t>
  </si>
  <si>
    <t>Likhu-IV(52.4)</t>
  </si>
  <si>
    <t>Upper Marsyangdi "A"(50)</t>
  </si>
  <si>
    <t xml:space="preserve"> Hrs.</t>
  </si>
  <si>
    <t>Upper Bhotekoshi Khola(45)</t>
  </si>
  <si>
    <t>Super Madi ( 44 )</t>
  </si>
  <si>
    <t>NEA SUB</t>
  </si>
  <si>
    <t>Mistri Khola(42)</t>
  </si>
  <si>
    <t>NEA ROR PROR</t>
  </si>
  <si>
    <t>Upper Chameliya(40)</t>
  </si>
  <si>
    <t>IMPORT</t>
  </si>
  <si>
    <t>Upper Kalanga Gad(38.46)</t>
  </si>
  <si>
    <t>NEA STORAGE</t>
  </si>
  <si>
    <t>Upper Balefi (36)</t>
  </si>
  <si>
    <t>INTERRUPTION</t>
  </si>
  <si>
    <t>Nyadi(30)</t>
  </si>
  <si>
    <t>System_Load</t>
  </si>
  <si>
    <t>Likhu Khola A(29.04)</t>
  </si>
  <si>
    <t>Export</t>
  </si>
  <si>
    <t>Lower Likhu(28)</t>
  </si>
  <si>
    <t>National_Load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</si>
  <si>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</si>
  <si>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</si>
  <si>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</si>
  <si>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</si>
  <si>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</si>
  <si>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</si>
  <si>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</si>
  <si>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</si>
  <si>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</si>
  <si>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</si>
  <si>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</si>
  <si>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Mathilo Solu khola(19.8)</t>
  </si>
  <si>
    <t>Middle Modi (18)</t>
  </si>
  <si>
    <t>Kalanga Gad(15.33)</t>
  </si>
  <si>
    <t>Hewa Khola A(14.9)</t>
  </si>
  <si>
    <t>Sangen(14.8)</t>
  </si>
  <si>
    <t>Ghar khola(14)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</si>
  <si>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</si>
  <si>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</si>
  <si>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</si>
  <si>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</si>
  <si>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</si>
  <si>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</si>
  <si>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</si>
  <si>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</si>
  <si>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Upper Sanigad(10.7)</t>
  </si>
  <si>
    <t>Down Piluwa(10.3)</t>
  </si>
  <si>
    <t>Lower Modi 1(10)</t>
  </si>
  <si>
    <t>Makari Gad(10.0)</t>
  </si>
  <si>
    <t>Mithila Solar PV Electric Project(10)</t>
  </si>
  <si>
    <t>Pure-Solar(10)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</si>
  <si>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</si>
  <si>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</si>
  <si>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</si>
  <si>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</si>
  <si>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</si>
  <si>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</si>
  <si>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</si>
  <si>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</si>
  <si>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</si>
  <si>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</si>
  <si>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</si>
  <si>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</si>
  <si>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</si>
  <si>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Tanakpur</t>
  </si>
  <si>
    <t>TRI(24)</t>
  </si>
  <si>
    <t>Kat</t>
  </si>
  <si>
    <t>GDK(15)</t>
  </si>
  <si>
    <t>Muz</t>
  </si>
  <si>
    <t>DEVI(14.1)</t>
  </si>
  <si>
    <t>Ram</t>
  </si>
  <si>
    <t>MODI(14)</t>
  </si>
  <si>
    <t>Rax</t>
  </si>
  <si>
    <t>SUN(10.05)</t>
  </si>
  <si>
    <t>Sam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</si>
  <si>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</si>
  <si>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</si>
  <si>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</si>
  <si>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</si>
  <si>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</si>
  <si>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</si>
  <si>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</si>
  <si>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</si>
  <si>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</si>
  <si>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</si>
  <si>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</si>
  <si>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</si>
  <si>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</si>
  <si>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</si>
  <si>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</si>
  <si>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</si>
  <si>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</si>
  <si>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</si>
  <si>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</si>
  <si>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</si>
  <si>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SAMPATIYA 132 kV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</si>
  <si>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</si>
  <si>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</si>
  <si>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</si>
  <si>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</si>
  <si>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</si>
  <si>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</si>
  <si>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</si>
  <si>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</si>
  <si>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</si>
  <si>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</si>
  <si>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</si>
  <si>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</si>
  <si>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</si>
  <si>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</si>
  <si>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</si>
  <si>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</si>
  <si>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</si>
  <si>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</si>
  <si>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</si>
  <si>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</si>
  <si>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</si>
  <si>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</si>
  <si>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</si>
  <si>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</si>
  <si>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</si>
  <si>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</si>
  <si>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</si>
  <si>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</si>
  <si>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KHIMTI-LAMOSANGHU</t>
  </si>
  <si>
    <t>LAMOSHANGU-BHAKTAPUR</t>
  </si>
  <si>
    <t>BALAJU-SYUCHATAR</t>
  </si>
  <si>
    <t>DHALKE-NAWALPUR I</t>
  </si>
  <si>
    <t>DHALKE-KHIMTI I</t>
  </si>
  <si>
    <t>DAMAK-DUHABI</t>
  </si>
  <si>
    <t>DHALKE-MIRCHAIYA I</t>
  </si>
  <si>
    <t>MIRCHAIYA LAHAN 2</t>
  </si>
  <si>
    <t>Water Level</t>
  </si>
  <si>
    <t>UTK</t>
  </si>
  <si>
    <t>KGA</t>
  </si>
  <si>
    <t>MMRS</t>
  </si>
  <si>
    <t>MRS</t>
  </si>
  <si>
    <t>CHM</t>
  </si>
  <si>
    <t>KL 1</t>
  </si>
  <si>
    <t>Others IPP Detail</t>
  </si>
  <si>
    <t xml:space="preserve"> 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</si>
  <si>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</si>
  <si>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</si>
  <si>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</si>
  <si>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</si>
  <si>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</si>
  <si>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</si>
  <si>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</si>
  <si>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</si>
  <si>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</si>
  <si>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</si>
  <si>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</si>
  <si>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</si>
  <si>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</si>
  <si>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</si>
  <si>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</si>
  <si>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</si>
  <si>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</si>
  <si>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</si>
  <si>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</si>
  <si>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</si>
  <si>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</si>
  <si>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</si>
  <si>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</si>
  <si>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</si>
  <si>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</si>
  <si>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</si>
  <si>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</si>
  <si>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</si>
  <si>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</si>
  <si>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</si>
  <si>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</si>
  <si>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</si>
  <si>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</si>
  <si>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</si>
  <si>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</si>
  <si>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</si>
  <si>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</si>
  <si>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</si>
  <si>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</si>
  <si>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</si>
  <si>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</si>
  <si>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</si>
  <si>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</si>
  <si>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</si>
  <si>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</si>
  <si>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</si>
  <si>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</si>
  <si>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</si>
  <si>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</si>
  <si>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</si>
  <si>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</si>
  <si>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</si>
  <si>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</si>
  <si>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</si>
  <si>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</si>
  <si>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</si>
  <si>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</si>
  <si>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</si>
  <si>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</si>
  <si>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</si>
  <si>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</si>
  <si>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</si>
  <si>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</si>
  <si>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</si>
  <si>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</si>
  <si>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</si>
  <si>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</si>
  <si>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</si>
  <si>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</si>
  <si>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</si>
  <si>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</si>
  <si>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</si>
  <si>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</si>
  <si>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</si>
  <si>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</si>
  <si>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</si>
  <si>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</si>
  <si>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</si>
  <si>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</si>
  <si>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</si>
  <si>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</si>
  <si>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</si>
  <si>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</si>
  <si>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</si>
  <si>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</si>
  <si>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</si>
  <si>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</si>
  <si>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</si>
  <si>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</si>
  <si>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</si>
  <si>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</si>
  <si>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</si>
  <si>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</si>
  <si>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</si>
  <si>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</si>
  <si>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</si>
  <si>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</si>
  <si>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</si>
  <si>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</si>
  <si>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</si>
  <si>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</si>
  <si>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</si>
  <si>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</si>
  <si>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</si>
  <si>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</si>
  <si>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</si>
  <si>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</si>
  <si>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</si>
  <si>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</si>
  <si>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</si>
  <si>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</si>
  <si>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</si>
  <si>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Morning Peak</t>
  </si>
  <si>
    <t>PEAK SUMMARY</t>
  </si>
  <si>
    <t>NEA(RoR+PRoR)</t>
  </si>
  <si>
    <t>KL1+KL2+KL3</t>
  </si>
  <si>
    <t>Import</t>
  </si>
  <si>
    <t>Total</t>
  </si>
  <si>
    <t>Time</t>
  </si>
  <si>
    <t>Frequency</t>
  </si>
  <si>
    <t>Likhu 1  (77)</t>
  </si>
  <si>
    <t>Middle Tamor  (73)</t>
  </si>
  <si>
    <t>Nilgiri  (71)</t>
  </si>
  <si>
    <t>Maya Khola (14.9)</t>
  </si>
  <si>
    <t>Mathilo Mailung (14.3)</t>
  </si>
  <si>
    <t>100..6</t>
  </si>
  <si>
    <t>100..7</t>
  </si>
  <si>
    <t>Solu</t>
  </si>
  <si>
    <t>s</t>
  </si>
  <si>
    <t>i</t>
  </si>
  <si>
    <t>d</t>
  </si>
  <si>
    <t>r</t>
  </si>
  <si>
    <t>y</t>
  </si>
  <si>
    <t>t</t>
  </si>
  <si>
    <t>e</t>
  </si>
  <si>
    <t>m</t>
  </si>
  <si>
    <t>u</t>
  </si>
  <si>
    <t>b</t>
  </si>
  <si>
    <t>na</t>
  </si>
  <si>
    <t>NA</t>
  </si>
  <si>
    <t>p</t>
  </si>
  <si>
    <t>S</t>
  </si>
  <si>
    <t>M</t>
  </si>
  <si>
    <t>U</t>
  </si>
  <si>
    <t>D</t>
  </si>
  <si>
    <t>T</t>
  </si>
  <si>
    <t>B</t>
  </si>
  <si>
    <t>Y</t>
  </si>
  <si>
    <t>E</t>
  </si>
  <si>
    <t>R</t>
  </si>
  <si>
    <t>I</t>
  </si>
  <si>
    <t>24.3.</t>
  </si>
  <si>
    <t>c</t>
  </si>
  <si>
    <t>o</t>
  </si>
  <si>
    <t>l</t>
  </si>
  <si>
    <t>a</t>
  </si>
  <si>
    <t>49..970</t>
  </si>
  <si>
    <t>P</t>
  </si>
  <si>
    <t>A</t>
  </si>
  <si>
    <t>C</t>
  </si>
  <si>
    <t>L</t>
  </si>
  <si>
    <t>O</t>
  </si>
  <si>
    <t>+</t>
  </si>
  <si>
    <t>…......................................</t>
  </si>
  <si>
    <t>W</t>
  </si>
  <si>
    <t>N</t>
  </si>
  <si>
    <t>Uchameliya</t>
  </si>
  <si>
    <t>Chameliya</t>
  </si>
  <si>
    <t>Super Madi</t>
  </si>
  <si>
    <t>Mid Modi</t>
  </si>
  <si>
    <t>Lower Modi</t>
  </si>
  <si>
    <t xml:space="preserve">Ghar Khola </t>
  </si>
  <si>
    <t>Modi NEA</t>
  </si>
  <si>
    <t>Upper Marsyangdi</t>
  </si>
  <si>
    <t>Super Dordi</t>
  </si>
  <si>
    <t>Dordi 12</t>
  </si>
  <si>
    <t>Dordi 27</t>
  </si>
  <si>
    <t>Middle Marsyangdi</t>
  </si>
  <si>
    <t>Marsyangdi</t>
  </si>
  <si>
    <t xml:space="preserve">Trishuli </t>
  </si>
  <si>
    <t>Devighat</t>
  </si>
  <si>
    <t xml:space="preserve">Installed </t>
  </si>
  <si>
    <t>Outage</t>
  </si>
  <si>
    <t>Availability before flood</t>
  </si>
  <si>
    <t>Upper Balefi</t>
  </si>
  <si>
    <t>Jhimrukh</t>
  </si>
  <si>
    <t>Bagmati</t>
  </si>
  <si>
    <t>Mistri</t>
  </si>
  <si>
    <t>Hewa Khola A</t>
  </si>
  <si>
    <t>Super Dordi one unit</t>
  </si>
  <si>
    <t>Outage since many days</t>
  </si>
  <si>
    <t>Partial Outage due to flood</t>
  </si>
  <si>
    <t>Outage due to flood</t>
  </si>
  <si>
    <t>SUM</t>
  </si>
  <si>
    <t>TOTAL</t>
  </si>
  <si>
    <t>133..8</t>
  </si>
  <si>
    <t>57.3.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</si>
</sst>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7" fillId="0" borderId="0" xfId="1" applyFont="1" applyAlignment="1">
      <alignment vertical="center"/>
    </xf>
    <xf numFmtId="164" fontId="8" fillId="0" borderId="2" xfId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4" fontId="5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43" fontId="10" fillId="3" borderId="0" xfId="2" applyFont="1" applyFill="1" applyAlignment="1">
      <alignment horizontal="center"/>
    </xf>
    <xf numFmtId="164" fontId="10" fillId="3" borderId="0" xfId="1" applyFont="1" applyFill="1"/>
    <xf numFmtId="164" fontId="1" fillId="3" borderId="0" xfId="1" applyFill="1"/>
    <xf numFmtId="164" fontId="11" fillId="0" borderId="0" xfId="1" applyFont="1" applyAlignment="1">
      <alignment horizontal="center" vertical="center"/>
    </xf>
    <xf numFmtId="164" fontId="12" fillId="0" borderId="0" xfId="1" applyFont="1"/>
    <xf numFmtId="164" fontId="13" fillId="0" borderId="0" xfId="1" applyFont="1" applyAlignment="1">
      <alignment vertical="center"/>
    </xf>
    <xf numFmtId="164" fontId="8" fillId="0" borderId="8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3" fillId="0" borderId="0" xfId="1" applyFont="1" applyAlignment="1">
      <alignment horizontal="center" vertical="center"/>
    </xf>
    <xf numFmtId="43" fontId="14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5" fillId="0" borderId="0" xfId="1" applyNumberFormat="1" applyFont="1"/>
    <xf numFmtId="164" fontId="16" fillId="4" borderId="0" xfId="1" applyFont="1" applyFill="1" applyAlignment="1">
      <alignment horizontal="right" vertical="center"/>
    </xf>
    <xf numFmtId="164" fontId="17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6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6" fillId="4" borderId="0" xfId="1" applyFont="1" applyFill="1" applyAlignment="1">
      <alignment horizontal="left" vertical="center"/>
    </xf>
    <xf numFmtId="164" fontId="19" fillId="3" borderId="0" xfId="1" applyFont="1" applyFill="1"/>
    <xf numFmtId="164" fontId="20" fillId="0" borderId="0" xfId="1" applyFont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43" fontId="22" fillId="0" borderId="0" xfId="2" applyFont="1" applyFill="1" applyAlignment="1">
      <alignment horizontal="center" vertical="center"/>
    </xf>
    <xf numFmtId="164" fontId="2" fillId="0" borderId="0" xfId="1" applyFont="1"/>
    <xf numFmtId="164" fontId="13" fillId="0" borderId="12" xfId="1" applyFont="1" applyBorder="1" applyAlignment="1">
      <alignment vertical="center"/>
    </xf>
    <xf numFmtId="2" fontId="13" fillId="6" borderId="16" xfId="1" applyNumberFormat="1" applyFont="1" applyFill="1" applyBorder="1" applyAlignment="1">
      <alignment horizontal="center" vertical="center"/>
    </xf>
    <xf numFmtId="164" fontId="19" fillId="0" borderId="0" xfId="1" applyFont="1" applyAlignment="1">
      <alignment horizontal="center"/>
    </xf>
    <xf numFmtId="164" fontId="19" fillId="0" borderId="0" xfId="1" applyFont="1"/>
    <xf numFmtId="165" fontId="4" fillId="0" borderId="0" xfId="1" applyNumberFormat="1" applyFont="1"/>
    <xf numFmtId="164" fontId="19" fillId="0" borderId="0" xfId="1" applyFont="1" applyAlignment="1">
      <alignment horizontal="left"/>
    </xf>
    <xf numFmtId="164" fontId="1" fillId="0" borderId="0" xfId="1" applyAlignment="1">
      <alignment horizontal="center"/>
    </xf>
    <xf numFmtId="164" fontId="13" fillId="0" borderId="24" xfId="1" applyFont="1" applyBorder="1" applyAlignment="1">
      <alignment horizontal="right" vertical="center"/>
    </xf>
    <xf numFmtId="166" fontId="13" fillId="0" borderId="25" xfId="1" applyNumberFormat="1" applyFont="1" applyBorder="1" applyAlignment="1" applyProtection="1">
      <alignment horizontal="center" vertical="center"/>
      <protection locked="0"/>
    </xf>
    <xf numFmtId="169" fontId="13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3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4" fontId="1" fillId="0" borderId="0" xfId="1" applyAlignment="1">
      <alignment horizontal="left"/>
    </xf>
    <xf numFmtId="166" fontId="13" fillId="9" borderId="25" xfId="1" applyNumberFormat="1" applyFont="1" applyFill="1" applyBorder="1" applyAlignment="1" applyProtection="1">
      <alignment horizontal="center" vertical="center"/>
      <protection locked="0"/>
    </xf>
    <xf numFmtId="164" fontId="17" fillId="0" borderId="0" xfId="1" applyFont="1" applyAlignment="1">
      <alignment vertical="top" wrapText="1"/>
    </xf>
    <xf numFmtId="20" fontId="13" fillId="0" borderId="27" xfId="1" applyNumberFormat="1" applyFont="1" applyBorder="1" applyAlignment="1">
      <alignment vertical="center"/>
    </xf>
    <xf numFmtId="167" fontId="13" fillId="0" borderId="28" xfId="1" applyNumberFormat="1" applyFont="1" applyBorder="1" applyAlignment="1">
      <alignment vertical="center"/>
    </xf>
    <xf numFmtId="167" fontId="13" fillId="0" borderId="27" xfId="1" applyNumberFormat="1" applyFont="1" applyBorder="1" applyAlignment="1">
      <alignment vertical="center"/>
    </xf>
    <xf numFmtId="167" fontId="13" fillId="0" borderId="19" xfId="1" applyNumberFormat="1" applyFont="1" applyBorder="1" applyAlignment="1">
      <alignment vertical="center"/>
    </xf>
    <xf numFmtId="0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  <xf numFmtId="169" fontId="26" fillId="0" borderId="29" xfId="1" applyNumberFormat="1" applyFont="1" applyBorder="1" applyAlignment="1">
      <alignment horizontal="center" vertical="center"/>
    </xf>
    <xf numFmtId="164" fontId="2" fillId="0" borderId="0" xfId="1" applyFont="1" applyAlignment="1">
      <alignment horizontal="center"/>
    </xf>
    <xf numFmtId="0" fontId="1" fillId="0" borderId="0" xfId="1" applyNumberFormat="1" applyAlignment="1">
      <alignment horizontal="center"/>
    </xf>
    <xf numFmtId="2" fontId="26" fillId="0" borderId="29" xfId="1" applyNumberFormat="1" applyFont="1" applyBorder="1" applyAlignment="1">
      <alignment horizontal="center" vertical="center"/>
    </xf>
    <xf numFmtId="164" fontId="13" fillId="0" borderId="30" xfId="1" applyFont="1" applyBorder="1" applyAlignment="1">
      <alignment horizontal="right" vertical="center"/>
    </xf>
    <xf numFmtId="169" fontId="26" fillId="0" borderId="31" xfId="1" applyNumberFormat="1" applyFont="1" applyBorder="1" applyAlignment="1">
      <alignment horizontal="center" vertical="center"/>
    </xf>
    <xf numFmtId="164" fontId="27" fillId="0" borderId="30" xfId="1" applyFont="1" applyBorder="1" applyAlignment="1">
      <alignment horizontal="right" vertical="center"/>
    </xf>
    <xf numFmtId="166" fontId="13" fillId="10" borderId="6" xfId="1" applyNumberFormat="1" applyFont="1" applyFill="1" applyBorder="1" applyAlignment="1" applyProtection="1">
      <alignment horizontal="center" vertical="center"/>
      <protection locked="0"/>
    </xf>
    <xf numFmtId="164" fontId="17" fillId="0" borderId="24" xfId="1" applyFont="1" applyBorder="1" applyAlignment="1">
      <alignment horizontal="right" vertical="center"/>
    </xf>
    <xf numFmtId="164" fontId="17" fillId="0" borderId="32" xfId="1" applyFont="1" applyBorder="1" applyAlignment="1">
      <alignment horizontal="left" vertical="center"/>
    </xf>
    <xf numFmtId="166" fontId="17" fillId="0" borderId="33" xfId="1" applyNumberFormat="1" applyFont="1" applyBorder="1" applyAlignment="1">
      <alignment horizontal="center" vertical="center"/>
    </xf>
    <xf numFmtId="169" fontId="17" fillId="0" borderId="33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/>
    </xf>
    <xf numFmtId="166" fontId="13" fillId="11" borderId="25" xfId="1" applyNumberFormat="1" applyFont="1" applyFill="1" applyBorder="1" applyAlignment="1" applyProtection="1">
      <alignment horizontal="center" vertical="center"/>
      <protection locked="0"/>
    </xf>
    <xf numFmtId="164" fontId="13" fillId="0" borderId="35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 vertical="center"/>
      <protection locked="0"/>
    </xf>
    <xf numFmtId="164" fontId="13" fillId="0" borderId="36" xfId="1" applyFont="1" applyBorder="1" applyAlignment="1">
      <alignment horizontal="right" vertical="center"/>
    </xf>
    <xf numFmtId="166" fontId="13" fillId="0" borderId="18" xfId="1" applyNumberFormat="1" applyFont="1" applyBorder="1" applyAlignment="1" applyProtection="1">
      <alignment horizontal="center" vertical="center"/>
      <protection locked="0"/>
    </xf>
    <xf numFmtId="169" fontId="26" fillId="0" borderId="23" xfId="1" applyNumberFormat="1" applyFont="1" applyBorder="1" applyAlignment="1">
      <alignment horizontal="center" vertical="center"/>
    </xf>
    <xf numFmtId="164" fontId="17" fillId="0" borderId="37" xfId="1" applyFont="1" applyBorder="1" applyAlignment="1">
      <alignment horizontal="left" vertical="center"/>
    </xf>
    <xf numFmtId="0" fontId="1" fillId="0" borderId="0" xfId="1" applyNumberFormat="1"/>
    <xf numFmtId="166" fontId="1" fillId="0" borderId="0" xfId="1" applyNumberFormat="1"/>
    <xf numFmtId="164" fontId="28" fillId="0" borderId="0" xfId="1" applyFont="1"/>
    <xf numFmtId="164" fontId="13" fillId="0" borderId="38" xfId="1" applyFont="1" applyBorder="1" applyAlignment="1">
      <alignment horizontal="right" vertical="center"/>
    </xf>
    <xf numFmtId="2" fontId="27" fillId="0" borderId="27" xfId="1" applyNumberFormat="1" applyFont="1" applyBorder="1" applyAlignment="1">
      <alignment horizontal="center" vertical="center"/>
    </xf>
    <xf numFmtId="169" fontId="27" fillId="0" borderId="27" xfId="1" applyNumberFormat="1" applyFont="1" applyBorder="1" applyAlignment="1">
      <alignment horizontal="center" vertical="center"/>
    </xf>
    <xf numFmtId="164" fontId="17" fillId="0" borderId="39" xfId="1" applyFont="1" applyBorder="1" applyAlignment="1">
      <alignment horizontal="left" vertical="center"/>
    </xf>
    <xf numFmtId="169" fontId="13" fillId="0" borderId="31" xfId="1" applyNumberFormat="1" applyFont="1" applyBorder="1" applyAlignment="1">
      <alignment horizontal="center" vertical="center"/>
    </xf>
    <xf numFmtId="166" fontId="13" fillId="0" borderId="25" xfId="1" applyNumberFormat="1" applyFont="1" applyBorder="1" applyAlignment="1">
      <alignment horizontal="center" vertical="center"/>
    </xf>
    <xf numFmtId="166" fontId="13" fillId="0" borderId="6" xfId="1" applyNumberFormat="1" applyFont="1" applyBorder="1" applyAlignment="1">
      <alignment horizontal="center" vertical="center"/>
    </xf>
    <xf numFmtId="164" fontId="2" fillId="12" borderId="0" xfId="1" applyFont="1" applyFill="1"/>
    <xf numFmtId="20" fontId="1" fillId="0" borderId="40" xfId="1" applyNumberFormat="1" applyBorder="1"/>
    <xf numFmtId="166" fontId="13" fillId="0" borderId="2" xfId="1" applyNumberFormat="1" applyFont="1" applyBorder="1" applyAlignment="1" applyProtection="1">
      <alignment horizontal="center" vertical="center"/>
      <protection locked="0"/>
    </xf>
    <xf numFmtId="166" fontId="13" fillId="0" borderId="4" xfId="1" applyNumberFormat="1" applyFont="1" applyBorder="1" applyAlignment="1" applyProtection="1">
      <alignment horizontal="center" vertical="center"/>
      <protection locked="0"/>
    </xf>
    <xf numFmtId="164" fontId="0" fillId="0" borderId="5" xfId="1" applyFont="1" applyBorder="1"/>
    <xf numFmtId="166" fontId="13" fillId="0" borderId="41" xfId="1" applyNumberFormat="1" applyFont="1" applyBorder="1" applyAlignment="1" applyProtection="1">
      <alignment horizontal="center" vertical="center"/>
      <protection locked="0"/>
    </xf>
    <xf numFmtId="164" fontId="13" fillId="0" borderId="42" xfId="1" applyFont="1" applyBorder="1" applyAlignment="1">
      <alignment horizontal="right" vertical="center"/>
    </xf>
    <xf numFmtId="169" fontId="13" fillId="0" borderId="43" xfId="1" applyNumberFormat="1" applyFont="1" applyBorder="1" applyAlignment="1">
      <alignment horizontal="center" vertical="center"/>
    </xf>
    <xf numFmtId="164" fontId="1" fillId="0" borderId="5" xfId="1" applyBorder="1"/>
    <xf numFmtId="166" fontId="13" fillId="12" borderId="44" xfId="1" applyNumberFormat="1" applyFont="1" applyFill="1" applyBorder="1" applyAlignment="1" applyProtection="1">
      <alignment horizontal="center" vertical="center"/>
      <protection locked="0"/>
    </xf>
    <xf numFmtId="169" fontId="17" fillId="0" borderId="45" xfId="1" applyNumberFormat="1" applyFont="1" applyBorder="1" applyAlignment="1">
      <alignment horizontal="center" vertical="center"/>
    </xf>
    <xf numFmtId="166" fontId="13" fillId="0" borderId="46" xfId="1" applyNumberFormat="1" applyFont="1" applyBorder="1" applyAlignment="1">
      <alignment horizontal="center" vertical="center"/>
    </xf>
    <xf numFmtId="169" fontId="13" fillId="0" borderId="29" xfId="1" applyNumberFormat="1" applyFont="1" applyBorder="1" applyAlignment="1">
      <alignment horizontal="center" vertical="center"/>
    </xf>
    <xf numFmtId="164" fontId="1" fillId="0" borderId="49" xfId="1" applyBorder="1"/>
    <xf numFmtId="166" fontId="13" fillId="0" borderId="8" xfId="1" applyNumberFormat="1" applyFont="1" applyBorder="1" applyAlignment="1" applyProtection="1">
      <alignment horizontal="center" vertical="center"/>
      <protection locked="0"/>
    </xf>
    <xf numFmtId="166" fontId="13" fillId="0" borderId="10" xfId="1" applyNumberFormat="1" applyFont="1" applyBorder="1" applyAlignment="1" applyProtection="1">
      <alignment horizontal="center" vertical="center"/>
      <protection locked="0"/>
    </xf>
    <xf numFmtId="166" fontId="13" fillId="0" borderId="27" xfId="1" applyNumberFormat="1" applyFont="1" applyBorder="1" applyAlignment="1">
      <alignment horizontal="center" vertical="center"/>
    </xf>
    <xf numFmtId="1" fontId="17" fillId="0" borderId="33" xfId="1" applyNumberFormat="1" applyFont="1" applyBorder="1" applyAlignment="1">
      <alignment horizontal="center" vertical="center"/>
    </xf>
    <xf numFmtId="164" fontId="17" fillId="12" borderId="39" xfId="1" applyFont="1" applyFill="1" applyBorder="1" applyAlignment="1">
      <alignment vertical="center" wrapText="1"/>
    </xf>
    <xf numFmtId="166" fontId="13" fillId="0" borderId="33" xfId="1" applyNumberFormat="1" applyFont="1" applyBorder="1" applyAlignment="1" applyProtection="1">
      <alignment horizontal="center" vertical="center"/>
      <protection locked="0"/>
    </xf>
    <xf numFmtId="169" fontId="26" fillId="0" borderId="43" xfId="1" applyNumberFormat="1" applyFont="1" applyBorder="1" applyAlignment="1">
      <alignment horizontal="center" vertical="center"/>
    </xf>
    <xf numFmtId="164" fontId="17" fillId="0" borderId="39" xfId="1" applyFont="1" applyBorder="1" applyAlignment="1">
      <alignment horizontal="center" vertical="center"/>
    </xf>
    <xf numFmtId="164" fontId="13" fillId="0" borderId="50" xfId="1" applyFont="1" applyBorder="1" applyAlignment="1">
      <alignment horizontal="right" vertical="center"/>
    </xf>
    <xf numFmtId="2" fontId="13" fillId="0" borderId="2" xfId="1" applyNumberFormat="1" applyFont="1" applyBorder="1" applyAlignment="1" applyProtection="1">
      <alignment horizontal="center" vertical="center"/>
      <protection locked="0"/>
    </xf>
    <xf numFmtId="169" fontId="13" fillId="0" borderId="51" xfId="1" applyNumberFormat="1" applyFont="1" applyBorder="1" applyAlignment="1">
      <alignment horizontal="center" vertical="center"/>
    </xf>
    <xf numFmtId="164" fontId="13" fillId="0" borderId="52" xfId="1" applyFont="1" applyBorder="1" applyAlignment="1">
      <alignment horizontal="right" vertical="center"/>
    </xf>
    <xf numFmtId="169" fontId="13" fillId="0" borderId="53" xfId="1" applyNumberFormat="1" applyFont="1" applyBorder="1" applyAlignment="1">
      <alignment horizontal="center" vertical="center"/>
    </xf>
    <xf numFmtId="164" fontId="13" fillId="0" borderId="54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/>
      <protection locked="0"/>
    </xf>
    <xf numFmtId="169" fontId="13" fillId="0" borderId="53" xfId="1" applyNumberFormat="1" applyFont="1" applyBorder="1" applyAlignment="1">
      <alignment horizontal="center"/>
    </xf>
    <xf numFmtId="169" fontId="13" fillId="0" borderId="55" xfId="1" applyNumberFormat="1" applyFont="1" applyBorder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13" fillId="0" borderId="1" xfId="1" applyFont="1" applyBorder="1" applyAlignment="1">
      <alignment vertical="center"/>
    </xf>
    <xf numFmtId="166" fontId="17" fillId="0" borderId="3" xfId="1" applyNumberFormat="1" applyFont="1" applyBorder="1" applyAlignment="1">
      <alignment horizontal="center" vertical="center"/>
    </xf>
    <xf numFmtId="169" fontId="1" fillId="0" borderId="0" xfId="1" applyNumberFormat="1"/>
    <xf numFmtId="164" fontId="13" fillId="0" borderId="50" xfId="1" applyFont="1" applyBorder="1" applyAlignment="1">
      <alignment horizontal="right" vertical="center" indent="1"/>
    </xf>
    <xf numFmtId="166" fontId="13" fillId="0" borderId="56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4" fontId="13" fillId="0" borderId="52" xfId="1" applyFont="1" applyBorder="1" applyAlignment="1">
      <alignment horizontal="right" vertical="center" indent="1"/>
    </xf>
    <xf numFmtId="166" fontId="13" fillId="0" borderId="46" xfId="1" applyNumberFormat="1" applyFont="1" applyBorder="1" applyAlignment="1" applyProtection="1">
      <alignment horizontal="center" vertical="center"/>
      <protection locked="0"/>
    </xf>
    <xf numFmtId="166" fontId="13" fillId="0" borderId="57" xfId="1" applyNumberFormat="1" applyFont="1" applyBorder="1" applyAlignment="1" applyProtection="1">
      <alignment horizontal="center"/>
      <protection locked="0"/>
    </xf>
    <xf numFmtId="169" fontId="1" fillId="0" borderId="27" xfId="1" applyNumberFormat="1" applyBorder="1" applyAlignment="1">
      <alignment horizontal="center"/>
    </xf>
    <xf numFmtId="164" fontId="17" fillId="0" borderId="50" xfId="1" applyFont="1" applyBorder="1" applyAlignment="1">
      <alignment vertical="center"/>
    </xf>
    <xf numFmtId="2" fontId="29" fillId="0" borderId="2" xfId="1" applyNumberFormat="1" applyFont="1" applyBorder="1" applyAlignment="1">
      <alignment horizontal="center" vertical="center"/>
    </xf>
    <xf numFmtId="2" fontId="29" fillId="0" borderId="4" xfId="1" applyNumberFormat="1" applyFont="1" applyBorder="1" applyAlignment="1">
      <alignment horizontal="center" vertical="center"/>
    </xf>
    <xf numFmtId="164" fontId="17" fillId="0" borderId="52" xfId="1" applyFont="1" applyBorder="1" applyAlignment="1">
      <alignment horizontal="right" vertical="center" indent="1"/>
    </xf>
    <xf numFmtId="2" fontId="29" fillId="0" borderId="25" xfId="1" applyNumberFormat="1" applyFont="1" applyBorder="1" applyAlignment="1">
      <alignment horizontal="center" vertical="center"/>
    </xf>
    <xf numFmtId="2" fontId="29" fillId="0" borderId="58" xfId="1" applyNumberFormat="1" applyFont="1" applyBorder="1" applyAlignment="1">
      <alignment horizontal="center" vertical="center"/>
    </xf>
    <xf numFmtId="164" fontId="1" fillId="0" borderId="59" xfId="1" applyBorder="1" applyAlignment="1">
      <alignment horizontal="center"/>
    </xf>
    <xf numFmtId="2" fontId="29" fillId="0" borderId="6" xfId="1" applyNumberFormat="1" applyFont="1" applyBorder="1" applyAlignment="1">
      <alignment horizontal="center" vertical="center"/>
    </xf>
    <xf numFmtId="2" fontId="29" fillId="0" borderId="41" xfId="1" applyNumberFormat="1" applyFont="1" applyBorder="1" applyAlignment="1">
      <alignment horizontal="center" vertical="center"/>
    </xf>
    <xf numFmtId="2" fontId="29" fillId="0" borderId="8" xfId="1" applyNumberFormat="1" applyFont="1" applyBorder="1" applyAlignment="1">
      <alignment horizontal="center" vertical="center"/>
    </xf>
    <xf numFmtId="2" fontId="29" fillId="0" borderId="10" xfId="1" applyNumberFormat="1" applyFont="1" applyBorder="1" applyAlignment="1">
      <alignment horizontal="center" vertical="center"/>
    </xf>
    <xf numFmtId="164" fontId="17" fillId="0" borderId="49" xfId="1" applyFont="1" applyBorder="1" applyAlignment="1">
      <alignment vertical="center"/>
    </xf>
    <xf numFmtId="164" fontId="1" fillId="0" borderId="60" xfId="1" applyBorder="1" applyAlignment="1">
      <alignment horizontal="center"/>
    </xf>
    <xf numFmtId="164" fontId="0" fillId="0" borderId="60" xfId="1" applyFont="1" applyBorder="1" applyAlignment="1">
      <alignment horizontal="center"/>
    </xf>
    <xf numFmtId="169" fontId="1" fillId="0" borderId="60" xfId="1" applyNumberFormat="1" applyBorder="1" applyAlignment="1">
      <alignment horizontal="center"/>
    </xf>
    <xf numFmtId="164" fontId="13" fillId="0" borderId="61" xfId="1" applyFont="1" applyBorder="1" applyAlignment="1">
      <alignment horizontal="right" vertical="center"/>
    </xf>
    <xf numFmtId="2" fontId="13" fillId="0" borderId="25" xfId="1" applyNumberFormat="1" applyFont="1" applyBorder="1" applyAlignment="1">
      <alignment horizontal="center" vertical="center"/>
    </xf>
    <xf numFmtId="2" fontId="13" fillId="0" borderId="25" xfId="1" applyNumberFormat="1" applyFont="1" applyBorder="1" applyAlignment="1" applyProtection="1">
      <alignment horizontal="center" vertical="center"/>
      <protection locked="0"/>
    </xf>
    <xf numFmtId="169" fontId="26" fillId="0" borderId="58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 applyProtection="1">
      <alignment horizontal="center" vertical="center"/>
      <protection locked="0"/>
    </xf>
    <xf numFmtId="169" fontId="26" fillId="0" borderId="41" xfId="1" applyNumberFormat="1" applyFont="1" applyBorder="1" applyAlignment="1">
      <alignment horizontal="center" vertical="center"/>
    </xf>
    <xf numFmtId="164" fontId="13" fillId="0" borderId="62" xfId="1" applyFont="1" applyBorder="1" applyAlignment="1">
      <alignment horizontal="right" vertical="center"/>
    </xf>
    <xf numFmtId="169" fontId="26" fillId="0" borderId="63" xfId="1" applyNumberFormat="1" applyFont="1" applyBorder="1" applyAlignment="1">
      <alignment horizontal="center" vertical="center"/>
    </xf>
    <xf numFmtId="2" fontId="13" fillId="0" borderId="27" xfId="1" applyNumberFormat="1" applyFont="1" applyBorder="1" applyAlignment="1">
      <alignment horizontal="center" vertical="center"/>
    </xf>
    <xf numFmtId="2" fontId="13" fillId="0" borderId="18" xfId="1" applyNumberFormat="1" applyFont="1" applyBorder="1" applyAlignment="1" applyProtection="1">
      <alignment horizontal="center" vertical="center"/>
      <protection locked="0"/>
    </xf>
    <xf numFmtId="164" fontId="13" fillId="0" borderId="37" xfId="1" applyFont="1" applyBorder="1" applyAlignment="1">
      <alignment vertical="center"/>
    </xf>
    <xf numFmtId="2" fontId="13" fillId="0" borderId="64" xfId="1" applyNumberFormat="1" applyFont="1" applyBorder="1" applyAlignment="1">
      <alignment horizontal="center" vertical="center"/>
    </xf>
    <xf numFmtId="2" fontId="13" fillId="0" borderId="33" xfId="1" applyNumberFormat="1" applyFont="1" applyBorder="1" applyAlignment="1">
      <alignment horizontal="center" vertical="center"/>
    </xf>
    <xf numFmtId="2" fontId="13" fillId="0" borderId="65" xfId="1" applyNumberFormat="1" applyFont="1" applyBorder="1" applyAlignment="1">
      <alignment horizontal="center" vertical="center"/>
    </xf>
    <xf numFmtId="169" fontId="26" fillId="0" borderId="37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/>
    </xf>
    <xf numFmtId="169" fontId="1" fillId="0" borderId="0" xfId="1" applyNumberFormat="1" applyAlignment="1">
      <alignment horizontal="center"/>
    </xf>
    <xf numFmtId="2" fontId="13" fillId="0" borderId="2" xfId="1" applyNumberFormat="1" applyFont="1" applyBorder="1" applyAlignment="1">
      <alignment horizontal="center" vertical="center"/>
    </xf>
    <xf numFmtId="169" fontId="30" fillId="0" borderId="4" xfId="1" applyNumberFormat="1" applyFont="1" applyBorder="1" applyAlignment="1">
      <alignment horizontal="center" vertical="center"/>
    </xf>
    <xf numFmtId="169" fontId="30" fillId="0" borderId="41" xfId="1" applyNumberFormat="1" applyFont="1" applyBorder="1" applyAlignment="1">
      <alignment horizontal="center" vertical="center"/>
    </xf>
    <xf numFmtId="169" fontId="30" fillId="0" borderId="63" xfId="1" applyNumberFormat="1" applyFont="1" applyBorder="1" applyAlignment="1">
      <alignment horizontal="center" vertical="center"/>
    </xf>
    <xf numFmtId="164" fontId="13" fillId="0" borderId="64" xfId="1" applyFont="1" applyBorder="1" applyAlignment="1">
      <alignment horizontal="right" vertical="center"/>
    </xf>
    <xf numFmtId="169" fontId="1" fillId="0" borderId="66" xfId="1" applyNumberFormat="1" applyBorder="1" applyAlignment="1">
      <alignment horizontal="center"/>
    </xf>
    <xf numFmtId="164" fontId="13" fillId="13" borderId="6" xfId="1" applyFont="1" applyFill="1" applyBorder="1" applyAlignment="1">
      <alignment vertical="center"/>
    </xf>
    <xf numFmtId="1" fontId="1" fillId="13" borderId="6" xfId="1" applyNumberFormat="1" applyFill="1" applyBorder="1"/>
    <xf numFmtId="20" fontId="31" fillId="13" borderId="6" xfId="1" applyNumberFormat="1" applyFont="1" applyFill="1" applyBorder="1" applyAlignment="1">
      <alignment horizontal="center"/>
    </xf>
    <xf numFmtId="164" fontId="32" fillId="15" borderId="0" xfId="1" applyFont="1" applyFill="1"/>
    <xf numFmtId="164" fontId="1" fillId="16" borderId="0" xfId="1" applyFill="1" applyProtection="1">
      <protection locked="0"/>
    </xf>
    <xf numFmtId="165" fontId="1" fillId="16" borderId="0" xfId="1" applyNumberFormat="1" applyFill="1" applyProtection="1">
      <protection locked="0"/>
    </xf>
    <xf numFmtId="164" fontId="32" fillId="14" borderId="0" xfId="1" applyFont="1" applyFill="1" applyAlignment="1">
      <alignment horizontal="center"/>
    </xf>
    <xf numFmtId="0" fontId="2" fillId="0" borderId="0" xfId="0" applyFont="1"/>
    <xf numFmtId="20" fontId="0" fillId="0" borderId="0" xfId="0" applyNumberFormat="1"/>
    <xf numFmtId="166" fontId="21" fillId="0" borderId="33" xfId="1" applyNumberFormat="1" applyFont="1" applyBorder="1" applyAlignment="1">
      <alignment horizontal="center" vertical="center"/>
    </xf>
    <xf numFmtId="164" fontId="5" fillId="0" borderId="0" xfId="1" applyFont="1" applyAlignment="1">
      <alignment horizontal="center" vertical="center" wrapText="1"/>
    </xf>
    <xf numFmtId="164" fontId="6" fillId="2" borderId="0" xfId="1" applyFont="1" applyFill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164" fontId="16" fillId="4" borderId="11" xfId="1" applyFont="1" applyFill="1" applyBorder="1" applyAlignment="1">
      <alignment horizontal="left" vertical="center"/>
    </xf>
    <xf numFmtId="164" fontId="16" fillId="4" borderId="11" xfId="1" applyFont="1" applyFill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2" fontId="24" fillId="0" borderId="13" xfId="1" applyNumberFormat="1" applyFont="1" applyBorder="1" applyAlignment="1">
      <alignment horizontal="center" vertical="center"/>
    </xf>
    <xf numFmtId="2" fontId="24" fillId="0" borderId="14" xfId="1" applyNumberFormat="1" applyFont="1" applyBorder="1" applyAlignment="1">
      <alignment horizontal="center" vertical="center"/>
    </xf>
    <xf numFmtId="2" fontId="24" fillId="0" borderId="15" xfId="1" applyNumberFormat="1" applyFont="1" applyBorder="1" applyAlignment="1">
      <alignment horizontal="center" vertical="center"/>
    </xf>
    <xf numFmtId="167" fontId="13" fillId="0" borderId="18" xfId="1" applyNumberFormat="1" applyFont="1" applyBorder="1" applyAlignment="1">
      <alignment horizontal="center" vertical="center"/>
    </xf>
    <xf numFmtId="167" fontId="13" fillId="0" borderId="22" xfId="1" applyNumberFormat="1" applyFont="1" applyBorder="1" applyAlignment="1">
      <alignment horizontal="center" vertical="center"/>
    </xf>
    <xf numFmtId="167" fontId="13" fillId="7" borderId="19" xfId="1" applyNumberFormat="1" applyFont="1" applyFill="1" applyBorder="1" applyAlignment="1">
      <alignment horizontal="center" vertical="center"/>
    </xf>
    <xf numFmtId="167" fontId="13" fillId="7" borderId="22" xfId="1" applyNumberFormat="1" applyFont="1" applyFill="1" applyBorder="1" applyAlignment="1">
      <alignment horizontal="center" vertical="center"/>
    </xf>
    <xf numFmtId="167" fontId="13" fillId="0" borderId="19" xfId="1" applyNumberFormat="1" applyFont="1" applyBorder="1" applyAlignment="1">
      <alignment horizontal="center" vertical="center"/>
    </xf>
    <xf numFmtId="164" fontId="17" fillId="0" borderId="17" xfId="1" applyFont="1" applyBorder="1" applyAlignment="1">
      <alignment horizontal="left" vertical="top" wrapText="1"/>
    </xf>
    <xf numFmtId="164" fontId="17" fillId="0" borderId="21" xfId="1" applyFont="1" applyBorder="1" applyAlignment="1">
      <alignment horizontal="left" vertical="top" wrapText="1"/>
    </xf>
    <xf numFmtId="166" fontId="17" fillId="12" borderId="47" xfId="1" applyNumberFormat="1" applyFont="1" applyFill="1" applyBorder="1" applyAlignment="1">
      <alignment horizontal="center" vertical="center"/>
    </xf>
    <xf numFmtId="166" fontId="17" fillId="12" borderId="48" xfId="1" applyNumberFormat="1" applyFont="1" applyFill="1" applyBorder="1" applyAlignment="1">
      <alignment horizontal="center" vertical="center"/>
    </xf>
    <xf numFmtId="168" fontId="25" fillId="8" borderId="20" xfId="1" applyNumberFormat="1" applyFont="1" applyFill="1" applyBorder="1" applyAlignment="1">
      <alignment horizontal="center" vertical="center" wrapText="1"/>
    </xf>
    <xf numFmtId="168" fontId="25" fillId="8" borderId="2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32" fillId="14" borderId="0" xfId="1" applyFont="1" applyFill="1" applyAlignment="1">
      <alignment horizontal="center"/>
    </xf>
  </cellXfs>
  <cellStyles count="3">
    <cellStyle name="Comma 2" xfId="2" xr:uid="{BF4553A0-EC7F-4234-94F3-921D1B5C4024}"/>
    <cellStyle name="Normal" xfId="0" builtinId="0"/>
    <cellStyle name="Normal 2" xfId="1" xr:uid="{64DD5888-3AFC-4684-BB7D-F5B163922ED4}"/>
  </cellStyles>
  <dxfs count="4201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8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93-4F3A-A5BF-47FBF5B056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93-4F3A-A5BF-47FBF5B056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93-4F3A-A5BF-47FBF5B056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93-4F3A-A5BF-47FBF5B056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93-4F3A-A5BF-47FBF5B0567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793-4F3A-A5BF-47FBF5B056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'01'!$AM$16:$BJ$16</c:f>
              <c:numCache>
                <c:formatCode>General</c:formatCode>
                <c:ptCount val="24"/>
                <c:pt idx="0">
                  <c:v>847.8</c:v>
                </c:pt>
                <c:pt idx="1">
                  <c:v>847.8</c:v>
                </c:pt>
                <c:pt idx="2">
                  <c:v>847.8</c:v>
                </c:pt>
                <c:pt idx="3">
                  <c:v>802.8</c:v>
                </c:pt>
                <c:pt idx="4">
                  <c:v>847.8</c:v>
                </c:pt>
                <c:pt idx="5">
                  <c:v>847.8</c:v>
                </c:pt>
                <c:pt idx="6">
                  <c:v>834.5</c:v>
                </c:pt>
                <c:pt idx="7">
                  <c:v>834.5</c:v>
                </c:pt>
                <c:pt idx="8">
                  <c:v>834.5</c:v>
                </c:pt>
                <c:pt idx="9">
                  <c:v>834.5</c:v>
                </c:pt>
                <c:pt idx="10">
                  <c:v>834.5</c:v>
                </c:pt>
                <c:pt idx="11">
                  <c:v>834.5</c:v>
                </c:pt>
                <c:pt idx="12">
                  <c:v>842.80000000000007</c:v>
                </c:pt>
                <c:pt idx="13">
                  <c:v>842.80000000000007</c:v>
                </c:pt>
                <c:pt idx="14">
                  <c:v>842.80000000000007</c:v>
                </c:pt>
                <c:pt idx="15">
                  <c:v>842.80000000000007</c:v>
                </c:pt>
                <c:pt idx="16">
                  <c:v>842.80000000000007</c:v>
                </c:pt>
                <c:pt idx="17">
                  <c:v>842.80000000000007</c:v>
                </c:pt>
                <c:pt idx="18" formatCode="0.0">
                  <c:v>842.80000000000007</c:v>
                </c:pt>
                <c:pt idx="19" formatCode="0.0">
                  <c:v>862.80000000000007</c:v>
                </c:pt>
                <c:pt idx="20" formatCode="0.0">
                  <c:v>932.00000000000011</c:v>
                </c:pt>
                <c:pt idx="21" formatCode="0.0">
                  <c:v>932.00000000000011</c:v>
                </c:pt>
                <c:pt idx="22" formatCode="0.0">
                  <c:v>932.00000000000011</c:v>
                </c:pt>
                <c:pt idx="23" formatCode="0.0">
                  <c:v>932.00000000000011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5-4C39-8E8E-F5FF8FE9243E}"/>
            </c:ext>
          </c:extLst>
        </c:ser>
        <c:ser>
          <c:idx val="2"/>
          <c:order val="1"/>
          <c:tx>
            <c:strRef>
              <c:f>'01'!$AL$17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'01'!$AM$17:$BJ$17</c:f>
              <c:numCache>
                <c:formatCode>General</c:formatCode>
                <c:ptCount val="24"/>
                <c:pt idx="0">
                  <c:v>512.6</c:v>
                </c:pt>
                <c:pt idx="1">
                  <c:v>512.6</c:v>
                </c:pt>
                <c:pt idx="2">
                  <c:v>512.6</c:v>
                </c:pt>
                <c:pt idx="3">
                  <c:v>512.6</c:v>
                </c:pt>
                <c:pt idx="4">
                  <c:v>512.6</c:v>
                </c:pt>
                <c:pt idx="5">
                  <c:v>512.6</c:v>
                </c:pt>
                <c:pt idx="6">
                  <c:v>512.6</c:v>
                </c:pt>
                <c:pt idx="7">
                  <c:v>512.6</c:v>
                </c:pt>
                <c:pt idx="8">
                  <c:v>512.6</c:v>
                </c:pt>
                <c:pt idx="9">
                  <c:v>512.6</c:v>
                </c:pt>
                <c:pt idx="10">
                  <c:v>512.6</c:v>
                </c:pt>
                <c:pt idx="11">
                  <c:v>512.6</c:v>
                </c:pt>
                <c:pt idx="12">
                  <c:v>512.6</c:v>
                </c:pt>
                <c:pt idx="13">
                  <c:v>512.6</c:v>
                </c:pt>
                <c:pt idx="14">
                  <c:v>512.6</c:v>
                </c:pt>
                <c:pt idx="15">
                  <c:v>512.6</c:v>
                </c:pt>
                <c:pt idx="16">
                  <c:v>512.6</c:v>
                </c:pt>
                <c:pt idx="17">
                  <c:v>512.6</c:v>
                </c:pt>
                <c:pt idx="18" formatCode="0.0">
                  <c:v>512.6</c:v>
                </c:pt>
                <c:pt idx="19" formatCode="0.0">
                  <c:v>512.6</c:v>
                </c:pt>
                <c:pt idx="20" formatCode="0.0">
                  <c:v>512.20000000000005</c:v>
                </c:pt>
                <c:pt idx="21" formatCode="0.0">
                  <c:v>512.6</c:v>
                </c:pt>
                <c:pt idx="22" formatCode="0.0">
                  <c:v>512.6</c:v>
                </c:pt>
                <c:pt idx="23" formatCode="0.0">
                  <c:v>512.6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5-4C39-8E8E-F5FF8FE9243E}"/>
            </c:ext>
          </c:extLst>
        </c:ser>
        <c:ser>
          <c:idx val="3"/>
          <c:order val="2"/>
          <c:tx>
            <c:strRef>
              <c:f>'01'!$AL$18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'01'!$AM$18:$BJ$18</c:f>
              <c:numCache>
                <c:formatCode>General</c:formatCode>
                <c:ptCount val="24"/>
                <c:pt idx="0">
                  <c:v>404.64</c:v>
                </c:pt>
                <c:pt idx="1">
                  <c:v>404.64</c:v>
                </c:pt>
                <c:pt idx="2">
                  <c:v>404.64</c:v>
                </c:pt>
                <c:pt idx="3">
                  <c:v>404.64</c:v>
                </c:pt>
                <c:pt idx="4">
                  <c:v>400.24</c:v>
                </c:pt>
                <c:pt idx="5">
                  <c:v>400.24</c:v>
                </c:pt>
                <c:pt idx="6">
                  <c:v>400.24</c:v>
                </c:pt>
                <c:pt idx="7">
                  <c:v>401.44</c:v>
                </c:pt>
                <c:pt idx="8">
                  <c:v>401.44</c:v>
                </c:pt>
                <c:pt idx="9">
                  <c:v>401.44</c:v>
                </c:pt>
                <c:pt idx="10">
                  <c:v>419.44</c:v>
                </c:pt>
                <c:pt idx="11">
                  <c:v>419.44</c:v>
                </c:pt>
                <c:pt idx="12">
                  <c:v>419.44</c:v>
                </c:pt>
                <c:pt idx="13">
                  <c:v>419.44</c:v>
                </c:pt>
                <c:pt idx="14">
                  <c:v>413.24</c:v>
                </c:pt>
                <c:pt idx="15">
                  <c:v>409.94</c:v>
                </c:pt>
                <c:pt idx="16">
                  <c:v>407.14000000000004</c:v>
                </c:pt>
                <c:pt idx="17">
                  <c:v>406.14000000000004</c:v>
                </c:pt>
                <c:pt idx="18" formatCode="0.0">
                  <c:v>417.64</c:v>
                </c:pt>
                <c:pt idx="19" formatCode="0.0">
                  <c:v>400.34000000000003</c:v>
                </c:pt>
                <c:pt idx="20" formatCode="0.0">
                  <c:v>412.34000000000003</c:v>
                </c:pt>
                <c:pt idx="21" formatCode="0.0">
                  <c:v>400.84000000000003</c:v>
                </c:pt>
                <c:pt idx="22" formatCode="0.0">
                  <c:v>400.84000000000003</c:v>
                </c:pt>
                <c:pt idx="23" formatCode="0.0">
                  <c:v>400.84000000000003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5-4C39-8E8E-F5FF8FE9243E}"/>
            </c:ext>
          </c:extLst>
        </c:ser>
        <c:ser>
          <c:idx val="0"/>
          <c:order val="3"/>
          <c:tx>
            <c:strRef>
              <c:f>'01'!$AL$19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'01'!$AM$19:$BJ$19</c:f>
              <c:numCache>
                <c:formatCode>General</c:formatCode>
                <c:ptCount val="24"/>
                <c:pt idx="0">
                  <c:v>28</c:v>
                </c:pt>
                <c:pt idx="1">
                  <c:v>28</c:v>
                </c:pt>
                <c:pt idx="2">
                  <c:v>27</c:v>
                </c:pt>
                <c:pt idx="3">
                  <c:v>28</c:v>
                </c:pt>
                <c:pt idx="4">
                  <c:v>20.9</c:v>
                </c:pt>
                <c:pt idx="5">
                  <c:v>16.3</c:v>
                </c:pt>
                <c:pt idx="6">
                  <c:v>39</c:v>
                </c:pt>
                <c:pt idx="7">
                  <c:v>141</c:v>
                </c:pt>
                <c:pt idx="8">
                  <c:v>197.9</c:v>
                </c:pt>
                <c:pt idx="9">
                  <c:v>202</c:v>
                </c:pt>
                <c:pt idx="10">
                  <c:v>221.3</c:v>
                </c:pt>
                <c:pt idx="11">
                  <c:v>212</c:v>
                </c:pt>
                <c:pt idx="12">
                  <c:v>219.2</c:v>
                </c:pt>
                <c:pt idx="13">
                  <c:v>237</c:v>
                </c:pt>
                <c:pt idx="14">
                  <c:v>243.7</c:v>
                </c:pt>
                <c:pt idx="15">
                  <c:v>225.1</c:v>
                </c:pt>
                <c:pt idx="16">
                  <c:v>233.1</c:v>
                </c:pt>
                <c:pt idx="17">
                  <c:v>234.2</c:v>
                </c:pt>
                <c:pt idx="18" formatCode="0.0">
                  <c:v>176.6</c:v>
                </c:pt>
                <c:pt idx="19" formatCode="0.0">
                  <c:v>20.7</c:v>
                </c:pt>
                <c:pt idx="20" formatCode="0.0">
                  <c:v>2.9</c:v>
                </c:pt>
                <c:pt idx="21" formatCode="0.0">
                  <c:v>26.8</c:v>
                </c:pt>
                <c:pt idx="22" formatCode="0.0">
                  <c:v>28.4</c:v>
                </c:pt>
                <c:pt idx="23" formatCode="0.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85-4C39-8E8E-F5FF8FE9243E}"/>
            </c:ext>
          </c:extLst>
        </c:ser>
        <c:ser>
          <c:idx val="4"/>
          <c:order val="4"/>
          <c:tx>
            <c:strRef>
              <c:f>'01'!$AL$20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36.4</c:v>
                </c:pt>
                <c:pt idx="15">
                  <c:v>17.900000000000002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49</c:v>
                </c:pt>
                <c:pt idx="21" formatCode="0.0">
                  <c:v>50.5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85-4C39-8E8E-F5FF8FE9243E}"/>
            </c:ext>
          </c:extLst>
        </c:ser>
        <c:ser>
          <c:idx val="5"/>
          <c:order val="5"/>
          <c:tx>
            <c:strRef>
              <c:f>'01'!$AL$21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125</c:v>
                </c:pt>
                <c:pt idx="21" formatCode="0.0">
                  <c:v>125</c:v>
                </c:pt>
                <c:pt idx="22" formatCode="0.0">
                  <c:v>100</c:v>
                </c:pt>
                <c:pt idx="23" formatCode="0.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85-4C39-8E8E-F5FF8FE9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'01'!$AM$23:$BJ$23</c:f>
              <c:numCache>
                <c:formatCode>General</c:formatCode>
                <c:ptCount val="24"/>
                <c:pt idx="0">
                  <c:v>-251</c:v>
                </c:pt>
                <c:pt idx="1">
                  <c:v>-240</c:v>
                </c:pt>
                <c:pt idx="2">
                  <c:v>-286</c:v>
                </c:pt>
                <c:pt idx="3">
                  <c:v>-318</c:v>
                </c:pt>
                <c:pt idx="4">
                  <c:v>-360</c:v>
                </c:pt>
                <c:pt idx="5">
                  <c:v>-420</c:v>
                </c:pt>
                <c:pt idx="6">
                  <c:v>-350</c:v>
                </c:pt>
                <c:pt idx="7">
                  <c:v>-390</c:v>
                </c:pt>
                <c:pt idx="8">
                  <c:v>-360</c:v>
                </c:pt>
                <c:pt idx="9">
                  <c:v>-340</c:v>
                </c:pt>
                <c:pt idx="10">
                  <c:v>-340</c:v>
                </c:pt>
                <c:pt idx="11">
                  <c:v>-325</c:v>
                </c:pt>
                <c:pt idx="12">
                  <c:v>-340</c:v>
                </c:pt>
                <c:pt idx="13">
                  <c:v>-344</c:v>
                </c:pt>
                <c:pt idx="14">
                  <c:v>-216.3</c:v>
                </c:pt>
                <c:pt idx="15">
                  <c:v>-314.8</c:v>
                </c:pt>
                <c:pt idx="16">
                  <c:v>-297.10000000000002</c:v>
                </c:pt>
                <c:pt idx="17">
                  <c:v>-266.7</c:v>
                </c:pt>
                <c:pt idx="18">
                  <c:v>-393.1</c:v>
                </c:pt>
                <c:pt idx="19">
                  <c:v>-166.1</c:v>
                </c:pt>
                <c:pt idx="20">
                  <c:v>-197</c:v>
                </c:pt>
                <c:pt idx="21">
                  <c:v>-172.1</c:v>
                </c:pt>
                <c:pt idx="22">
                  <c:v>-204.1</c:v>
                </c:pt>
                <c:pt idx="23">
                  <c:v>-245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85-4C39-8E8E-F5FF8FE9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'01'!$AM$22:$BJ$22</c:f>
              <c:numCache>
                <c:formatCode>General</c:formatCode>
                <c:ptCount val="24"/>
                <c:pt idx="0">
                  <c:v>1943.04</c:v>
                </c:pt>
                <c:pt idx="1">
                  <c:v>1943.04</c:v>
                </c:pt>
                <c:pt idx="2">
                  <c:v>1942.04</c:v>
                </c:pt>
                <c:pt idx="3">
                  <c:v>1898.04</c:v>
                </c:pt>
                <c:pt idx="4">
                  <c:v>1931.5400000000002</c:v>
                </c:pt>
                <c:pt idx="5">
                  <c:v>1876.94</c:v>
                </c:pt>
                <c:pt idx="6">
                  <c:v>1886.34</c:v>
                </c:pt>
                <c:pt idx="7">
                  <c:v>1889.54</c:v>
                </c:pt>
                <c:pt idx="8">
                  <c:v>1946.44</c:v>
                </c:pt>
                <c:pt idx="9">
                  <c:v>1950.54</c:v>
                </c:pt>
                <c:pt idx="10">
                  <c:v>1987.84</c:v>
                </c:pt>
                <c:pt idx="11">
                  <c:v>1978.54</c:v>
                </c:pt>
                <c:pt idx="12">
                  <c:v>1994.0400000000002</c:v>
                </c:pt>
                <c:pt idx="13">
                  <c:v>2011.8400000000001</c:v>
                </c:pt>
                <c:pt idx="14">
                  <c:v>2048.7400000000002</c:v>
                </c:pt>
                <c:pt idx="15">
                  <c:v>2008.3400000000001</c:v>
                </c:pt>
                <c:pt idx="16">
                  <c:v>1995.64</c:v>
                </c:pt>
                <c:pt idx="17">
                  <c:v>1995.7400000000002</c:v>
                </c:pt>
                <c:pt idx="18">
                  <c:v>1949.6399999999999</c:v>
                </c:pt>
                <c:pt idx="19">
                  <c:v>1796.4400000000003</c:v>
                </c:pt>
                <c:pt idx="20">
                  <c:v>2033.4400000000005</c:v>
                </c:pt>
                <c:pt idx="21">
                  <c:v>2047.74</c:v>
                </c:pt>
                <c:pt idx="22">
                  <c:v>1973.8400000000001</c:v>
                </c:pt>
                <c:pt idx="23">
                  <c:v>1965.44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C85-4C39-8E8E-F5FF8FE9243E}"/>
            </c:ext>
          </c:extLst>
        </c:ser>
        <c:ser>
          <c:idx val="8"/>
          <c:order val="8"/>
          <c:tx>
            <c:strRef>
              <c:f>'01'!$AL$24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'01'!$AM$24:$BJ$24</c:f>
              <c:numCache>
                <c:formatCode>General</c:formatCode>
                <c:ptCount val="24"/>
                <c:pt idx="0">
                  <c:v>1692.04</c:v>
                </c:pt>
                <c:pt idx="1">
                  <c:v>1703.04</c:v>
                </c:pt>
                <c:pt idx="2">
                  <c:v>1656.04</c:v>
                </c:pt>
                <c:pt idx="3">
                  <c:v>1580.04</c:v>
                </c:pt>
                <c:pt idx="4">
                  <c:v>1571.5400000000002</c:v>
                </c:pt>
                <c:pt idx="5">
                  <c:v>1456.94</c:v>
                </c:pt>
                <c:pt idx="6">
                  <c:v>1536.34</c:v>
                </c:pt>
                <c:pt idx="7">
                  <c:v>1499.54</c:v>
                </c:pt>
                <c:pt idx="8">
                  <c:v>1586.44</c:v>
                </c:pt>
                <c:pt idx="9">
                  <c:v>1610.54</c:v>
                </c:pt>
                <c:pt idx="10">
                  <c:v>1647.84</c:v>
                </c:pt>
                <c:pt idx="11">
                  <c:v>1653.54</c:v>
                </c:pt>
                <c:pt idx="12">
                  <c:v>1654.0400000000002</c:v>
                </c:pt>
                <c:pt idx="13">
                  <c:v>1667.8400000000001</c:v>
                </c:pt>
                <c:pt idx="14">
                  <c:v>1832.4400000000003</c:v>
                </c:pt>
                <c:pt idx="15">
                  <c:v>1693.5400000000002</c:v>
                </c:pt>
                <c:pt idx="16">
                  <c:v>1698.54</c:v>
                </c:pt>
                <c:pt idx="17">
                  <c:v>1729.0400000000002</c:v>
                </c:pt>
                <c:pt idx="18">
                  <c:v>1556.54</c:v>
                </c:pt>
                <c:pt idx="19">
                  <c:v>1630.3400000000004</c:v>
                </c:pt>
                <c:pt idx="20">
                  <c:v>1836.4400000000005</c:v>
                </c:pt>
                <c:pt idx="21">
                  <c:v>1875.64</c:v>
                </c:pt>
                <c:pt idx="22">
                  <c:v>1769.7400000000002</c:v>
                </c:pt>
                <c:pt idx="23">
                  <c:v>1720.44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85-4C39-8E8E-F5FF8FE9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2B-4B6F-9D03-AEBE400D77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2B-4B6F-9D03-AEBE400D77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2B-4B6F-9D03-AEBE400D77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2B-4B6F-9D03-AEBE400D77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2B-4B6F-9D03-AEBE400D77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32B-4B6F-9D03-AEBE400D77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'02'!$AM$16:$BJ$16</c:f>
              <c:numCache>
                <c:formatCode>General</c:formatCode>
                <c:ptCount val="24"/>
                <c:pt idx="0">
                  <c:v>883.7</c:v>
                </c:pt>
                <c:pt idx="1">
                  <c:v>858.9</c:v>
                </c:pt>
                <c:pt idx="2">
                  <c:v>858.9</c:v>
                </c:pt>
                <c:pt idx="3">
                  <c:v>856.1</c:v>
                </c:pt>
                <c:pt idx="4">
                  <c:v>856.1</c:v>
                </c:pt>
                <c:pt idx="5">
                  <c:v>926.30000000000007</c:v>
                </c:pt>
                <c:pt idx="6">
                  <c:v>915.2</c:v>
                </c:pt>
                <c:pt idx="7">
                  <c:v>915.2</c:v>
                </c:pt>
                <c:pt idx="8">
                  <c:v>887.9</c:v>
                </c:pt>
                <c:pt idx="9">
                  <c:v>858.9</c:v>
                </c:pt>
                <c:pt idx="10">
                  <c:v>858.9</c:v>
                </c:pt>
                <c:pt idx="11">
                  <c:v>854.1</c:v>
                </c:pt>
                <c:pt idx="12">
                  <c:v>840.4</c:v>
                </c:pt>
                <c:pt idx="13">
                  <c:v>848.9</c:v>
                </c:pt>
                <c:pt idx="14">
                  <c:v>848.9</c:v>
                </c:pt>
                <c:pt idx="15">
                  <c:v>848.9</c:v>
                </c:pt>
                <c:pt idx="16">
                  <c:v>848.9</c:v>
                </c:pt>
                <c:pt idx="17">
                  <c:v>830.8</c:v>
                </c:pt>
                <c:pt idx="18" formatCode="0.0">
                  <c:v>830.8</c:v>
                </c:pt>
                <c:pt idx="19" formatCode="0.0">
                  <c:v>830.8</c:v>
                </c:pt>
                <c:pt idx="20" formatCode="0.0">
                  <c:v>883.0999999999998</c:v>
                </c:pt>
                <c:pt idx="21" formatCode="0.0">
                  <c:v>892.0999999999998</c:v>
                </c:pt>
                <c:pt idx="22" formatCode="0.0">
                  <c:v>888.69999999999982</c:v>
                </c:pt>
                <c:pt idx="23" formatCode="0.0">
                  <c:v>888.29999999999984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2-446C-B338-73359FFF2D5B}"/>
            </c:ext>
          </c:extLst>
        </c:ser>
        <c:ser>
          <c:idx val="2"/>
          <c:order val="1"/>
          <c:tx>
            <c:strRef>
              <c:f>'02'!$AL$17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'02'!$AM$17:$BJ$17</c:f>
              <c:numCache>
                <c:formatCode>General</c:formatCode>
                <c:ptCount val="24"/>
                <c:pt idx="0">
                  <c:v>512.79999999999995</c:v>
                </c:pt>
                <c:pt idx="1">
                  <c:v>512.79999999999995</c:v>
                </c:pt>
                <c:pt idx="2">
                  <c:v>512.79999999999995</c:v>
                </c:pt>
                <c:pt idx="3">
                  <c:v>512.79999999999995</c:v>
                </c:pt>
                <c:pt idx="4">
                  <c:v>512.79999999999995</c:v>
                </c:pt>
                <c:pt idx="5">
                  <c:v>512.79999999999995</c:v>
                </c:pt>
                <c:pt idx="6">
                  <c:v>512.79999999999995</c:v>
                </c:pt>
                <c:pt idx="7">
                  <c:v>512.79999999999995</c:v>
                </c:pt>
                <c:pt idx="8">
                  <c:v>514.70000000000005</c:v>
                </c:pt>
                <c:pt idx="9">
                  <c:v>514.70000000000005</c:v>
                </c:pt>
                <c:pt idx="10">
                  <c:v>514.70000000000005</c:v>
                </c:pt>
                <c:pt idx="11">
                  <c:v>514.70000000000005</c:v>
                </c:pt>
                <c:pt idx="12">
                  <c:v>514.70000000000005</c:v>
                </c:pt>
                <c:pt idx="13">
                  <c:v>514.70000000000005</c:v>
                </c:pt>
                <c:pt idx="14">
                  <c:v>514.70000000000005</c:v>
                </c:pt>
                <c:pt idx="15">
                  <c:v>514.70000000000005</c:v>
                </c:pt>
                <c:pt idx="16">
                  <c:v>507.8</c:v>
                </c:pt>
                <c:pt idx="17">
                  <c:v>507.8</c:v>
                </c:pt>
                <c:pt idx="18" formatCode="0.0">
                  <c:v>507.8</c:v>
                </c:pt>
                <c:pt idx="19" formatCode="0.0">
                  <c:v>507.8</c:v>
                </c:pt>
                <c:pt idx="20" formatCode="0.0">
                  <c:v>507.8</c:v>
                </c:pt>
                <c:pt idx="21" formatCode="0.0">
                  <c:v>520.70000000000005</c:v>
                </c:pt>
                <c:pt idx="22" formatCode="0.0">
                  <c:v>520.70000000000005</c:v>
                </c:pt>
                <c:pt idx="23" formatCode="0.0">
                  <c:v>520.70000000000005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2-446C-B338-73359FFF2D5B}"/>
            </c:ext>
          </c:extLst>
        </c:ser>
        <c:ser>
          <c:idx val="3"/>
          <c:order val="2"/>
          <c:tx>
            <c:strRef>
              <c:f>'02'!$AL$18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'02'!$AM$18:$BJ$18</c:f>
              <c:numCache>
                <c:formatCode>General</c:formatCode>
                <c:ptCount val="24"/>
                <c:pt idx="0">
                  <c:v>391.84</c:v>
                </c:pt>
                <c:pt idx="1">
                  <c:v>418.14000000000004</c:v>
                </c:pt>
                <c:pt idx="2">
                  <c:v>418.14000000000004</c:v>
                </c:pt>
                <c:pt idx="3">
                  <c:v>418.14000000000004</c:v>
                </c:pt>
                <c:pt idx="4">
                  <c:v>422.14000000000004</c:v>
                </c:pt>
                <c:pt idx="5">
                  <c:v>419.14</c:v>
                </c:pt>
                <c:pt idx="6">
                  <c:v>419.14</c:v>
                </c:pt>
                <c:pt idx="7">
                  <c:v>419.14</c:v>
                </c:pt>
                <c:pt idx="8">
                  <c:v>434.23999999999995</c:v>
                </c:pt>
                <c:pt idx="9">
                  <c:v>435.53999999999996</c:v>
                </c:pt>
                <c:pt idx="10">
                  <c:v>438.23999999999995</c:v>
                </c:pt>
                <c:pt idx="11">
                  <c:v>442.14</c:v>
                </c:pt>
                <c:pt idx="12">
                  <c:v>439.93999999999994</c:v>
                </c:pt>
                <c:pt idx="13">
                  <c:v>438.14</c:v>
                </c:pt>
                <c:pt idx="14">
                  <c:v>431.44</c:v>
                </c:pt>
                <c:pt idx="15">
                  <c:v>431.34000000000003</c:v>
                </c:pt>
                <c:pt idx="16">
                  <c:v>434.84</c:v>
                </c:pt>
                <c:pt idx="17">
                  <c:v>403.64</c:v>
                </c:pt>
                <c:pt idx="18" formatCode="0.0">
                  <c:v>402.14</c:v>
                </c:pt>
                <c:pt idx="19" formatCode="0.0">
                  <c:v>417.7</c:v>
                </c:pt>
                <c:pt idx="20" formatCode="0.0">
                  <c:v>428.14</c:v>
                </c:pt>
                <c:pt idx="21" formatCode="0.0">
                  <c:v>424.14</c:v>
                </c:pt>
                <c:pt idx="22" formatCode="0.0">
                  <c:v>424.14</c:v>
                </c:pt>
                <c:pt idx="23" formatCode="0.0">
                  <c:v>424.14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2-446C-B338-73359FFF2D5B}"/>
            </c:ext>
          </c:extLst>
        </c:ser>
        <c:ser>
          <c:idx val="0"/>
          <c:order val="3"/>
          <c:tx>
            <c:strRef>
              <c:f>'02'!$AL$19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'02'!$AM$19:$BJ$19</c:f>
              <c:numCache>
                <c:formatCode>General</c:formatCode>
                <c:ptCount val="24"/>
                <c:pt idx="0">
                  <c:v>19.5</c:v>
                </c:pt>
                <c:pt idx="1">
                  <c:v>23.9</c:v>
                </c:pt>
                <c:pt idx="2">
                  <c:v>23.6</c:v>
                </c:pt>
                <c:pt idx="3">
                  <c:v>18.100000000000001</c:v>
                </c:pt>
                <c:pt idx="4">
                  <c:v>18.100000000000001</c:v>
                </c:pt>
                <c:pt idx="5">
                  <c:v>23.1</c:v>
                </c:pt>
                <c:pt idx="6">
                  <c:v>15</c:v>
                </c:pt>
                <c:pt idx="7">
                  <c:v>58.2</c:v>
                </c:pt>
                <c:pt idx="8">
                  <c:v>42.9</c:v>
                </c:pt>
                <c:pt idx="9">
                  <c:v>48.6</c:v>
                </c:pt>
                <c:pt idx="10">
                  <c:v>55.9</c:v>
                </c:pt>
                <c:pt idx="11">
                  <c:v>64.7</c:v>
                </c:pt>
                <c:pt idx="12">
                  <c:v>70</c:v>
                </c:pt>
                <c:pt idx="13">
                  <c:v>71.5</c:v>
                </c:pt>
                <c:pt idx="14">
                  <c:v>71.900000000000006</c:v>
                </c:pt>
                <c:pt idx="15">
                  <c:v>68.400000000000006</c:v>
                </c:pt>
                <c:pt idx="16">
                  <c:v>72.8</c:v>
                </c:pt>
                <c:pt idx="17">
                  <c:v>54.6</c:v>
                </c:pt>
                <c:pt idx="18" formatCode="0.0">
                  <c:v>47.5</c:v>
                </c:pt>
                <c:pt idx="19" formatCode="0.0">
                  <c:v>11.8</c:v>
                </c:pt>
                <c:pt idx="20" formatCode="0.0">
                  <c:v>22.5</c:v>
                </c:pt>
                <c:pt idx="21" formatCode="0.0">
                  <c:v>21.1</c:v>
                </c:pt>
                <c:pt idx="22" formatCode="0.0">
                  <c:v>24.1</c:v>
                </c:pt>
                <c:pt idx="23" formatCode="0.0">
                  <c:v>20.100000000000001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72-446C-B338-73359FFF2D5B}"/>
            </c:ext>
          </c:extLst>
        </c:ser>
        <c:ser>
          <c:idx val="4"/>
          <c:order val="4"/>
          <c:tx>
            <c:strRef>
              <c:f>'02'!$AL$20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'02'!$AM$20:$BJ$20</c:f>
              <c:numCache>
                <c:formatCode>General</c:formatCode>
                <c:ptCount val="24"/>
                <c:pt idx="0">
                  <c:v>12.5</c:v>
                </c:pt>
                <c:pt idx="1">
                  <c:v>19.399999999999999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21.599999999999998</c:v>
                </c:pt>
                <c:pt idx="9">
                  <c:v>49.7</c:v>
                </c:pt>
                <c:pt idx="10">
                  <c:v>49.1</c:v>
                </c:pt>
                <c:pt idx="11">
                  <c:v>51.1</c:v>
                </c:pt>
                <c:pt idx="12">
                  <c:v>51.1</c:v>
                </c:pt>
                <c:pt idx="13">
                  <c:v>32.9</c:v>
                </c:pt>
                <c:pt idx="14">
                  <c:v>33.700000000000003</c:v>
                </c:pt>
                <c:pt idx="15">
                  <c:v>33.700000000000003</c:v>
                </c:pt>
                <c:pt idx="16">
                  <c:v>32.699999999999996</c:v>
                </c:pt>
                <c:pt idx="17">
                  <c:v>17.399999999999999</c:v>
                </c:pt>
                <c:pt idx="18" formatCode="0.0">
                  <c:v>0</c:v>
                </c:pt>
                <c:pt idx="19" formatCode="0.0">
                  <c:v>19.600000000000001</c:v>
                </c:pt>
                <c:pt idx="20" formatCode="0.0">
                  <c:v>32.1</c:v>
                </c:pt>
                <c:pt idx="21" formatCode="0.0">
                  <c:v>15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72-446C-B338-73359FFF2D5B}"/>
            </c:ext>
          </c:extLst>
        </c:ser>
        <c:ser>
          <c:idx val="5"/>
          <c:order val="5"/>
          <c:tx>
            <c:strRef>
              <c:f>'02'!$AL$21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100</c:v>
                </c:pt>
                <c:pt idx="8">
                  <c:v>100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72-446C-B338-73359FFF2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'02'!$AM$23:$BJ$23</c:f>
              <c:numCache>
                <c:formatCode>General</c:formatCode>
                <c:ptCount val="24"/>
                <c:pt idx="0">
                  <c:v>-255.4</c:v>
                </c:pt>
                <c:pt idx="1">
                  <c:v>-298.3</c:v>
                </c:pt>
                <c:pt idx="2">
                  <c:v>-364</c:v>
                </c:pt>
                <c:pt idx="3">
                  <c:v>-470</c:v>
                </c:pt>
                <c:pt idx="4">
                  <c:v>-470</c:v>
                </c:pt>
                <c:pt idx="5">
                  <c:v>-422</c:v>
                </c:pt>
                <c:pt idx="6">
                  <c:v>-440</c:v>
                </c:pt>
                <c:pt idx="7">
                  <c:v>-362</c:v>
                </c:pt>
                <c:pt idx="8">
                  <c:v>-302</c:v>
                </c:pt>
                <c:pt idx="9">
                  <c:v>-228.3</c:v>
                </c:pt>
                <c:pt idx="10">
                  <c:v>-218.9</c:v>
                </c:pt>
                <c:pt idx="11">
                  <c:v>-162.9</c:v>
                </c:pt>
                <c:pt idx="12">
                  <c:v>-154</c:v>
                </c:pt>
                <c:pt idx="13">
                  <c:v>-200</c:v>
                </c:pt>
                <c:pt idx="14">
                  <c:v>-122</c:v>
                </c:pt>
                <c:pt idx="15">
                  <c:v>-180</c:v>
                </c:pt>
                <c:pt idx="16">
                  <c:v>-158.4</c:v>
                </c:pt>
                <c:pt idx="17">
                  <c:v>-248</c:v>
                </c:pt>
                <c:pt idx="18">
                  <c:v>-321</c:v>
                </c:pt>
                <c:pt idx="19">
                  <c:v>-224</c:v>
                </c:pt>
                <c:pt idx="20">
                  <c:v>-149.19999999999999</c:v>
                </c:pt>
                <c:pt idx="21">
                  <c:v>-164</c:v>
                </c:pt>
                <c:pt idx="22">
                  <c:v>-162</c:v>
                </c:pt>
                <c:pt idx="23">
                  <c:v>-194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72-446C-B338-73359FFF2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'02'!$AM$22:$BJ$22</c:f>
              <c:numCache>
                <c:formatCode>General</c:formatCode>
                <c:ptCount val="24"/>
                <c:pt idx="0">
                  <c:v>2070.34</c:v>
                </c:pt>
                <c:pt idx="1">
                  <c:v>2083.1400000000003</c:v>
                </c:pt>
                <c:pt idx="2">
                  <c:v>2063.4399999999996</c:v>
                </c:pt>
                <c:pt idx="3">
                  <c:v>2055.1400000000003</c:v>
                </c:pt>
                <c:pt idx="4">
                  <c:v>2059.1400000000003</c:v>
                </c:pt>
                <c:pt idx="5">
                  <c:v>2131.3399999999997</c:v>
                </c:pt>
                <c:pt idx="6">
                  <c:v>2112.14</c:v>
                </c:pt>
                <c:pt idx="7">
                  <c:v>2005.34</c:v>
                </c:pt>
                <c:pt idx="8">
                  <c:v>2001.34</c:v>
                </c:pt>
                <c:pt idx="9">
                  <c:v>2057.4399999999996</c:v>
                </c:pt>
                <c:pt idx="10">
                  <c:v>2066.84</c:v>
                </c:pt>
                <c:pt idx="11">
                  <c:v>2076.7399999999998</c:v>
                </c:pt>
                <c:pt idx="12">
                  <c:v>2066.14</c:v>
                </c:pt>
                <c:pt idx="13">
                  <c:v>2056.14</c:v>
                </c:pt>
                <c:pt idx="14">
                  <c:v>2050.6400000000003</c:v>
                </c:pt>
                <c:pt idx="15">
                  <c:v>2047.0400000000002</c:v>
                </c:pt>
                <c:pt idx="16">
                  <c:v>2047.04</c:v>
                </c:pt>
                <c:pt idx="17">
                  <c:v>1964.2399999999998</c:v>
                </c:pt>
                <c:pt idx="18">
                  <c:v>1938.2399999999998</c:v>
                </c:pt>
                <c:pt idx="19">
                  <c:v>1937.6999999999998</c:v>
                </c:pt>
                <c:pt idx="20">
                  <c:v>1873.6399999999999</c:v>
                </c:pt>
                <c:pt idx="21">
                  <c:v>1873.0399999999995</c:v>
                </c:pt>
                <c:pt idx="22">
                  <c:v>1857.6399999999999</c:v>
                </c:pt>
                <c:pt idx="23">
                  <c:v>1853.2399999999998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A72-446C-B338-73359FFF2D5B}"/>
            </c:ext>
          </c:extLst>
        </c:ser>
        <c:ser>
          <c:idx val="8"/>
          <c:order val="8"/>
          <c:tx>
            <c:strRef>
              <c:f>'02'!$AL$24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'02'!$AM$24:$BJ$24</c:f>
              <c:numCache>
                <c:formatCode>General</c:formatCode>
                <c:ptCount val="24"/>
                <c:pt idx="0">
                  <c:v>1814.94</c:v>
                </c:pt>
                <c:pt idx="1">
                  <c:v>1784.8400000000004</c:v>
                </c:pt>
                <c:pt idx="2">
                  <c:v>1699.4399999999996</c:v>
                </c:pt>
                <c:pt idx="3">
                  <c:v>1585.1400000000003</c:v>
                </c:pt>
                <c:pt idx="4">
                  <c:v>1589.1400000000003</c:v>
                </c:pt>
                <c:pt idx="5">
                  <c:v>1709.3399999999997</c:v>
                </c:pt>
                <c:pt idx="6">
                  <c:v>1672.1399999999999</c:v>
                </c:pt>
                <c:pt idx="7">
                  <c:v>1643.34</c:v>
                </c:pt>
                <c:pt idx="8">
                  <c:v>1699.34</c:v>
                </c:pt>
                <c:pt idx="9">
                  <c:v>1829.1399999999996</c:v>
                </c:pt>
                <c:pt idx="10">
                  <c:v>1847.94</c:v>
                </c:pt>
                <c:pt idx="11">
                  <c:v>1913.8399999999997</c:v>
                </c:pt>
                <c:pt idx="12">
                  <c:v>1912.1399999999999</c:v>
                </c:pt>
                <c:pt idx="13">
                  <c:v>1856.1399999999999</c:v>
                </c:pt>
                <c:pt idx="14">
                  <c:v>1928.6400000000003</c:v>
                </c:pt>
                <c:pt idx="15">
                  <c:v>1867.0400000000002</c:v>
                </c:pt>
                <c:pt idx="16">
                  <c:v>1888.6399999999999</c:v>
                </c:pt>
                <c:pt idx="17">
                  <c:v>1716.2399999999998</c:v>
                </c:pt>
                <c:pt idx="18">
                  <c:v>1617.2399999999998</c:v>
                </c:pt>
                <c:pt idx="19">
                  <c:v>1713.6999999999998</c:v>
                </c:pt>
                <c:pt idx="20">
                  <c:v>1724.4399999999998</c:v>
                </c:pt>
                <c:pt idx="21">
                  <c:v>1709.0399999999995</c:v>
                </c:pt>
                <c:pt idx="22">
                  <c:v>1695.6399999999999</c:v>
                </c:pt>
                <c:pt idx="23">
                  <c:v>1659.2399999999998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72-446C-B338-73359FFF2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CC-491F-AB61-B0456CFAB7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CC-491F-AB61-B0456CFAB7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CC-491F-AB61-B0456CFAB7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CC-491F-AB61-B0456CFAB7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CC-491F-AB61-B0456CFAB73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4CC-491F-AB61-B0456CFAB7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'03'!$AM$16:$BJ$16</c:f>
              <c:numCache>
                <c:formatCode>General</c:formatCode>
                <c:ptCount val="24"/>
                <c:pt idx="0">
                  <c:v>887.99999999999977</c:v>
                </c:pt>
                <c:pt idx="1">
                  <c:v>885.49999999999977</c:v>
                </c:pt>
                <c:pt idx="2">
                  <c:v>885.49999999999977</c:v>
                </c:pt>
                <c:pt idx="3">
                  <c:v>889.90000000000009</c:v>
                </c:pt>
                <c:pt idx="4">
                  <c:v>882.30000000000007</c:v>
                </c:pt>
                <c:pt idx="5">
                  <c:v>885.30000000000007</c:v>
                </c:pt>
                <c:pt idx="6">
                  <c:v>647.9</c:v>
                </c:pt>
                <c:pt idx="7">
                  <c:v>883.60000000000014</c:v>
                </c:pt>
                <c:pt idx="8">
                  <c:v>940.3</c:v>
                </c:pt>
                <c:pt idx="9">
                  <c:v>927.1</c:v>
                </c:pt>
                <c:pt idx="10">
                  <c:v>900.5</c:v>
                </c:pt>
                <c:pt idx="11">
                  <c:v>900.5</c:v>
                </c:pt>
                <c:pt idx="12">
                  <c:v>900.5</c:v>
                </c:pt>
                <c:pt idx="13">
                  <c:v>855.39999999999986</c:v>
                </c:pt>
                <c:pt idx="14">
                  <c:v>859.19999999999982</c:v>
                </c:pt>
                <c:pt idx="15">
                  <c:v>881.59999999999991</c:v>
                </c:pt>
                <c:pt idx="16">
                  <c:v>876.89999999999986</c:v>
                </c:pt>
                <c:pt idx="17">
                  <c:v>883.19999999999982</c:v>
                </c:pt>
                <c:pt idx="18" formatCode="0.0">
                  <c:v>881.89999999999986</c:v>
                </c:pt>
                <c:pt idx="19" formatCode="0.0">
                  <c:v>867.5999999999998</c:v>
                </c:pt>
                <c:pt idx="20" formatCode="0.0">
                  <c:v>884.1999999999997</c:v>
                </c:pt>
                <c:pt idx="21" formatCode="0.0">
                  <c:v>884.1999999999997</c:v>
                </c:pt>
                <c:pt idx="22" formatCode="0.0">
                  <c:v>884.1999999999997</c:v>
                </c:pt>
                <c:pt idx="23" formatCode="0.0">
                  <c:v>884.1999999999997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F-402C-93A9-068BF390B09A}"/>
            </c:ext>
          </c:extLst>
        </c:ser>
        <c:ser>
          <c:idx val="2"/>
          <c:order val="1"/>
          <c:tx>
            <c:strRef>
              <c:f>'03'!$AL$17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'03'!$AM$17:$BJ$17</c:f>
              <c:numCache>
                <c:formatCode>General</c:formatCode>
                <c:ptCount val="24"/>
                <c:pt idx="0">
                  <c:v>520.70000000000005</c:v>
                </c:pt>
                <c:pt idx="1">
                  <c:v>520.70000000000005</c:v>
                </c:pt>
                <c:pt idx="2">
                  <c:v>498.2</c:v>
                </c:pt>
                <c:pt idx="3">
                  <c:v>510</c:v>
                </c:pt>
                <c:pt idx="4">
                  <c:v>510</c:v>
                </c:pt>
                <c:pt idx="5">
                  <c:v>532.5</c:v>
                </c:pt>
                <c:pt idx="6">
                  <c:v>50</c:v>
                </c:pt>
                <c:pt idx="7">
                  <c:v>521.4</c:v>
                </c:pt>
                <c:pt idx="8">
                  <c:v>522.20000000000005</c:v>
                </c:pt>
                <c:pt idx="9">
                  <c:v>62.9</c:v>
                </c:pt>
                <c:pt idx="10">
                  <c:v>452.5</c:v>
                </c:pt>
                <c:pt idx="11">
                  <c:v>454.40000000000003</c:v>
                </c:pt>
                <c:pt idx="12">
                  <c:v>533.29999999999995</c:v>
                </c:pt>
                <c:pt idx="13">
                  <c:v>533.20000000000005</c:v>
                </c:pt>
                <c:pt idx="14">
                  <c:v>533.4</c:v>
                </c:pt>
                <c:pt idx="15">
                  <c:v>533.4</c:v>
                </c:pt>
                <c:pt idx="16">
                  <c:v>532.79999999999995</c:v>
                </c:pt>
                <c:pt idx="17">
                  <c:v>532.79999999999995</c:v>
                </c:pt>
                <c:pt idx="18" formatCode="0.0">
                  <c:v>533</c:v>
                </c:pt>
                <c:pt idx="19" formatCode="0.0">
                  <c:v>532.79999999999995</c:v>
                </c:pt>
                <c:pt idx="20" formatCode="0.0">
                  <c:v>517.79999999999995</c:v>
                </c:pt>
                <c:pt idx="21" formatCode="0.0">
                  <c:v>517.79999999999995</c:v>
                </c:pt>
                <c:pt idx="22" formatCode="0.0">
                  <c:v>517.79999999999995</c:v>
                </c:pt>
                <c:pt idx="23" formatCode="0.0">
                  <c:v>517.79999999999995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F-402C-93A9-068BF390B09A}"/>
            </c:ext>
          </c:extLst>
        </c:ser>
        <c:ser>
          <c:idx val="3"/>
          <c:order val="2"/>
          <c:tx>
            <c:strRef>
              <c:f>'03'!$AL$18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'03'!$AM$18:$BJ$18</c:f>
              <c:numCache>
                <c:formatCode>General</c:formatCode>
                <c:ptCount val="24"/>
                <c:pt idx="0">
                  <c:v>424.14</c:v>
                </c:pt>
                <c:pt idx="1">
                  <c:v>424.14</c:v>
                </c:pt>
                <c:pt idx="2">
                  <c:v>416.14</c:v>
                </c:pt>
                <c:pt idx="3">
                  <c:v>416.14</c:v>
                </c:pt>
                <c:pt idx="4">
                  <c:v>411.14</c:v>
                </c:pt>
                <c:pt idx="5">
                  <c:v>411.14</c:v>
                </c:pt>
                <c:pt idx="6">
                  <c:v>387.94</c:v>
                </c:pt>
                <c:pt idx="7">
                  <c:v>415.94</c:v>
                </c:pt>
                <c:pt idx="8">
                  <c:v>418.34</c:v>
                </c:pt>
                <c:pt idx="9">
                  <c:v>418.34</c:v>
                </c:pt>
                <c:pt idx="10">
                  <c:v>418.34</c:v>
                </c:pt>
                <c:pt idx="11">
                  <c:v>423.94</c:v>
                </c:pt>
                <c:pt idx="12">
                  <c:v>431.94</c:v>
                </c:pt>
                <c:pt idx="13">
                  <c:v>421.54</c:v>
                </c:pt>
                <c:pt idx="14">
                  <c:v>421.94000000000005</c:v>
                </c:pt>
                <c:pt idx="15">
                  <c:v>396.84000000000003</c:v>
                </c:pt>
                <c:pt idx="16">
                  <c:v>405.34000000000003</c:v>
                </c:pt>
                <c:pt idx="17">
                  <c:v>401.94</c:v>
                </c:pt>
                <c:pt idx="18" formatCode="0.0">
                  <c:v>399.54</c:v>
                </c:pt>
                <c:pt idx="19" formatCode="0.0">
                  <c:v>408.70000000000005</c:v>
                </c:pt>
                <c:pt idx="20" formatCode="0.0">
                  <c:v>413.00000000000006</c:v>
                </c:pt>
                <c:pt idx="21" formatCode="0.0">
                  <c:v>413.00000000000006</c:v>
                </c:pt>
                <c:pt idx="22" formatCode="0.0">
                  <c:v>413.00000000000006</c:v>
                </c:pt>
                <c:pt idx="23" formatCode="0.0">
                  <c:v>413.00000000000006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8F-402C-93A9-068BF390B09A}"/>
            </c:ext>
          </c:extLst>
        </c:ser>
        <c:ser>
          <c:idx val="0"/>
          <c:order val="3"/>
          <c:tx>
            <c:strRef>
              <c:f>'03'!$AL$19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'03'!$AM$19:$BJ$19</c:f>
              <c:numCache>
                <c:formatCode>General</c:formatCode>
                <c:ptCount val="24"/>
                <c:pt idx="0">
                  <c:v>17.8</c:v>
                </c:pt>
                <c:pt idx="1">
                  <c:v>24.3</c:v>
                </c:pt>
                <c:pt idx="2">
                  <c:v>25</c:v>
                </c:pt>
                <c:pt idx="3">
                  <c:v>26</c:v>
                </c:pt>
                <c:pt idx="4">
                  <c:v>30</c:v>
                </c:pt>
                <c:pt idx="5">
                  <c:v>29.8</c:v>
                </c:pt>
                <c:pt idx="6">
                  <c:v>137</c:v>
                </c:pt>
                <c:pt idx="7">
                  <c:v>57</c:v>
                </c:pt>
                <c:pt idx="8">
                  <c:v>57.3</c:v>
                </c:pt>
                <c:pt idx="9">
                  <c:v>56.6</c:v>
                </c:pt>
                <c:pt idx="10">
                  <c:v>73.8</c:v>
                </c:pt>
                <c:pt idx="11">
                  <c:v>72.8</c:v>
                </c:pt>
                <c:pt idx="12">
                  <c:v>61.7</c:v>
                </c:pt>
                <c:pt idx="13">
                  <c:v>66.900000000000006</c:v>
                </c:pt>
                <c:pt idx="14">
                  <c:v>60</c:v>
                </c:pt>
                <c:pt idx="15">
                  <c:v>0</c:v>
                </c:pt>
                <c:pt idx="16">
                  <c:v>50</c:v>
                </c:pt>
                <c:pt idx="17">
                  <c:v>30</c:v>
                </c:pt>
                <c:pt idx="18" formatCode="0.0">
                  <c:v>30</c:v>
                </c:pt>
                <c:pt idx="19" formatCode="0.0">
                  <c:v>15.6</c:v>
                </c:pt>
                <c:pt idx="20" formatCode="0.0">
                  <c:v>56.5</c:v>
                </c:pt>
                <c:pt idx="21" formatCode="0.0">
                  <c:v>56.5</c:v>
                </c:pt>
                <c:pt idx="22" formatCode="0.0">
                  <c:v>56.5</c:v>
                </c:pt>
                <c:pt idx="23" formatCode="0.0">
                  <c:v>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8F-402C-93A9-068BF390B09A}"/>
            </c:ext>
          </c:extLst>
        </c:ser>
        <c:ser>
          <c:idx val="4"/>
          <c:order val="4"/>
          <c:tx>
            <c:strRef>
              <c:f>'03'!$AL$20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33.800000000000004</c:v>
                </c:pt>
                <c:pt idx="9">
                  <c:v>33.800000000000004</c:v>
                </c:pt>
                <c:pt idx="10">
                  <c:v>33.9</c:v>
                </c:pt>
                <c:pt idx="11">
                  <c:v>33.6</c:v>
                </c:pt>
                <c:pt idx="12">
                  <c:v>33.700000000000003</c:v>
                </c:pt>
                <c:pt idx="13">
                  <c:v>33.6</c:v>
                </c:pt>
                <c:pt idx="14">
                  <c:v>27.000000000000004</c:v>
                </c:pt>
                <c:pt idx="15">
                  <c:v>33.400000000000006</c:v>
                </c:pt>
                <c:pt idx="16">
                  <c:v>33</c:v>
                </c:pt>
                <c:pt idx="17">
                  <c:v>32.900000000000006</c:v>
                </c:pt>
                <c:pt idx="18" formatCode="0.0">
                  <c:v>13.3</c:v>
                </c:pt>
                <c:pt idx="19" formatCode="0.0">
                  <c:v>19.100000000000001</c:v>
                </c:pt>
                <c:pt idx="20" formatCode="0.0">
                  <c:v>20.7</c:v>
                </c:pt>
                <c:pt idx="21" formatCode="0.0">
                  <c:v>20.7</c:v>
                </c:pt>
                <c:pt idx="22" formatCode="0.0">
                  <c:v>20.7</c:v>
                </c:pt>
                <c:pt idx="23" formatCode="0.0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8F-402C-93A9-068BF390B09A}"/>
            </c:ext>
          </c:extLst>
        </c:ser>
        <c:ser>
          <c:idx val="5"/>
          <c:order val="5"/>
          <c:tx>
            <c:strRef>
              <c:f>'03'!$AL$21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400</c:v>
                </c:pt>
                <c:pt idx="7">
                  <c:v>0</c:v>
                </c:pt>
                <c:pt idx="8">
                  <c:v>0</c:v>
                </c:pt>
                <c:pt idx="9">
                  <c:v>400</c:v>
                </c:pt>
                <c:pt idx="10">
                  <c:v>50</c:v>
                </c:pt>
                <c:pt idx="11">
                  <c:v>50</c:v>
                </c:pt>
                <c:pt idx="12">
                  <c:v>100</c:v>
                </c:pt>
                <c:pt idx="13">
                  <c:v>150</c:v>
                </c:pt>
                <c:pt idx="14">
                  <c:v>150</c:v>
                </c:pt>
                <c:pt idx="15">
                  <c:v>200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120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8F-402C-93A9-068BF390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'03'!$AM$23:$BJ$23</c:f>
              <c:numCache>
                <c:formatCode>General</c:formatCode>
                <c:ptCount val="24"/>
                <c:pt idx="0">
                  <c:v>-204</c:v>
                </c:pt>
                <c:pt idx="1">
                  <c:v>-306</c:v>
                </c:pt>
                <c:pt idx="2">
                  <c:v>-295</c:v>
                </c:pt>
                <c:pt idx="3">
                  <c:v>-330</c:v>
                </c:pt>
                <c:pt idx="4">
                  <c:v>-380</c:v>
                </c:pt>
                <c:pt idx="5">
                  <c:v>-420</c:v>
                </c:pt>
                <c:pt idx="6">
                  <c:v>0</c:v>
                </c:pt>
                <c:pt idx="7">
                  <c:v>-333</c:v>
                </c:pt>
                <c:pt idx="8">
                  <c:v>-321</c:v>
                </c:pt>
                <c:pt idx="9">
                  <c:v>-204.3</c:v>
                </c:pt>
                <c:pt idx="10">
                  <c:v>-225</c:v>
                </c:pt>
                <c:pt idx="11">
                  <c:v>-144.9</c:v>
                </c:pt>
                <c:pt idx="12">
                  <c:v>-258</c:v>
                </c:pt>
                <c:pt idx="13">
                  <c:v>-225</c:v>
                </c:pt>
                <c:pt idx="14">
                  <c:v>-145</c:v>
                </c:pt>
                <c:pt idx="15">
                  <c:v>-250</c:v>
                </c:pt>
                <c:pt idx="16">
                  <c:v>-249</c:v>
                </c:pt>
                <c:pt idx="17">
                  <c:v>-305</c:v>
                </c:pt>
                <c:pt idx="18">
                  <c:v>-301.2</c:v>
                </c:pt>
                <c:pt idx="19">
                  <c:v>-242</c:v>
                </c:pt>
                <c:pt idx="20">
                  <c:v>-177</c:v>
                </c:pt>
                <c:pt idx="21">
                  <c:v>-177</c:v>
                </c:pt>
                <c:pt idx="22">
                  <c:v>-177</c:v>
                </c:pt>
                <c:pt idx="23">
                  <c:v>-177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8F-402C-93A9-068BF390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'03'!$AM$22:$BJ$22</c:f>
              <c:numCache>
                <c:formatCode>General</c:formatCode>
                <c:ptCount val="24"/>
                <c:pt idx="0">
                  <c:v>1950.6399999999996</c:v>
                </c:pt>
                <c:pt idx="1">
                  <c:v>1954.6399999999996</c:v>
                </c:pt>
                <c:pt idx="2">
                  <c:v>1924.8399999999997</c:v>
                </c:pt>
                <c:pt idx="3">
                  <c:v>1942.04</c:v>
                </c:pt>
                <c:pt idx="4">
                  <c:v>1933.44</c:v>
                </c:pt>
                <c:pt idx="5">
                  <c:v>1958.74</c:v>
                </c:pt>
                <c:pt idx="6">
                  <c:v>1622.84</c:v>
                </c:pt>
                <c:pt idx="7">
                  <c:v>1877.94</c:v>
                </c:pt>
                <c:pt idx="8">
                  <c:v>1971.9399999999998</c:v>
                </c:pt>
                <c:pt idx="9">
                  <c:v>1898.7399999999998</c:v>
                </c:pt>
                <c:pt idx="10">
                  <c:v>1929.04</c:v>
                </c:pt>
                <c:pt idx="11">
                  <c:v>1935.24</c:v>
                </c:pt>
                <c:pt idx="12">
                  <c:v>2061.1400000000003</c:v>
                </c:pt>
                <c:pt idx="13">
                  <c:v>2060.64</c:v>
                </c:pt>
                <c:pt idx="14">
                  <c:v>2051.54</c:v>
                </c:pt>
                <c:pt idx="15">
                  <c:v>2045.2400000000002</c:v>
                </c:pt>
                <c:pt idx="16">
                  <c:v>2048.04</c:v>
                </c:pt>
                <c:pt idx="17">
                  <c:v>2030.84</c:v>
                </c:pt>
                <c:pt idx="18">
                  <c:v>1977.7399999999998</c:v>
                </c:pt>
                <c:pt idx="19">
                  <c:v>1993.7999999999995</c:v>
                </c:pt>
                <c:pt idx="20">
                  <c:v>2042.1999999999996</c:v>
                </c:pt>
                <c:pt idx="21">
                  <c:v>2042.1999999999996</c:v>
                </c:pt>
                <c:pt idx="22">
                  <c:v>2042.1999999999996</c:v>
                </c:pt>
                <c:pt idx="23">
                  <c:v>2012.1999999999996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F8F-402C-93A9-068BF390B09A}"/>
            </c:ext>
          </c:extLst>
        </c:ser>
        <c:ser>
          <c:idx val="8"/>
          <c:order val="8"/>
          <c:tx>
            <c:strRef>
              <c:f>'03'!$AL$24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'03'!$AM$24:$BJ$24</c:f>
              <c:numCache>
                <c:formatCode>General</c:formatCode>
                <c:ptCount val="24"/>
                <c:pt idx="0">
                  <c:v>1746.6399999999996</c:v>
                </c:pt>
                <c:pt idx="1">
                  <c:v>1648.6399999999996</c:v>
                </c:pt>
                <c:pt idx="2">
                  <c:v>1629.8399999999997</c:v>
                </c:pt>
                <c:pt idx="3">
                  <c:v>1612.04</c:v>
                </c:pt>
                <c:pt idx="4">
                  <c:v>1553.44</c:v>
                </c:pt>
                <c:pt idx="5">
                  <c:v>1538.74</c:v>
                </c:pt>
                <c:pt idx="6">
                  <c:v>1622.84</c:v>
                </c:pt>
                <c:pt idx="7">
                  <c:v>1544.94</c:v>
                </c:pt>
                <c:pt idx="8">
                  <c:v>1650.9399999999998</c:v>
                </c:pt>
                <c:pt idx="9">
                  <c:v>1694.4399999999998</c:v>
                </c:pt>
                <c:pt idx="10">
                  <c:v>1704.04</c:v>
                </c:pt>
                <c:pt idx="11">
                  <c:v>1790.34</c:v>
                </c:pt>
                <c:pt idx="12">
                  <c:v>1803.1400000000003</c:v>
                </c:pt>
                <c:pt idx="13">
                  <c:v>1835.6399999999999</c:v>
                </c:pt>
                <c:pt idx="14">
                  <c:v>1906.54</c:v>
                </c:pt>
                <c:pt idx="15">
                  <c:v>1795.2400000000002</c:v>
                </c:pt>
                <c:pt idx="16">
                  <c:v>1799.04</c:v>
                </c:pt>
                <c:pt idx="17">
                  <c:v>1725.84</c:v>
                </c:pt>
                <c:pt idx="18">
                  <c:v>1676.5399999999997</c:v>
                </c:pt>
                <c:pt idx="19">
                  <c:v>1751.7999999999995</c:v>
                </c:pt>
                <c:pt idx="20">
                  <c:v>1865.1999999999996</c:v>
                </c:pt>
                <c:pt idx="21">
                  <c:v>1865.1999999999996</c:v>
                </c:pt>
                <c:pt idx="22">
                  <c:v>1865.1999999999996</c:v>
                </c:pt>
                <c:pt idx="23">
                  <c:v>1835.1999999999996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8F-402C-93A9-068BF390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7E-4917-A441-6D37AA598E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7E-4917-A441-6D37AA598E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7E-4917-A441-6D37AA598E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C7E-4917-A441-6D37AA598E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C7E-4917-A441-6D37AA598E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C7E-4917-A441-6D37AA598E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'04'!$AM$16:$BJ$16</c:f>
              <c:numCache>
                <c:formatCode>General</c:formatCode>
                <c:ptCount val="24"/>
                <c:pt idx="0">
                  <c:v>896.89999999999975</c:v>
                </c:pt>
                <c:pt idx="1">
                  <c:v>896.89999999999975</c:v>
                </c:pt>
                <c:pt idx="2">
                  <c:v>896.89999999999975</c:v>
                </c:pt>
                <c:pt idx="3">
                  <c:v>896.89999999999975</c:v>
                </c:pt>
                <c:pt idx="4">
                  <c:v>855.19999999999993</c:v>
                </c:pt>
                <c:pt idx="5">
                  <c:v>896.49999999999989</c:v>
                </c:pt>
                <c:pt idx="6">
                  <c:v>778.69999999999993</c:v>
                </c:pt>
                <c:pt idx="7">
                  <c:v>828.69999999999993</c:v>
                </c:pt>
                <c:pt idx="8">
                  <c:v>894.5999999999998</c:v>
                </c:pt>
                <c:pt idx="9">
                  <c:v>910.49999999999989</c:v>
                </c:pt>
                <c:pt idx="10">
                  <c:v>910.49999999999989</c:v>
                </c:pt>
                <c:pt idx="11">
                  <c:v>912.69999999999982</c:v>
                </c:pt>
                <c:pt idx="12">
                  <c:v>888.43999999999983</c:v>
                </c:pt>
                <c:pt idx="13">
                  <c:v>888.43999999999983</c:v>
                </c:pt>
                <c:pt idx="14">
                  <c:v>888.43999999999983</c:v>
                </c:pt>
                <c:pt idx="15">
                  <c:v>888.43999999999983</c:v>
                </c:pt>
                <c:pt idx="16">
                  <c:v>888.43999999999983</c:v>
                </c:pt>
                <c:pt idx="17">
                  <c:v>888.43999999999983</c:v>
                </c:pt>
                <c:pt idx="18" formatCode="0.0">
                  <c:v>888.43999999999983</c:v>
                </c:pt>
                <c:pt idx="19" formatCode="0.0">
                  <c:v>888.43999999999983</c:v>
                </c:pt>
                <c:pt idx="20" formatCode="0.0">
                  <c:v>883.3399999999998</c:v>
                </c:pt>
                <c:pt idx="21" formatCode="0.0">
                  <c:v>880.13999999999976</c:v>
                </c:pt>
                <c:pt idx="22" formatCode="0.0">
                  <c:v>880.13999999999976</c:v>
                </c:pt>
                <c:pt idx="23" formatCode="0.0">
                  <c:v>912.89999999999975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E-4703-89C5-F5747722C957}"/>
            </c:ext>
          </c:extLst>
        </c:ser>
        <c:ser>
          <c:idx val="2"/>
          <c:order val="1"/>
          <c:tx>
            <c:strRef>
              <c:f>'04'!$AL$17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'04'!$AM$17:$BJ$17</c:f>
              <c:numCache>
                <c:formatCode>General</c:formatCode>
                <c:ptCount val="24"/>
                <c:pt idx="0">
                  <c:v>532.79999999999995</c:v>
                </c:pt>
                <c:pt idx="1">
                  <c:v>532.79999999999995</c:v>
                </c:pt>
                <c:pt idx="2">
                  <c:v>532.9</c:v>
                </c:pt>
                <c:pt idx="3">
                  <c:v>532.9</c:v>
                </c:pt>
                <c:pt idx="4">
                  <c:v>532.9</c:v>
                </c:pt>
                <c:pt idx="5">
                  <c:v>532.9</c:v>
                </c:pt>
                <c:pt idx="6">
                  <c:v>532.9</c:v>
                </c:pt>
                <c:pt idx="7">
                  <c:v>532.9</c:v>
                </c:pt>
                <c:pt idx="8">
                  <c:v>536.79999999999995</c:v>
                </c:pt>
                <c:pt idx="9">
                  <c:v>536.79999999999995</c:v>
                </c:pt>
                <c:pt idx="10">
                  <c:v>536.79999999999995</c:v>
                </c:pt>
                <c:pt idx="11">
                  <c:v>536.79999999999995</c:v>
                </c:pt>
                <c:pt idx="12">
                  <c:v>536.5</c:v>
                </c:pt>
                <c:pt idx="13">
                  <c:v>536.5</c:v>
                </c:pt>
                <c:pt idx="14">
                  <c:v>536.5</c:v>
                </c:pt>
                <c:pt idx="15">
                  <c:v>536.5</c:v>
                </c:pt>
                <c:pt idx="16">
                  <c:v>521</c:v>
                </c:pt>
                <c:pt idx="17">
                  <c:v>461</c:v>
                </c:pt>
                <c:pt idx="18" formatCode="0.0">
                  <c:v>496.1</c:v>
                </c:pt>
                <c:pt idx="19" formatCode="0.0">
                  <c:v>496.1</c:v>
                </c:pt>
                <c:pt idx="20" formatCode="0.0">
                  <c:v>456.5</c:v>
                </c:pt>
                <c:pt idx="21" formatCode="0.0">
                  <c:v>456.5</c:v>
                </c:pt>
                <c:pt idx="22" formatCode="0.0">
                  <c:v>456.5</c:v>
                </c:pt>
                <c:pt idx="23" formatCode="0.0">
                  <c:v>536.5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E-4703-89C5-F5747722C957}"/>
            </c:ext>
          </c:extLst>
        </c:ser>
        <c:ser>
          <c:idx val="3"/>
          <c:order val="2"/>
          <c:tx>
            <c:strRef>
              <c:f>'04'!$AL$18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'04'!$AM$18:$BJ$18</c:f>
              <c:numCache>
                <c:formatCode>General</c:formatCode>
                <c:ptCount val="24"/>
                <c:pt idx="0">
                  <c:v>412.80000000000007</c:v>
                </c:pt>
                <c:pt idx="1">
                  <c:v>412.80000000000007</c:v>
                </c:pt>
                <c:pt idx="2">
                  <c:v>412.80000000000007</c:v>
                </c:pt>
                <c:pt idx="3">
                  <c:v>410.84000000000009</c:v>
                </c:pt>
                <c:pt idx="4">
                  <c:v>410.84000000000009</c:v>
                </c:pt>
                <c:pt idx="5">
                  <c:v>402.04000000000008</c:v>
                </c:pt>
                <c:pt idx="6">
                  <c:v>402.04000000000008</c:v>
                </c:pt>
                <c:pt idx="7">
                  <c:v>402.04000000000008</c:v>
                </c:pt>
                <c:pt idx="8">
                  <c:v>425.94000000000005</c:v>
                </c:pt>
                <c:pt idx="9">
                  <c:v>427.34000000000009</c:v>
                </c:pt>
                <c:pt idx="10">
                  <c:v>428.54000000000008</c:v>
                </c:pt>
                <c:pt idx="11">
                  <c:v>428.54000000000008</c:v>
                </c:pt>
                <c:pt idx="12">
                  <c:v>420.84000000000003</c:v>
                </c:pt>
                <c:pt idx="13">
                  <c:v>433.84000000000003</c:v>
                </c:pt>
                <c:pt idx="14">
                  <c:v>437.74</c:v>
                </c:pt>
                <c:pt idx="15">
                  <c:v>431.74</c:v>
                </c:pt>
                <c:pt idx="16">
                  <c:v>429.94</c:v>
                </c:pt>
                <c:pt idx="17">
                  <c:v>427.74</c:v>
                </c:pt>
                <c:pt idx="18" formatCode="0.0">
                  <c:v>409.64000000000004</c:v>
                </c:pt>
                <c:pt idx="19" formatCode="0.0">
                  <c:v>411.5</c:v>
                </c:pt>
                <c:pt idx="20" formatCode="0.0">
                  <c:v>427.64000000000004</c:v>
                </c:pt>
                <c:pt idx="21" formatCode="0.0">
                  <c:v>427.64000000000004</c:v>
                </c:pt>
                <c:pt idx="22" formatCode="0.0">
                  <c:v>427.64000000000004</c:v>
                </c:pt>
                <c:pt idx="23" formatCode="0.0">
                  <c:v>368.44000000000005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5E-4703-89C5-F5747722C957}"/>
            </c:ext>
          </c:extLst>
        </c:ser>
        <c:ser>
          <c:idx val="0"/>
          <c:order val="3"/>
          <c:tx>
            <c:strRef>
              <c:f>'04'!$AL$19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'04'!$AM$19:$BJ$19</c:f>
              <c:numCache>
                <c:formatCode>General</c:formatCode>
                <c:ptCount val="24"/>
                <c:pt idx="0">
                  <c:v>70.5</c:v>
                </c:pt>
                <c:pt idx="1">
                  <c:v>70.5</c:v>
                </c:pt>
                <c:pt idx="2">
                  <c:v>59.3</c:v>
                </c:pt>
                <c:pt idx="3">
                  <c:v>56.6</c:v>
                </c:pt>
                <c:pt idx="4">
                  <c:v>54.1</c:v>
                </c:pt>
                <c:pt idx="5">
                  <c:v>65.599999999999994</c:v>
                </c:pt>
                <c:pt idx="6">
                  <c:v>56.3</c:v>
                </c:pt>
                <c:pt idx="7">
                  <c:v>108</c:v>
                </c:pt>
                <c:pt idx="8">
                  <c:v>103.9</c:v>
                </c:pt>
                <c:pt idx="9">
                  <c:v>63</c:v>
                </c:pt>
                <c:pt idx="10">
                  <c:v>72</c:v>
                </c:pt>
                <c:pt idx="11">
                  <c:v>63.4</c:v>
                </c:pt>
                <c:pt idx="12">
                  <c:v>119</c:v>
                </c:pt>
                <c:pt idx="13">
                  <c:v>122.7</c:v>
                </c:pt>
                <c:pt idx="14">
                  <c:v>115</c:v>
                </c:pt>
                <c:pt idx="15">
                  <c:v>112.9</c:v>
                </c:pt>
                <c:pt idx="16">
                  <c:v>103.7</c:v>
                </c:pt>
                <c:pt idx="17">
                  <c:v>104.1</c:v>
                </c:pt>
                <c:pt idx="18" formatCode="0.0">
                  <c:v>66.5</c:v>
                </c:pt>
                <c:pt idx="19" formatCode="0.0">
                  <c:v>11.3</c:v>
                </c:pt>
                <c:pt idx="20" formatCode="0.0">
                  <c:v>72.099999999999994</c:v>
                </c:pt>
                <c:pt idx="21" formatCode="0.0">
                  <c:v>47.4</c:v>
                </c:pt>
                <c:pt idx="22" formatCode="0.0">
                  <c:v>47.4</c:v>
                </c:pt>
                <c:pt idx="23" formatCode="0.0">
                  <c:v>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5E-4703-89C5-F5747722C957}"/>
            </c:ext>
          </c:extLst>
        </c:ser>
        <c:ser>
          <c:idx val="4"/>
          <c:order val="4"/>
          <c:tx>
            <c:strRef>
              <c:f>'04'!$AL$20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'04'!$AM$20:$BJ$20</c:f>
              <c:numCache>
                <c:formatCode>General</c:formatCode>
                <c:ptCount val="24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25.2</c:v>
                </c:pt>
                <c:pt idx="7">
                  <c:v>0</c:v>
                </c:pt>
                <c:pt idx="8">
                  <c:v>15.3</c:v>
                </c:pt>
                <c:pt idx="9">
                  <c:v>32.6</c:v>
                </c:pt>
                <c:pt idx="10">
                  <c:v>32.6</c:v>
                </c:pt>
                <c:pt idx="11">
                  <c:v>41.3</c:v>
                </c:pt>
                <c:pt idx="12">
                  <c:v>41.300000000000004</c:v>
                </c:pt>
                <c:pt idx="13">
                  <c:v>41.300000000000004</c:v>
                </c:pt>
                <c:pt idx="14">
                  <c:v>41.300000000000004</c:v>
                </c:pt>
                <c:pt idx="15">
                  <c:v>41.300000000000004</c:v>
                </c:pt>
                <c:pt idx="16">
                  <c:v>27.400000000000002</c:v>
                </c:pt>
                <c:pt idx="17">
                  <c:v>32.800000000000004</c:v>
                </c:pt>
                <c:pt idx="18" formatCode="0.0">
                  <c:v>26.299999999999997</c:v>
                </c:pt>
                <c:pt idx="19" formatCode="0.0">
                  <c:v>0</c:v>
                </c:pt>
                <c:pt idx="20" formatCode="0.0">
                  <c:v>24.9</c:v>
                </c:pt>
                <c:pt idx="21" formatCode="0.0">
                  <c:v>22.099999999999998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5E-4703-89C5-F5747722C957}"/>
            </c:ext>
          </c:extLst>
        </c:ser>
        <c:ser>
          <c:idx val="5"/>
          <c:order val="5"/>
          <c:tx>
            <c:strRef>
              <c:f>'04'!$AL$21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80</c:v>
                </c:pt>
                <c:pt idx="4">
                  <c:v>80</c:v>
                </c:pt>
                <c:pt idx="5">
                  <c:v>70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100</c:v>
                </c:pt>
                <c:pt idx="10">
                  <c:v>100</c:v>
                </c:pt>
                <c:pt idx="11">
                  <c:v>200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5E-4703-89C5-F5747722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'04'!$AM$23:$BJ$23</c:f>
              <c:numCache>
                <c:formatCode>General</c:formatCode>
                <c:ptCount val="24"/>
                <c:pt idx="0">
                  <c:v>-377.4</c:v>
                </c:pt>
                <c:pt idx="1">
                  <c:v>-377.4</c:v>
                </c:pt>
                <c:pt idx="2">
                  <c:v>-419.7</c:v>
                </c:pt>
                <c:pt idx="3">
                  <c:v>-449</c:v>
                </c:pt>
                <c:pt idx="4">
                  <c:v>-445</c:v>
                </c:pt>
                <c:pt idx="5">
                  <c:v>-477</c:v>
                </c:pt>
                <c:pt idx="6">
                  <c:v>-422.3</c:v>
                </c:pt>
                <c:pt idx="7">
                  <c:v>-294</c:v>
                </c:pt>
                <c:pt idx="8">
                  <c:v>-370.9</c:v>
                </c:pt>
                <c:pt idx="9">
                  <c:v>-331.3</c:v>
                </c:pt>
                <c:pt idx="10">
                  <c:v>-303</c:v>
                </c:pt>
                <c:pt idx="11">
                  <c:v>-330</c:v>
                </c:pt>
                <c:pt idx="12">
                  <c:v>-298</c:v>
                </c:pt>
                <c:pt idx="13">
                  <c:v>-284</c:v>
                </c:pt>
                <c:pt idx="14">
                  <c:v>-231.3</c:v>
                </c:pt>
                <c:pt idx="15">
                  <c:v>-300</c:v>
                </c:pt>
                <c:pt idx="16">
                  <c:v>-311</c:v>
                </c:pt>
                <c:pt idx="17">
                  <c:v>-348</c:v>
                </c:pt>
                <c:pt idx="18">
                  <c:v>-381</c:v>
                </c:pt>
                <c:pt idx="19">
                  <c:v>-272</c:v>
                </c:pt>
                <c:pt idx="20">
                  <c:v>-314.39999999999998</c:v>
                </c:pt>
                <c:pt idx="21">
                  <c:v>-307.7</c:v>
                </c:pt>
                <c:pt idx="22">
                  <c:v>-307.7</c:v>
                </c:pt>
                <c:pt idx="23">
                  <c:v>-450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5E-4703-89C5-F5747722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'04'!$AM$22:$BJ$22</c:f>
              <c:numCache>
                <c:formatCode>General</c:formatCode>
                <c:ptCount val="24"/>
                <c:pt idx="0">
                  <c:v>2034</c:v>
                </c:pt>
                <c:pt idx="1">
                  <c:v>2013</c:v>
                </c:pt>
                <c:pt idx="2">
                  <c:v>2001.8999999999999</c:v>
                </c:pt>
                <c:pt idx="3">
                  <c:v>1977.2399999999998</c:v>
                </c:pt>
                <c:pt idx="4">
                  <c:v>1933.04</c:v>
                </c:pt>
                <c:pt idx="5">
                  <c:v>1967.04</c:v>
                </c:pt>
                <c:pt idx="6">
                  <c:v>1945.1399999999999</c:v>
                </c:pt>
                <c:pt idx="7">
                  <c:v>2021.6399999999999</c:v>
                </c:pt>
                <c:pt idx="8">
                  <c:v>2126.54</c:v>
                </c:pt>
                <c:pt idx="9">
                  <c:v>2070.2399999999998</c:v>
                </c:pt>
                <c:pt idx="10">
                  <c:v>2080.4399999999996</c:v>
                </c:pt>
                <c:pt idx="11">
                  <c:v>2182.7399999999998</c:v>
                </c:pt>
                <c:pt idx="12">
                  <c:v>2156.08</c:v>
                </c:pt>
                <c:pt idx="13">
                  <c:v>2172.7799999999997</c:v>
                </c:pt>
                <c:pt idx="14">
                  <c:v>2168.9799999999996</c:v>
                </c:pt>
                <c:pt idx="15">
                  <c:v>2160.88</c:v>
                </c:pt>
                <c:pt idx="16">
                  <c:v>2120.48</c:v>
                </c:pt>
                <c:pt idx="17">
                  <c:v>2064.08</c:v>
                </c:pt>
                <c:pt idx="18">
                  <c:v>2036.98</c:v>
                </c:pt>
                <c:pt idx="19">
                  <c:v>1957.34</c:v>
                </c:pt>
                <c:pt idx="20">
                  <c:v>1864.4799999999998</c:v>
                </c:pt>
                <c:pt idx="21">
                  <c:v>1833.78</c:v>
                </c:pt>
                <c:pt idx="22">
                  <c:v>1811.68</c:v>
                </c:pt>
                <c:pt idx="23">
                  <c:v>1916.4399999999996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B5E-4703-89C5-F5747722C957}"/>
            </c:ext>
          </c:extLst>
        </c:ser>
        <c:ser>
          <c:idx val="8"/>
          <c:order val="8"/>
          <c:tx>
            <c:strRef>
              <c:f>'04'!$AL$24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'04'!$AM$24:$BJ$24</c:f>
              <c:numCache>
                <c:formatCode>General</c:formatCode>
                <c:ptCount val="24"/>
                <c:pt idx="0">
                  <c:v>1656.6</c:v>
                </c:pt>
                <c:pt idx="1">
                  <c:v>1635.6</c:v>
                </c:pt>
                <c:pt idx="2">
                  <c:v>1582.1999999999998</c:v>
                </c:pt>
                <c:pt idx="3">
                  <c:v>1528.2399999999998</c:v>
                </c:pt>
                <c:pt idx="4">
                  <c:v>1488.04</c:v>
                </c:pt>
                <c:pt idx="5">
                  <c:v>1490.04</c:v>
                </c:pt>
                <c:pt idx="6">
                  <c:v>1522.84</c:v>
                </c:pt>
                <c:pt idx="7">
                  <c:v>1727.6399999999999</c:v>
                </c:pt>
                <c:pt idx="8">
                  <c:v>1755.6399999999999</c:v>
                </c:pt>
                <c:pt idx="9">
                  <c:v>1738.9399999999998</c:v>
                </c:pt>
                <c:pt idx="10">
                  <c:v>1777.4399999999996</c:v>
                </c:pt>
                <c:pt idx="11">
                  <c:v>1852.7399999999998</c:v>
                </c:pt>
                <c:pt idx="12">
                  <c:v>1858.08</c:v>
                </c:pt>
                <c:pt idx="13">
                  <c:v>1888.7799999999997</c:v>
                </c:pt>
                <c:pt idx="14">
                  <c:v>1937.6799999999996</c:v>
                </c:pt>
                <c:pt idx="15">
                  <c:v>1860.88</c:v>
                </c:pt>
                <c:pt idx="16">
                  <c:v>1809.48</c:v>
                </c:pt>
                <c:pt idx="17">
                  <c:v>1716.08</c:v>
                </c:pt>
                <c:pt idx="18">
                  <c:v>1655.98</c:v>
                </c:pt>
                <c:pt idx="19">
                  <c:v>1685.34</c:v>
                </c:pt>
                <c:pt idx="20">
                  <c:v>1550.08</c:v>
                </c:pt>
                <c:pt idx="21">
                  <c:v>1526.08</c:v>
                </c:pt>
                <c:pt idx="22">
                  <c:v>1503.98</c:v>
                </c:pt>
                <c:pt idx="23">
                  <c:v>1466.4399999999996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5E-4703-89C5-F5747722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71-438F-93CE-6FC56CDE6E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71-438F-93CE-6FC56CDE6E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71-438F-93CE-6FC56CDE6E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371-438F-93CE-6FC56CDE6E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371-438F-93CE-6FC56CDE6EC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371-438F-93CE-6FC56CDE6EC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'05'!$AM$16:$BJ$16</c:f>
              <c:numCache>
                <c:formatCode>General</c:formatCode>
                <c:ptCount val="24"/>
                <c:pt idx="0">
                  <c:v>912.89999999999975</c:v>
                </c:pt>
                <c:pt idx="1">
                  <c:v>956.9000000000002</c:v>
                </c:pt>
                <c:pt idx="2">
                  <c:v>954.60000000000014</c:v>
                </c:pt>
                <c:pt idx="3">
                  <c:v>932.80000000000007</c:v>
                </c:pt>
                <c:pt idx="4">
                  <c:v>1004.6</c:v>
                </c:pt>
                <c:pt idx="5">
                  <c:v>993.72</c:v>
                </c:pt>
                <c:pt idx="6">
                  <c:v>980.10000000000014</c:v>
                </c:pt>
                <c:pt idx="7">
                  <c:v>973.40000000000009</c:v>
                </c:pt>
                <c:pt idx="8">
                  <c:v>1013.1000000000001</c:v>
                </c:pt>
                <c:pt idx="9">
                  <c:v>1013.1000000000001</c:v>
                </c:pt>
                <c:pt idx="10">
                  <c:v>958.60000000000014</c:v>
                </c:pt>
                <c:pt idx="11">
                  <c:v>958.60000000000014</c:v>
                </c:pt>
                <c:pt idx="12">
                  <c:v>958.60000000000014</c:v>
                </c:pt>
                <c:pt idx="13">
                  <c:v>958.60000000000014</c:v>
                </c:pt>
                <c:pt idx="14">
                  <c:v>959.80000000000018</c:v>
                </c:pt>
                <c:pt idx="15">
                  <c:v>957.50000000000023</c:v>
                </c:pt>
                <c:pt idx="16">
                  <c:v>1032.5000000000002</c:v>
                </c:pt>
                <c:pt idx="17">
                  <c:v>1039.6000000000004</c:v>
                </c:pt>
                <c:pt idx="18" formatCode="0.0">
                  <c:v>1014.3000000000002</c:v>
                </c:pt>
                <c:pt idx="19" formatCode="0.0">
                  <c:v>1007.9000000000002</c:v>
                </c:pt>
                <c:pt idx="20" formatCode="0.0">
                  <c:v>969.9000000000002</c:v>
                </c:pt>
                <c:pt idx="21" formatCode="0.0">
                  <c:v>947.9000000000002</c:v>
                </c:pt>
                <c:pt idx="22" formatCode="0.0">
                  <c:v>947.9000000000002</c:v>
                </c:pt>
                <c:pt idx="23" formatCode="0.0">
                  <c:v>944.30000000000018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B-4E37-AD42-B0A0DD6E168F}"/>
            </c:ext>
          </c:extLst>
        </c:ser>
        <c:ser>
          <c:idx val="2"/>
          <c:order val="1"/>
          <c:tx>
            <c:strRef>
              <c:f>'05'!$AL$17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'05'!$AM$17:$BJ$17</c:f>
              <c:numCache>
                <c:formatCode>General</c:formatCode>
                <c:ptCount val="24"/>
                <c:pt idx="0">
                  <c:v>529.5</c:v>
                </c:pt>
                <c:pt idx="1">
                  <c:v>517.70000000000005</c:v>
                </c:pt>
                <c:pt idx="2">
                  <c:v>517.70000000000005</c:v>
                </c:pt>
                <c:pt idx="3">
                  <c:v>517.70000000000005</c:v>
                </c:pt>
                <c:pt idx="4">
                  <c:v>517.70000000000005</c:v>
                </c:pt>
                <c:pt idx="5">
                  <c:v>517.70000000000005</c:v>
                </c:pt>
                <c:pt idx="6">
                  <c:v>517.70000000000005</c:v>
                </c:pt>
                <c:pt idx="7">
                  <c:v>517.70000000000005</c:v>
                </c:pt>
                <c:pt idx="8">
                  <c:v>517.70000000000005</c:v>
                </c:pt>
                <c:pt idx="9">
                  <c:v>517.70000000000005</c:v>
                </c:pt>
                <c:pt idx="10">
                  <c:v>517.70000000000005</c:v>
                </c:pt>
                <c:pt idx="11">
                  <c:v>517.70000000000005</c:v>
                </c:pt>
                <c:pt idx="12">
                  <c:v>517.70000000000005</c:v>
                </c:pt>
                <c:pt idx="13">
                  <c:v>517.70000000000005</c:v>
                </c:pt>
                <c:pt idx="14">
                  <c:v>542.79999999999995</c:v>
                </c:pt>
                <c:pt idx="15">
                  <c:v>542.79999999999995</c:v>
                </c:pt>
                <c:pt idx="16">
                  <c:v>542.69999999999993</c:v>
                </c:pt>
                <c:pt idx="17">
                  <c:v>543</c:v>
                </c:pt>
                <c:pt idx="18" formatCode="0.0">
                  <c:v>542.79999999999995</c:v>
                </c:pt>
                <c:pt idx="19" formatCode="0.0">
                  <c:v>542.6</c:v>
                </c:pt>
                <c:pt idx="20" formatCode="0.0">
                  <c:v>542.6</c:v>
                </c:pt>
                <c:pt idx="21" formatCode="0.0">
                  <c:v>502.5</c:v>
                </c:pt>
                <c:pt idx="22" formatCode="0.0">
                  <c:v>502.5</c:v>
                </c:pt>
                <c:pt idx="23" formatCode="0.0">
                  <c:v>542.5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B-4E37-AD42-B0A0DD6E168F}"/>
            </c:ext>
          </c:extLst>
        </c:ser>
        <c:ser>
          <c:idx val="3"/>
          <c:order val="2"/>
          <c:tx>
            <c:strRef>
              <c:f>'05'!$AL$18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'05'!$AM$18:$BJ$18</c:f>
              <c:numCache>
                <c:formatCode>General</c:formatCode>
                <c:ptCount val="24"/>
                <c:pt idx="0">
                  <c:v>368.44000000000005</c:v>
                </c:pt>
                <c:pt idx="1">
                  <c:v>385.64</c:v>
                </c:pt>
                <c:pt idx="2">
                  <c:v>386.14</c:v>
                </c:pt>
                <c:pt idx="3">
                  <c:v>386.14</c:v>
                </c:pt>
                <c:pt idx="4">
                  <c:v>373.53999999999996</c:v>
                </c:pt>
                <c:pt idx="5">
                  <c:v>373.53999999999996</c:v>
                </c:pt>
                <c:pt idx="6">
                  <c:v>386.14</c:v>
                </c:pt>
                <c:pt idx="7">
                  <c:v>386.14</c:v>
                </c:pt>
                <c:pt idx="8">
                  <c:v>403.53999999999996</c:v>
                </c:pt>
                <c:pt idx="9">
                  <c:v>405.53999999999996</c:v>
                </c:pt>
                <c:pt idx="10">
                  <c:v>406.14</c:v>
                </c:pt>
                <c:pt idx="11">
                  <c:v>406.14</c:v>
                </c:pt>
                <c:pt idx="12">
                  <c:v>406.14</c:v>
                </c:pt>
                <c:pt idx="13">
                  <c:v>406.14</c:v>
                </c:pt>
                <c:pt idx="14">
                  <c:v>405.23999999999995</c:v>
                </c:pt>
                <c:pt idx="15">
                  <c:v>400.53999999999996</c:v>
                </c:pt>
                <c:pt idx="16">
                  <c:v>397.53999999999996</c:v>
                </c:pt>
                <c:pt idx="17">
                  <c:v>393.23999999999995</c:v>
                </c:pt>
                <c:pt idx="18" formatCode="0.0">
                  <c:v>416.53999999999996</c:v>
                </c:pt>
                <c:pt idx="19" formatCode="0.0">
                  <c:v>417.29999999999995</c:v>
                </c:pt>
                <c:pt idx="20" formatCode="0.0">
                  <c:v>415.34</c:v>
                </c:pt>
                <c:pt idx="21" formatCode="0.0">
                  <c:v>415.34</c:v>
                </c:pt>
                <c:pt idx="22" formatCode="0.0">
                  <c:v>415.34</c:v>
                </c:pt>
                <c:pt idx="23" formatCode="0.0">
                  <c:v>294.53999999999996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5B-4E37-AD42-B0A0DD6E168F}"/>
            </c:ext>
          </c:extLst>
        </c:ser>
        <c:ser>
          <c:idx val="0"/>
          <c:order val="3"/>
          <c:tx>
            <c:strRef>
              <c:f>'05'!$AL$19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'05'!$AM$19:$BJ$19</c:f>
              <c:numCache>
                <c:formatCode>General</c:formatCode>
                <c:ptCount val="24"/>
                <c:pt idx="0">
                  <c:v>96.6</c:v>
                </c:pt>
                <c:pt idx="1">
                  <c:v>45</c:v>
                </c:pt>
                <c:pt idx="2">
                  <c:v>49.6</c:v>
                </c:pt>
                <c:pt idx="3">
                  <c:v>45.3</c:v>
                </c:pt>
                <c:pt idx="4">
                  <c:v>5</c:v>
                </c:pt>
                <c:pt idx="5">
                  <c:v>3.7</c:v>
                </c:pt>
                <c:pt idx="6">
                  <c:v>10</c:v>
                </c:pt>
                <c:pt idx="7">
                  <c:v>36</c:v>
                </c:pt>
                <c:pt idx="8">
                  <c:v>67.900000000000006</c:v>
                </c:pt>
                <c:pt idx="9">
                  <c:v>67</c:v>
                </c:pt>
                <c:pt idx="10">
                  <c:v>115.7</c:v>
                </c:pt>
                <c:pt idx="11">
                  <c:v>102.7</c:v>
                </c:pt>
                <c:pt idx="12">
                  <c:v>105.8</c:v>
                </c:pt>
                <c:pt idx="13">
                  <c:v>115</c:v>
                </c:pt>
                <c:pt idx="14">
                  <c:v>108.1</c:v>
                </c:pt>
                <c:pt idx="15">
                  <c:v>117.5</c:v>
                </c:pt>
                <c:pt idx="16">
                  <c:v>111.30000000000001</c:v>
                </c:pt>
                <c:pt idx="17">
                  <c:v>106.1</c:v>
                </c:pt>
                <c:pt idx="18" formatCode="0.0">
                  <c:v>47.3</c:v>
                </c:pt>
                <c:pt idx="19" formatCode="0.0">
                  <c:v>53.1</c:v>
                </c:pt>
                <c:pt idx="20" formatCode="0.0">
                  <c:v>11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5B-4E37-AD42-B0A0DD6E168F}"/>
            </c:ext>
          </c:extLst>
        </c:ser>
        <c:ser>
          <c:idx val="4"/>
          <c:order val="4"/>
          <c:tx>
            <c:strRef>
              <c:f>'05'!$AL$20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18.799999999999997</c:v>
                </c:pt>
                <c:pt idx="8">
                  <c:v>39.099999999999994</c:v>
                </c:pt>
                <c:pt idx="9">
                  <c:v>39.099999999999994</c:v>
                </c:pt>
                <c:pt idx="10">
                  <c:v>39.099999999999994</c:v>
                </c:pt>
                <c:pt idx="11">
                  <c:v>39.099999999999994</c:v>
                </c:pt>
                <c:pt idx="12">
                  <c:v>39.099999999999994</c:v>
                </c:pt>
                <c:pt idx="13">
                  <c:v>39.099999999999994</c:v>
                </c:pt>
                <c:pt idx="14">
                  <c:v>42.2</c:v>
                </c:pt>
                <c:pt idx="15">
                  <c:v>42.2</c:v>
                </c:pt>
                <c:pt idx="16">
                  <c:v>33.4</c:v>
                </c:pt>
                <c:pt idx="17">
                  <c:v>23.199999999999996</c:v>
                </c:pt>
                <c:pt idx="18" formatCode="0.0">
                  <c:v>0</c:v>
                </c:pt>
                <c:pt idx="19" formatCode="0.0">
                  <c:v>17.5</c:v>
                </c:pt>
                <c:pt idx="20" formatCode="0.0">
                  <c:v>30.9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5B-4E37-AD42-B0A0DD6E168F}"/>
            </c:ext>
          </c:extLst>
        </c:ser>
        <c:ser>
          <c:idx val="5"/>
          <c:order val="5"/>
          <c:tx>
            <c:strRef>
              <c:f>'05'!$AL$21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5B-4E37-AD42-B0A0DD6E1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'05'!$AM$23:$BJ$23</c:f>
              <c:numCache>
                <c:formatCode>General</c:formatCode>
                <c:ptCount val="24"/>
                <c:pt idx="0">
                  <c:v>-530</c:v>
                </c:pt>
                <c:pt idx="1">
                  <c:v>-520</c:v>
                </c:pt>
                <c:pt idx="2">
                  <c:v>-610</c:v>
                </c:pt>
                <c:pt idx="3">
                  <c:v>-635</c:v>
                </c:pt>
                <c:pt idx="4">
                  <c:v>-660</c:v>
                </c:pt>
                <c:pt idx="5">
                  <c:v>-656</c:v>
                </c:pt>
                <c:pt idx="6">
                  <c:v>-540</c:v>
                </c:pt>
                <c:pt idx="7">
                  <c:v>-505</c:v>
                </c:pt>
                <c:pt idx="8">
                  <c:v>-424</c:v>
                </c:pt>
                <c:pt idx="9">
                  <c:v>-409</c:v>
                </c:pt>
                <c:pt idx="10">
                  <c:v>-434</c:v>
                </c:pt>
                <c:pt idx="11">
                  <c:v>-391</c:v>
                </c:pt>
                <c:pt idx="12">
                  <c:v>-415</c:v>
                </c:pt>
                <c:pt idx="13">
                  <c:v>-436</c:v>
                </c:pt>
                <c:pt idx="14">
                  <c:v>-393.1</c:v>
                </c:pt>
                <c:pt idx="15">
                  <c:v>-370</c:v>
                </c:pt>
                <c:pt idx="16">
                  <c:v>-489</c:v>
                </c:pt>
                <c:pt idx="17">
                  <c:v>-482</c:v>
                </c:pt>
                <c:pt idx="18">
                  <c:v>-450</c:v>
                </c:pt>
                <c:pt idx="19">
                  <c:v>-377.1</c:v>
                </c:pt>
                <c:pt idx="20">
                  <c:v>-400</c:v>
                </c:pt>
                <c:pt idx="21">
                  <c:v>-451</c:v>
                </c:pt>
                <c:pt idx="22">
                  <c:v>-451</c:v>
                </c:pt>
                <c:pt idx="23">
                  <c:v>-525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5B-4E37-AD42-B0A0DD6E1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'05'!$AM$22:$BJ$22</c:f>
              <c:numCache>
                <c:formatCode>General</c:formatCode>
                <c:ptCount val="24"/>
                <c:pt idx="0">
                  <c:v>1907.4399999999996</c:v>
                </c:pt>
                <c:pt idx="1">
                  <c:v>1905.2400000000002</c:v>
                </c:pt>
                <c:pt idx="2">
                  <c:v>1908.04</c:v>
                </c:pt>
                <c:pt idx="3">
                  <c:v>1881.9399999999998</c:v>
                </c:pt>
                <c:pt idx="4">
                  <c:v>1900.8400000000001</c:v>
                </c:pt>
                <c:pt idx="5">
                  <c:v>1888.66</c:v>
                </c:pt>
                <c:pt idx="6">
                  <c:v>1893.94</c:v>
                </c:pt>
                <c:pt idx="7">
                  <c:v>1932.0400000000002</c:v>
                </c:pt>
                <c:pt idx="8">
                  <c:v>2041.3400000000001</c:v>
                </c:pt>
                <c:pt idx="9">
                  <c:v>2042.44</c:v>
                </c:pt>
                <c:pt idx="10">
                  <c:v>2037.24</c:v>
                </c:pt>
                <c:pt idx="11">
                  <c:v>2024.24</c:v>
                </c:pt>
                <c:pt idx="12">
                  <c:v>2027.34</c:v>
                </c:pt>
                <c:pt idx="13">
                  <c:v>2036.54</c:v>
                </c:pt>
                <c:pt idx="14">
                  <c:v>2058.14</c:v>
                </c:pt>
                <c:pt idx="15">
                  <c:v>2060.54</c:v>
                </c:pt>
                <c:pt idx="16">
                  <c:v>2117.4400000000005</c:v>
                </c:pt>
                <c:pt idx="17">
                  <c:v>2105.1400000000003</c:v>
                </c:pt>
                <c:pt idx="18">
                  <c:v>2020.94</c:v>
                </c:pt>
                <c:pt idx="19">
                  <c:v>2038.4</c:v>
                </c:pt>
                <c:pt idx="20">
                  <c:v>1969.7400000000002</c:v>
                </c:pt>
                <c:pt idx="21">
                  <c:v>1865.74</c:v>
                </c:pt>
                <c:pt idx="22">
                  <c:v>1865.74</c:v>
                </c:pt>
                <c:pt idx="23">
                  <c:v>1781.3400000000001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F5B-4E37-AD42-B0A0DD6E168F}"/>
            </c:ext>
          </c:extLst>
        </c:ser>
        <c:ser>
          <c:idx val="8"/>
          <c:order val="8"/>
          <c:tx>
            <c:strRef>
              <c:f>'05'!$AL$24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'05'!$AM$24:$BJ$24</c:f>
              <c:numCache>
                <c:formatCode>General</c:formatCode>
                <c:ptCount val="24"/>
                <c:pt idx="0">
                  <c:v>1377.4399999999996</c:v>
                </c:pt>
                <c:pt idx="1">
                  <c:v>1385.2400000000002</c:v>
                </c:pt>
                <c:pt idx="2">
                  <c:v>1298.04</c:v>
                </c:pt>
                <c:pt idx="3">
                  <c:v>1246.9399999999998</c:v>
                </c:pt>
                <c:pt idx="4">
                  <c:v>1240.8400000000001</c:v>
                </c:pt>
                <c:pt idx="5">
                  <c:v>1232.6600000000001</c:v>
                </c:pt>
                <c:pt idx="6">
                  <c:v>1353.94</c:v>
                </c:pt>
                <c:pt idx="7">
                  <c:v>1427.0400000000002</c:v>
                </c:pt>
                <c:pt idx="8">
                  <c:v>1617.3400000000001</c:v>
                </c:pt>
                <c:pt idx="9">
                  <c:v>1633.44</c:v>
                </c:pt>
                <c:pt idx="10">
                  <c:v>1603.24</c:v>
                </c:pt>
                <c:pt idx="11">
                  <c:v>1633.24</c:v>
                </c:pt>
                <c:pt idx="12">
                  <c:v>1612.34</c:v>
                </c:pt>
                <c:pt idx="13">
                  <c:v>1600.54</c:v>
                </c:pt>
                <c:pt idx="14">
                  <c:v>1665.04</c:v>
                </c:pt>
                <c:pt idx="15">
                  <c:v>1690.54</c:v>
                </c:pt>
                <c:pt idx="16">
                  <c:v>1628.4400000000005</c:v>
                </c:pt>
                <c:pt idx="17">
                  <c:v>1623.1400000000003</c:v>
                </c:pt>
                <c:pt idx="18">
                  <c:v>1570.94</c:v>
                </c:pt>
                <c:pt idx="19">
                  <c:v>1661.3000000000002</c:v>
                </c:pt>
                <c:pt idx="20">
                  <c:v>1569.7400000000002</c:v>
                </c:pt>
                <c:pt idx="21">
                  <c:v>1414.74</c:v>
                </c:pt>
                <c:pt idx="22">
                  <c:v>1414.74</c:v>
                </c:pt>
                <c:pt idx="23">
                  <c:v>1256.3400000000001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5B-4E37-AD42-B0A0DD6E1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38-4F0E-8CB1-0D05D88E67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38-4F0E-8CB1-0D05D88E67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38-4F0E-8CB1-0D05D88E67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38-4F0E-8CB1-0D05D88E67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38-4F0E-8CB1-0D05D88E677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738-4F0E-8CB1-0D05D88E677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'06'!$AM$16:$BJ$16</c:f>
              <c:numCache>
                <c:formatCode>General</c:formatCode>
                <c:ptCount val="24"/>
                <c:pt idx="0">
                  <c:v>810.59999999999991</c:v>
                </c:pt>
                <c:pt idx="1">
                  <c:v>810.59999999999991</c:v>
                </c:pt>
                <c:pt idx="2">
                  <c:v>810.59999999999991</c:v>
                </c:pt>
                <c:pt idx="3">
                  <c:v>735.9</c:v>
                </c:pt>
                <c:pt idx="4">
                  <c:v>796.9</c:v>
                </c:pt>
                <c:pt idx="5">
                  <c:v>796.9</c:v>
                </c:pt>
                <c:pt idx="6">
                  <c:v>796.9</c:v>
                </c:pt>
                <c:pt idx="7">
                  <c:v>724.9</c:v>
                </c:pt>
                <c:pt idx="8">
                  <c:v>724.9</c:v>
                </c:pt>
                <c:pt idx="9">
                  <c:v>724.9</c:v>
                </c:pt>
                <c:pt idx="10">
                  <c:v>724.9</c:v>
                </c:pt>
                <c:pt idx="11">
                  <c:v>724.9</c:v>
                </c:pt>
                <c:pt idx="12">
                  <c:v>724.9</c:v>
                </c:pt>
                <c:pt idx="13">
                  <c:v>724.9</c:v>
                </c:pt>
                <c:pt idx="14">
                  <c:v>908.8</c:v>
                </c:pt>
                <c:pt idx="15">
                  <c:v>908.8</c:v>
                </c:pt>
                <c:pt idx="16">
                  <c:v>908.8</c:v>
                </c:pt>
                <c:pt idx="17">
                  <c:v>938.7</c:v>
                </c:pt>
                <c:pt idx="18" formatCode="0.0">
                  <c:v>938.7</c:v>
                </c:pt>
                <c:pt idx="19" formatCode="0.0">
                  <c:v>938.7</c:v>
                </c:pt>
                <c:pt idx="20" formatCode="0.0">
                  <c:v>960.5</c:v>
                </c:pt>
                <c:pt idx="21" formatCode="0.0">
                  <c:v>960.5</c:v>
                </c:pt>
                <c:pt idx="22" formatCode="0.0">
                  <c:v>960.5</c:v>
                </c:pt>
                <c:pt idx="23" formatCode="0.0">
                  <c:v>943.80000000000007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F-4EB3-BDFB-52AB59AEB02E}"/>
            </c:ext>
          </c:extLst>
        </c:ser>
        <c:ser>
          <c:idx val="2"/>
          <c:order val="1"/>
          <c:tx>
            <c:strRef>
              <c:f>'06'!$AL$17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'06'!$AM$17:$BJ$17</c:f>
              <c:numCache>
                <c:formatCode>General</c:formatCode>
                <c:ptCount val="24"/>
                <c:pt idx="0">
                  <c:v>542.5</c:v>
                </c:pt>
                <c:pt idx="1">
                  <c:v>532.5</c:v>
                </c:pt>
                <c:pt idx="2">
                  <c:v>472.5</c:v>
                </c:pt>
                <c:pt idx="3">
                  <c:v>452.5</c:v>
                </c:pt>
                <c:pt idx="4">
                  <c:v>452.5</c:v>
                </c:pt>
                <c:pt idx="5">
                  <c:v>472.5</c:v>
                </c:pt>
                <c:pt idx="6">
                  <c:v>472.5</c:v>
                </c:pt>
                <c:pt idx="7">
                  <c:v>538.5</c:v>
                </c:pt>
                <c:pt idx="8">
                  <c:v>538.5</c:v>
                </c:pt>
                <c:pt idx="9">
                  <c:v>538.5</c:v>
                </c:pt>
                <c:pt idx="10">
                  <c:v>538.5</c:v>
                </c:pt>
                <c:pt idx="11">
                  <c:v>538.5</c:v>
                </c:pt>
                <c:pt idx="12">
                  <c:v>538.5</c:v>
                </c:pt>
                <c:pt idx="13">
                  <c:v>538.5</c:v>
                </c:pt>
                <c:pt idx="14">
                  <c:v>542.79999999999995</c:v>
                </c:pt>
                <c:pt idx="15">
                  <c:v>542.79999999999995</c:v>
                </c:pt>
                <c:pt idx="16">
                  <c:v>542.79999999999995</c:v>
                </c:pt>
                <c:pt idx="17">
                  <c:v>542.79999999999995</c:v>
                </c:pt>
                <c:pt idx="18" formatCode="0.0">
                  <c:v>542.79999999999995</c:v>
                </c:pt>
                <c:pt idx="19" formatCode="0.0">
                  <c:v>542.79999999999995</c:v>
                </c:pt>
                <c:pt idx="20" formatCode="0.0">
                  <c:v>542.79999999999995</c:v>
                </c:pt>
                <c:pt idx="21" formatCode="0.0">
                  <c:v>542.79999999999995</c:v>
                </c:pt>
                <c:pt idx="22" formatCode="0.0">
                  <c:v>542.79999999999995</c:v>
                </c:pt>
                <c:pt idx="23" formatCode="0.0">
                  <c:v>542.79999999999995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F-4EB3-BDFB-52AB59AEB02E}"/>
            </c:ext>
          </c:extLst>
        </c:ser>
        <c:ser>
          <c:idx val="3"/>
          <c:order val="2"/>
          <c:tx>
            <c:strRef>
              <c:f>'06'!$AL$18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'06'!$AM$18:$BJ$18</c:f>
              <c:numCache>
                <c:formatCode>General</c:formatCode>
                <c:ptCount val="24"/>
                <c:pt idx="0">
                  <c:v>296.53999999999996</c:v>
                </c:pt>
                <c:pt idx="1">
                  <c:v>196.54</c:v>
                </c:pt>
                <c:pt idx="2">
                  <c:v>240.54</c:v>
                </c:pt>
                <c:pt idx="3">
                  <c:v>300.53999999999996</c:v>
                </c:pt>
                <c:pt idx="4">
                  <c:v>300.53999999999996</c:v>
                </c:pt>
                <c:pt idx="5">
                  <c:v>296.53999999999996</c:v>
                </c:pt>
                <c:pt idx="6">
                  <c:v>320.13999999999993</c:v>
                </c:pt>
                <c:pt idx="7">
                  <c:v>423.34</c:v>
                </c:pt>
                <c:pt idx="8">
                  <c:v>424.03999999999996</c:v>
                </c:pt>
                <c:pt idx="9">
                  <c:v>424.03999999999996</c:v>
                </c:pt>
                <c:pt idx="10">
                  <c:v>424.03999999999996</c:v>
                </c:pt>
                <c:pt idx="11">
                  <c:v>424.03999999999996</c:v>
                </c:pt>
                <c:pt idx="12">
                  <c:v>424.03999999999996</c:v>
                </c:pt>
                <c:pt idx="13">
                  <c:v>424.03999999999996</c:v>
                </c:pt>
                <c:pt idx="14">
                  <c:v>435.34</c:v>
                </c:pt>
                <c:pt idx="15">
                  <c:v>434.34</c:v>
                </c:pt>
                <c:pt idx="16">
                  <c:v>431.34</c:v>
                </c:pt>
                <c:pt idx="17">
                  <c:v>429.44</c:v>
                </c:pt>
                <c:pt idx="18" formatCode="0.0">
                  <c:v>421.64</c:v>
                </c:pt>
                <c:pt idx="19" formatCode="0.0">
                  <c:v>414.29999999999995</c:v>
                </c:pt>
                <c:pt idx="20" formatCode="0.0">
                  <c:v>420.94</c:v>
                </c:pt>
                <c:pt idx="21" formatCode="0.0">
                  <c:v>420.94</c:v>
                </c:pt>
                <c:pt idx="22" formatCode="0.0">
                  <c:v>420.94</c:v>
                </c:pt>
                <c:pt idx="23" formatCode="0.0">
                  <c:v>420.94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F-4EB3-BDFB-52AB59AEB02E}"/>
            </c:ext>
          </c:extLst>
        </c:ser>
        <c:ser>
          <c:idx val="0"/>
          <c:order val="3"/>
          <c:tx>
            <c:strRef>
              <c:f>'06'!$AL$19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</c:v>
                </c:pt>
                <c:pt idx="12">
                  <c:v>30</c:v>
                </c:pt>
                <c:pt idx="13">
                  <c:v>8</c:v>
                </c:pt>
                <c:pt idx="14">
                  <c:v>7.8</c:v>
                </c:pt>
                <c:pt idx="15">
                  <c:v>12.9</c:v>
                </c:pt>
                <c:pt idx="16">
                  <c:v>44.5</c:v>
                </c:pt>
                <c:pt idx="17">
                  <c:v>58</c:v>
                </c:pt>
                <c:pt idx="18" formatCode="0.0">
                  <c:v>49</c:v>
                </c:pt>
                <c:pt idx="19" formatCode="0.0">
                  <c:v>1.6</c:v>
                </c:pt>
                <c:pt idx="20" formatCode="0.0">
                  <c:v>64</c:v>
                </c:pt>
                <c:pt idx="21" formatCode="0.0">
                  <c:v>60.1</c:v>
                </c:pt>
                <c:pt idx="22" formatCode="0.0">
                  <c:v>64</c:v>
                </c:pt>
                <c:pt idx="23" formatCode="0.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F-4EB3-BDFB-52AB59AEB02E}"/>
            </c:ext>
          </c:extLst>
        </c:ser>
        <c:ser>
          <c:idx val="4"/>
          <c:order val="4"/>
          <c:tx>
            <c:strRef>
              <c:f>'06'!$AL$20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60.8</c:v>
                </c:pt>
                <c:pt idx="15">
                  <c:v>60.8</c:v>
                </c:pt>
                <c:pt idx="16">
                  <c:v>62.2</c:v>
                </c:pt>
                <c:pt idx="17">
                  <c:v>62.2</c:v>
                </c:pt>
                <c:pt idx="18" formatCode="0.0">
                  <c:v>15.9</c:v>
                </c:pt>
                <c:pt idx="19" formatCode="0.0">
                  <c:v>45</c:v>
                </c:pt>
                <c:pt idx="20" formatCode="0.0">
                  <c:v>63</c:v>
                </c:pt>
                <c:pt idx="21" formatCode="0.0">
                  <c:v>48.4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3F-4EB3-BDFB-52AB59AEB02E}"/>
            </c:ext>
          </c:extLst>
        </c:ser>
        <c:ser>
          <c:idx val="5"/>
          <c:order val="5"/>
          <c:tx>
            <c:strRef>
              <c:f>'06'!$AL$21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3F-4EB3-BDFB-52AB59AE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'06'!$AM$23:$BJ$23</c:f>
              <c:numCache>
                <c:formatCode>General</c:formatCode>
                <c:ptCount val="24"/>
                <c:pt idx="0">
                  <c:v>-570</c:v>
                </c:pt>
                <c:pt idx="1">
                  <c:v>-650</c:v>
                </c:pt>
                <c:pt idx="2">
                  <c:v>-680</c:v>
                </c:pt>
                <c:pt idx="3">
                  <c:v>-707</c:v>
                </c:pt>
                <c:pt idx="4">
                  <c:v>-663.6</c:v>
                </c:pt>
                <c:pt idx="5">
                  <c:v>-677</c:v>
                </c:pt>
                <c:pt idx="6">
                  <c:v>-635</c:v>
                </c:pt>
                <c:pt idx="7">
                  <c:v>-577</c:v>
                </c:pt>
                <c:pt idx="8">
                  <c:v>-524</c:v>
                </c:pt>
                <c:pt idx="9">
                  <c:v>-435</c:v>
                </c:pt>
                <c:pt idx="10">
                  <c:v>-440</c:v>
                </c:pt>
                <c:pt idx="11">
                  <c:v>-427</c:v>
                </c:pt>
                <c:pt idx="12">
                  <c:v>-465</c:v>
                </c:pt>
                <c:pt idx="13">
                  <c:v>-470</c:v>
                </c:pt>
                <c:pt idx="14">
                  <c:v>-484</c:v>
                </c:pt>
                <c:pt idx="15">
                  <c:v>-441</c:v>
                </c:pt>
                <c:pt idx="16">
                  <c:v>-456.4</c:v>
                </c:pt>
                <c:pt idx="17">
                  <c:v>-480</c:v>
                </c:pt>
                <c:pt idx="18">
                  <c:v>-493</c:v>
                </c:pt>
                <c:pt idx="19">
                  <c:v>-444</c:v>
                </c:pt>
                <c:pt idx="20">
                  <c:v>-444</c:v>
                </c:pt>
                <c:pt idx="21">
                  <c:v>-448</c:v>
                </c:pt>
                <c:pt idx="22">
                  <c:v>-478</c:v>
                </c:pt>
                <c:pt idx="23">
                  <c:v>-480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3F-4EB3-BDFB-52AB59AE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'06'!$AM$22:$BJ$22</c:f>
              <c:numCache>
                <c:formatCode>General</c:formatCode>
                <c:ptCount val="24"/>
                <c:pt idx="0">
                  <c:v>1649.6399999999999</c:v>
                </c:pt>
                <c:pt idx="1">
                  <c:v>1539.6399999999999</c:v>
                </c:pt>
                <c:pt idx="2">
                  <c:v>1523.6399999999999</c:v>
                </c:pt>
                <c:pt idx="3">
                  <c:v>1488.94</c:v>
                </c:pt>
                <c:pt idx="4">
                  <c:v>1549.94</c:v>
                </c:pt>
                <c:pt idx="5">
                  <c:v>1565.94</c:v>
                </c:pt>
                <c:pt idx="6">
                  <c:v>1589.54</c:v>
                </c:pt>
                <c:pt idx="7">
                  <c:v>1686.74</c:v>
                </c:pt>
                <c:pt idx="8">
                  <c:v>1687.44</c:v>
                </c:pt>
                <c:pt idx="9">
                  <c:v>1687.44</c:v>
                </c:pt>
                <c:pt idx="10">
                  <c:v>1687.44</c:v>
                </c:pt>
                <c:pt idx="11">
                  <c:v>1708.44</c:v>
                </c:pt>
                <c:pt idx="12">
                  <c:v>1717.44</c:v>
                </c:pt>
                <c:pt idx="13">
                  <c:v>1695.44</c:v>
                </c:pt>
                <c:pt idx="14">
                  <c:v>1955.5399999999997</c:v>
                </c:pt>
                <c:pt idx="15">
                  <c:v>1959.6399999999999</c:v>
                </c:pt>
                <c:pt idx="16">
                  <c:v>1989.6399999999999</c:v>
                </c:pt>
                <c:pt idx="17">
                  <c:v>2031.14</c:v>
                </c:pt>
                <c:pt idx="18">
                  <c:v>1968.04</c:v>
                </c:pt>
                <c:pt idx="19">
                  <c:v>1942.3999999999999</c:v>
                </c:pt>
                <c:pt idx="20">
                  <c:v>2051.2399999999998</c:v>
                </c:pt>
                <c:pt idx="21">
                  <c:v>2032.74</c:v>
                </c:pt>
                <c:pt idx="22">
                  <c:v>1988.24</c:v>
                </c:pt>
                <c:pt idx="23">
                  <c:v>1971.54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43F-4EB3-BDFB-52AB59AEB02E}"/>
            </c:ext>
          </c:extLst>
        </c:ser>
        <c:ser>
          <c:idx val="8"/>
          <c:order val="8"/>
          <c:tx>
            <c:strRef>
              <c:f>'06'!$AL$24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'06'!$AM$24:$BJ$24</c:f>
              <c:numCache>
                <c:formatCode>General</c:formatCode>
                <c:ptCount val="24"/>
                <c:pt idx="0">
                  <c:v>1079.6399999999999</c:v>
                </c:pt>
                <c:pt idx="1">
                  <c:v>889.63999999999987</c:v>
                </c:pt>
                <c:pt idx="2">
                  <c:v>843.63999999999987</c:v>
                </c:pt>
                <c:pt idx="3">
                  <c:v>781.94</c:v>
                </c:pt>
                <c:pt idx="4">
                  <c:v>886.34</c:v>
                </c:pt>
                <c:pt idx="5">
                  <c:v>888.94</c:v>
                </c:pt>
                <c:pt idx="6">
                  <c:v>954.54</c:v>
                </c:pt>
                <c:pt idx="7">
                  <c:v>1109.74</c:v>
                </c:pt>
                <c:pt idx="8">
                  <c:v>1163.44</c:v>
                </c:pt>
                <c:pt idx="9">
                  <c:v>1252.44</c:v>
                </c:pt>
                <c:pt idx="10">
                  <c:v>1247.44</c:v>
                </c:pt>
                <c:pt idx="11">
                  <c:v>1281.44</c:v>
                </c:pt>
                <c:pt idx="12">
                  <c:v>1252.44</c:v>
                </c:pt>
                <c:pt idx="13">
                  <c:v>1225.44</c:v>
                </c:pt>
                <c:pt idx="14">
                  <c:v>1471.5399999999997</c:v>
                </c:pt>
                <c:pt idx="15">
                  <c:v>1518.6399999999999</c:v>
                </c:pt>
                <c:pt idx="16">
                  <c:v>1533.2399999999998</c:v>
                </c:pt>
                <c:pt idx="17">
                  <c:v>1551.14</c:v>
                </c:pt>
                <c:pt idx="18">
                  <c:v>1475.04</c:v>
                </c:pt>
                <c:pt idx="19">
                  <c:v>1498.3999999999999</c:v>
                </c:pt>
                <c:pt idx="20">
                  <c:v>1607.2399999999998</c:v>
                </c:pt>
                <c:pt idx="21">
                  <c:v>1584.74</c:v>
                </c:pt>
                <c:pt idx="22">
                  <c:v>1510.24</c:v>
                </c:pt>
                <c:pt idx="23">
                  <c:v>1491.54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3F-4EB3-BDFB-52AB59AE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6C-4FE0-BCB4-AE94F82361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6C-4FE0-BCB4-AE94F82361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6C-4FE0-BCB4-AE94F82361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6C-4FE0-BCB4-AE94F82361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6C-4FE0-BCB4-AE94F82361F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66C-4FE0-BCB4-AE94F82361F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'07'!$AM$16:$BJ$16</c:f>
              <c:numCache>
                <c:formatCode>General</c:formatCode>
                <c:ptCount val="24"/>
                <c:pt idx="0">
                  <c:v>948.7</c:v>
                </c:pt>
                <c:pt idx="1">
                  <c:v>150</c:v>
                </c:pt>
                <c:pt idx="2">
                  <c:v>949.7</c:v>
                </c:pt>
                <c:pt idx="3">
                  <c:v>948.3</c:v>
                </c:pt>
                <c:pt idx="4">
                  <c:v>976.50000000000011</c:v>
                </c:pt>
                <c:pt idx="5">
                  <c:v>989.90000000000009</c:v>
                </c:pt>
                <c:pt idx="6">
                  <c:v>989.90000000000009</c:v>
                </c:pt>
                <c:pt idx="7">
                  <c:v>150</c:v>
                </c:pt>
                <c:pt idx="8">
                  <c:v>1027.5</c:v>
                </c:pt>
                <c:pt idx="9">
                  <c:v>1010.1</c:v>
                </c:pt>
                <c:pt idx="10">
                  <c:v>1017.0999999999999</c:v>
                </c:pt>
                <c:pt idx="11">
                  <c:v>948.5</c:v>
                </c:pt>
                <c:pt idx="12">
                  <c:v>948.5</c:v>
                </c:pt>
                <c:pt idx="13">
                  <c:v>948.5</c:v>
                </c:pt>
                <c:pt idx="14">
                  <c:v>948.5</c:v>
                </c:pt>
                <c:pt idx="15">
                  <c:v>1018.2</c:v>
                </c:pt>
                <c:pt idx="16">
                  <c:v>1018.2</c:v>
                </c:pt>
                <c:pt idx="17">
                  <c:v>1018.2</c:v>
                </c:pt>
                <c:pt idx="18" formatCode="0.0">
                  <c:v>1018.2</c:v>
                </c:pt>
                <c:pt idx="19" formatCode="0.0">
                  <c:v>1018.2</c:v>
                </c:pt>
                <c:pt idx="20" formatCode="0.0">
                  <c:v>1035.6999999999998</c:v>
                </c:pt>
                <c:pt idx="21" formatCode="0.0">
                  <c:v>1035.6999999999998</c:v>
                </c:pt>
                <c:pt idx="22" formatCode="0.0">
                  <c:v>1035.6999999999998</c:v>
                </c:pt>
                <c:pt idx="23" formatCode="0.0">
                  <c:v>1035.6999999999998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B-4DF4-8CAD-36127F97958F}"/>
            </c:ext>
          </c:extLst>
        </c:ser>
        <c:ser>
          <c:idx val="2"/>
          <c:order val="1"/>
          <c:tx>
            <c:strRef>
              <c:f>'07'!$AL$17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'07'!$AM$17:$BJ$17</c:f>
              <c:numCache>
                <c:formatCode>General</c:formatCode>
                <c:ptCount val="24"/>
                <c:pt idx="0">
                  <c:v>542.79999999999995</c:v>
                </c:pt>
                <c:pt idx="1">
                  <c:v>0</c:v>
                </c:pt>
                <c:pt idx="2">
                  <c:v>542.79999999999995</c:v>
                </c:pt>
                <c:pt idx="3">
                  <c:v>542.79999999999995</c:v>
                </c:pt>
                <c:pt idx="4">
                  <c:v>542.79999999999995</c:v>
                </c:pt>
                <c:pt idx="5">
                  <c:v>542.79999999999995</c:v>
                </c:pt>
                <c:pt idx="6">
                  <c:v>542.79999999999995</c:v>
                </c:pt>
                <c:pt idx="7">
                  <c:v>0</c:v>
                </c:pt>
                <c:pt idx="8">
                  <c:v>542.4</c:v>
                </c:pt>
                <c:pt idx="9">
                  <c:v>542.4</c:v>
                </c:pt>
                <c:pt idx="10">
                  <c:v>542.4</c:v>
                </c:pt>
                <c:pt idx="11">
                  <c:v>542.4</c:v>
                </c:pt>
                <c:pt idx="12">
                  <c:v>542.4</c:v>
                </c:pt>
                <c:pt idx="13">
                  <c:v>542.4</c:v>
                </c:pt>
                <c:pt idx="14">
                  <c:v>542.4</c:v>
                </c:pt>
                <c:pt idx="15">
                  <c:v>542.4</c:v>
                </c:pt>
                <c:pt idx="16">
                  <c:v>542.4</c:v>
                </c:pt>
                <c:pt idx="17">
                  <c:v>542.4</c:v>
                </c:pt>
                <c:pt idx="18" formatCode="0.0">
                  <c:v>542.4</c:v>
                </c:pt>
                <c:pt idx="19" formatCode="0.0">
                  <c:v>542.4</c:v>
                </c:pt>
                <c:pt idx="20" formatCode="0.0">
                  <c:v>542.20000000000005</c:v>
                </c:pt>
                <c:pt idx="21" formatCode="0.0">
                  <c:v>542.20000000000005</c:v>
                </c:pt>
                <c:pt idx="22" formatCode="0.0">
                  <c:v>542.20000000000005</c:v>
                </c:pt>
                <c:pt idx="23" formatCode="0.0">
                  <c:v>542.20000000000005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B-4DF4-8CAD-36127F97958F}"/>
            </c:ext>
          </c:extLst>
        </c:ser>
        <c:ser>
          <c:idx val="3"/>
          <c:order val="2"/>
          <c:tx>
            <c:strRef>
              <c:f>'07'!$AL$18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'07'!$AM$18:$BJ$18</c:f>
              <c:numCache>
                <c:formatCode>General</c:formatCode>
                <c:ptCount val="24"/>
                <c:pt idx="0">
                  <c:v>420.94</c:v>
                </c:pt>
                <c:pt idx="1">
                  <c:v>3.54</c:v>
                </c:pt>
                <c:pt idx="2">
                  <c:v>420.94</c:v>
                </c:pt>
                <c:pt idx="3">
                  <c:v>420.94</c:v>
                </c:pt>
                <c:pt idx="4">
                  <c:v>420.94</c:v>
                </c:pt>
                <c:pt idx="5">
                  <c:v>420.94</c:v>
                </c:pt>
                <c:pt idx="6">
                  <c:v>412.84</c:v>
                </c:pt>
                <c:pt idx="7">
                  <c:v>3.54</c:v>
                </c:pt>
                <c:pt idx="8">
                  <c:v>420.34</c:v>
                </c:pt>
                <c:pt idx="9">
                  <c:v>428.03999999999996</c:v>
                </c:pt>
                <c:pt idx="10">
                  <c:v>427.34</c:v>
                </c:pt>
                <c:pt idx="11">
                  <c:v>427.34</c:v>
                </c:pt>
                <c:pt idx="12">
                  <c:v>425.13999999999993</c:v>
                </c:pt>
                <c:pt idx="13">
                  <c:v>416.34</c:v>
                </c:pt>
                <c:pt idx="14">
                  <c:v>420.03999999999996</c:v>
                </c:pt>
                <c:pt idx="15">
                  <c:v>416.43999999999994</c:v>
                </c:pt>
                <c:pt idx="16">
                  <c:v>413.73999999999995</c:v>
                </c:pt>
                <c:pt idx="17">
                  <c:v>406.73999999999995</c:v>
                </c:pt>
                <c:pt idx="18" formatCode="0.0">
                  <c:v>407.34</c:v>
                </c:pt>
                <c:pt idx="19" formatCode="0.0">
                  <c:v>405.53999999999996</c:v>
                </c:pt>
                <c:pt idx="20" formatCode="0.0">
                  <c:v>413.43999999999994</c:v>
                </c:pt>
                <c:pt idx="21" formatCode="0.0">
                  <c:v>413.43999999999994</c:v>
                </c:pt>
                <c:pt idx="22" formatCode="0.0">
                  <c:v>413.43999999999994</c:v>
                </c:pt>
                <c:pt idx="23" formatCode="0.0">
                  <c:v>413.43999999999994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B-4DF4-8CAD-36127F97958F}"/>
            </c:ext>
          </c:extLst>
        </c:ser>
        <c:ser>
          <c:idx val="0"/>
          <c:order val="3"/>
          <c:tx>
            <c:strRef>
              <c:f>'07'!$AL$19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'07'!$AM$19:$BJ$19</c:f>
              <c:numCache>
                <c:formatCode>General</c:formatCode>
                <c:ptCount val="24"/>
                <c:pt idx="0">
                  <c:v>51.7</c:v>
                </c:pt>
                <c:pt idx="1">
                  <c:v>50</c:v>
                </c:pt>
                <c:pt idx="2">
                  <c:v>25</c:v>
                </c:pt>
                <c:pt idx="3">
                  <c:v>28.3</c:v>
                </c:pt>
                <c:pt idx="4">
                  <c:v>26.7</c:v>
                </c:pt>
                <c:pt idx="5">
                  <c:v>23.7</c:v>
                </c:pt>
                <c:pt idx="6">
                  <c:v>30</c:v>
                </c:pt>
                <c:pt idx="7">
                  <c:v>0</c:v>
                </c:pt>
                <c:pt idx="8">
                  <c:v>23</c:v>
                </c:pt>
                <c:pt idx="9">
                  <c:v>0</c:v>
                </c:pt>
                <c:pt idx="10">
                  <c:v>64</c:v>
                </c:pt>
                <c:pt idx="11">
                  <c:v>79.099999999999994</c:v>
                </c:pt>
                <c:pt idx="12">
                  <c:v>84</c:v>
                </c:pt>
                <c:pt idx="13">
                  <c:v>113.3</c:v>
                </c:pt>
                <c:pt idx="14">
                  <c:v>100.4</c:v>
                </c:pt>
                <c:pt idx="15">
                  <c:v>72.900000000000006</c:v>
                </c:pt>
                <c:pt idx="16">
                  <c:v>73.3</c:v>
                </c:pt>
                <c:pt idx="17">
                  <c:v>67.7</c:v>
                </c:pt>
                <c:pt idx="18" formatCode="0.0">
                  <c:v>48.5</c:v>
                </c:pt>
                <c:pt idx="19" formatCode="0.0">
                  <c:v>39.200000000000003</c:v>
                </c:pt>
                <c:pt idx="20" formatCode="0.0">
                  <c:v>34.200000000000003</c:v>
                </c:pt>
                <c:pt idx="21" formatCode="0.0">
                  <c:v>44.2</c:v>
                </c:pt>
                <c:pt idx="22" formatCode="0.0">
                  <c:v>55</c:v>
                </c:pt>
                <c:pt idx="23" formatCode="0.0">
                  <c:v>52.699999999999996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0B-4DF4-8CAD-36127F97958F}"/>
            </c:ext>
          </c:extLst>
        </c:ser>
        <c:ser>
          <c:idx val="4"/>
          <c:order val="4"/>
          <c:tx>
            <c:strRef>
              <c:f>'07'!$AL$20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41.1</c:v>
                </c:pt>
                <c:pt idx="9">
                  <c:v>42.5</c:v>
                </c:pt>
                <c:pt idx="10">
                  <c:v>42.5</c:v>
                </c:pt>
                <c:pt idx="11">
                  <c:v>41.699999999999996</c:v>
                </c:pt>
                <c:pt idx="12">
                  <c:v>41.699999999999996</c:v>
                </c:pt>
                <c:pt idx="13">
                  <c:v>41.699999999999996</c:v>
                </c:pt>
                <c:pt idx="14">
                  <c:v>40.699999999999996</c:v>
                </c:pt>
                <c:pt idx="15">
                  <c:v>40.299999999999997</c:v>
                </c:pt>
                <c:pt idx="16">
                  <c:v>41.599999999999994</c:v>
                </c:pt>
                <c:pt idx="17">
                  <c:v>41.599999999999994</c:v>
                </c:pt>
                <c:pt idx="18" formatCode="0.0">
                  <c:v>41.599999999999994</c:v>
                </c:pt>
                <c:pt idx="19" formatCode="0.0">
                  <c:v>41.599999999999994</c:v>
                </c:pt>
                <c:pt idx="20" formatCode="0.0">
                  <c:v>65.7</c:v>
                </c:pt>
                <c:pt idx="21" formatCode="0.0">
                  <c:v>65.7</c:v>
                </c:pt>
                <c:pt idx="22" formatCode="0.0">
                  <c:v>33.799999999999997</c:v>
                </c:pt>
                <c:pt idx="23" formatCode="0.0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B-4DF4-8CAD-36127F97958F}"/>
            </c:ext>
          </c:extLst>
        </c:ser>
        <c:ser>
          <c:idx val="5"/>
          <c:order val="5"/>
          <c:tx>
            <c:strRef>
              <c:f>'07'!$AL$21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0B-4DF4-8CAD-36127F979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'07'!$AM$23:$BJ$23</c:f>
              <c:numCache>
                <c:formatCode>General</c:formatCode>
                <c:ptCount val="24"/>
                <c:pt idx="0">
                  <c:v>-519</c:v>
                </c:pt>
                <c:pt idx="1">
                  <c:v>0</c:v>
                </c:pt>
                <c:pt idx="2">
                  <c:v>-594</c:v>
                </c:pt>
                <c:pt idx="3">
                  <c:v>-602.6</c:v>
                </c:pt>
                <c:pt idx="4">
                  <c:v>-618.79999999999995</c:v>
                </c:pt>
                <c:pt idx="5">
                  <c:v>-644.9</c:v>
                </c:pt>
                <c:pt idx="6">
                  <c:v>-621.4</c:v>
                </c:pt>
                <c:pt idx="7">
                  <c:v>0</c:v>
                </c:pt>
                <c:pt idx="8">
                  <c:v>-460.7</c:v>
                </c:pt>
                <c:pt idx="9">
                  <c:v>-483</c:v>
                </c:pt>
                <c:pt idx="10">
                  <c:v>-472.7</c:v>
                </c:pt>
                <c:pt idx="11">
                  <c:v>-420</c:v>
                </c:pt>
                <c:pt idx="12">
                  <c:v>-340</c:v>
                </c:pt>
                <c:pt idx="13">
                  <c:v>-410</c:v>
                </c:pt>
                <c:pt idx="14">
                  <c:v>-452.9</c:v>
                </c:pt>
                <c:pt idx="15">
                  <c:v>-456</c:v>
                </c:pt>
                <c:pt idx="16">
                  <c:v>-450.3</c:v>
                </c:pt>
                <c:pt idx="17">
                  <c:v>-483.2</c:v>
                </c:pt>
                <c:pt idx="18">
                  <c:v>-517</c:v>
                </c:pt>
                <c:pt idx="19">
                  <c:v>-481.8</c:v>
                </c:pt>
                <c:pt idx="20">
                  <c:v>-434.8</c:v>
                </c:pt>
                <c:pt idx="21">
                  <c:v>-434</c:v>
                </c:pt>
                <c:pt idx="22">
                  <c:v>-438</c:v>
                </c:pt>
                <c:pt idx="23">
                  <c:v>-424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0B-4DF4-8CAD-36127F979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'07'!$AM$22:$BJ$22</c:f>
              <c:numCache>
                <c:formatCode>General</c:formatCode>
                <c:ptCount val="24"/>
                <c:pt idx="0">
                  <c:v>1964.14</c:v>
                </c:pt>
                <c:pt idx="1">
                  <c:v>203.54</c:v>
                </c:pt>
                <c:pt idx="2">
                  <c:v>1938.44</c:v>
                </c:pt>
                <c:pt idx="3">
                  <c:v>1940.34</c:v>
                </c:pt>
                <c:pt idx="4">
                  <c:v>1966.9400000000003</c:v>
                </c:pt>
                <c:pt idx="5">
                  <c:v>1977.3400000000001</c:v>
                </c:pt>
                <c:pt idx="6">
                  <c:v>1975.54</c:v>
                </c:pt>
                <c:pt idx="7">
                  <c:v>153.54</c:v>
                </c:pt>
                <c:pt idx="8">
                  <c:v>2054.34</c:v>
                </c:pt>
                <c:pt idx="9">
                  <c:v>2023.04</c:v>
                </c:pt>
                <c:pt idx="10">
                  <c:v>2093.34</c:v>
                </c:pt>
                <c:pt idx="11">
                  <c:v>2039.04</c:v>
                </c:pt>
                <c:pt idx="12">
                  <c:v>2041.74</c:v>
                </c:pt>
                <c:pt idx="13">
                  <c:v>2062.2399999999998</c:v>
                </c:pt>
                <c:pt idx="14">
                  <c:v>2052.04</c:v>
                </c:pt>
                <c:pt idx="15">
                  <c:v>2090.2400000000002</c:v>
                </c:pt>
                <c:pt idx="16">
                  <c:v>2089.2399999999998</c:v>
                </c:pt>
                <c:pt idx="17">
                  <c:v>2076.64</c:v>
                </c:pt>
                <c:pt idx="18">
                  <c:v>2058.04</c:v>
                </c:pt>
                <c:pt idx="19">
                  <c:v>2196.9399999999996</c:v>
                </c:pt>
                <c:pt idx="20">
                  <c:v>2091.2399999999998</c:v>
                </c:pt>
                <c:pt idx="21">
                  <c:v>2101.2399999999998</c:v>
                </c:pt>
                <c:pt idx="22">
                  <c:v>2080.14</c:v>
                </c:pt>
                <c:pt idx="23">
                  <c:v>2077.8399999999997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90B-4DF4-8CAD-36127F97958F}"/>
            </c:ext>
          </c:extLst>
        </c:ser>
        <c:ser>
          <c:idx val="8"/>
          <c:order val="8"/>
          <c:tx>
            <c:strRef>
              <c:f>'07'!$AL$24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'07'!$AM$24:$BJ$24</c:f>
              <c:numCache>
                <c:formatCode>General</c:formatCode>
                <c:ptCount val="24"/>
                <c:pt idx="0">
                  <c:v>1445.14</c:v>
                </c:pt>
                <c:pt idx="1">
                  <c:v>203.54</c:v>
                </c:pt>
                <c:pt idx="2">
                  <c:v>1344.44</c:v>
                </c:pt>
                <c:pt idx="3">
                  <c:v>1337.7399999999998</c:v>
                </c:pt>
                <c:pt idx="4">
                  <c:v>1348.1400000000003</c:v>
                </c:pt>
                <c:pt idx="5">
                  <c:v>1332.44</c:v>
                </c:pt>
                <c:pt idx="6">
                  <c:v>1354.1399999999999</c:v>
                </c:pt>
                <c:pt idx="7">
                  <c:v>153.54</c:v>
                </c:pt>
                <c:pt idx="8">
                  <c:v>1593.64</c:v>
                </c:pt>
                <c:pt idx="9">
                  <c:v>1540.04</c:v>
                </c:pt>
                <c:pt idx="10">
                  <c:v>1620.64</c:v>
                </c:pt>
                <c:pt idx="11">
                  <c:v>1619.04</c:v>
                </c:pt>
                <c:pt idx="12">
                  <c:v>1701.74</c:v>
                </c:pt>
                <c:pt idx="13">
                  <c:v>1652.2399999999998</c:v>
                </c:pt>
                <c:pt idx="14">
                  <c:v>1599.1399999999999</c:v>
                </c:pt>
                <c:pt idx="15">
                  <c:v>1634.2400000000002</c:v>
                </c:pt>
                <c:pt idx="16">
                  <c:v>1638.9399999999998</c:v>
                </c:pt>
                <c:pt idx="17">
                  <c:v>1593.4399999999998</c:v>
                </c:pt>
                <c:pt idx="18">
                  <c:v>1541.04</c:v>
                </c:pt>
                <c:pt idx="19">
                  <c:v>1715.1399999999996</c:v>
                </c:pt>
                <c:pt idx="20">
                  <c:v>1656.4399999999998</c:v>
                </c:pt>
                <c:pt idx="21">
                  <c:v>1667.2399999999998</c:v>
                </c:pt>
                <c:pt idx="22">
                  <c:v>1642.1399999999999</c:v>
                </c:pt>
                <c:pt idx="23">
                  <c:v>1653.8399999999997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0B-4DF4-8CAD-36127F979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61-4F6C-A94A-E28ABAAB60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61-4F6C-A94A-E28ABAAB60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61-4F6C-A94A-E28ABAAB60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61-4F6C-A94A-E28ABAAB60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61-4F6C-A94A-E28ABAAB60A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C61-4F6C-A94A-E28ABAAB60A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'08'!$AM$16:$BJ$16</c:f>
              <c:numCache>
                <c:formatCode>General</c:formatCode>
                <c:ptCount val="24"/>
                <c:pt idx="0">
                  <c:v>1035.6999999999998</c:v>
                </c:pt>
                <c:pt idx="1">
                  <c:v>1035.6999999999998</c:v>
                </c:pt>
                <c:pt idx="2">
                  <c:v>1035.6999999999998</c:v>
                </c:pt>
                <c:pt idx="3">
                  <c:v>974.8</c:v>
                </c:pt>
                <c:pt idx="4">
                  <c:v>974.8</c:v>
                </c:pt>
                <c:pt idx="5">
                  <c:v>974.8</c:v>
                </c:pt>
                <c:pt idx="6">
                  <c:v>974.8</c:v>
                </c:pt>
                <c:pt idx="7">
                  <c:v>941.59999999999991</c:v>
                </c:pt>
                <c:pt idx="8">
                  <c:v>947.8</c:v>
                </c:pt>
                <c:pt idx="9">
                  <c:v>985.3</c:v>
                </c:pt>
                <c:pt idx="10">
                  <c:v>977</c:v>
                </c:pt>
                <c:pt idx="11">
                  <c:v>953.6</c:v>
                </c:pt>
                <c:pt idx="12">
                  <c:v>953.6</c:v>
                </c:pt>
                <c:pt idx="13">
                  <c:v>953.6</c:v>
                </c:pt>
                <c:pt idx="14">
                  <c:v>956.80000000000007</c:v>
                </c:pt>
                <c:pt idx="15">
                  <c:v>937.2</c:v>
                </c:pt>
                <c:pt idx="16">
                  <c:v>879.50000000000011</c:v>
                </c:pt>
                <c:pt idx="17">
                  <c:v>884.50000000000011</c:v>
                </c:pt>
                <c:pt idx="18" formatCode="0.0">
                  <c:v>912</c:v>
                </c:pt>
                <c:pt idx="19" formatCode="0.0">
                  <c:v>911.2</c:v>
                </c:pt>
                <c:pt idx="20" formatCode="0.0">
                  <c:v>975.19999999999993</c:v>
                </c:pt>
                <c:pt idx="21" formatCode="0.0">
                  <c:v>975.19999999999993</c:v>
                </c:pt>
                <c:pt idx="22" formatCode="0.0">
                  <c:v>975.19999999999993</c:v>
                </c:pt>
                <c:pt idx="23" formatCode="0.0">
                  <c:v>975.19999999999993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4-4975-86EA-1B8C90F3C7A3}"/>
            </c:ext>
          </c:extLst>
        </c:ser>
        <c:ser>
          <c:idx val="2"/>
          <c:order val="1"/>
          <c:tx>
            <c:strRef>
              <c:f>'08'!$AL$17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'08'!$AM$17:$BJ$17</c:f>
              <c:numCache>
                <c:formatCode>General</c:formatCode>
                <c:ptCount val="24"/>
                <c:pt idx="0">
                  <c:v>542.20000000000005</c:v>
                </c:pt>
                <c:pt idx="1">
                  <c:v>542.20000000000005</c:v>
                </c:pt>
                <c:pt idx="2">
                  <c:v>542.20000000000005</c:v>
                </c:pt>
                <c:pt idx="3">
                  <c:v>542.6</c:v>
                </c:pt>
                <c:pt idx="4">
                  <c:v>542.6</c:v>
                </c:pt>
                <c:pt idx="5">
                  <c:v>542.6</c:v>
                </c:pt>
                <c:pt idx="6">
                  <c:v>542.6</c:v>
                </c:pt>
                <c:pt idx="7">
                  <c:v>542.9</c:v>
                </c:pt>
                <c:pt idx="8">
                  <c:v>542.9</c:v>
                </c:pt>
                <c:pt idx="9">
                  <c:v>542.6</c:v>
                </c:pt>
                <c:pt idx="10">
                  <c:v>542.6</c:v>
                </c:pt>
                <c:pt idx="11">
                  <c:v>542.6</c:v>
                </c:pt>
                <c:pt idx="12">
                  <c:v>542.6</c:v>
                </c:pt>
                <c:pt idx="13">
                  <c:v>542.6</c:v>
                </c:pt>
                <c:pt idx="14">
                  <c:v>541.5</c:v>
                </c:pt>
                <c:pt idx="15">
                  <c:v>541.6</c:v>
                </c:pt>
                <c:pt idx="16">
                  <c:v>541.6</c:v>
                </c:pt>
                <c:pt idx="17">
                  <c:v>541.6</c:v>
                </c:pt>
                <c:pt idx="18" formatCode="0.0">
                  <c:v>522.6</c:v>
                </c:pt>
                <c:pt idx="19" formatCode="0.0">
                  <c:v>541.6</c:v>
                </c:pt>
                <c:pt idx="20" formatCode="0.0">
                  <c:v>542</c:v>
                </c:pt>
                <c:pt idx="21" formatCode="0.0">
                  <c:v>542</c:v>
                </c:pt>
                <c:pt idx="22" formatCode="0.0">
                  <c:v>542</c:v>
                </c:pt>
                <c:pt idx="23" formatCode="0.0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4-4975-86EA-1B8C90F3C7A3}"/>
            </c:ext>
          </c:extLst>
        </c:ser>
        <c:ser>
          <c:idx val="3"/>
          <c:order val="2"/>
          <c:tx>
            <c:strRef>
              <c:f>'08'!$AL$18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'08'!$AM$18:$BJ$18</c:f>
              <c:numCache>
                <c:formatCode>General</c:formatCode>
                <c:ptCount val="24"/>
                <c:pt idx="0">
                  <c:v>411.93999999999994</c:v>
                </c:pt>
                <c:pt idx="1">
                  <c:v>411.93999999999994</c:v>
                </c:pt>
                <c:pt idx="2">
                  <c:v>411.93999999999994</c:v>
                </c:pt>
                <c:pt idx="3">
                  <c:v>413.34</c:v>
                </c:pt>
                <c:pt idx="4">
                  <c:v>413.34</c:v>
                </c:pt>
                <c:pt idx="5">
                  <c:v>413.34</c:v>
                </c:pt>
                <c:pt idx="6">
                  <c:v>413.34</c:v>
                </c:pt>
                <c:pt idx="7">
                  <c:v>413.34</c:v>
                </c:pt>
                <c:pt idx="8">
                  <c:v>413.34</c:v>
                </c:pt>
                <c:pt idx="9">
                  <c:v>444.34000000000009</c:v>
                </c:pt>
                <c:pt idx="10">
                  <c:v>438.94000000000011</c:v>
                </c:pt>
                <c:pt idx="11">
                  <c:v>441.74</c:v>
                </c:pt>
                <c:pt idx="12">
                  <c:v>441.74</c:v>
                </c:pt>
                <c:pt idx="13">
                  <c:v>441.74</c:v>
                </c:pt>
                <c:pt idx="14">
                  <c:v>437.84000000000003</c:v>
                </c:pt>
                <c:pt idx="15">
                  <c:v>419.64</c:v>
                </c:pt>
                <c:pt idx="16">
                  <c:v>420.94</c:v>
                </c:pt>
                <c:pt idx="17">
                  <c:v>416.04</c:v>
                </c:pt>
                <c:pt idx="18" formatCode="0.0">
                  <c:v>414.64</c:v>
                </c:pt>
                <c:pt idx="19" formatCode="0.0">
                  <c:v>415.2</c:v>
                </c:pt>
                <c:pt idx="20" formatCode="0.0">
                  <c:v>415.2</c:v>
                </c:pt>
                <c:pt idx="21" formatCode="0.0">
                  <c:v>415.2</c:v>
                </c:pt>
                <c:pt idx="22" formatCode="0.0">
                  <c:v>415.2</c:v>
                </c:pt>
                <c:pt idx="23" formatCode="0.0">
                  <c:v>415.2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74-4975-86EA-1B8C90F3C7A3}"/>
            </c:ext>
          </c:extLst>
        </c:ser>
        <c:ser>
          <c:idx val="0"/>
          <c:order val="3"/>
          <c:tx>
            <c:strRef>
              <c:f>'08'!$AL$19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50</c:v>
                </c:pt>
                <c:pt idx="2">
                  <c:v>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9.3000000000000007</c:v>
                </c:pt>
                <c:pt idx="15">
                  <c:v>21.7</c:v>
                </c:pt>
                <c:pt idx="16">
                  <c:v>69.8</c:v>
                </c:pt>
                <c:pt idx="17">
                  <c:v>50</c:v>
                </c:pt>
                <c:pt idx="18" formatCode="0.0">
                  <c:v>35</c:v>
                </c:pt>
                <c:pt idx="19" formatCode="0.0">
                  <c:v>0</c:v>
                </c:pt>
                <c:pt idx="20" formatCode="0.0">
                  <c:v>47.2</c:v>
                </c:pt>
                <c:pt idx="21" formatCode="0.0">
                  <c:v>48.1</c:v>
                </c:pt>
                <c:pt idx="22" formatCode="0.0">
                  <c:v>49.4</c:v>
                </c:pt>
                <c:pt idx="23" formatCode="0.0">
                  <c:v>47.7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74-4975-86EA-1B8C90F3C7A3}"/>
            </c:ext>
          </c:extLst>
        </c:ser>
        <c:ser>
          <c:idx val="4"/>
          <c:order val="4"/>
          <c:tx>
            <c:strRef>
              <c:f>'08'!$AL$20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'08'!$AM$20:$BJ$20</c:f>
              <c:numCache>
                <c:formatCode>General</c:formatCode>
                <c:ptCount val="24"/>
                <c:pt idx="0">
                  <c:v>32.1</c:v>
                </c:pt>
                <c:pt idx="1">
                  <c:v>32.1</c:v>
                </c:pt>
                <c:pt idx="2">
                  <c:v>32.1</c:v>
                </c:pt>
                <c:pt idx="3">
                  <c:v>0</c:v>
                </c:pt>
                <c:pt idx="4">
                  <c:v>-16.399999999999999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16.100000000000001</c:v>
                </c:pt>
                <c:pt idx="15">
                  <c:v>16.100000000000001</c:v>
                </c:pt>
                <c:pt idx="16">
                  <c:v>16.2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31.4</c:v>
                </c:pt>
                <c:pt idx="21" formatCode="0.0">
                  <c:v>31.4</c:v>
                </c:pt>
                <c:pt idx="22" formatCode="0.0">
                  <c:v>31.4</c:v>
                </c:pt>
                <c:pt idx="23" formatCode="0.0">
                  <c:v>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74-4975-86EA-1B8C90F3C7A3}"/>
            </c:ext>
          </c:extLst>
        </c:ser>
        <c:ser>
          <c:idx val="5"/>
          <c:order val="5"/>
          <c:tx>
            <c:strRef>
              <c:f>'08'!$AL$21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70</c:v>
                </c:pt>
                <c:pt idx="23" formatCode="0.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74-4975-86EA-1B8C90F3C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'08'!$AM$23:$BJ$23</c:f>
              <c:numCache>
                <c:formatCode>General</c:formatCode>
                <c:ptCount val="24"/>
                <c:pt idx="0">
                  <c:v>-430</c:v>
                </c:pt>
                <c:pt idx="1">
                  <c:v>-410</c:v>
                </c:pt>
                <c:pt idx="2">
                  <c:v>-436</c:v>
                </c:pt>
                <c:pt idx="3">
                  <c:v>-515</c:v>
                </c:pt>
                <c:pt idx="4">
                  <c:v>-509.5</c:v>
                </c:pt>
                <c:pt idx="5">
                  <c:v>-556.4</c:v>
                </c:pt>
                <c:pt idx="6">
                  <c:v>-535</c:v>
                </c:pt>
                <c:pt idx="7">
                  <c:v>-541.4</c:v>
                </c:pt>
                <c:pt idx="8">
                  <c:v>-506.6</c:v>
                </c:pt>
                <c:pt idx="9">
                  <c:v>-520</c:v>
                </c:pt>
                <c:pt idx="10">
                  <c:v>-512.4</c:v>
                </c:pt>
                <c:pt idx="11">
                  <c:v>-485</c:v>
                </c:pt>
                <c:pt idx="12">
                  <c:v>-482</c:v>
                </c:pt>
                <c:pt idx="13">
                  <c:v>-485</c:v>
                </c:pt>
                <c:pt idx="14">
                  <c:v>-456</c:v>
                </c:pt>
                <c:pt idx="15">
                  <c:v>-415</c:v>
                </c:pt>
                <c:pt idx="16">
                  <c:v>-435</c:v>
                </c:pt>
                <c:pt idx="17">
                  <c:v>-446</c:v>
                </c:pt>
                <c:pt idx="18">
                  <c:v>-465</c:v>
                </c:pt>
                <c:pt idx="19">
                  <c:v>-350</c:v>
                </c:pt>
                <c:pt idx="20">
                  <c:v>-415</c:v>
                </c:pt>
                <c:pt idx="21">
                  <c:v>-419.9</c:v>
                </c:pt>
                <c:pt idx="22">
                  <c:v>-484.09999999999997</c:v>
                </c:pt>
                <c:pt idx="23">
                  <c:v>-501.8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74-4975-86EA-1B8C90F3C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'08'!$AM$22:$BJ$22</c:f>
              <c:numCache>
                <c:formatCode>General</c:formatCode>
                <c:ptCount val="24"/>
                <c:pt idx="0">
                  <c:v>2021.9399999999996</c:v>
                </c:pt>
                <c:pt idx="1">
                  <c:v>2071.9399999999996</c:v>
                </c:pt>
                <c:pt idx="2">
                  <c:v>2084.9399999999996</c:v>
                </c:pt>
                <c:pt idx="3">
                  <c:v>1930.74</c:v>
                </c:pt>
                <c:pt idx="4">
                  <c:v>1914.34</c:v>
                </c:pt>
                <c:pt idx="5">
                  <c:v>1930.74</c:v>
                </c:pt>
                <c:pt idx="6">
                  <c:v>1930.74</c:v>
                </c:pt>
                <c:pt idx="7">
                  <c:v>1897.84</c:v>
                </c:pt>
                <c:pt idx="8">
                  <c:v>1904.0399999999997</c:v>
                </c:pt>
                <c:pt idx="9">
                  <c:v>1972.2400000000002</c:v>
                </c:pt>
                <c:pt idx="10">
                  <c:v>1958.54</c:v>
                </c:pt>
                <c:pt idx="11">
                  <c:v>1937.94</c:v>
                </c:pt>
                <c:pt idx="12">
                  <c:v>1937.94</c:v>
                </c:pt>
                <c:pt idx="13">
                  <c:v>1940.94</c:v>
                </c:pt>
                <c:pt idx="14">
                  <c:v>1961.5400000000002</c:v>
                </c:pt>
                <c:pt idx="15">
                  <c:v>1936.24</c:v>
                </c:pt>
                <c:pt idx="16">
                  <c:v>1928.0400000000002</c:v>
                </c:pt>
                <c:pt idx="17">
                  <c:v>1892.14</c:v>
                </c:pt>
                <c:pt idx="18">
                  <c:v>1884.2399999999998</c:v>
                </c:pt>
                <c:pt idx="19">
                  <c:v>1868.0000000000002</c:v>
                </c:pt>
                <c:pt idx="20">
                  <c:v>2211</c:v>
                </c:pt>
                <c:pt idx="21">
                  <c:v>2211.8999999999996</c:v>
                </c:pt>
                <c:pt idx="22">
                  <c:v>2083.1999999999998</c:v>
                </c:pt>
                <c:pt idx="23">
                  <c:v>2081.5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874-4975-86EA-1B8C90F3C7A3}"/>
            </c:ext>
          </c:extLst>
        </c:ser>
        <c:ser>
          <c:idx val="8"/>
          <c:order val="8"/>
          <c:tx>
            <c:strRef>
              <c:f>'08'!$AL$24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'08'!$AM$24:$BJ$24</c:f>
              <c:numCache>
                <c:formatCode>General</c:formatCode>
                <c:ptCount val="24"/>
                <c:pt idx="0">
                  <c:v>1591.9399999999996</c:v>
                </c:pt>
                <c:pt idx="1">
                  <c:v>1661.9399999999996</c:v>
                </c:pt>
                <c:pt idx="2">
                  <c:v>1648.9399999999996</c:v>
                </c:pt>
                <c:pt idx="3">
                  <c:v>1415.74</c:v>
                </c:pt>
                <c:pt idx="4">
                  <c:v>1404.84</c:v>
                </c:pt>
                <c:pt idx="5">
                  <c:v>1374.3400000000001</c:v>
                </c:pt>
                <c:pt idx="6">
                  <c:v>1395.74</c:v>
                </c:pt>
                <c:pt idx="7">
                  <c:v>1356.44</c:v>
                </c:pt>
                <c:pt idx="8">
                  <c:v>1397.4399999999996</c:v>
                </c:pt>
                <c:pt idx="9">
                  <c:v>1452.2400000000002</c:v>
                </c:pt>
                <c:pt idx="10">
                  <c:v>1446.1399999999999</c:v>
                </c:pt>
                <c:pt idx="11">
                  <c:v>1452.94</c:v>
                </c:pt>
                <c:pt idx="12">
                  <c:v>1455.94</c:v>
                </c:pt>
                <c:pt idx="13">
                  <c:v>1455.94</c:v>
                </c:pt>
                <c:pt idx="14">
                  <c:v>1505.5400000000002</c:v>
                </c:pt>
                <c:pt idx="15">
                  <c:v>1521.24</c:v>
                </c:pt>
                <c:pt idx="16">
                  <c:v>1493.0400000000002</c:v>
                </c:pt>
                <c:pt idx="17">
                  <c:v>1446.14</c:v>
                </c:pt>
                <c:pt idx="18">
                  <c:v>1419.2399999999998</c:v>
                </c:pt>
                <c:pt idx="19">
                  <c:v>1518.0000000000002</c:v>
                </c:pt>
                <c:pt idx="20">
                  <c:v>1796</c:v>
                </c:pt>
                <c:pt idx="21">
                  <c:v>1791.9999999999995</c:v>
                </c:pt>
                <c:pt idx="22">
                  <c:v>1599.1</c:v>
                </c:pt>
                <c:pt idx="23">
                  <c:v>1579.7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74-4975-86EA-1B8C90F3C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22-4AB6-B60A-65893A78F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22-4AB6-B60A-65893A78FE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22-4AB6-B60A-65893A78FE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22-4AB6-B60A-65893A78FE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22-4AB6-B60A-65893A78FE3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C22-4AB6-B60A-65893A78FE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'09'!$AM$16:$BJ$16</c:f>
              <c:numCache>
                <c:formatCode>General</c:formatCode>
                <c:ptCount val="24"/>
                <c:pt idx="0">
                  <c:v>975.19999999999993</c:v>
                </c:pt>
                <c:pt idx="1">
                  <c:v>975.19999999999993</c:v>
                </c:pt>
                <c:pt idx="2">
                  <c:v>975.19999999999993</c:v>
                </c:pt>
                <c:pt idx="3">
                  <c:v>999.1</c:v>
                </c:pt>
                <c:pt idx="4">
                  <c:v>1006.1</c:v>
                </c:pt>
                <c:pt idx="5">
                  <c:v>1014.1</c:v>
                </c:pt>
                <c:pt idx="6">
                  <c:v>1054.1999999999998</c:v>
                </c:pt>
                <c:pt idx="7">
                  <c:v>1054.1999999999998</c:v>
                </c:pt>
                <c:pt idx="8">
                  <c:v>1055.5999999999999</c:v>
                </c:pt>
                <c:pt idx="9">
                  <c:v>1089.4000000000001</c:v>
                </c:pt>
                <c:pt idx="10">
                  <c:v>1068.0999999999999</c:v>
                </c:pt>
                <c:pt idx="11">
                  <c:v>1073.0999999999999</c:v>
                </c:pt>
                <c:pt idx="12">
                  <c:v>1026.7</c:v>
                </c:pt>
                <c:pt idx="13">
                  <c:v>1013.9</c:v>
                </c:pt>
                <c:pt idx="14">
                  <c:v>1034.5999999999999</c:v>
                </c:pt>
                <c:pt idx="15">
                  <c:v>1054.7</c:v>
                </c:pt>
                <c:pt idx="16">
                  <c:v>1054.7</c:v>
                </c:pt>
                <c:pt idx="17">
                  <c:v>1054.7</c:v>
                </c:pt>
                <c:pt idx="18" formatCode="0.0">
                  <c:v>1034.0999999999999</c:v>
                </c:pt>
                <c:pt idx="19" formatCode="0.0">
                  <c:v>1034.0999999999999</c:v>
                </c:pt>
                <c:pt idx="20" formatCode="0.0">
                  <c:v>1058.6999999999998</c:v>
                </c:pt>
                <c:pt idx="21" formatCode="0.0">
                  <c:v>1058.8</c:v>
                </c:pt>
                <c:pt idx="22" formatCode="0.0">
                  <c:v>1067.9000000000001</c:v>
                </c:pt>
                <c:pt idx="23" formatCode="0.0">
                  <c:v>1097.8000000000002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5-4A2E-8472-C0E0C78B14E3}"/>
            </c:ext>
          </c:extLst>
        </c:ser>
        <c:ser>
          <c:idx val="2"/>
          <c:order val="1"/>
          <c:tx>
            <c:strRef>
              <c:f>'09'!$AL$17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'09'!$AM$17:$BJ$17</c:f>
              <c:numCache>
                <c:formatCode>General</c:formatCode>
                <c:ptCount val="24"/>
                <c:pt idx="0">
                  <c:v>542</c:v>
                </c:pt>
                <c:pt idx="1">
                  <c:v>542</c:v>
                </c:pt>
                <c:pt idx="2">
                  <c:v>542</c:v>
                </c:pt>
                <c:pt idx="3">
                  <c:v>542</c:v>
                </c:pt>
                <c:pt idx="4">
                  <c:v>542.6</c:v>
                </c:pt>
                <c:pt idx="5">
                  <c:v>542.6</c:v>
                </c:pt>
                <c:pt idx="6">
                  <c:v>542.79999999999995</c:v>
                </c:pt>
                <c:pt idx="7">
                  <c:v>542.79999999999995</c:v>
                </c:pt>
                <c:pt idx="8">
                  <c:v>542.5</c:v>
                </c:pt>
                <c:pt idx="9">
                  <c:v>542.5</c:v>
                </c:pt>
                <c:pt idx="10">
                  <c:v>542.5</c:v>
                </c:pt>
                <c:pt idx="11">
                  <c:v>542.5</c:v>
                </c:pt>
                <c:pt idx="12">
                  <c:v>542.5</c:v>
                </c:pt>
                <c:pt idx="13">
                  <c:v>542.4</c:v>
                </c:pt>
                <c:pt idx="14">
                  <c:v>542.4</c:v>
                </c:pt>
                <c:pt idx="15">
                  <c:v>542.4</c:v>
                </c:pt>
                <c:pt idx="16">
                  <c:v>542.4</c:v>
                </c:pt>
                <c:pt idx="17">
                  <c:v>542.4</c:v>
                </c:pt>
                <c:pt idx="18" formatCode="0.0">
                  <c:v>542.4</c:v>
                </c:pt>
                <c:pt idx="19" formatCode="0.0">
                  <c:v>542.4</c:v>
                </c:pt>
                <c:pt idx="20" formatCode="0.0">
                  <c:v>542.4</c:v>
                </c:pt>
                <c:pt idx="21" formatCode="0.0">
                  <c:v>542.4</c:v>
                </c:pt>
                <c:pt idx="22" formatCode="0.0">
                  <c:v>542.1</c:v>
                </c:pt>
                <c:pt idx="23" formatCode="0.0">
                  <c:v>542.1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5-4A2E-8472-C0E0C78B14E3}"/>
            </c:ext>
          </c:extLst>
        </c:ser>
        <c:ser>
          <c:idx val="3"/>
          <c:order val="2"/>
          <c:tx>
            <c:strRef>
              <c:f>'09'!$AL$18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'09'!$AM$18:$BJ$18</c:f>
              <c:numCache>
                <c:formatCode>General</c:formatCode>
                <c:ptCount val="24"/>
                <c:pt idx="0">
                  <c:v>415.2</c:v>
                </c:pt>
                <c:pt idx="1">
                  <c:v>415.2</c:v>
                </c:pt>
                <c:pt idx="2">
                  <c:v>415.2</c:v>
                </c:pt>
                <c:pt idx="3">
                  <c:v>421.24</c:v>
                </c:pt>
                <c:pt idx="4">
                  <c:v>421.24</c:v>
                </c:pt>
                <c:pt idx="5">
                  <c:v>421.24</c:v>
                </c:pt>
                <c:pt idx="6">
                  <c:v>413.44000000000005</c:v>
                </c:pt>
                <c:pt idx="7">
                  <c:v>414.34000000000003</c:v>
                </c:pt>
                <c:pt idx="8">
                  <c:v>382.04</c:v>
                </c:pt>
                <c:pt idx="9">
                  <c:v>391.54</c:v>
                </c:pt>
                <c:pt idx="10">
                  <c:v>411.94</c:v>
                </c:pt>
                <c:pt idx="11">
                  <c:v>412.24</c:v>
                </c:pt>
                <c:pt idx="12">
                  <c:v>412.03999999999996</c:v>
                </c:pt>
                <c:pt idx="13">
                  <c:v>400.03999999999996</c:v>
                </c:pt>
                <c:pt idx="14">
                  <c:v>394.44</c:v>
                </c:pt>
                <c:pt idx="15">
                  <c:v>392.64</c:v>
                </c:pt>
                <c:pt idx="16">
                  <c:v>376.24</c:v>
                </c:pt>
                <c:pt idx="17">
                  <c:v>381.73999999999995</c:v>
                </c:pt>
                <c:pt idx="18" formatCode="0.0">
                  <c:v>385.34</c:v>
                </c:pt>
                <c:pt idx="19" formatCode="0.0">
                  <c:v>384.34</c:v>
                </c:pt>
                <c:pt idx="20" formatCode="0.0">
                  <c:v>374.64</c:v>
                </c:pt>
                <c:pt idx="21" formatCode="0.0">
                  <c:v>374.64</c:v>
                </c:pt>
                <c:pt idx="22" formatCode="0.0">
                  <c:v>387.34000000000003</c:v>
                </c:pt>
                <c:pt idx="23" formatCode="0.0">
                  <c:v>395.94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5-4A2E-8472-C0E0C78B14E3}"/>
            </c:ext>
          </c:extLst>
        </c:ser>
        <c:ser>
          <c:idx val="0"/>
          <c:order val="3"/>
          <c:tx>
            <c:strRef>
              <c:f>'09'!$AL$19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'09'!$AM$19:$BJ$19</c:f>
              <c:numCache>
                <c:formatCode>General</c:formatCode>
                <c:ptCount val="24"/>
                <c:pt idx="0">
                  <c:v>50.4</c:v>
                </c:pt>
                <c:pt idx="1">
                  <c:v>45.3</c:v>
                </c:pt>
                <c:pt idx="2">
                  <c:v>45.3</c:v>
                </c:pt>
                <c:pt idx="3">
                  <c:v>46.8</c:v>
                </c:pt>
                <c:pt idx="4">
                  <c:v>44.3</c:v>
                </c:pt>
                <c:pt idx="5">
                  <c:v>0</c:v>
                </c:pt>
                <c:pt idx="6">
                  <c:v>0</c:v>
                </c:pt>
                <c:pt idx="7">
                  <c:v>36.1</c:v>
                </c:pt>
                <c:pt idx="8">
                  <c:v>63.3</c:v>
                </c:pt>
                <c:pt idx="9">
                  <c:v>84.3</c:v>
                </c:pt>
                <c:pt idx="10">
                  <c:v>67</c:v>
                </c:pt>
                <c:pt idx="11">
                  <c:v>67.900000000000006</c:v>
                </c:pt>
                <c:pt idx="12">
                  <c:v>99.6</c:v>
                </c:pt>
                <c:pt idx="13">
                  <c:v>98.199999999999989</c:v>
                </c:pt>
                <c:pt idx="14">
                  <c:v>110.4</c:v>
                </c:pt>
                <c:pt idx="15">
                  <c:v>100.5</c:v>
                </c:pt>
                <c:pt idx="16">
                  <c:v>110.1</c:v>
                </c:pt>
                <c:pt idx="17">
                  <c:v>95.9</c:v>
                </c:pt>
                <c:pt idx="18" formatCode="0.0">
                  <c:v>58.2</c:v>
                </c:pt>
                <c:pt idx="19" formatCode="0.0">
                  <c:v>62.4</c:v>
                </c:pt>
                <c:pt idx="20" formatCode="0.0">
                  <c:v>93.6</c:v>
                </c:pt>
                <c:pt idx="21" formatCode="0.0">
                  <c:v>88.8</c:v>
                </c:pt>
                <c:pt idx="22" formatCode="0.0">
                  <c:v>53.4</c:v>
                </c:pt>
                <c:pt idx="23" formatCode="0.0">
                  <c:v>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E5-4A2E-8472-C0E0C78B14E3}"/>
            </c:ext>
          </c:extLst>
        </c:ser>
        <c:ser>
          <c:idx val="4"/>
          <c:order val="4"/>
          <c:tx>
            <c:strRef>
              <c:f>'09'!$AL$20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'09'!$AM$20:$BJ$20</c:f>
              <c:numCache>
                <c:formatCode>General</c:formatCode>
                <c:ptCount val="24"/>
                <c:pt idx="0">
                  <c:v>31.4</c:v>
                </c:pt>
                <c:pt idx="1">
                  <c:v>31.4</c:v>
                </c:pt>
                <c:pt idx="2">
                  <c:v>31.4</c:v>
                </c:pt>
                <c:pt idx="3">
                  <c:v>33.799999999999997</c:v>
                </c:pt>
                <c:pt idx="4">
                  <c:v>33.799999999999997</c:v>
                </c:pt>
                <c:pt idx="5">
                  <c:v>33.299999999999997</c:v>
                </c:pt>
                <c:pt idx="6">
                  <c:v>20</c:v>
                </c:pt>
                <c:pt idx="7">
                  <c:v>31.6</c:v>
                </c:pt>
                <c:pt idx="8">
                  <c:v>32.199999999999996</c:v>
                </c:pt>
                <c:pt idx="9">
                  <c:v>31.6</c:v>
                </c:pt>
                <c:pt idx="10">
                  <c:v>31.6</c:v>
                </c:pt>
                <c:pt idx="11">
                  <c:v>20</c:v>
                </c:pt>
                <c:pt idx="12">
                  <c:v>32.799999999999997</c:v>
                </c:pt>
                <c:pt idx="13">
                  <c:v>33.4</c:v>
                </c:pt>
                <c:pt idx="14">
                  <c:v>34.5</c:v>
                </c:pt>
                <c:pt idx="15">
                  <c:v>34.5</c:v>
                </c:pt>
                <c:pt idx="16">
                  <c:v>34.5</c:v>
                </c:pt>
                <c:pt idx="17">
                  <c:v>34.5</c:v>
                </c:pt>
                <c:pt idx="18" formatCode="0.0">
                  <c:v>17.600000000000001</c:v>
                </c:pt>
                <c:pt idx="19" formatCode="0.0">
                  <c:v>32.799999999999997</c:v>
                </c:pt>
                <c:pt idx="20" formatCode="0.0">
                  <c:v>32.300000000000004</c:v>
                </c:pt>
                <c:pt idx="21" formatCode="0.0">
                  <c:v>32.1</c:v>
                </c:pt>
                <c:pt idx="22" formatCode="0.0">
                  <c:v>32.1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E5-4A2E-8472-C0E0C78B14E3}"/>
            </c:ext>
          </c:extLst>
        </c:ser>
        <c:ser>
          <c:idx val="5"/>
          <c:order val="5"/>
          <c:tx>
            <c:strRef>
              <c:f>'09'!$AL$21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'09'!$AM$21:$BJ$21</c:f>
              <c:numCache>
                <c:formatCode>General</c:formatCode>
                <c:ptCount val="2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100</c:v>
                </c:pt>
                <c:pt idx="6">
                  <c:v>100</c:v>
                </c:pt>
                <c:pt idx="7">
                  <c:v>70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80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200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E5-4A2E-8472-C0E0C78B1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'09'!$AM$23:$BJ$23</c:f>
              <c:numCache>
                <c:formatCode>General</c:formatCode>
                <c:ptCount val="24"/>
                <c:pt idx="0">
                  <c:v>-503.3</c:v>
                </c:pt>
                <c:pt idx="1">
                  <c:v>-483.8</c:v>
                </c:pt>
                <c:pt idx="2">
                  <c:v>-489.4</c:v>
                </c:pt>
                <c:pt idx="3">
                  <c:v>-452.7</c:v>
                </c:pt>
                <c:pt idx="4">
                  <c:v>-494.7</c:v>
                </c:pt>
                <c:pt idx="5">
                  <c:v>-499.8</c:v>
                </c:pt>
                <c:pt idx="6">
                  <c:v>-491.8</c:v>
                </c:pt>
                <c:pt idx="7">
                  <c:v>-465</c:v>
                </c:pt>
                <c:pt idx="8">
                  <c:v>-434</c:v>
                </c:pt>
                <c:pt idx="9">
                  <c:v>-487</c:v>
                </c:pt>
                <c:pt idx="10">
                  <c:v>-409.8</c:v>
                </c:pt>
                <c:pt idx="11">
                  <c:v>-390</c:v>
                </c:pt>
                <c:pt idx="12">
                  <c:v>-340.4</c:v>
                </c:pt>
                <c:pt idx="13">
                  <c:v>-307.60000000000002</c:v>
                </c:pt>
                <c:pt idx="14">
                  <c:v>-344.6</c:v>
                </c:pt>
                <c:pt idx="15">
                  <c:v>-324.8</c:v>
                </c:pt>
                <c:pt idx="16">
                  <c:v>-341.6</c:v>
                </c:pt>
                <c:pt idx="17">
                  <c:v>-343.6</c:v>
                </c:pt>
                <c:pt idx="18">
                  <c:v>-427.6</c:v>
                </c:pt>
                <c:pt idx="19">
                  <c:v>-383.6</c:v>
                </c:pt>
                <c:pt idx="20">
                  <c:v>-348</c:v>
                </c:pt>
                <c:pt idx="21">
                  <c:v>-408</c:v>
                </c:pt>
                <c:pt idx="22">
                  <c:v>-453</c:v>
                </c:pt>
                <c:pt idx="23">
                  <c:v>-512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E5-4A2E-8472-C0E0C78B1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'09'!$AM$22:$BJ$22</c:f>
              <c:numCache>
                <c:formatCode>General</c:formatCode>
                <c:ptCount val="24"/>
                <c:pt idx="0">
                  <c:v>2084.1999999999998</c:v>
                </c:pt>
                <c:pt idx="1">
                  <c:v>2079.1</c:v>
                </c:pt>
                <c:pt idx="2">
                  <c:v>2079.1</c:v>
                </c:pt>
                <c:pt idx="3">
                  <c:v>2112.9399999999996</c:v>
                </c:pt>
                <c:pt idx="4">
                  <c:v>2118.04</c:v>
                </c:pt>
                <c:pt idx="5">
                  <c:v>2111.2399999999998</c:v>
                </c:pt>
                <c:pt idx="6">
                  <c:v>2130.4399999999996</c:v>
                </c:pt>
                <c:pt idx="7">
                  <c:v>2149.0399999999995</c:v>
                </c:pt>
                <c:pt idx="8">
                  <c:v>2125.64</c:v>
                </c:pt>
                <c:pt idx="9">
                  <c:v>2139.34</c:v>
                </c:pt>
                <c:pt idx="10">
                  <c:v>2121.14</c:v>
                </c:pt>
                <c:pt idx="11">
                  <c:v>2115.7399999999998</c:v>
                </c:pt>
                <c:pt idx="12">
                  <c:v>2113.6400000000003</c:v>
                </c:pt>
                <c:pt idx="13">
                  <c:v>2087.94</c:v>
                </c:pt>
                <c:pt idx="14">
                  <c:v>2116.34</c:v>
                </c:pt>
                <c:pt idx="15">
                  <c:v>2124.7399999999998</c:v>
                </c:pt>
                <c:pt idx="16">
                  <c:v>2117.94</c:v>
                </c:pt>
                <c:pt idx="17">
                  <c:v>2109.2399999999998</c:v>
                </c:pt>
                <c:pt idx="18">
                  <c:v>2037.6399999999999</c:v>
                </c:pt>
                <c:pt idx="19">
                  <c:v>2136.04</c:v>
                </c:pt>
                <c:pt idx="20">
                  <c:v>2251.64</c:v>
                </c:pt>
                <c:pt idx="21">
                  <c:v>2246.7399999999998</c:v>
                </c:pt>
                <c:pt idx="22">
                  <c:v>2282.84</c:v>
                </c:pt>
                <c:pt idx="23">
                  <c:v>2287.44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6E5-4A2E-8472-C0E0C78B14E3}"/>
            </c:ext>
          </c:extLst>
        </c:ser>
        <c:ser>
          <c:idx val="8"/>
          <c:order val="8"/>
          <c:tx>
            <c:strRef>
              <c:f>'09'!$AL$24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'09'!$AM$24:$BJ$24</c:f>
              <c:numCache>
                <c:formatCode>General</c:formatCode>
                <c:ptCount val="24"/>
                <c:pt idx="0">
                  <c:v>1580.8999999999999</c:v>
                </c:pt>
                <c:pt idx="1">
                  <c:v>1595.3</c:v>
                </c:pt>
                <c:pt idx="2">
                  <c:v>1589.6999999999998</c:v>
                </c:pt>
                <c:pt idx="3">
                  <c:v>1660.2399999999996</c:v>
                </c:pt>
                <c:pt idx="4">
                  <c:v>1623.34</c:v>
                </c:pt>
                <c:pt idx="5">
                  <c:v>1611.4399999999998</c:v>
                </c:pt>
                <c:pt idx="6">
                  <c:v>1638.6399999999996</c:v>
                </c:pt>
                <c:pt idx="7">
                  <c:v>1684.0399999999995</c:v>
                </c:pt>
                <c:pt idx="8">
                  <c:v>1691.6399999999999</c:v>
                </c:pt>
                <c:pt idx="9">
                  <c:v>1652.3400000000001</c:v>
                </c:pt>
                <c:pt idx="10">
                  <c:v>1711.34</c:v>
                </c:pt>
                <c:pt idx="11">
                  <c:v>1725.7399999999998</c:v>
                </c:pt>
                <c:pt idx="12">
                  <c:v>1773.2400000000002</c:v>
                </c:pt>
                <c:pt idx="13">
                  <c:v>1780.3400000000001</c:v>
                </c:pt>
                <c:pt idx="14">
                  <c:v>1771.7400000000002</c:v>
                </c:pt>
                <c:pt idx="15">
                  <c:v>1799.9399999999998</c:v>
                </c:pt>
                <c:pt idx="16">
                  <c:v>1776.3400000000001</c:v>
                </c:pt>
                <c:pt idx="17">
                  <c:v>1765.6399999999999</c:v>
                </c:pt>
                <c:pt idx="18">
                  <c:v>1610.04</c:v>
                </c:pt>
                <c:pt idx="19">
                  <c:v>1752.44</c:v>
                </c:pt>
                <c:pt idx="20">
                  <c:v>1903.6399999999999</c:v>
                </c:pt>
                <c:pt idx="21">
                  <c:v>1838.7399999999998</c:v>
                </c:pt>
                <c:pt idx="22">
                  <c:v>1829.8400000000001</c:v>
                </c:pt>
                <c:pt idx="23">
                  <c:v>1775.44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E5-4A2E-8472-C0E0C78B1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BB-455D-94D7-2E8A96407B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BB-455D-94D7-2E8A96407B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BB-455D-94D7-2E8A96407B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ABB-455D-94D7-2E8A96407B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ABB-455D-94D7-2E8A96407B7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ABB-455D-94D7-2E8A96407B7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'10'!$AM$16:$BJ$16</c:f>
              <c:numCache>
                <c:formatCode>General</c:formatCode>
                <c:ptCount val="24"/>
                <c:pt idx="0">
                  <c:v>1113.9000000000001</c:v>
                </c:pt>
                <c:pt idx="1">
                  <c:v>1099.5999999999999</c:v>
                </c:pt>
                <c:pt idx="2">
                  <c:v>1108.3000000000002</c:v>
                </c:pt>
                <c:pt idx="3">
                  <c:v>1109.5999999999999</c:v>
                </c:pt>
                <c:pt idx="4">
                  <c:v>1082.6000000000001</c:v>
                </c:pt>
                <c:pt idx="5">
                  <c:v>1115.0999999999999</c:v>
                </c:pt>
                <c:pt idx="6">
                  <c:v>1118.5</c:v>
                </c:pt>
                <c:pt idx="7">
                  <c:v>1119.5</c:v>
                </c:pt>
                <c:pt idx="8">
                  <c:v>1122.3000000000002</c:v>
                </c:pt>
                <c:pt idx="9">
                  <c:v>1113</c:v>
                </c:pt>
                <c:pt idx="10">
                  <c:v>1113</c:v>
                </c:pt>
                <c:pt idx="11">
                  <c:v>1113</c:v>
                </c:pt>
                <c:pt idx="12">
                  <c:v>1017</c:v>
                </c:pt>
                <c:pt idx="13">
                  <c:v>0</c:v>
                </c:pt>
                <c:pt idx="14">
                  <c:v>955.53800000000012</c:v>
                </c:pt>
                <c:pt idx="15">
                  <c:v>955.53800000000012</c:v>
                </c:pt>
                <c:pt idx="16">
                  <c:v>955.53800000000012</c:v>
                </c:pt>
                <c:pt idx="17">
                  <c:v>985.53800000000001</c:v>
                </c:pt>
                <c:pt idx="18" formatCode="0.0">
                  <c:v>953.13800000000015</c:v>
                </c:pt>
                <c:pt idx="19" formatCode="0.0">
                  <c:v>994.83800000000008</c:v>
                </c:pt>
                <c:pt idx="20" formatCode="0.0">
                  <c:v>990.83800000000008</c:v>
                </c:pt>
                <c:pt idx="21" formatCode="0.0">
                  <c:v>1029.3380000000002</c:v>
                </c:pt>
                <c:pt idx="22" formatCode="0.0">
                  <c:v>1029.3380000000002</c:v>
                </c:pt>
                <c:pt idx="23" formatCode="0.0">
                  <c:v>1043.3380000000002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3-4232-9997-FDD9633EE58E}"/>
            </c:ext>
          </c:extLst>
        </c:ser>
        <c:ser>
          <c:idx val="2"/>
          <c:order val="1"/>
          <c:tx>
            <c:strRef>
              <c:f>'10'!$AL$17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'10'!$AM$17:$BJ$17</c:f>
              <c:numCache>
                <c:formatCode>General</c:formatCode>
                <c:ptCount val="24"/>
                <c:pt idx="0">
                  <c:v>542.4</c:v>
                </c:pt>
                <c:pt idx="1">
                  <c:v>542.4</c:v>
                </c:pt>
                <c:pt idx="2">
                  <c:v>542.5</c:v>
                </c:pt>
                <c:pt idx="3">
                  <c:v>542.5</c:v>
                </c:pt>
                <c:pt idx="4">
                  <c:v>462.5</c:v>
                </c:pt>
                <c:pt idx="5">
                  <c:v>236.1</c:v>
                </c:pt>
                <c:pt idx="6">
                  <c:v>159.5</c:v>
                </c:pt>
                <c:pt idx="7">
                  <c:v>159.5</c:v>
                </c:pt>
                <c:pt idx="8">
                  <c:v>236.6</c:v>
                </c:pt>
                <c:pt idx="9">
                  <c:v>542.5</c:v>
                </c:pt>
                <c:pt idx="10">
                  <c:v>542.5</c:v>
                </c:pt>
                <c:pt idx="11">
                  <c:v>542.5</c:v>
                </c:pt>
                <c:pt idx="12">
                  <c:v>542.5</c:v>
                </c:pt>
                <c:pt idx="13">
                  <c:v>0</c:v>
                </c:pt>
                <c:pt idx="14">
                  <c:v>542.5</c:v>
                </c:pt>
                <c:pt idx="15">
                  <c:v>542.5</c:v>
                </c:pt>
                <c:pt idx="16">
                  <c:v>542.5</c:v>
                </c:pt>
                <c:pt idx="17">
                  <c:v>542.5</c:v>
                </c:pt>
                <c:pt idx="18" formatCode="0.0">
                  <c:v>542.5</c:v>
                </c:pt>
                <c:pt idx="19" formatCode="0.0">
                  <c:v>542.5</c:v>
                </c:pt>
                <c:pt idx="20" formatCode="0.0">
                  <c:v>542.5</c:v>
                </c:pt>
                <c:pt idx="21" formatCode="0.0">
                  <c:v>542.5</c:v>
                </c:pt>
                <c:pt idx="22" formatCode="0.0">
                  <c:v>542.5</c:v>
                </c:pt>
                <c:pt idx="23" formatCode="0.0">
                  <c:v>542.5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3-4232-9997-FDD9633EE58E}"/>
            </c:ext>
          </c:extLst>
        </c:ser>
        <c:ser>
          <c:idx val="3"/>
          <c:order val="2"/>
          <c:tx>
            <c:strRef>
              <c:f>'10'!$AL$18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'10'!$AM$18:$BJ$18</c:f>
              <c:numCache>
                <c:formatCode>General</c:formatCode>
                <c:ptCount val="24"/>
                <c:pt idx="0">
                  <c:v>396.64</c:v>
                </c:pt>
                <c:pt idx="1">
                  <c:v>398.04</c:v>
                </c:pt>
                <c:pt idx="2">
                  <c:v>394.74</c:v>
                </c:pt>
                <c:pt idx="3">
                  <c:v>250.44000000000003</c:v>
                </c:pt>
                <c:pt idx="4">
                  <c:v>382.44</c:v>
                </c:pt>
                <c:pt idx="5">
                  <c:v>390.44</c:v>
                </c:pt>
                <c:pt idx="6">
                  <c:v>390.44</c:v>
                </c:pt>
                <c:pt idx="7">
                  <c:v>397.04</c:v>
                </c:pt>
                <c:pt idx="8">
                  <c:v>400.44</c:v>
                </c:pt>
                <c:pt idx="9">
                  <c:v>381.04</c:v>
                </c:pt>
                <c:pt idx="10">
                  <c:v>381.04</c:v>
                </c:pt>
                <c:pt idx="11">
                  <c:v>392.44</c:v>
                </c:pt>
                <c:pt idx="12">
                  <c:v>395.84</c:v>
                </c:pt>
                <c:pt idx="13">
                  <c:v>3.54</c:v>
                </c:pt>
                <c:pt idx="14">
                  <c:v>395.54</c:v>
                </c:pt>
                <c:pt idx="15">
                  <c:v>395.54</c:v>
                </c:pt>
                <c:pt idx="16">
                  <c:v>395.54</c:v>
                </c:pt>
                <c:pt idx="17">
                  <c:v>395.54</c:v>
                </c:pt>
                <c:pt idx="18" formatCode="0.0">
                  <c:v>395.54</c:v>
                </c:pt>
                <c:pt idx="19" formatCode="0.0">
                  <c:v>387.7</c:v>
                </c:pt>
                <c:pt idx="20" formatCode="0.0">
                  <c:v>395.14</c:v>
                </c:pt>
                <c:pt idx="21" formatCode="0.0">
                  <c:v>395.14</c:v>
                </c:pt>
                <c:pt idx="22" formatCode="0.0">
                  <c:v>385.54</c:v>
                </c:pt>
                <c:pt idx="23" formatCode="0.0">
                  <c:v>385.54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3-4232-9997-FDD9633EE58E}"/>
            </c:ext>
          </c:extLst>
        </c:ser>
        <c:ser>
          <c:idx val="0"/>
          <c:order val="3"/>
          <c:tx>
            <c:strRef>
              <c:f>'10'!$AL$19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'10'!$AM$19:$BJ$19</c:f>
              <c:numCache>
                <c:formatCode>General</c:formatCode>
                <c:ptCount val="24"/>
                <c:pt idx="0">
                  <c:v>48.2</c:v>
                </c:pt>
                <c:pt idx="1">
                  <c:v>48.9</c:v>
                </c:pt>
                <c:pt idx="2">
                  <c:v>51.9</c:v>
                </c:pt>
                <c:pt idx="3">
                  <c:v>52</c:v>
                </c:pt>
                <c:pt idx="4">
                  <c:v>50</c:v>
                </c:pt>
                <c:pt idx="5">
                  <c:v>51</c:v>
                </c:pt>
                <c:pt idx="6">
                  <c:v>51</c:v>
                </c:pt>
                <c:pt idx="7">
                  <c:v>74</c:v>
                </c:pt>
                <c:pt idx="8">
                  <c:v>78.5</c:v>
                </c:pt>
                <c:pt idx="9">
                  <c:v>112.6</c:v>
                </c:pt>
                <c:pt idx="10">
                  <c:v>106.9</c:v>
                </c:pt>
                <c:pt idx="11">
                  <c:v>120.5</c:v>
                </c:pt>
                <c:pt idx="12">
                  <c:v>118.9</c:v>
                </c:pt>
                <c:pt idx="13">
                  <c:v>0</c:v>
                </c:pt>
                <c:pt idx="14">
                  <c:v>122.64400000000001</c:v>
                </c:pt>
                <c:pt idx="15">
                  <c:v>122.7</c:v>
                </c:pt>
                <c:pt idx="16">
                  <c:v>122.7</c:v>
                </c:pt>
                <c:pt idx="17">
                  <c:v>121</c:v>
                </c:pt>
                <c:pt idx="18" formatCode="0.0">
                  <c:v>91.9</c:v>
                </c:pt>
                <c:pt idx="19" formatCode="0.0">
                  <c:v>60</c:v>
                </c:pt>
                <c:pt idx="20" formatCode="0.0">
                  <c:v>73.400000000000006</c:v>
                </c:pt>
                <c:pt idx="21" formatCode="0.0">
                  <c:v>69.599999999999994</c:v>
                </c:pt>
                <c:pt idx="22" formatCode="0.0">
                  <c:v>87</c:v>
                </c:pt>
                <c:pt idx="23" formatCode="0.0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E3-4232-9997-FDD9633EE58E}"/>
            </c:ext>
          </c:extLst>
        </c:ser>
        <c:ser>
          <c:idx val="4"/>
          <c:order val="4"/>
          <c:tx>
            <c:strRef>
              <c:f>'10'!$AL$20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16.899999999999999</c:v>
                </c:pt>
                <c:pt idx="8">
                  <c:v>14.6</c:v>
                </c:pt>
                <c:pt idx="9">
                  <c:v>26</c:v>
                </c:pt>
                <c:pt idx="10">
                  <c:v>17.600000000000001</c:v>
                </c:pt>
                <c:pt idx="11">
                  <c:v>31.8</c:v>
                </c:pt>
                <c:pt idx="12">
                  <c:v>31.8</c:v>
                </c:pt>
                <c:pt idx="13">
                  <c:v>0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32.6</c:v>
                </c:pt>
                <c:pt idx="18" formatCode="0.0">
                  <c:v>32.6</c:v>
                </c:pt>
                <c:pt idx="19" formatCode="0.0">
                  <c:v>32.6</c:v>
                </c:pt>
                <c:pt idx="20" formatCode="0.0">
                  <c:v>32.6</c:v>
                </c:pt>
                <c:pt idx="21" formatCode="0.0">
                  <c:v>32.6</c:v>
                </c:pt>
                <c:pt idx="22" formatCode="0.0">
                  <c:v>32.6</c:v>
                </c:pt>
                <c:pt idx="23" formatCode="0.0">
                  <c:v>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E3-4232-9997-FDD9633EE58E}"/>
            </c:ext>
          </c:extLst>
        </c:ser>
        <c:ser>
          <c:idx val="5"/>
          <c:order val="5"/>
          <c:tx>
            <c:strRef>
              <c:f>'10'!$AL$21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150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210</c:v>
                </c:pt>
                <c:pt idx="6">
                  <c:v>180</c:v>
                </c:pt>
                <c:pt idx="7">
                  <c:v>80</c:v>
                </c:pt>
                <c:pt idx="8">
                  <c:v>250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200</c:v>
                </c:pt>
                <c:pt idx="23" formatCode="0.0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E3-4232-9997-FDD9633EE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'10'!$AM$23:$BJ$23</c:f>
              <c:numCache>
                <c:formatCode>General</c:formatCode>
                <c:ptCount val="24"/>
                <c:pt idx="0">
                  <c:v>-509.5</c:v>
                </c:pt>
                <c:pt idx="1">
                  <c:v>-530.5</c:v>
                </c:pt>
                <c:pt idx="2">
                  <c:v>-530.6</c:v>
                </c:pt>
                <c:pt idx="3">
                  <c:v>-527.5</c:v>
                </c:pt>
                <c:pt idx="4">
                  <c:v>-467</c:v>
                </c:pt>
                <c:pt idx="5">
                  <c:v>-396</c:v>
                </c:pt>
                <c:pt idx="6">
                  <c:v>-307</c:v>
                </c:pt>
                <c:pt idx="7">
                  <c:v>-230</c:v>
                </c:pt>
                <c:pt idx="8">
                  <c:v>-332.7</c:v>
                </c:pt>
                <c:pt idx="9">
                  <c:v>-391.4</c:v>
                </c:pt>
                <c:pt idx="10">
                  <c:v>-318</c:v>
                </c:pt>
                <c:pt idx="11">
                  <c:v>-295.2</c:v>
                </c:pt>
                <c:pt idx="12">
                  <c:v>-212</c:v>
                </c:pt>
                <c:pt idx="13">
                  <c:v>0</c:v>
                </c:pt>
                <c:pt idx="14">
                  <c:v>-282</c:v>
                </c:pt>
                <c:pt idx="15">
                  <c:v>-191</c:v>
                </c:pt>
                <c:pt idx="16">
                  <c:v>-191</c:v>
                </c:pt>
                <c:pt idx="17">
                  <c:v>-283</c:v>
                </c:pt>
                <c:pt idx="18">
                  <c:v>-273</c:v>
                </c:pt>
                <c:pt idx="19">
                  <c:v>-363</c:v>
                </c:pt>
                <c:pt idx="20">
                  <c:v>-333</c:v>
                </c:pt>
                <c:pt idx="21">
                  <c:v>-350</c:v>
                </c:pt>
                <c:pt idx="22">
                  <c:v>-430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E3-4232-9997-FDD9633EE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'10'!$AM$22:$BJ$22</c:f>
              <c:numCache>
                <c:formatCode>General</c:formatCode>
                <c:ptCount val="24"/>
                <c:pt idx="0">
                  <c:v>2301.14</c:v>
                </c:pt>
                <c:pt idx="1">
                  <c:v>2238.94</c:v>
                </c:pt>
                <c:pt idx="2">
                  <c:v>2197.44</c:v>
                </c:pt>
                <c:pt idx="3">
                  <c:v>2054.54</c:v>
                </c:pt>
                <c:pt idx="4">
                  <c:v>2077.54</c:v>
                </c:pt>
                <c:pt idx="5">
                  <c:v>2002.6399999999999</c:v>
                </c:pt>
                <c:pt idx="6">
                  <c:v>1899.44</c:v>
                </c:pt>
                <c:pt idx="7">
                  <c:v>1846.94</c:v>
                </c:pt>
                <c:pt idx="8">
                  <c:v>2102.44</c:v>
                </c:pt>
                <c:pt idx="9">
                  <c:v>2175.14</c:v>
                </c:pt>
                <c:pt idx="10">
                  <c:v>2161.04</c:v>
                </c:pt>
                <c:pt idx="11">
                  <c:v>2200.2400000000002</c:v>
                </c:pt>
                <c:pt idx="12">
                  <c:v>2106.04</c:v>
                </c:pt>
                <c:pt idx="13">
                  <c:v>3.54</c:v>
                </c:pt>
                <c:pt idx="14">
                  <c:v>2048.8220000000001</c:v>
                </c:pt>
                <c:pt idx="15">
                  <c:v>2048.8780000000002</c:v>
                </c:pt>
                <c:pt idx="16">
                  <c:v>2048.8780000000002</c:v>
                </c:pt>
                <c:pt idx="17">
                  <c:v>2077.1779999999999</c:v>
                </c:pt>
                <c:pt idx="18">
                  <c:v>2015.6780000000001</c:v>
                </c:pt>
                <c:pt idx="19">
                  <c:v>2117.6379999999999</c:v>
                </c:pt>
                <c:pt idx="20">
                  <c:v>2234.4780000000001</c:v>
                </c:pt>
                <c:pt idx="21">
                  <c:v>2269.1779999999999</c:v>
                </c:pt>
                <c:pt idx="22">
                  <c:v>2276.9780000000001</c:v>
                </c:pt>
                <c:pt idx="23">
                  <c:v>2702.9780000000001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0E3-4232-9997-FDD9633EE58E}"/>
            </c:ext>
          </c:extLst>
        </c:ser>
        <c:ser>
          <c:idx val="8"/>
          <c:order val="8"/>
          <c:tx>
            <c:strRef>
              <c:f>'10'!$AL$24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'10'!$AM$24:$BJ$24</c:f>
              <c:numCache>
                <c:formatCode>General</c:formatCode>
                <c:ptCount val="24"/>
                <c:pt idx="0">
                  <c:v>1791.6399999999999</c:v>
                </c:pt>
                <c:pt idx="1">
                  <c:v>1708.44</c:v>
                </c:pt>
                <c:pt idx="2">
                  <c:v>1666.8400000000001</c:v>
                </c:pt>
                <c:pt idx="3">
                  <c:v>1527.04</c:v>
                </c:pt>
                <c:pt idx="4">
                  <c:v>1610.54</c:v>
                </c:pt>
                <c:pt idx="5">
                  <c:v>1606.6399999999999</c:v>
                </c:pt>
                <c:pt idx="6">
                  <c:v>1592.44</c:v>
                </c:pt>
                <c:pt idx="7">
                  <c:v>1616.94</c:v>
                </c:pt>
                <c:pt idx="8">
                  <c:v>1769.74</c:v>
                </c:pt>
                <c:pt idx="9">
                  <c:v>1783.7399999999998</c:v>
                </c:pt>
                <c:pt idx="10">
                  <c:v>1843.04</c:v>
                </c:pt>
                <c:pt idx="11">
                  <c:v>1905.0400000000002</c:v>
                </c:pt>
                <c:pt idx="12">
                  <c:v>1894.04</c:v>
                </c:pt>
                <c:pt idx="13">
                  <c:v>3.54</c:v>
                </c:pt>
                <c:pt idx="14">
                  <c:v>1766.8220000000001</c:v>
                </c:pt>
                <c:pt idx="15">
                  <c:v>1857.8780000000002</c:v>
                </c:pt>
                <c:pt idx="16">
                  <c:v>1857.8780000000002</c:v>
                </c:pt>
                <c:pt idx="17">
                  <c:v>1794.1779999999999</c:v>
                </c:pt>
                <c:pt idx="18">
                  <c:v>1742.6780000000001</c:v>
                </c:pt>
                <c:pt idx="19">
                  <c:v>1754.6379999999999</c:v>
                </c:pt>
                <c:pt idx="20">
                  <c:v>1901.4780000000001</c:v>
                </c:pt>
                <c:pt idx="21">
                  <c:v>1919.1779999999999</c:v>
                </c:pt>
                <c:pt idx="22">
                  <c:v>1846.9780000000001</c:v>
                </c:pt>
                <c:pt idx="23">
                  <c:v>2702.9780000000001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E3-4232-9997-FDD9633EE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6E-48F9-8081-DAB9CC46C0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6E-48F9-8081-DAB9CC46C0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6E-48F9-8081-DAB9CC46C0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6E-48F9-8081-DAB9CC46C0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D6E-48F9-8081-DAB9CC46C02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D6E-48F9-8081-DAB9CC46C0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'11'!$AM$16:$BJ$16</c:f>
              <c:numCache>
                <c:formatCode>General</c:formatCode>
                <c:ptCount val="24"/>
                <c:pt idx="0">
                  <c:v>1057.05</c:v>
                </c:pt>
                <c:pt idx="1">
                  <c:v>1061.45</c:v>
                </c:pt>
                <c:pt idx="2">
                  <c:v>1061.45</c:v>
                </c:pt>
                <c:pt idx="3">
                  <c:v>1047.45</c:v>
                </c:pt>
                <c:pt idx="4">
                  <c:v>1079.95</c:v>
                </c:pt>
                <c:pt idx="5">
                  <c:v>1088.8499999999999</c:v>
                </c:pt>
                <c:pt idx="6">
                  <c:v>1072.95</c:v>
                </c:pt>
                <c:pt idx="7">
                  <c:v>1064.45</c:v>
                </c:pt>
                <c:pt idx="8">
                  <c:v>1078.95</c:v>
                </c:pt>
                <c:pt idx="9">
                  <c:v>1078.95</c:v>
                </c:pt>
                <c:pt idx="10">
                  <c:v>1078.95</c:v>
                </c:pt>
                <c:pt idx="11">
                  <c:v>1048.3</c:v>
                </c:pt>
                <c:pt idx="12">
                  <c:v>1048.3</c:v>
                </c:pt>
                <c:pt idx="13">
                  <c:v>1048.3</c:v>
                </c:pt>
                <c:pt idx="14">
                  <c:v>1048.3</c:v>
                </c:pt>
                <c:pt idx="15">
                  <c:v>1052.5999999999999</c:v>
                </c:pt>
                <c:pt idx="16">
                  <c:v>1052.5999999999999</c:v>
                </c:pt>
                <c:pt idx="17">
                  <c:v>1052.5999999999999</c:v>
                </c:pt>
                <c:pt idx="18" formatCode="0.0">
                  <c:v>1052.5999999999999</c:v>
                </c:pt>
                <c:pt idx="19" formatCode="0.0">
                  <c:v>1052.5999999999999</c:v>
                </c:pt>
                <c:pt idx="20" formatCode="0.0">
                  <c:v>1119.9000000000001</c:v>
                </c:pt>
                <c:pt idx="21" formatCode="0.0">
                  <c:v>1127.5999999999999</c:v>
                </c:pt>
                <c:pt idx="22" formatCode="0.0">
                  <c:v>1127.5999999999999</c:v>
                </c:pt>
                <c:pt idx="23" formatCode="0.0">
                  <c:v>1127.5999999999999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E-47C6-897D-0E0DF818D962}"/>
            </c:ext>
          </c:extLst>
        </c:ser>
        <c:ser>
          <c:idx val="2"/>
          <c:order val="1"/>
          <c:tx>
            <c:strRef>
              <c:f>'11'!$AL$17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'11'!$AM$17:$BJ$17</c:f>
              <c:numCache>
                <c:formatCode>General</c:formatCode>
                <c:ptCount val="24"/>
                <c:pt idx="0">
                  <c:v>542.5</c:v>
                </c:pt>
                <c:pt idx="1">
                  <c:v>542.5</c:v>
                </c:pt>
                <c:pt idx="2">
                  <c:v>542.5</c:v>
                </c:pt>
                <c:pt idx="3">
                  <c:v>542.5</c:v>
                </c:pt>
                <c:pt idx="4">
                  <c:v>542.5</c:v>
                </c:pt>
                <c:pt idx="5">
                  <c:v>516.6</c:v>
                </c:pt>
                <c:pt idx="6">
                  <c:v>538.6</c:v>
                </c:pt>
                <c:pt idx="7">
                  <c:v>538.6</c:v>
                </c:pt>
                <c:pt idx="8">
                  <c:v>538.6</c:v>
                </c:pt>
                <c:pt idx="9">
                  <c:v>538.6</c:v>
                </c:pt>
                <c:pt idx="10">
                  <c:v>538.6</c:v>
                </c:pt>
                <c:pt idx="11">
                  <c:v>538.6</c:v>
                </c:pt>
                <c:pt idx="12">
                  <c:v>538.6</c:v>
                </c:pt>
                <c:pt idx="13">
                  <c:v>538.6</c:v>
                </c:pt>
                <c:pt idx="14">
                  <c:v>538.6</c:v>
                </c:pt>
                <c:pt idx="15">
                  <c:v>538.6</c:v>
                </c:pt>
                <c:pt idx="16">
                  <c:v>538.6</c:v>
                </c:pt>
                <c:pt idx="17">
                  <c:v>538.6</c:v>
                </c:pt>
                <c:pt idx="18" formatCode="0.0">
                  <c:v>538.6</c:v>
                </c:pt>
                <c:pt idx="19" formatCode="0.0">
                  <c:v>538.6</c:v>
                </c:pt>
                <c:pt idx="20" formatCode="0.0">
                  <c:v>541.9</c:v>
                </c:pt>
                <c:pt idx="21" formatCode="0.0">
                  <c:v>542</c:v>
                </c:pt>
                <c:pt idx="22" formatCode="0.0">
                  <c:v>542.1</c:v>
                </c:pt>
                <c:pt idx="23" formatCode="0.0">
                  <c:v>542.1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E-47C6-897D-0E0DF818D962}"/>
            </c:ext>
          </c:extLst>
        </c:ser>
        <c:ser>
          <c:idx val="3"/>
          <c:order val="2"/>
          <c:tx>
            <c:strRef>
              <c:f>'11'!$AL$18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'11'!$AM$18:$BJ$18</c:f>
              <c:numCache>
                <c:formatCode>General</c:formatCode>
                <c:ptCount val="24"/>
                <c:pt idx="0">
                  <c:v>386.54</c:v>
                </c:pt>
                <c:pt idx="1">
                  <c:v>386.54</c:v>
                </c:pt>
                <c:pt idx="2">
                  <c:v>386.54</c:v>
                </c:pt>
                <c:pt idx="3">
                  <c:v>386.54</c:v>
                </c:pt>
                <c:pt idx="4">
                  <c:v>372.44</c:v>
                </c:pt>
                <c:pt idx="5">
                  <c:v>372.44</c:v>
                </c:pt>
                <c:pt idx="6">
                  <c:v>376.34000000000003</c:v>
                </c:pt>
                <c:pt idx="7">
                  <c:v>376.34000000000003</c:v>
                </c:pt>
                <c:pt idx="8">
                  <c:v>385.34</c:v>
                </c:pt>
                <c:pt idx="9">
                  <c:v>381.34</c:v>
                </c:pt>
                <c:pt idx="10">
                  <c:v>381.34</c:v>
                </c:pt>
                <c:pt idx="11">
                  <c:v>381.34</c:v>
                </c:pt>
                <c:pt idx="12">
                  <c:v>381.34</c:v>
                </c:pt>
                <c:pt idx="13">
                  <c:v>381.34</c:v>
                </c:pt>
                <c:pt idx="14">
                  <c:v>363.54</c:v>
                </c:pt>
                <c:pt idx="15">
                  <c:v>422.64000000000004</c:v>
                </c:pt>
                <c:pt idx="16">
                  <c:v>420.73999999999995</c:v>
                </c:pt>
                <c:pt idx="17">
                  <c:v>417.53999999999996</c:v>
                </c:pt>
                <c:pt idx="18" formatCode="0.0">
                  <c:v>400.93999999999994</c:v>
                </c:pt>
                <c:pt idx="19" formatCode="0.0">
                  <c:v>385.84</c:v>
                </c:pt>
                <c:pt idx="20" formatCode="0.0">
                  <c:v>409.14</c:v>
                </c:pt>
                <c:pt idx="21" formatCode="0.0">
                  <c:v>414.44</c:v>
                </c:pt>
                <c:pt idx="22" formatCode="0.0">
                  <c:v>414.44</c:v>
                </c:pt>
                <c:pt idx="23" formatCode="0.0">
                  <c:v>364.44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E-47C6-897D-0E0DF818D962}"/>
            </c:ext>
          </c:extLst>
        </c:ser>
        <c:ser>
          <c:idx val="0"/>
          <c:order val="3"/>
          <c:tx>
            <c:strRef>
              <c:f>'11'!$AL$19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'11'!$AM$19:$BJ$19</c:f>
              <c:numCache>
                <c:formatCode>General</c:formatCode>
                <c:ptCount val="24"/>
                <c:pt idx="0">
                  <c:v>88</c:v>
                </c:pt>
                <c:pt idx="1">
                  <c:v>67</c:v>
                </c:pt>
                <c:pt idx="2">
                  <c:v>70</c:v>
                </c:pt>
                <c:pt idx="3">
                  <c:v>83.1</c:v>
                </c:pt>
                <c:pt idx="4">
                  <c:v>39</c:v>
                </c:pt>
                <c:pt idx="5">
                  <c:v>38</c:v>
                </c:pt>
                <c:pt idx="6">
                  <c:v>36.700000000000003</c:v>
                </c:pt>
                <c:pt idx="7">
                  <c:v>36.700000000000003</c:v>
                </c:pt>
                <c:pt idx="8">
                  <c:v>602.70000000000005</c:v>
                </c:pt>
                <c:pt idx="9">
                  <c:v>65</c:v>
                </c:pt>
                <c:pt idx="10">
                  <c:v>68</c:v>
                </c:pt>
                <c:pt idx="11">
                  <c:v>95.1</c:v>
                </c:pt>
                <c:pt idx="12">
                  <c:v>95.1</c:v>
                </c:pt>
                <c:pt idx="13">
                  <c:v>110</c:v>
                </c:pt>
                <c:pt idx="14">
                  <c:v>114.3</c:v>
                </c:pt>
                <c:pt idx="15">
                  <c:v>105.1</c:v>
                </c:pt>
                <c:pt idx="16">
                  <c:v>117.5</c:v>
                </c:pt>
                <c:pt idx="17">
                  <c:v>106.1</c:v>
                </c:pt>
                <c:pt idx="18" formatCode="0.0">
                  <c:v>93.5</c:v>
                </c:pt>
                <c:pt idx="19" formatCode="0.0">
                  <c:v>44.1</c:v>
                </c:pt>
                <c:pt idx="20" formatCode="0.0">
                  <c:v>58.5</c:v>
                </c:pt>
                <c:pt idx="21" formatCode="0.0">
                  <c:v>56.5</c:v>
                </c:pt>
                <c:pt idx="22" formatCode="0.0">
                  <c:v>56.900000000000006</c:v>
                </c:pt>
                <c:pt idx="23" formatCode="0.0">
                  <c:v>57.1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CE-47C6-897D-0E0DF818D962}"/>
            </c:ext>
          </c:extLst>
        </c:ser>
        <c:ser>
          <c:idx val="4"/>
          <c:order val="4"/>
          <c:tx>
            <c:strRef>
              <c:f>'11'!$AL$20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'11'!$AM$20:$BJ$20</c:f>
              <c:numCache>
                <c:formatCode>General</c:formatCode>
                <c:ptCount val="24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20.9</c:v>
                </c:pt>
                <c:pt idx="9">
                  <c:v>20.9</c:v>
                </c:pt>
                <c:pt idx="10">
                  <c:v>20.9</c:v>
                </c:pt>
                <c:pt idx="11">
                  <c:v>17.900000000000002</c:v>
                </c:pt>
                <c:pt idx="12">
                  <c:v>17.900000000000002</c:v>
                </c:pt>
                <c:pt idx="13">
                  <c:v>17.900000000000002</c:v>
                </c:pt>
                <c:pt idx="14">
                  <c:v>17.899999999999999</c:v>
                </c:pt>
                <c:pt idx="15">
                  <c:v>17.899999999999999</c:v>
                </c:pt>
                <c:pt idx="16">
                  <c:v>30.2</c:v>
                </c:pt>
                <c:pt idx="17">
                  <c:v>30.2</c:v>
                </c:pt>
                <c:pt idx="18" formatCode="0.0">
                  <c:v>16.7</c:v>
                </c:pt>
                <c:pt idx="19" formatCode="0.0">
                  <c:v>24.6</c:v>
                </c:pt>
                <c:pt idx="20" formatCode="0.0">
                  <c:v>32.4</c:v>
                </c:pt>
                <c:pt idx="21" formatCode="0.0">
                  <c:v>29.299999999999997</c:v>
                </c:pt>
                <c:pt idx="22" formatCode="0.0">
                  <c:v>32.700000000000003</c:v>
                </c:pt>
                <c:pt idx="23" formatCode="0.0">
                  <c:v>15.400000000000002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CE-47C6-897D-0E0DF818D962}"/>
            </c:ext>
          </c:extLst>
        </c:ser>
        <c:ser>
          <c:idx val="5"/>
          <c:order val="5"/>
          <c:tx>
            <c:strRef>
              <c:f>'11'!$AL$21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50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CE-47C6-897D-0E0DF818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'11'!$AM$23:$BJ$23</c:f>
              <c:numCache>
                <c:formatCode>General</c:formatCode>
                <c:ptCount val="24"/>
                <c:pt idx="0">
                  <c:v>-475</c:v>
                </c:pt>
                <c:pt idx="1">
                  <c:v>-520</c:v>
                </c:pt>
                <c:pt idx="2">
                  <c:v>-504</c:v>
                </c:pt>
                <c:pt idx="3">
                  <c:v>-510</c:v>
                </c:pt>
                <c:pt idx="4">
                  <c:v>-532</c:v>
                </c:pt>
                <c:pt idx="5">
                  <c:v>-560</c:v>
                </c:pt>
                <c:pt idx="6">
                  <c:v>-484</c:v>
                </c:pt>
                <c:pt idx="7">
                  <c:v>-484</c:v>
                </c:pt>
                <c:pt idx="8">
                  <c:v>0</c:v>
                </c:pt>
                <c:pt idx="9">
                  <c:v>-337</c:v>
                </c:pt>
                <c:pt idx="10">
                  <c:v>-384</c:v>
                </c:pt>
                <c:pt idx="11">
                  <c:v>-435</c:v>
                </c:pt>
                <c:pt idx="12">
                  <c:v>-435</c:v>
                </c:pt>
                <c:pt idx="13">
                  <c:v>-390</c:v>
                </c:pt>
                <c:pt idx="14">
                  <c:v>-433.3</c:v>
                </c:pt>
                <c:pt idx="15">
                  <c:v>-433.9</c:v>
                </c:pt>
                <c:pt idx="16">
                  <c:v>-418</c:v>
                </c:pt>
                <c:pt idx="17">
                  <c:v>-422.4</c:v>
                </c:pt>
                <c:pt idx="18">
                  <c:v>-491.6</c:v>
                </c:pt>
                <c:pt idx="19">
                  <c:v>-450.4</c:v>
                </c:pt>
                <c:pt idx="20">
                  <c:v>-373.4</c:v>
                </c:pt>
                <c:pt idx="21">
                  <c:v>-388.5</c:v>
                </c:pt>
                <c:pt idx="22">
                  <c:v>-462.6</c:v>
                </c:pt>
                <c:pt idx="23">
                  <c:v>-437.9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CE-47C6-897D-0E0DF818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'11'!$AM$22:$BJ$22</c:f>
              <c:numCache>
                <c:formatCode>General</c:formatCode>
                <c:ptCount val="24"/>
                <c:pt idx="0">
                  <c:v>2300.3900000000003</c:v>
                </c:pt>
                <c:pt idx="1">
                  <c:v>2283.79</c:v>
                </c:pt>
                <c:pt idx="2">
                  <c:v>2236.79</c:v>
                </c:pt>
                <c:pt idx="3">
                  <c:v>2209.59</c:v>
                </c:pt>
                <c:pt idx="4">
                  <c:v>2183.8900000000003</c:v>
                </c:pt>
                <c:pt idx="5">
                  <c:v>2165.89</c:v>
                </c:pt>
                <c:pt idx="6">
                  <c:v>2024.5900000000004</c:v>
                </c:pt>
                <c:pt idx="7">
                  <c:v>2016.0900000000004</c:v>
                </c:pt>
                <c:pt idx="8">
                  <c:v>2626.4900000000002</c:v>
                </c:pt>
                <c:pt idx="9">
                  <c:v>2084.7900000000004</c:v>
                </c:pt>
                <c:pt idx="10">
                  <c:v>2087.7900000000004</c:v>
                </c:pt>
                <c:pt idx="11">
                  <c:v>2081.2400000000002</c:v>
                </c:pt>
                <c:pt idx="12">
                  <c:v>2081.2400000000002</c:v>
                </c:pt>
                <c:pt idx="13">
                  <c:v>2096.14</c:v>
                </c:pt>
                <c:pt idx="14">
                  <c:v>2082.6400000000003</c:v>
                </c:pt>
                <c:pt idx="15">
                  <c:v>2136.84</c:v>
                </c:pt>
                <c:pt idx="16">
                  <c:v>2159.6399999999994</c:v>
                </c:pt>
                <c:pt idx="17">
                  <c:v>2145.0399999999995</c:v>
                </c:pt>
                <c:pt idx="18">
                  <c:v>2102.3399999999997</c:v>
                </c:pt>
                <c:pt idx="19">
                  <c:v>2095.7399999999998</c:v>
                </c:pt>
                <c:pt idx="20">
                  <c:v>2161.84</c:v>
                </c:pt>
                <c:pt idx="21">
                  <c:v>2169.84</c:v>
                </c:pt>
                <c:pt idx="22">
                  <c:v>2173.7399999999998</c:v>
                </c:pt>
                <c:pt idx="23">
                  <c:v>2156.64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2CE-47C6-897D-0E0DF818D962}"/>
            </c:ext>
          </c:extLst>
        </c:ser>
        <c:ser>
          <c:idx val="8"/>
          <c:order val="8"/>
          <c:tx>
            <c:strRef>
              <c:f>'11'!$AL$24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'11'!$AM$24:$BJ$24</c:f>
              <c:numCache>
                <c:formatCode>General</c:formatCode>
                <c:ptCount val="24"/>
                <c:pt idx="0">
                  <c:v>1825.3900000000003</c:v>
                </c:pt>
                <c:pt idx="1">
                  <c:v>1763.79</c:v>
                </c:pt>
                <c:pt idx="2">
                  <c:v>1732.79</c:v>
                </c:pt>
                <c:pt idx="3">
                  <c:v>1699.5900000000001</c:v>
                </c:pt>
                <c:pt idx="4">
                  <c:v>1651.8900000000003</c:v>
                </c:pt>
                <c:pt idx="5">
                  <c:v>1605.8899999999999</c:v>
                </c:pt>
                <c:pt idx="6">
                  <c:v>1540.5900000000004</c:v>
                </c:pt>
                <c:pt idx="7">
                  <c:v>1532.0900000000004</c:v>
                </c:pt>
                <c:pt idx="8">
                  <c:v>2626.4900000000002</c:v>
                </c:pt>
                <c:pt idx="9">
                  <c:v>1747.7900000000004</c:v>
                </c:pt>
                <c:pt idx="10">
                  <c:v>1703.7900000000004</c:v>
                </c:pt>
                <c:pt idx="11">
                  <c:v>1646.2400000000002</c:v>
                </c:pt>
                <c:pt idx="12">
                  <c:v>1646.2400000000002</c:v>
                </c:pt>
                <c:pt idx="13">
                  <c:v>1706.1399999999999</c:v>
                </c:pt>
                <c:pt idx="14">
                  <c:v>1649.3400000000004</c:v>
                </c:pt>
                <c:pt idx="15">
                  <c:v>1702.94</c:v>
                </c:pt>
                <c:pt idx="16">
                  <c:v>1741.6399999999994</c:v>
                </c:pt>
                <c:pt idx="17">
                  <c:v>1722.6399999999994</c:v>
                </c:pt>
                <c:pt idx="18">
                  <c:v>1610.7399999999998</c:v>
                </c:pt>
                <c:pt idx="19">
                  <c:v>1645.3399999999997</c:v>
                </c:pt>
                <c:pt idx="20">
                  <c:v>1788.44</c:v>
                </c:pt>
                <c:pt idx="21">
                  <c:v>1781.3400000000001</c:v>
                </c:pt>
                <c:pt idx="22">
                  <c:v>1711.1399999999999</c:v>
                </c:pt>
                <c:pt idx="23">
                  <c:v>1718.7399999999998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CE-47C6-897D-0E0DF818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03-4ECB-9DC0-9802E8DC8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03-4ECB-9DC0-9802E8DC8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03-4ECB-9DC0-9802E8DC8D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03-4ECB-9DC0-9802E8DC8D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03-4ECB-9DC0-9802E8DC8D5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203-4ECB-9DC0-9802E8DC8D5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'12'!$AM$16:$BJ$16</c:f>
              <c:numCache>
                <c:formatCode>General</c:formatCode>
                <c:ptCount val="24"/>
                <c:pt idx="0">
                  <c:v>1031.6999999999998</c:v>
                </c:pt>
                <c:pt idx="1">
                  <c:v>150</c:v>
                </c:pt>
                <c:pt idx="2">
                  <c:v>1068.5999999999999</c:v>
                </c:pt>
                <c:pt idx="3">
                  <c:v>1037.0999999999999</c:v>
                </c:pt>
                <c:pt idx="4">
                  <c:v>885.99999999999989</c:v>
                </c:pt>
                <c:pt idx="5">
                  <c:v>803.44999999999993</c:v>
                </c:pt>
                <c:pt idx="6">
                  <c:v>744</c:v>
                </c:pt>
                <c:pt idx="7">
                  <c:v>614.09999999999991</c:v>
                </c:pt>
                <c:pt idx="8">
                  <c:v>638.20000000000005</c:v>
                </c:pt>
                <c:pt idx="9">
                  <c:v>706.6</c:v>
                </c:pt>
                <c:pt idx="10">
                  <c:v>734.69999999999993</c:v>
                </c:pt>
                <c:pt idx="11">
                  <c:v>839.00000000000011</c:v>
                </c:pt>
                <c:pt idx="12">
                  <c:v>926.1</c:v>
                </c:pt>
                <c:pt idx="13">
                  <c:v>899.2</c:v>
                </c:pt>
                <c:pt idx="14">
                  <c:v>899.2</c:v>
                </c:pt>
                <c:pt idx="15">
                  <c:v>899.2</c:v>
                </c:pt>
                <c:pt idx="16">
                  <c:v>899.2</c:v>
                </c:pt>
                <c:pt idx="17">
                  <c:v>938.10000000000014</c:v>
                </c:pt>
                <c:pt idx="18" formatCode="0.0">
                  <c:v>1013.8000000000002</c:v>
                </c:pt>
                <c:pt idx="19" formatCode="0.0">
                  <c:v>1010.7000000000002</c:v>
                </c:pt>
                <c:pt idx="20" formatCode="0.0">
                  <c:v>1055.2</c:v>
                </c:pt>
                <c:pt idx="21" formatCode="0.0">
                  <c:v>1084.0999999999999</c:v>
                </c:pt>
                <c:pt idx="22" formatCode="0.0">
                  <c:v>1084.0999999999999</c:v>
                </c:pt>
                <c:pt idx="23" formatCode="0.0">
                  <c:v>1084.0999999999999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E-498E-8153-0B826090A079}"/>
            </c:ext>
          </c:extLst>
        </c:ser>
        <c:ser>
          <c:idx val="2"/>
          <c:order val="1"/>
          <c:tx>
            <c:strRef>
              <c:f>'12'!$AL$17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'12'!$AM$17:$BJ$17</c:f>
              <c:numCache>
                <c:formatCode>General</c:formatCode>
                <c:ptCount val="24"/>
                <c:pt idx="0">
                  <c:v>538.6</c:v>
                </c:pt>
                <c:pt idx="1">
                  <c:v>0</c:v>
                </c:pt>
                <c:pt idx="2">
                  <c:v>538.6</c:v>
                </c:pt>
                <c:pt idx="3">
                  <c:v>538.5</c:v>
                </c:pt>
                <c:pt idx="4">
                  <c:v>522.5</c:v>
                </c:pt>
                <c:pt idx="5">
                  <c:v>533.1</c:v>
                </c:pt>
                <c:pt idx="6">
                  <c:v>541.5</c:v>
                </c:pt>
                <c:pt idx="7">
                  <c:v>541.5</c:v>
                </c:pt>
                <c:pt idx="8">
                  <c:v>541.5</c:v>
                </c:pt>
                <c:pt idx="9">
                  <c:v>541.5</c:v>
                </c:pt>
                <c:pt idx="10">
                  <c:v>541.5</c:v>
                </c:pt>
                <c:pt idx="11">
                  <c:v>541.5</c:v>
                </c:pt>
                <c:pt idx="12">
                  <c:v>541.5</c:v>
                </c:pt>
                <c:pt idx="13">
                  <c:v>541.5</c:v>
                </c:pt>
                <c:pt idx="14">
                  <c:v>541.5</c:v>
                </c:pt>
                <c:pt idx="15">
                  <c:v>541.5</c:v>
                </c:pt>
                <c:pt idx="16">
                  <c:v>541.5</c:v>
                </c:pt>
                <c:pt idx="17">
                  <c:v>541.5</c:v>
                </c:pt>
                <c:pt idx="18" formatCode="0.0">
                  <c:v>541.5</c:v>
                </c:pt>
                <c:pt idx="19" formatCode="0.0">
                  <c:v>541.5</c:v>
                </c:pt>
                <c:pt idx="20" formatCode="0.0">
                  <c:v>541.5</c:v>
                </c:pt>
                <c:pt idx="21" formatCode="0.0">
                  <c:v>541.5</c:v>
                </c:pt>
                <c:pt idx="22" formatCode="0.0">
                  <c:v>541.5</c:v>
                </c:pt>
                <c:pt idx="23" formatCode="0.0">
                  <c:v>541.5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E-498E-8153-0B826090A079}"/>
            </c:ext>
          </c:extLst>
        </c:ser>
        <c:ser>
          <c:idx val="3"/>
          <c:order val="2"/>
          <c:tx>
            <c:strRef>
              <c:f>'12'!$AL$18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'12'!$AM$18:$BJ$18</c:f>
              <c:numCache>
                <c:formatCode>General</c:formatCode>
                <c:ptCount val="24"/>
                <c:pt idx="0">
                  <c:v>3.3</c:v>
                </c:pt>
                <c:pt idx="1">
                  <c:v>3.54</c:v>
                </c:pt>
                <c:pt idx="2">
                  <c:v>305.53999999999996</c:v>
                </c:pt>
                <c:pt idx="3">
                  <c:v>338.64</c:v>
                </c:pt>
                <c:pt idx="4">
                  <c:v>295.44</c:v>
                </c:pt>
                <c:pt idx="5">
                  <c:v>333.74</c:v>
                </c:pt>
                <c:pt idx="6">
                  <c:v>334.64</c:v>
                </c:pt>
                <c:pt idx="7">
                  <c:v>336.44</c:v>
                </c:pt>
                <c:pt idx="8">
                  <c:v>336.44</c:v>
                </c:pt>
                <c:pt idx="9">
                  <c:v>331.44</c:v>
                </c:pt>
                <c:pt idx="10">
                  <c:v>335.74</c:v>
                </c:pt>
                <c:pt idx="11">
                  <c:v>340.34</c:v>
                </c:pt>
                <c:pt idx="12">
                  <c:v>334.24</c:v>
                </c:pt>
                <c:pt idx="13">
                  <c:v>338.74</c:v>
                </c:pt>
                <c:pt idx="14">
                  <c:v>367.74000000000007</c:v>
                </c:pt>
                <c:pt idx="15">
                  <c:v>368.84000000000003</c:v>
                </c:pt>
                <c:pt idx="16">
                  <c:v>403.34000000000003</c:v>
                </c:pt>
                <c:pt idx="17">
                  <c:v>403.54</c:v>
                </c:pt>
                <c:pt idx="18" formatCode="0.0">
                  <c:v>387.94</c:v>
                </c:pt>
                <c:pt idx="19" formatCode="0.0">
                  <c:v>386.94</c:v>
                </c:pt>
                <c:pt idx="20" formatCode="0.0">
                  <c:v>351.74</c:v>
                </c:pt>
                <c:pt idx="21" formatCode="0.0">
                  <c:v>311.04000000000002</c:v>
                </c:pt>
                <c:pt idx="22" formatCode="0.0">
                  <c:v>376.74</c:v>
                </c:pt>
                <c:pt idx="23" formatCode="0.0">
                  <c:v>312.04000000000002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7E-498E-8153-0B826090A079}"/>
            </c:ext>
          </c:extLst>
        </c:ser>
        <c:ser>
          <c:idx val="0"/>
          <c:order val="3"/>
          <c:tx>
            <c:strRef>
              <c:f>'12'!$AL$19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'12'!$AM$19:$BJ$19</c:f>
              <c:numCache>
                <c:formatCode>General</c:formatCode>
                <c:ptCount val="24"/>
                <c:pt idx="0">
                  <c:v>92</c:v>
                </c:pt>
                <c:pt idx="1">
                  <c:v>0</c:v>
                </c:pt>
                <c:pt idx="2">
                  <c:v>91.2</c:v>
                </c:pt>
                <c:pt idx="3">
                  <c:v>98</c:v>
                </c:pt>
                <c:pt idx="4">
                  <c:v>75.599999999999994</c:v>
                </c:pt>
                <c:pt idx="5">
                  <c:v>47</c:v>
                </c:pt>
                <c:pt idx="6">
                  <c:v>59</c:v>
                </c:pt>
                <c:pt idx="7">
                  <c:v>108.1</c:v>
                </c:pt>
                <c:pt idx="8">
                  <c:v>31.3</c:v>
                </c:pt>
                <c:pt idx="9">
                  <c:v>40.4</c:v>
                </c:pt>
                <c:pt idx="10">
                  <c:v>40</c:v>
                </c:pt>
                <c:pt idx="11">
                  <c:v>35</c:v>
                </c:pt>
                <c:pt idx="12">
                  <c:v>42.1</c:v>
                </c:pt>
                <c:pt idx="13">
                  <c:v>45.8</c:v>
                </c:pt>
                <c:pt idx="14">
                  <c:v>46.7</c:v>
                </c:pt>
                <c:pt idx="15">
                  <c:v>50.2</c:v>
                </c:pt>
                <c:pt idx="16">
                  <c:v>38.9</c:v>
                </c:pt>
                <c:pt idx="17">
                  <c:v>28.6</c:v>
                </c:pt>
                <c:pt idx="18" formatCode="0.0">
                  <c:v>35</c:v>
                </c:pt>
                <c:pt idx="19" formatCode="0.0">
                  <c:v>8.3000000000000007</c:v>
                </c:pt>
                <c:pt idx="20" formatCode="0.0">
                  <c:v>12.5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7E-498E-8153-0B826090A079}"/>
            </c:ext>
          </c:extLst>
        </c:ser>
        <c:ser>
          <c:idx val="4"/>
          <c:order val="4"/>
          <c:tx>
            <c:strRef>
              <c:f>'12'!$AL$20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'12'!$AM$20:$BJ$20</c:f>
              <c:numCache>
                <c:formatCode>General</c:formatCode>
                <c:ptCount val="24"/>
                <c:pt idx="0">
                  <c:v>15.400000000000002</c:v>
                </c:pt>
                <c:pt idx="1">
                  <c:v>0</c:v>
                </c:pt>
                <c:pt idx="2">
                  <c:v>33.1</c:v>
                </c:pt>
                <c:pt idx="3">
                  <c:v>22.8</c:v>
                </c:pt>
                <c:pt idx="4">
                  <c:v>21.2</c:v>
                </c:pt>
                <c:pt idx="5">
                  <c:v>21.2</c:v>
                </c:pt>
                <c:pt idx="6">
                  <c:v>21.2</c:v>
                </c:pt>
                <c:pt idx="7">
                  <c:v>21.2</c:v>
                </c:pt>
                <c:pt idx="8">
                  <c:v>14</c:v>
                </c:pt>
                <c:pt idx="9">
                  <c:v>17.500000000000004</c:v>
                </c:pt>
                <c:pt idx="10">
                  <c:v>21.3</c:v>
                </c:pt>
                <c:pt idx="11">
                  <c:v>21.200000000000003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 formatCode="0.0">
                  <c:v>20</c:v>
                </c:pt>
                <c:pt idx="19" formatCode="0.0">
                  <c:v>20</c:v>
                </c:pt>
                <c:pt idx="20" formatCode="0.0">
                  <c:v>20</c:v>
                </c:pt>
                <c:pt idx="21" formatCode="0.0">
                  <c:v>20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7E-498E-8153-0B826090A079}"/>
            </c:ext>
          </c:extLst>
        </c:ser>
        <c:ser>
          <c:idx val="5"/>
          <c:order val="5"/>
          <c:tx>
            <c:strRef>
              <c:f>'12'!$AL$21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7E-498E-8153-0B826090A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'12'!$AM$23:$BJ$23</c:f>
              <c:numCache>
                <c:formatCode>General</c:formatCode>
                <c:ptCount val="24"/>
                <c:pt idx="0">
                  <c:v>-435</c:v>
                </c:pt>
                <c:pt idx="1">
                  <c:v>0</c:v>
                </c:pt>
                <c:pt idx="2">
                  <c:v>-460.8</c:v>
                </c:pt>
                <c:pt idx="3">
                  <c:v>-526</c:v>
                </c:pt>
                <c:pt idx="4">
                  <c:v>-543</c:v>
                </c:pt>
                <c:pt idx="5">
                  <c:v>-381.7</c:v>
                </c:pt>
                <c:pt idx="6">
                  <c:v>-312</c:v>
                </c:pt>
                <c:pt idx="7">
                  <c:v>-281.60000000000002</c:v>
                </c:pt>
                <c:pt idx="8">
                  <c:v>-338.7</c:v>
                </c:pt>
                <c:pt idx="9">
                  <c:v>-370</c:v>
                </c:pt>
                <c:pt idx="10">
                  <c:v>-350</c:v>
                </c:pt>
                <c:pt idx="11">
                  <c:v>-459</c:v>
                </c:pt>
                <c:pt idx="12">
                  <c:v>-520</c:v>
                </c:pt>
                <c:pt idx="13">
                  <c:v>-507</c:v>
                </c:pt>
                <c:pt idx="14">
                  <c:v>-438.5</c:v>
                </c:pt>
                <c:pt idx="15">
                  <c:v>-416.2</c:v>
                </c:pt>
                <c:pt idx="16">
                  <c:v>-577.9</c:v>
                </c:pt>
                <c:pt idx="17">
                  <c:v>-547.70000000000005</c:v>
                </c:pt>
                <c:pt idx="18">
                  <c:v>-651.9</c:v>
                </c:pt>
                <c:pt idx="19">
                  <c:v>-568.9</c:v>
                </c:pt>
                <c:pt idx="20">
                  <c:v>-438</c:v>
                </c:pt>
                <c:pt idx="21">
                  <c:v>-498</c:v>
                </c:pt>
                <c:pt idx="22">
                  <c:v>-499</c:v>
                </c:pt>
                <c:pt idx="23">
                  <c:v>-517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7E-498E-8153-0B826090A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'12'!$AM$22:$BJ$22</c:f>
              <c:numCache>
                <c:formatCode>General</c:formatCode>
                <c:ptCount val="24"/>
                <c:pt idx="0">
                  <c:v>1780.9999999999998</c:v>
                </c:pt>
                <c:pt idx="1">
                  <c:v>153.54</c:v>
                </c:pt>
                <c:pt idx="2">
                  <c:v>2087.04</c:v>
                </c:pt>
                <c:pt idx="3">
                  <c:v>2085.04</c:v>
                </c:pt>
                <c:pt idx="4">
                  <c:v>1850.74</c:v>
                </c:pt>
                <c:pt idx="5">
                  <c:v>1738.49</c:v>
                </c:pt>
                <c:pt idx="6">
                  <c:v>1700.34</c:v>
                </c:pt>
                <c:pt idx="7">
                  <c:v>1621.34</c:v>
                </c:pt>
                <c:pt idx="8">
                  <c:v>1561.44</c:v>
                </c:pt>
                <c:pt idx="9">
                  <c:v>1637.44</c:v>
                </c:pt>
                <c:pt idx="10">
                  <c:v>1673.2399999999998</c:v>
                </c:pt>
                <c:pt idx="11">
                  <c:v>1777.04</c:v>
                </c:pt>
                <c:pt idx="12">
                  <c:v>1863.9399999999998</c:v>
                </c:pt>
                <c:pt idx="13">
                  <c:v>1845.24</c:v>
                </c:pt>
                <c:pt idx="14">
                  <c:v>1875.14</c:v>
                </c:pt>
                <c:pt idx="15">
                  <c:v>1879.74</c:v>
                </c:pt>
                <c:pt idx="16">
                  <c:v>1902.94</c:v>
                </c:pt>
                <c:pt idx="17">
                  <c:v>1931.74</c:v>
                </c:pt>
                <c:pt idx="18">
                  <c:v>1998.2400000000002</c:v>
                </c:pt>
                <c:pt idx="19">
                  <c:v>1967.4400000000003</c:v>
                </c:pt>
                <c:pt idx="20">
                  <c:v>1980.94</c:v>
                </c:pt>
                <c:pt idx="21">
                  <c:v>1956.6399999999999</c:v>
                </c:pt>
                <c:pt idx="22">
                  <c:v>2002.34</c:v>
                </c:pt>
                <c:pt idx="23">
                  <c:v>1937.6399999999999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F7E-498E-8153-0B826090A079}"/>
            </c:ext>
          </c:extLst>
        </c:ser>
        <c:ser>
          <c:idx val="8"/>
          <c:order val="8"/>
          <c:tx>
            <c:strRef>
              <c:f>'12'!$AL$24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'12'!$AM$24:$BJ$24</c:f>
              <c:numCache>
                <c:formatCode>General</c:formatCode>
                <c:ptCount val="24"/>
                <c:pt idx="0">
                  <c:v>1345.9999999999998</c:v>
                </c:pt>
                <c:pt idx="1">
                  <c:v>153.54</c:v>
                </c:pt>
                <c:pt idx="2">
                  <c:v>1626.24</c:v>
                </c:pt>
                <c:pt idx="3">
                  <c:v>1559.04</c:v>
                </c:pt>
                <c:pt idx="4">
                  <c:v>1307.74</c:v>
                </c:pt>
                <c:pt idx="5">
                  <c:v>1356.79</c:v>
                </c:pt>
                <c:pt idx="6">
                  <c:v>1388.34</c:v>
                </c:pt>
                <c:pt idx="7">
                  <c:v>1339.7399999999998</c:v>
                </c:pt>
                <c:pt idx="8">
                  <c:v>1222.74</c:v>
                </c:pt>
                <c:pt idx="9">
                  <c:v>1267.44</c:v>
                </c:pt>
                <c:pt idx="10">
                  <c:v>1323.2399999999998</c:v>
                </c:pt>
                <c:pt idx="11">
                  <c:v>1318.04</c:v>
                </c:pt>
                <c:pt idx="12">
                  <c:v>1343.9399999999998</c:v>
                </c:pt>
                <c:pt idx="13">
                  <c:v>1338.24</c:v>
                </c:pt>
                <c:pt idx="14">
                  <c:v>1436.64</c:v>
                </c:pt>
                <c:pt idx="15">
                  <c:v>1463.54</c:v>
                </c:pt>
                <c:pt idx="16">
                  <c:v>1325.04</c:v>
                </c:pt>
                <c:pt idx="17">
                  <c:v>1384.04</c:v>
                </c:pt>
                <c:pt idx="18">
                  <c:v>1346.3400000000001</c:v>
                </c:pt>
                <c:pt idx="19">
                  <c:v>1398.5400000000004</c:v>
                </c:pt>
                <c:pt idx="20">
                  <c:v>1542.94</c:v>
                </c:pt>
                <c:pt idx="21">
                  <c:v>1458.6399999999999</c:v>
                </c:pt>
                <c:pt idx="22">
                  <c:v>1503.34</c:v>
                </c:pt>
                <c:pt idx="23">
                  <c:v>1420.6399999999999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7E-498E-8153-0B826090A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4E-4B81-BCF1-1E0D99917B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4E-4B81-BCF1-1E0D99917B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4E-4B81-BCF1-1E0D99917B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4E-4B81-BCF1-1E0D99917B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4E-4B81-BCF1-1E0D99917B5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94E-4B81-BCF1-1E0D99917B5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'13'!$AM$16:$BJ$16</c:f>
              <c:numCache>
                <c:formatCode>General</c:formatCode>
                <c:ptCount val="24"/>
                <c:pt idx="0">
                  <c:v>1088.5999999999999</c:v>
                </c:pt>
                <c:pt idx="1">
                  <c:v>1088.5999999999999</c:v>
                </c:pt>
                <c:pt idx="2">
                  <c:v>1088.5999999999999</c:v>
                </c:pt>
                <c:pt idx="3">
                  <c:v>1049</c:v>
                </c:pt>
                <c:pt idx="4">
                  <c:v>1069</c:v>
                </c:pt>
                <c:pt idx="5">
                  <c:v>1069</c:v>
                </c:pt>
                <c:pt idx="6">
                  <c:v>1044.8000000000002</c:v>
                </c:pt>
                <c:pt idx="7">
                  <c:v>1074.4000000000001</c:v>
                </c:pt>
                <c:pt idx="8">
                  <c:v>1064.3000000000002</c:v>
                </c:pt>
                <c:pt idx="9">
                  <c:v>1064.3000000000002</c:v>
                </c:pt>
                <c:pt idx="10">
                  <c:v>1064.3000000000002</c:v>
                </c:pt>
                <c:pt idx="11">
                  <c:v>1028.5999999999999</c:v>
                </c:pt>
                <c:pt idx="12">
                  <c:v>1028.1999999999998</c:v>
                </c:pt>
                <c:pt idx="13">
                  <c:v>945.19999999999993</c:v>
                </c:pt>
                <c:pt idx="14">
                  <c:v>1017.1999999999999</c:v>
                </c:pt>
                <c:pt idx="15">
                  <c:v>1017.1999999999999</c:v>
                </c:pt>
                <c:pt idx="16">
                  <c:v>1032.1999999999998</c:v>
                </c:pt>
                <c:pt idx="17">
                  <c:v>1032.1999999999998</c:v>
                </c:pt>
                <c:pt idx="18" formatCode="0.0">
                  <c:v>1003.1999999999999</c:v>
                </c:pt>
                <c:pt idx="19" formatCode="0.0">
                  <c:v>1003.1999999999999</c:v>
                </c:pt>
                <c:pt idx="20" formatCode="0.0">
                  <c:v>1003.1999999999999</c:v>
                </c:pt>
                <c:pt idx="21" formatCode="0.0">
                  <c:v>968.3</c:v>
                </c:pt>
                <c:pt idx="22" formatCode="0.0">
                  <c:v>968.3</c:v>
                </c:pt>
                <c:pt idx="23" formatCode="0.0">
                  <c:v>896.49999999999989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9-4CDA-8665-EF539EE3A3E3}"/>
            </c:ext>
          </c:extLst>
        </c:ser>
        <c:ser>
          <c:idx val="2"/>
          <c:order val="1"/>
          <c:tx>
            <c:strRef>
              <c:f>'13'!$AL$17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'13'!$AM$17:$BJ$17</c:f>
              <c:numCache>
                <c:formatCode>General</c:formatCode>
                <c:ptCount val="24"/>
                <c:pt idx="0">
                  <c:v>541.5</c:v>
                </c:pt>
                <c:pt idx="1">
                  <c:v>541.5</c:v>
                </c:pt>
                <c:pt idx="2">
                  <c:v>541.5</c:v>
                </c:pt>
                <c:pt idx="3">
                  <c:v>542.5</c:v>
                </c:pt>
                <c:pt idx="4">
                  <c:v>542.5</c:v>
                </c:pt>
                <c:pt idx="5">
                  <c:v>542.5</c:v>
                </c:pt>
                <c:pt idx="6">
                  <c:v>542.5</c:v>
                </c:pt>
                <c:pt idx="7">
                  <c:v>542.5</c:v>
                </c:pt>
                <c:pt idx="8">
                  <c:v>542.5</c:v>
                </c:pt>
                <c:pt idx="9">
                  <c:v>542.5</c:v>
                </c:pt>
                <c:pt idx="10">
                  <c:v>542.5</c:v>
                </c:pt>
                <c:pt idx="11">
                  <c:v>542.5</c:v>
                </c:pt>
                <c:pt idx="12">
                  <c:v>542.5</c:v>
                </c:pt>
                <c:pt idx="13">
                  <c:v>542.5</c:v>
                </c:pt>
                <c:pt idx="14">
                  <c:v>542.5</c:v>
                </c:pt>
                <c:pt idx="15">
                  <c:v>542.5</c:v>
                </c:pt>
                <c:pt idx="16">
                  <c:v>542.5</c:v>
                </c:pt>
                <c:pt idx="17">
                  <c:v>542.5</c:v>
                </c:pt>
                <c:pt idx="18" formatCode="0.0">
                  <c:v>542.5</c:v>
                </c:pt>
                <c:pt idx="19" formatCode="0.0">
                  <c:v>542.5</c:v>
                </c:pt>
                <c:pt idx="20" formatCode="0.0">
                  <c:v>542.5</c:v>
                </c:pt>
                <c:pt idx="21" formatCode="0.0">
                  <c:v>542.5</c:v>
                </c:pt>
                <c:pt idx="22" formatCode="0.0">
                  <c:v>542.5</c:v>
                </c:pt>
                <c:pt idx="23" formatCode="0.0">
                  <c:v>542.5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9-4CDA-8665-EF539EE3A3E3}"/>
            </c:ext>
          </c:extLst>
        </c:ser>
        <c:ser>
          <c:idx val="3"/>
          <c:order val="2"/>
          <c:tx>
            <c:strRef>
              <c:f>'13'!$AL$18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'13'!$AM$18:$BJ$18</c:f>
              <c:numCache>
                <c:formatCode>General</c:formatCode>
                <c:ptCount val="24"/>
                <c:pt idx="0">
                  <c:v>312.04000000000002</c:v>
                </c:pt>
                <c:pt idx="1">
                  <c:v>312.04000000000002</c:v>
                </c:pt>
                <c:pt idx="2">
                  <c:v>312.04000000000002</c:v>
                </c:pt>
                <c:pt idx="3">
                  <c:v>337.94000000000005</c:v>
                </c:pt>
                <c:pt idx="4">
                  <c:v>337.94000000000005</c:v>
                </c:pt>
                <c:pt idx="5">
                  <c:v>337.94000000000005</c:v>
                </c:pt>
                <c:pt idx="6">
                  <c:v>406.94000000000005</c:v>
                </c:pt>
                <c:pt idx="7">
                  <c:v>406.94000000000005</c:v>
                </c:pt>
                <c:pt idx="8">
                  <c:v>408.74000000000007</c:v>
                </c:pt>
                <c:pt idx="9">
                  <c:v>408.74000000000007</c:v>
                </c:pt>
                <c:pt idx="10">
                  <c:v>408.74000000000007</c:v>
                </c:pt>
                <c:pt idx="11">
                  <c:v>415.24000000000007</c:v>
                </c:pt>
                <c:pt idx="12">
                  <c:v>415.24000000000007</c:v>
                </c:pt>
                <c:pt idx="13">
                  <c:v>388.04000000000013</c:v>
                </c:pt>
                <c:pt idx="14">
                  <c:v>394.84000000000009</c:v>
                </c:pt>
                <c:pt idx="15">
                  <c:v>389.34000000000009</c:v>
                </c:pt>
                <c:pt idx="16">
                  <c:v>410.24000000000012</c:v>
                </c:pt>
                <c:pt idx="17">
                  <c:v>405.54000000000013</c:v>
                </c:pt>
                <c:pt idx="18" formatCode="0.0">
                  <c:v>404.94000000000011</c:v>
                </c:pt>
                <c:pt idx="19" formatCode="0.0">
                  <c:v>390.44000000000011</c:v>
                </c:pt>
                <c:pt idx="20" formatCode="0.0">
                  <c:v>409.34000000000009</c:v>
                </c:pt>
                <c:pt idx="21" formatCode="0.0">
                  <c:v>413.34000000000009</c:v>
                </c:pt>
                <c:pt idx="22" formatCode="0.0">
                  <c:v>413.34000000000009</c:v>
                </c:pt>
                <c:pt idx="23" formatCode="0.0">
                  <c:v>413.34000000000009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9-4CDA-8665-EF539EE3A3E3}"/>
            </c:ext>
          </c:extLst>
        </c:ser>
        <c:ser>
          <c:idx val="0"/>
          <c:order val="3"/>
          <c:tx>
            <c:strRef>
              <c:f>'13'!$AL$19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11.4</c:v>
                </c:pt>
                <c:pt idx="12">
                  <c:v>34</c:v>
                </c:pt>
                <c:pt idx="13">
                  <c:v>27.3</c:v>
                </c:pt>
                <c:pt idx="14">
                  <c:v>31.3</c:v>
                </c:pt>
                <c:pt idx="15">
                  <c:v>28</c:v>
                </c:pt>
                <c:pt idx="16">
                  <c:v>2.2999999999999998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22.2</c:v>
                </c:pt>
                <c:pt idx="21" formatCode="0.0">
                  <c:v>20.7</c:v>
                </c:pt>
                <c:pt idx="22" formatCode="0.0">
                  <c:v>0</c:v>
                </c:pt>
                <c:pt idx="23" formatCode="0.0">
                  <c:v>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99-4CDA-8665-EF539EE3A3E3}"/>
            </c:ext>
          </c:extLst>
        </c:ser>
        <c:ser>
          <c:idx val="4"/>
          <c:order val="4"/>
          <c:tx>
            <c:strRef>
              <c:f>'13'!$AL$20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22.400000000000002</c:v>
                </c:pt>
                <c:pt idx="13">
                  <c:v>21.1</c:v>
                </c:pt>
                <c:pt idx="14">
                  <c:v>21.1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 formatCode="0.0">
                  <c:v>21.299999999999997</c:v>
                </c:pt>
                <c:pt idx="19" formatCode="0.0">
                  <c:v>21.299999999999997</c:v>
                </c:pt>
                <c:pt idx="20" formatCode="0.0">
                  <c:v>21.299999999999997</c:v>
                </c:pt>
                <c:pt idx="21" formatCode="0.0">
                  <c:v>21.299999999999997</c:v>
                </c:pt>
                <c:pt idx="22" formatCode="0.0">
                  <c:v>21.299999999999997</c:v>
                </c:pt>
                <c:pt idx="23" formatCode="0.0">
                  <c:v>21.299999999999997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9-4CDA-8665-EF539EE3A3E3}"/>
            </c:ext>
          </c:extLst>
        </c:ser>
        <c:ser>
          <c:idx val="5"/>
          <c:order val="5"/>
          <c:tx>
            <c:strRef>
              <c:f>'13'!$AL$21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99-4CDA-8665-EF539EE3A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'13'!$AM$23:$BJ$23</c:f>
              <c:numCache>
                <c:formatCode>General</c:formatCode>
                <c:ptCount val="24"/>
                <c:pt idx="0">
                  <c:v>-482</c:v>
                </c:pt>
                <c:pt idx="1">
                  <c:v>-538</c:v>
                </c:pt>
                <c:pt idx="2">
                  <c:v>-559</c:v>
                </c:pt>
                <c:pt idx="3">
                  <c:v>-574.4</c:v>
                </c:pt>
                <c:pt idx="4">
                  <c:v>-631</c:v>
                </c:pt>
                <c:pt idx="5">
                  <c:v>-623.6</c:v>
                </c:pt>
                <c:pt idx="6">
                  <c:v>-660.6</c:v>
                </c:pt>
                <c:pt idx="7">
                  <c:v>-518</c:v>
                </c:pt>
                <c:pt idx="8">
                  <c:v>-511.7</c:v>
                </c:pt>
                <c:pt idx="9">
                  <c:v>-511.7</c:v>
                </c:pt>
                <c:pt idx="10">
                  <c:v>-511.7</c:v>
                </c:pt>
                <c:pt idx="11">
                  <c:v>-380</c:v>
                </c:pt>
                <c:pt idx="12">
                  <c:v>-416</c:v>
                </c:pt>
                <c:pt idx="13">
                  <c:v>-320</c:v>
                </c:pt>
                <c:pt idx="14">
                  <c:v>-325</c:v>
                </c:pt>
                <c:pt idx="15">
                  <c:v>-362</c:v>
                </c:pt>
                <c:pt idx="16">
                  <c:v>-413</c:v>
                </c:pt>
                <c:pt idx="17">
                  <c:v>-399.3</c:v>
                </c:pt>
                <c:pt idx="18">
                  <c:v>-521</c:v>
                </c:pt>
                <c:pt idx="19">
                  <c:v>-495</c:v>
                </c:pt>
                <c:pt idx="20">
                  <c:v>-306.7</c:v>
                </c:pt>
                <c:pt idx="21">
                  <c:v>-408.1</c:v>
                </c:pt>
                <c:pt idx="22">
                  <c:v>-453.1</c:v>
                </c:pt>
                <c:pt idx="23">
                  <c:v>-445.1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99-4CDA-8665-EF539EE3A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'13'!$AM$22:$BJ$22</c:f>
              <c:numCache>
                <c:formatCode>General</c:formatCode>
                <c:ptCount val="24"/>
                <c:pt idx="0">
                  <c:v>1942.1399999999999</c:v>
                </c:pt>
                <c:pt idx="1">
                  <c:v>1942.1399999999999</c:v>
                </c:pt>
                <c:pt idx="2">
                  <c:v>1942.1399999999999</c:v>
                </c:pt>
                <c:pt idx="3">
                  <c:v>1929.44</c:v>
                </c:pt>
                <c:pt idx="4">
                  <c:v>1949.44</c:v>
                </c:pt>
                <c:pt idx="5">
                  <c:v>1949.44</c:v>
                </c:pt>
                <c:pt idx="6">
                  <c:v>1994.2400000000002</c:v>
                </c:pt>
                <c:pt idx="7">
                  <c:v>2023.8400000000001</c:v>
                </c:pt>
                <c:pt idx="8">
                  <c:v>2015.5400000000002</c:v>
                </c:pt>
                <c:pt idx="9">
                  <c:v>2015.5400000000002</c:v>
                </c:pt>
                <c:pt idx="10">
                  <c:v>2015.5400000000002</c:v>
                </c:pt>
                <c:pt idx="11">
                  <c:v>1997.74</c:v>
                </c:pt>
                <c:pt idx="12">
                  <c:v>2042.34</c:v>
                </c:pt>
                <c:pt idx="13">
                  <c:v>1924.1399999999999</c:v>
                </c:pt>
                <c:pt idx="14">
                  <c:v>2006.9399999999998</c:v>
                </c:pt>
                <c:pt idx="15">
                  <c:v>1999.04</c:v>
                </c:pt>
                <c:pt idx="16">
                  <c:v>2009.24</c:v>
                </c:pt>
                <c:pt idx="17">
                  <c:v>2002.24</c:v>
                </c:pt>
                <c:pt idx="18">
                  <c:v>1971.9399999999998</c:v>
                </c:pt>
                <c:pt idx="19">
                  <c:v>1957.4399999999998</c:v>
                </c:pt>
                <c:pt idx="20">
                  <c:v>1998.54</c:v>
                </c:pt>
                <c:pt idx="21">
                  <c:v>1966.14</c:v>
                </c:pt>
                <c:pt idx="22">
                  <c:v>1945.44</c:v>
                </c:pt>
                <c:pt idx="23">
                  <c:v>1897.74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199-4CDA-8665-EF539EE3A3E3}"/>
            </c:ext>
          </c:extLst>
        </c:ser>
        <c:ser>
          <c:idx val="8"/>
          <c:order val="8"/>
          <c:tx>
            <c:strRef>
              <c:f>'13'!$AL$24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'13'!$AM$24:$BJ$24</c:f>
              <c:numCache>
                <c:formatCode>General</c:formatCode>
                <c:ptCount val="24"/>
                <c:pt idx="0">
                  <c:v>1460.1399999999999</c:v>
                </c:pt>
                <c:pt idx="1">
                  <c:v>1404.1399999999999</c:v>
                </c:pt>
                <c:pt idx="2">
                  <c:v>1383.1399999999999</c:v>
                </c:pt>
                <c:pt idx="3">
                  <c:v>1355.04</c:v>
                </c:pt>
                <c:pt idx="4">
                  <c:v>1318.44</c:v>
                </c:pt>
                <c:pt idx="5">
                  <c:v>1325.8400000000001</c:v>
                </c:pt>
                <c:pt idx="6">
                  <c:v>1333.6400000000003</c:v>
                </c:pt>
                <c:pt idx="7">
                  <c:v>1505.8400000000001</c:v>
                </c:pt>
                <c:pt idx="8">
                  <c:v>1503.8400000000001</c:v>
                </c:pt>
                <c:pt idx="9">
                  <c:v>1503.8400000000001</c:v>
                </c:pt>
                <c:pt idx="10">
                  <c:v>1503.8400000000001</c:v>
                </c:pt>
                <c:pt idx="11">
                  <c:v>1617.74</c:v>
                </c:pt>
                <c:pt idx="12">
                  <c:v>1626.34</c:v>
                </c:pt>
                <c:pt idx="13">
                  <c:v>1604.1399999999999</c:v>
                </c:pt>
                <c:pt idx="14">
                  <c:v>1681.9399999999998</c:v>
                </c:pt>
                <c:pt idx="15">
                  <c:v>1637.04</c:v>
                </c:pt>
                <c:pt idx="16">
                  <c:v>1596.24</c:v>
                </c:pt>
                <c:pt idx="17">
                  <c:v>1602.94</c:v>
                </c:pt>
                <c:pt idx="18">
                  <c:v>1450.9399999999998</c:v>
                </c:pt>
                <c:pt idx="19">
                  <c:v>1462.4399999999998</c:v>
                </c:pt>
                <c:pt idx="20">
                  <c:v>1691.84</c:v>
                </c:pt>
                <c:pt idx="21">
                  <c:v>1558.04</c:v>
                </c:pt>
                <c:pt idx="22">
                  <c:v>1492.3400000000001</c:v>
                </c:pt>
                <c:pt idx="23">
                  <c:v>1452.6399999999999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99-4CDA-8665-EF539EE3A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C8-432E-A811-18FBE40C6A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C8-432E-A811-18FBE40C6A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C8-432E-A811-18FBE40C6A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C8-432E-A811-18FBE40C6A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C8-432E-A811-18FBE40C6A3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AC8-432E-A811-18FBE40C6A3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'14'!$AM$16:$BJ$16</c:f>
              <c:numCache>
                <c:formatCode>General</c:formatCode>
                <c:ptCount val="24"/>
                <c:pt idx="0">
                  <c:v>896.49999999999989</c:v>
                </c:pt>
                <c:pt idx="1">
                  <c:v>896.49999999999989</c:v>
                </c:pt>
                <c:pt idx="2">
                  <c:v>968.39999999999986</c:v>
                </c:pt>
                <c:pt idx="3">
                  <c:v>981.5</c:v>
                </c:pt>
                <c:pt idx="4">
                  <c:v>1000.1</c:v>
                </c:pt>
                <c:pt idx="5">
                  <c:v>991.89999999999986</c:v>
                </c:pt>
                <c:pt idx="6">
                  <c:v>1016.8999999999999</c:v>
                </c:pt>
                <c:pt idx="7">
                  <c:v>993.59999999999991</c:v>
                </c:pt>
                <c:pt idx="8">
                  <c:v>1012.8</c:v>
                </c:pt>
                <c:pt idx="9">
                  <c:v>974.69999999999993</c:v>
                </c:pt>
                <c:pt idx="10">
                  <c:v>987.69999999999993</c:v>
                </c:pt>
                <c:pt idx="11">
                  <c:v>1035.3</c:v>
                </c:pt>
                <c:pt idx="12">
                  <c:v>991.10000000000014</c:v>
                </c:pt>
                <c:pt idx="13">
                  <c:v>150</c:v>
                </c:pt>
                <c:pt idx="14">
                  <c:v>991.10000000000014</c:v>
                </c:pt>
                <c:pt idx="15">
                  <c:v>991.10000000000014</c:v>
                </c:pt>
                <c:pt idx="16">
                  <c:v>991.10000000000014</c:v>
                </c:pt>
                <c:pt idx="17">
                  <c:v>1029.4000000000001</c:v>
                </c:pt>
                <c:pt idx="18" formatCode="0.0">
                  <c:v>1029.4000000000001</c:v>
                </c:pt>
                <c:pt idx="19" formatCode="0.0">
                  <c:v>1003.8000000000001</c:v>
                </c:pt>
                <c:pt idx="20" formatCode="0.0">
                  <c:v>1041</c:v>
                </c:pt>
                <c:pt idx="21" formatCode="0.0">
                  <c:v>1040.9000000000001</c:v>
                </c:pt>
                <c:pt idx="22" formatCode="0.0">
                  <c:v>1079</c:v>
                </c:pt>
                <c:pt idx="23" formatCode="0.0">
                  <c:v>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8-4223-8925-281C6CE3BC91}"/>
            </c:ext>
          </c:extLst>
        </c:ser>
        <c:ser>
          <c:idx val="2"/>
          <c:order val="1"/>
          <c:tx>
            <c:strRef>
              <c:f>'14'!$AL$17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'14'!$AM$17:$BJ$17</c:f>
              <c:numCache>
                <c:formatCode>General</c:formatCode>
                <c:ptCount val="24"/>
                <c:pt idx="0">
                  <c:v>542.5</c:v>
                </c:pt>
                <c:pt idx="1">
                  <c:v>542.5</c:v>
                </c:pt>
                <c:pt idx="2">
                  <c:v>542.5</c:v>
                </c:pt>
                <c:pt idx="3">
                  <c:v>542.5</c:v>
                </c:pt>
                <c:pt idx="4">
                  <c:v>542.5</c:v>
                </c:pt>
                <c:pt idx="5">
                  <c:v>542.5</c:v>
                </c:pt>
                <c:pt idx="6">
                  <c:v>541.9</c:v>
                </c:pt>
                <c:pt idx="7">
                  <c:v>541.4</c:v>
                </c:pt>
                <c:pt idx="8">
                  <c:v>541.4</c:v>
                </c:pt>
                <c:pt idx="9">
                  <c:v>541.4</c:v>
                </c:pt>
                <c:pt idx="10">
                  <c:v>541.4</c:v>
                </c:pt>
                <c:pt idx="11">
                  <c:v>541.4</c:v>
                </c:pt>
                <c:pt idx="12">
                  <c:v>541.29999999999995</c:v>
                </c:pt>
                <c:pt idx="13">
                  <c:v>0</c:v>
                </c:pt>
                <c:pt idx="14">
                  <c:v>541.29999999999995</c:v>
                </c:pt>
                <c:pt idx="15">
                  <c:v>541.29999999999995</c:v>
                </c:pt>
                <c:pt idx="16">
                  <c:v>541.29999999999995</c:v>
                </c:pt>
                <c:pt idx="17">
                  <c:v>541.29999999999995</c:v>
                </c:pt>
                <c:pt idx="18" formatCode="0.0">
                  <c:v>541.29999999999995</c:v>
                </c:pt>
                <c:pt idx="19" formatCode="0.0">
                  <c:v>541.29999999999995</c:v>
                </c:pt>
                <c:pt idx="20" formatCode="0.0">
                  <c:v>541.29999999999995</c:v>
                </c:pt>
                <c:pt idx="21" formatCode="0.0">
                  <c:v>541.29999999999995</c:v>
                </c:pt>
                <c:pt idx="22" formatCode="0.0">
                  <c:v>541.29999999999995</c:v>
                </c:pt>
                <c:pt idx="23" formatCode="0.0">
                  <c:v>541.70000000000005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8-4223-8925-281C6CE3BC91}"/>
            </c:ext>
          </c:extLst>
        </c:ser>
        <c:ser>
          <c:idx val="3"/>
          <c:order val="2"/>
          <c:tx>
            <c:strRef>
              <c:f>'14'!$AL$18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'14'!$AM$18:$BJ$18</c:f>
              <c:numCache>
                <c:formatCode>General</c:formatCode>
                <c:ptCount val="24"/>
                <c:pt idx="0">
                  <c:v>394.44000000000011</c:v>
                </c:pt>
                <c:pt idx="1">
                  <c:v>394.44000000000011</c:v>
                </c:pt>
                <c:pt idx="2">
                  <c:v>412.04000000000013</c:v>
                </c:pt>
                <c:pt idx="3">
                  <c:v>412.04000000000013</c:v>
                </c:pt>
                <c:pt idx="4">
                  <c:v>420.64000000000004</c:v>
                </c:pt>
                <c:pt idx="5">
                  <c:v>420.64000000000004</c:v>
                </c:pt>
                <c:pt idx="6">
                  <c:v>420.64000000000004</c:v>
                </c:pt>
                <c:pt idx="7">
                  <c:v>421.94</c:v>
                </c:pt>
                <c:pt idx="8">
                  <c:v>423.94</c:v>
                </c:pt>
                <c:pt idx="9">
                  <c:v>400.34</c:v>
                </c:pt>
                <c:pt idx="10">
                  <c:v>400.34</c:v>
                </c:pt>
                <c:pt idx="11">
                  <c:v>400.34</c:v>
                </c:pt>
                <c:pt idx="12">
                  <c:v>422.34</c:v>
                </c:pt>
                <c:pt idx="13">
                  <c:v>3.54</c:v>
                </c:pt>
                <c:pt idx="14">
                  <c:v>421.03999999999996</c:v>
                </c:pt>
                <c:pt idx="15">
                  <c:v>426.94</c:v>
                </c:pt>
                <c:pt idx="16">
                  <c:v>418.14</c:v>
                </c:pt>
                <c:pt idx="17">
                  <c:v>418.64</c:v>
                </c:pt>
                <c:pt idx="18" formatCode="0.0">
                  <c:v>418.24</c:v>
                </c:pt>
                <c:pt idx="19" formatCode="0.0">
                  <c:v>416.64</c:v>
                </c:pt>
                <c:pt idx="20" formatCode="0.0">
                  <c:v>418.44</c:v>
                </c:pt>
                <c:pt idx="21" formatCode="0.0">
                  <c:v>418.44</c:v>
                </c:pt>
                <c:pt idx="22" formatCode="0.0">
                  <c:v>421.44000000000005</c:v>
                </c:pt>
                <c:pt idx="23" formatCode="0.0">
                  <c:v>422.24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8-4223-8925-281C6CE3BC91}"/>
            </c:ext>
          </c:extLst>
        </c:ser>
        <c:ser>
          <c:idx val="0"/>
          <c:order val="3"/>
          <c:tx>
            <c:strRef>
              <c:f>'14'!$AL$19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'14'!$AM$19:$BJ$19</c:f>
              <c:numCache>
                <c:formatCode>General</c:formatCode>
                <c:ptCount val="24"/>
                <c:pt idx="0">
                  <c:v>47.2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2.5</c:v>
                </c:pt>
                <c:pt idx="9">
                  <c:v>0.7</c:v>
                </c:pt>
                <c:pt idx="10">
                  <c:v>0</c:v>
                </c:pt>
                <c:pt idx="11">
                  <c:v>11.9</c:v>
                </c:pt>
                <c:pt idx="12">
                  <c:v>7.5</c:v>
                </c:pt>
                <c:pt idx="13">
                  <c:v>0</c:v>
                </c:pt>
                <c:pt idx="14">
                  <c:v>11.7</c:v>
                </c:pt>
                <c:pt idx="15">
                  <c:v>5.9</c:v>
                </c:pt>
                <c:pt idx="16">
                  <c:v>5.3</c:v>
                </c:pt>
                <c:pt idx="17">
                  <c:v>6.3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25.6</c:v>
                </c:pt>
                <c:pt idx="21" formatCode="0.0">
                  <c:v>22.2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8-4223-8925-281C6CE3BC91}"/>
            </c:ext>
          </c:extLst>
        </c:ser>
        <c:ser>
          <c:idx val="4"/>
          <c:order val="4"/>
          <c:tx>
            <c:strRef>
              <c:f>'14'!$AL$20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'14'!$AM$20:$BJ$20</c:f>
              <c:numCache>
                <c:formatCode>General</c:formatCode>
                <c:ptCount val="24"/>
                <c:pt idx="0">
                  <c:v>21.299999999999997</c:v>
                </c:pt>
                <c:pt idx="1">
                  <c:v>21.299999999999997</c:v>
                </c:pt>
                <c:pt idx="2">
                  <c:v>21.299999999999997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21.199999999999996</c:v>
                </c:pt>
                <c:pt idx="12">
                  <c:v>21.199999999999996</c:v>
                </c:pt>
                <c:pt idx="13">
                  <c:v>0</c:v>
                </c:pt>
                <c:pt idx="14">
                  <c:v>21.199999999999996</c:v>
                </c:pt>
                <c:pt idx="15">
                  <c:v>21.199999999999996</c:v>
                </c:pt>
                <c:pt idx="16">
                  <c:v>21.199999999999996</c:v>
                </c:pt>
                <c:pt idx="17">
                  <c:v>21.199999999999996</c:v>
                </c:pt>
                <c:pt idx="18" formatCode="0.0">
                  <c:v>21.199999999999996</c:v>
                </c:pt>
                <c:pt idx="19" formatCode="0.0">
                  <c:v>21.199999999999996</c:v>
                </c:pt>
                <c:pt idx="20" formatCode="0.0">
                  <c:v>22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8-4223-8925-281C6CE3BC91}"/>
            </c:ext>
          </c:extLst>
        </c:ser>
        <c:ser>
          <c:idx val="5"/>
          <c:order val="5"/>
          <c:tx>
            <c:strRef>
              <c:f>'14'!$AL$21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8-4223-8925-281C6CE3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'14'!$AM$23:$BJ$23</c:f>
              <c:numCache>
                <c:formatCode>General</c:formatCode>
                <c:ptCount val="24"/>
                <c:pt idx="0">
                  <c:v>-462.3</c:v>
                </c:pt>
                <c:pt idx="1">
                  <c:v>-446.9</c:v>
                </c:pt>
                <c:pt idx="2">
                  <c:v>-460.4</c:v>
                </c:pt>
                <c:pt idx="3">
                  <c:v>-544.29999999999995</c:v>
                </c:pt>
                <c:pt idx="4">
                  <c:v>-583</c:v>
                </c:pt>
                <c:pt idx="5">
                  <c:v>-625.70000000000005</c:v>
                </c:pt>
                <c:pt idx="6">
                  <c:v>-675.3</c:v>
                </c:pt>
                <c:pt idx="7">
                  <c:v>-581.1</c:v>
                </c:pt>
                <c:pt idx="8">
                  <c:v>-490</c:v>
                </c:pt>
                <c:pt idx="9">
                  <c:v>-478</c:v>
                </c:pt>
                <c:pt idx="10">
                  <c:v>-420.7</c:v>
                </c:pt>
                <c:pt idx="11">
                  <c:v>-388</c:v>
                </c:pt>
                <c:pt idx="12">
                  <c:v>-400</c:v>
                </c:pt>
                <c:pt idx="13">
                  <c:v>0</c:v>
                </c:pt>
                <c:pt idx="14">
                  <c:v>-440.8</c:v>
                </c:pt>
                <c:pt idx="15">
                  <c:v>-385.7</c:v>
                </c:pt>
                <c:pt idx="16">
                  <c:v>-412</c:v>
                </c:pt>
                <c:pt idx="17">
                  <c:v>-437.8</c:v>
                </c:pt>
                <c:pt idx="18">
                  <c:v>-480.5</c:v>
                </c:pt>
                <c:pt idx="19">
                  <c:v>-380.2</c:v>
                </c:pt>
                <c:pt idx="20">
                  <c:v>-425</c:v>
                </c:pt>
                <c:pt idx="21">
                  <c:v>-441.7</c:v>
                </c:pt>
                <c:pt idx="22">
                  <c:v>-478.8</c:v>
                </c:pt>
                <c:pt idx="23">
                  <c:v>-547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8-4223-8925-281C6CE3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'14'!$AM$22:$BJ$22</c:f>
              <c:numCache>
                <c:formatCode>General</c:formatCode>
                <c:ptCount val="24"/>
                <c:pt idx="0">
                  <c:v>1901.94</c:v>
                </c:pt>
                <c:pt idx="1">
                  <c:v>1854.74</c:v>
                </c:pt>
                <c:pt idx="2">
                  <c:v>1944.24</c:v>
                </c:pt>
                <c:pt idx="3">
                  <c:v>1936.0400000000002</c:v>
                </c:pt>
                <c:pt idx="4">
                  <c:v>1963.24</c:v>
                </c:pt>
                <c:pt idx="5">
                  <c:v>1955.04</c:v>
                </c:pt>
                <c:pt idx="6">
                  <c:v>1979.4399999999998</c:v>
                </c:pt>
                <c:pt idx="7">
                  <c:v>1956.94</c:v>
                </c:pt>
                <c:pt idx="8">
                  <c:v>1995.6399999999999</c:v>
                </c:pt>
                <c:pt idx="9">
                  <c:v>1932.1399999999999</c:v>
                </c:pt>
                <c:pt idx="10">
                  <c:v>1944.4399999999998</c:v>
                </c:pt>
                <c:pt idx="11">
                  <c:v>2010.1399999999999</c:v>
                </c:pt>
                <c:pt idx="12">
                  <c:v>1983.44</c:v>
                </c:pt>
                <c:pt idx="13">
                  <c:v>153.54</c:v>
                </c:pt>
                <c:pt idx="14">
                  <c:v>1986.3400000000001</c:v>
                </c:pt>
                <c:pt idx="15">
                  <c:v>1986.4400000000003</c:v>
                </c:pt>
                <c:pt idx="16">
                  <c:v>1977.04</c:v>
                </c:pt>
                <c:pt idx="17">
                  <c:v>2016.8400000000001</c:v>
                </c:pt>
                <c:pt idx="18">
                  <c:v>2010.14</c:v>
                </c:pt>
                <c:pt idx="19">
                  <c:v>1982.9399999999998</c:v>
                </c:pt>
                <c:pt idx="20">
                  <c:v>2048.34</c:v>
                </c:pt>
                <c:pt idx="21">
                  <c:v>2022.8400000000001</c:v>
                </c:pt>
                <c:pt idx="22">
                  <c:v>2041.74</c:v>
                </c:pt>
                <c:pt idx="23">
                  <c:v>2087.94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0D8-4223-8925-281C6CE3BC91}"/>
            </c:ext>
          </c:extLst>
        </c:ser>
        <c:ser>
          <c:idx val="8"/>
          <c:order val="8"/>
          <c:tx>
            <c:strRef>
              <c:f>'14'!$AL$24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'14'!$AM$24:$BJ$24</c:f>
              <c:numCache>
                <c:formatCode>General</c:formatCode>
                <c:ptCount val="24"/>
                <c:pt idx="0">
                  <c:v>1439.64</c:v>
                </c:pt>
                <c:pt idx="1">
                  <c:v>1407.8400000000001</c:v>
                </c:pt>
                <c:pt idx="2">
                  <c:v>1483.8400000000001</c:v>
                </c:pt>
                <c:pt idx="3">
                  <c:v>1391.7400000000002</c:v>
                </c:pt>
                <c:pt idx="4">
                  <c:v>1380.24</c:v>
                </c:pt>
                <c:pt idx="5">
                  <c:v>1329.34</c:v>
                </c:pt>
                <c:pt idx="6">
                  <c:v>1304.1399999999999</c:v>
                </c:pt>
                <c:pt idx="7">
                  <c:v>1375.8400000000001</c:v>
                </c:pt>
                <c:pt idx="8">
                  <c:v>1505.6399999999999</c:v>
                </c:pt>
                <c:pt idx="9">
                  <c:v>1454.1399999999999</c:v>
                </c:pt>
                <c:pt idx="10">
                  <c:v>1523.7399999999998</c:v>
                </c:pt>
                <c:pt idx="11">
                  <c:v>1622.1399999999999</c:v>
                </c:pt>
                <c:pt idx="12">
                  <c:v>1583.44</c:v>
                </c:pt>
                <c:pt idx="13">
                  <c:v>153.54</c:v>
                </c:pt>
                <c:pt idx="14">
                  <c:v>1545.5400000000002</c:v>
                </c:pt>
                <c:pt idx="15">
                  <c:v>1600.7400000000002</c:v>
                </c:pt>
                <c:pt idx="16">
                  <c:v>1565.04</c:v>
                </c:pt>
                <c:pt idx="17">
                  <c:v>1579.0400000000002</c:v>
                </c:pt>
                <c:pt idx="18">
                  <c:v>1529.64</c:v>
                </c:pt>
                <c:pt idx="19">
                  <c:v>1602.7399999999998</c:v>
                </c:pt>
                <c:pt idx="20">
                  <c:v>1623.3400000000001</c:v>
                </c:pt>
                <c:pt idx="21">
                  <c:v>1581.14</c:v>
                </c:pt>
                <c:pt idx="22">
                  <c:v>1562.94</c:v>
                </c:pt>
                <c:pt idx="23">
                  <c:v>1540.94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D8-4223-8925-281C6CE3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7C-4515-97E5-D2D0C5075F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7C-4515-97E5-D2D0C5075F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7C-4515-97E5-D2D0C5075F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7C-4515-97E5-D2D0C5075F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7C-4515-97E5-D2D0C5075FC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37C-4515-97E5-D2D0C5075FC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'15'!$AM$16:$BJ$16</c:f>
              <c:numCache>
                <c:formatCode>General</c:formatCode>
                <c:ptCount val="24"/>
                <c:pt idx="0">
                  <c:v>1111.1000000000001</c:v>
                </c:pt>
                <c:pt idx="1">
                  <c:v>162.5</c:v>
                </c:pt>
                <c:pt idx="2">
                  <c:v>899.50000000000011</c:v>
                </c:pt>
                <c:pt idx="3">
                  <c:v>897.20000000000016</c:v>
                </c:pt>
                <c:pt idx="4">
                  <c:v>910.6</c:v>
                </c:pt>
                <c:pt idx="5">
                  <c:v>896.3</c:v>
                </c:pt>
                <c:pt idx="6">
                  <c:v>923.1</c:v>
                </c:pt>
                <c:pt idx="7">
                  <c:v>865.5</c:v>
                </c:pt>
                <c:pt idx="8">
                  <c:v>961.90000000000009</c:v>
                </c:pt>
                <c:pt idx="9">
                  <c:v>961.90000000000009</c:v>
                </c:pt>
                <c:pt idx="10">
                  <c:v>984.90000000000009</c:v>
                </c:pt>
                <c:pt idx="11">
                  <c:v>985.9</c:v>
                </c:pt>
                <c:pt idx="12">
                  <c:v>985.9</c:v>
                </c:pt>
                <c:pt idx="13">
                  <c:v>985.9</c:v>
                </c:pt>
                <c:pt idx="14">
                  <c:v>1056.7000000000003</c:v>
                </c:pt>
                <c:pt idx="15">
                  <c:v>1009.9700000000001</c:v>
                </c:pt>
                <c:pt idx="16">
                  <c:v>914.97000000000014</c:v>
                </c:pt>
                <c:pt idx="17">
                  <c:v>922.10000000000014</c:v>
                </c:pt>
                <c:pt idx="18" formatCode="0.0">
                  <c:v>914.2</c:v>
                </c:pt>
                <c:pt idx="19" formatCode="0.0">
                  <c:v>989.2</c:v>
                </c:pt>
                <c:pt idx="20" formatCode="0.0">
                  <c:v>1164.6000000000001</c:v>
                </c:pt>
                <c:pt idx="21" formatCode="0.0">
                  <c:v>1156.6000000000001</c:v>
                </c:pt>
                <c:pt idx="22" formatCode="0.0">
                  <c:v>1139.3000000000002</c:v>
                </c:pt>
                <c:pt idx="23" formatCode="0.0">
                  <c:v>1134.3000000000002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3-40B1-82B5-46B64138F5FF}"/>
            </c:ext>
          </c:extLst>
        </c:ser>
        <c:ser>
          <c:idx val="2"/>
          <c:order val="1"/>
          <c:tx>
            <c:strRef>
              <c:f>'15'!$AL$17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'15'!$AM$17:$BJ$17</c:f>
              <c:numCache>
                <c:formatCode>General</c:formatCode>
                <c:ptCount val="24"/>
                <c:pt idx="0">
                  <c:v>541.70000000000005</c:v>
                </c:pt>
                <c:pt idx="1">
                  <c:v>0</c:v>
                </c:pt>
                <c:pt idx="2">
                  <c:v>541.70000000000005</c:v>
                </c:pt>
                <c:pt idx="3">
                  <c:v>541.70000000000005</c:v>
                </c:pt>
                <c:pt idx="4">
                  <c:v>541.70000000000005</c:v>
                </c:pt>
                <c:pt idx="5">
                  <c:v>541.70000000000005</c:v>
                </c:pt>
                <c:pt idx="6">
                  <c:v>541.70000000000005</c:v>
                </c:pt>
                <c:pt idx="7">
                  <c:v>541.70000000000005</c:v>
                </c:pt>
                <c:pt idx="8">
                  <c:v>541.70000000000005</c:v>
                </c:pt>
                <c:pt idx="9">
                  <c:v>541.70000000000005</c:v>
                </c:pt>
                <c:pt idx="10">
                  <c:v>541.70000000000005</c:v>
                </c:pt>
                <c:pt idx="11">
                  <c:v>541.70000000000005</c:v>
                </c:pt>
                <c:pt idx="12">
                  <c:v>542.5</c:v>
                </c:pt>
                <c:pt idx="13">
                  <c:v>542.5</c:v>
                </c:pt>
                <c:pt idx="14">
                  <c:v>541.70000000000005</c:v>
                </c:pt>
                <c:pt idx="15">
                  <c:v>541.70000000000005</c:v>
                </c:pt>
                <c:pt idx="16">
                  <c:v>541.70000000000005</c:v>
                </c:pt>
                <c:pt idx="17">
                  <c:v>541.70000000000005</c:v>
                </c:pt>
                <c:pt idx="18" formatCode="0.0">
                  <c:v>541.70000000000005</c:v>
                </c:pt>
                <c:pt idx="19" formatCode="0.0">
                  <c:v>541.70000000000005</c:v>
                </c:pt>
                <c:pt idx="20" formatCode="0.0">
                  <c:v>541.70000000000005</c:v>
                </c:pt>
                <c:pt idx="21" formatCode="0.0">
                  <c:v>541.70000000000005</c:v>
                </c:pt>
                <c:pt idx="22" formatCode="0.0">
                  <c:v>541.70000000000005</c:v>
                </c:pt>
                <c:pt idx="23" formatCode="0.0">
                  <c:v>541.70000000000005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3-40B1-82B5-46B64138F5FF}"/>
            </c:ext>
          </c:extLst>
        </c:ser>
        <c:ser>
          <c:idx val="3"/>
          <c:order val="2"/>
          <c:tx>
            <c:strRef>
              <c:f>'15'!$AL$18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'15'!$AM$18:$BJ$18</c:f>
              <c:numCache>
                <c:formatCode>General</c:formatCode>
                <c:ptCount val="24"/>
                <c:pt idx="0">
                  <c:v>411.24</c:v>
                </c:pt>
                <c:pt idx="1">
                  <c:v>3.54</c:v>
                </c:pt>
                <c:pt idx="2">
                  <c:v>404.34</c:v>
                </c:pt>
                <c:pt idx="3">
                  <c:v>259.44</c:v>
                </c:pt>
                <c:pt idx="4">
                  <c:v>305.64000000000004</c:v>
                </c:pt>
                <c:pt idx="5">
                  <c:v>354.64000000000004</c:v>
                </c:pt>
                <c:pt idx="6">
                  <c:v>338.64000000000004</c:v>
                </c:pt>
                <c:pt idx="7">
                  <c:v>240.14</c:v>
                </c:pt>
                <c:pt idx="8">
                  <c:v>317.44000000000005</c:v>
                </c:pt>
                <c:pt idx="9">
                  <c:v>317.44000000000005</c:v>
                </c:pt>
                <c:pt idx="10">
                  <c:v>317.44000000000005</c:v>
                </c:pt>
                <c:pt idx="11">
                  <c:v>312.44000000000005</c:v>
                </c:pt>
                <c:pt idx="12">
                  <c:v>337.44000000000005</c:v>
                </c:pt>
                <c:pt idx="13">
                  <c:v>337.44000000000005</c:v>
                </c:pt>
                <c:pt idx="14">
                  <c:v>324.74000000000007</c:v>
                </c:pt>
                <c:pt idx="15">
                  <c:v>341.84000000000003</c:v>
                </c:pt>
                <c:pt idx="16">
                  <c:v>412.14000000000004</c:v>
                </c:pt>
                <c:pt idx="17">
                  <c:v>411.14000000000004</c:v>
                </c:pt>
                <c:pt idx="18" formatCode="0.0">
                  <c:v>409.14000000000004</c:v>
                </c:pt>
                <c:pt idx="19" formatCode="0.0">
                  <c:v>390.64000000000004</c:v>
                </c:pt>
                <c:pt idx="20" formatCode="0.0">
                  <c:v>415.74000000000007</c:v>
                </c:pt>
                <c:pt idx="21" formatCode="0.0">
                  <c:v>399.74000000000007</c:v>
                </c:pt>
                <c:pt idx="22" formatCode="0.0">
                  <c:v>399.74000000000007</c:v>
                </c:pt>
                <c:pt idx="23" formatCode="0.0">
                  <c:v>399.74000000000007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B3-40B1-82B5-46B64138F5FF}"/>
            </c:ext>
          </c:extLst>
        </c:ser>
        <c:ser>
          <c:idx val="0"/>
          <c:order val="3"/>
          <c:tx>
            <c:strRef>
              <c:f>'15'!$AL$19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3.8</c:v>
                </c:pt>
                <c:pt idx="9">
                  <c:v>14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B3-40B1-82B5-46B64138F5FF}"/>
            </c:ext>
          </c:extLst>
        </c:ser>
        <c:ser>
          <c:idx val="4"/>
          <c:order val="4"/>
          <c:tx>
            <c:strRef>
              <c:f>'15'!$AL$20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B3-40B1-82B5-46B64138F5FF}"/>
            </c:ext>
          </c:extLst>
        </c:ser>
        <c:ser>
          <c:idx val="5"/>
          <c:order val="5"/>
          <c:tx>
            <c:strRef>
              <c:f>'15'!$AL$21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150</c:v>
                </c:pt>
                <c:pt idx="4">
                  <c:v>150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B3-40B1-82B5-46B64138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'15'!$AM$23:$BJ$23</c:f>
              <c:numCache>
                <c:formatCode>General</c:formatCode>
                <c:ptCount val="24"/>
                <c:pt idx="0">
                  <c:v>-543</c:v>
                </c:pt>
                <c:pt idx="1">
                  <c:v>0</c:v>
                </c:pt>
                <c:pt idx="2">
                  <c:v>-564.29999999999995</c:v>
                </c:pt>
                <c:pt idx="3">
                  <c:v>-495</c:v>
                </c:pt>
                <c:pt idx="4">
                  <c:v>-558</c:v>
                </c:pt>
                <c:pt idx="5">
                  <c:v>-622</c:v>
                </c:pt>
                <c:pt idx="6">
                  <c:v>-568</c:v>
                </c:pt>
                <c:pt idx="7">
                  <c:v>-480</c:v>
                </c:pt>
                <c:pt idx="8">
                  <c:v>-513</c:v>
                </c:pt>
                <c:pt idx="9">
                  <c:v>-464</c:v>
                </c:pt>
                <c:pt idx="10">
                  <c:v>-465</c:v>
                </c:pt>
                <c:pt idx="11">
                  <c:v>-489</c:v>
                </c:pt>
                <c:pt idx="12">
                  <c:v>-533</c:v>
                </c:pt>
                <c:pt idx="13">
                  <c:v>-487</c:v>
                </c:pt>
                <c:pt idx="14">
                  <c:v>-532</c:v>
                </c:pt>
                <c:pt idx="15">
                  <c:v>-510.3</c:v>
                </c:pt>
                <c:pt idx="16">
                  <c:v>-521</c:v>
                </c:pt>
                <c:pt idx="17">
                  <c:v>-520.5</c:v>
                </c:pt>
                <c:pt idx="18">
                  <c:v>-536</c:v>
                </c:pt>
                <c:pt idx="19">
                  <c:v>-509.59999999999997</c:v>
                </c:pt>
                <c:pt idx="20">
                  <c:v>-518.9</c:v>
                </c:pt>
                <c:pt idx="21">
                  <c:v>-491.6</c:v>
                </c:pt>
                <c:pt idx="22">
                  <c:v>-545</c:v>
                </c:pt>
                <c:pt idx="23">
                  <c:v>-597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B3-40B1-82B5-46B64138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'15'!$AM$22:$BJ$22</c:f>
              <c:numCache>
                <c:formatCode>General</c:formatCode>
                <c:ptCount val="24"/>
                <c:pt idx="0">
                  <c:v>2064.04</c:v>
                </c:pt>
                <c:pt idx="1">
                  <c:v>166.04</c:v>
                </c:pt>
                <c:pt idx="2">
                  <c:v>1845.5400000000002</c:v>
                </c:pt>
                <c:pt idx="3">
                  <c:v>1862.3400000000001</c:v>
                </c:pt>
                <c:pt idx="4">
                  <c:v>1907.9400000000003</c:v>
                </c:pt>
                <c:pt idx="5">
                  <c:v>1792.64</c:v>
                </c:pt>
                <c:pt idx="6">
                  <c:v>1803.4400000000003</c:v>
                </c:pt>
                <c:pt idx="7">
                  <c:v>1757.3400000000001</c:v>
                </c:pt>
                <c:pt idx="8">
                  <c:v>1824.8400000000001</c:v>
                </c:pt>
                <c:pt idx="9">
                  <c:v>1835.0400000000002</c:v>
                </c:pt>
                <c:pt idx="10">
                  <c:v>1854.0400000000002</c:v>
                </c:pt>
                <c:pt idx="11">
                  <c:v>1840.04</c:v>
                </c:pt>
                <c:pt idx="12">
                  <c:v>1865.8400000000001</c:v>
                </c:pt>
                <c:pt idx="13">
                  <c:v>1865.8400000000001</c:v>
                </c:pt>
                <c:pt idx="14">
                  <c:v>1923.1400000000003</c:v>
                </c:pt>
                <c:pt idx="15">
                  <c:v>1893.5100000000002</c:v>
                </c:pt>
                <c:pt idx="16">
                  <c:v>1868.8100000000002</c:v>
                </c:pt>
                <c:pt idx="17">
                  <c:v>1874.9400000000003</c:v>
                </c:pt>
                <c:pt idx="18">
                  <c:v>1865.0400000000002</c:v>
                </c:pt>
                <c:pt idx="19">
                  <c:v>1921.5400000000002</c:v>
                </c:pt>
                <c:pt idx="20">
                  <c:v>2122.0400000000004</c:v>
                </c:pt>
                <c:pt idx="21">
                  <c:v>2098.0400000000004</c:v>
                </c:pt>
                <c:pt idx="22">
                  <c:v>2080.7400000000002</c:v>
                </c:pt>
                <c:pt idx="23">
                  <c:v>2075.7400000000002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0B3-40B1-82B5-46B64138F5FF}"/>
            </c:ext>
          </c:extLst>
        </c:ser>
        <c:ser>
          <c:idx val="8"/>
          <c:order val="8"/>
          <c:tx>
            <c:strRef>
              <c:f>'15'!$AL$24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'15'!$AM$24:$BJ$24</c:f>
              <c:numCache>
                <c:formatCode>General</c:formatCode>
                <c:ptCount val="24"/>
                <c:pt idx="0">
                  <c:v>1521.04</c:v>
                </c:pt>
                <c:pt idx="1">
                  <c:v>166.04</c:v>
                </c:pt>
                <c:pt idx="2">
                  <c:v>1281.2400000000002</c:v>
                </c:pt>
                <c:pt idx="3">
                  <c:v>1367.3400000000001</c:v>
                </c:pt>
                <c:pt idx="4">
                  <c:v>1349.9400000000003</c:v>
                </c:pt>
                <c:pt idx="5">
                  <c:v>1170.6400000000001</c:v>
                </c:pt>
                <c:pt idx="6">
                  <c:v>1235.4400000000003</c:v>
                </c:pt>
                <c:pt idx="7">
                  <c:v>1277.3400000000001</c:v>
                </c:pt>
                <c:pt idx="8">
                  <c:v>1311.8400000000001</c:v>
                </c:pt>
                <c:pt idx="9">
                  <c:v>1371.0400000000002</c:v>
                </c:pt>
                <c:pt idx="10">
                  <c:v>1389.0400000000002</c:v>
                </c:pt>
                <c:pt idx="11">
                  <c:v>1351.04</c:v>
                </c:pt>
                <c:pt idx="12">
                  <c:v>1332.8400000000001</c:v>
                </c:pt>
                <c:pt idx="13">
                  <c:v>1378.8400000000001</c:v>
                </c:pt>
                <c:pt idx="14">
                  <c:v>1391.1400000000003</c:v>
                </c:pt>
                <c:pt idx="15">
                  <c:v>1383.2100000000003</c:v>
                </c:pt>
                <c:pt idx="16">
                  <c:v>1347.8100000000002</c:v>
                </c:pt>
                <c:pt idx="17">
                  <c:v>1354.4400000000003</c:v>
                </c:pt>
                <c:pt idx="18">
                  <c:v>1329.0400000000002</c:v>
                </c:pt>
                <c:pt idx="19">
                  <c:v>1411.9400000000003</c:v>
                </c:pt>
                <c:pt idx="20">
                  <c:v>1603.1400000000003</c:v>
                </c:pt>
                <c:pt idx="21">
                  <c:v>1606.4400000000005</c:v>
                </c:pt>
                <c:pt idx="22">
                  <c:v>1535.7400000000002</c:v>
                </c:pt>
                <c:pt idx="23">
                  <c:v>1478.7400000000002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B3-40B1-82B5-46B64138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ED-431E-A48B-E6AB57B608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ED-431E-A48B-E6AB57B608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ED-431E-A48B-E6AB57B608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ED-431E-A48B-E6AB57B608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ED-431E-A48B-E6AB57B608D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EED-431E-A48B-E6AB57B608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'16'!$AM$16:$BJ$16</c:f>
              <c:numCache>
                <c:formatCode>General</c:formatCode>
                <c:ptCount val="24"/>
                <c:pt idx="0">
                  <c:v>1104.4000000000001</c:v>
                </c:pt>
                <c:pt idx="1">
                  <c:v>1085.9000000000001</c:v>
                </c:pt>
                <c:pt idx="2">
                  <c:v>1017.8000000000001</c:v>
                </c:pt>
                <c:pt idx="3">
                  <c:v>1017.8000000000001</c:v>
                </c:pt>
                <c:pt idx="4">
                  <c:v>997.80000000000007</c:v>
                </c:pt>
                <c:pt idx="5">
                  <c:v>992.90000000000009</c:v>
                </c:pt>
                <c:pt idx="6">
                  <c:v>1004.9000000000001</c:v>
                </c:pt>
                <c:pt idx="7">
                  <c:v>980.3</c:v>
                </c:pt>
                <c:pt idx="8">
                  <c:v>980.3</c:v>
                </c:pt>
                <c:pt idx="9">
                  <c:v>980.3</c:v>
                </c:pt>
                <c:pt idx="10">
                  <c:v>1012.7</c:v>
                </c:pt>
                <c:pt idx="11">
                  <c:v>984.60000000000014</c:v>
                </c:pt>
                <c:pt idx="12">
                  <c:v>972.10000000000014</c:v>
                </c:pt>
                <c:pt idx="13">
                  <c:v>1055.0999999999999</c:v>
                </c:pt>
                <c:pt idx="14">
                  <c:v>1065.7</c:v>
                </c:pt>
                <c:pt idx="15">
                  <c:v>1076.4000000000001</c:v>
                </c:pt>
                <c:pt idx="16">
                  <c:v>1069.4000000000001</c:v>
                </c:pt>
                <c:pt idx="17">
                  <c:v>1049.2</c:v>
                </c:pt>
                <c:pt idx="18" formatCode="0.0">
                  <c:v>1009.4000000000001</c:v>
                </c:pt>
                <c:pt idx="19" formatCode="0.0">
                  <c:v>1029.9000000000001</c:v>
                </c:pt>
                <c:pt idx="20" formatCode="0.0">
                  <c:v>1029.9000000000001</c:v>
                </c:pt>
                <c:pt idx="21" formatCode="0.0">
                  <c:v>1029.9000000000001</c:v>
                </c:pt>
                <c:pt idx="22" formatCode="0.0">
                  <c:v>1054.9000000000001</c:v>
                </c:pt>
                <c:pt idx="23" formatCode="0.0">
                  <c:v>1054.9000000000001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6-4138-879D-FE5E243D7CF1}"/>
            </c:ext>
          </c:extLst>
        </c:ser>
        <c:ser>
          <c:idx val="2"/>
          <c:order val="1"/>
          <c:tx>
            <c:strRef>
              <c:f>'16'!$AL$17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'16'!$AM$17:$BJ$17</c:f>
              <c:numCache>
                <c:formatCode>General</c:formatCode>
                <c:ptCount val="24"/>
                <c:pt idx="0">
                  <c:v>541.70000000000005</c:v>
                </c:pt>
                <c:pt idx="1">
                  <c:v>541.70000000000005</c:v>
                </c:pt>
                <c:pt idx="2">
                  <c:v>541.70000000000005</c:v>
                </c:pt>
                <c:pt idx="3">
                  <c:v>531.70000000000005</c:v>
                </c:pt>
                <c:pt idx="4">
                  <c:v>531.70000000000005</c:v>
                </c:pt>
                <c:pt idx="5">
                  <c:v>531.70000000000005</c:v>
                </c:pt>
                <c:pt idx="6">
                  <c:v>536.70000000000005</c:v>
                </c:pt>
                <c:pt idx="7">
                  <c:v>541.70000000000005</c:v>
                </c:pt>
                <c:pt idx="8">
                  <c:v>541.70000000000005</c:v>
                </c:pt>
                <c:pt idx="9">
                  <c:v>541.70000000000005</c:v>
                </c:pt>
                <c:pt idx="10">
                  <c:v>541.70000000000005</c:v>
                </c:pt>
                <c:pt idx="11">
                  <c:v>541.70000000000005</c:v>
                </c:pt>
                <c:pt idx="12">
                  <c:v>541.70000000000005</c:v>
                </c:pt>
                <c:pt idx="13">
                  <c:v>541.70000000000005</c:v>
                </c:pt>
                <c:pt idx="14">
                  <c:v>542</c:v>
                </c:pt>
                <c:pt idx="15">
                  <c:v>542</c:v>
                </c:pt>
                <c:pt idx="16">
                  <c:v>542</c:v>
                </c:pt>
                <c:pt idx="17">
                  <c:v>542</c:v>
                </c:pt>
                <c:pt idx="18" formatCode="0.0">
                  <c:v>542</c:v>
                </c:pt>
                <c:pt idx="19" formatCode="0.0">
                  <c:v>542</c:v>
                </c:pt>
                <c:pt idx="20" formatCode="0.0">
                  <c:v>542</c:v>
                </c:pt>
                <c:pt idx="21" formatCode="0.0">
                  <c:v>542</c:v>
                </c:pt>
                <c:pt idx="22" formatCode="0.0">
                  <c:v>542</c:v>
                </c:pt>
                <c:pt idx="23" formatCode="0.0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6-4138-879D-FE5E243D7CF1}"/>
            </c:ext>
          </c:extLst>
        </c:ser>
        <c:ser>
          <c:idx val="3"/>
          <c:order val="2"/>
          <c:tx>
            <c:strRef>
              <c:f>'16'!$AL$18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'16'!$AM$18:$BJ$18</c:f>
              <c:numCache>
                <c:formatCode>General</c:formatCode>
                <c:ptCount val="24"/>
                <c:pt idx="0">
                  <c:v>399.74000000000007</c:v>
                </c:pt>
                <c:pt idx="1">
                  <c:v>372.44000000000005</c:v>
                </c:pt>
                <c:pt idx="2">
                  <c:v>398.44000000000005</c:v>
                </c:pt>
                <c:pt idx="3">
                  <c:v>328.94000000000005</c:v>
                </c:pt>
                <c:pt idx="4">
                  <c:v>398.24000000000007</c:v>
                </c:pt>
                <c:pt idx="5">
                  <c:v>398.24000000000007</c:v>
                </c:pt>
                <c:pt idx="6">
                  <c:v>399.14000000000004</c:v>
                </c:pt>
                <c:pt idx="7">
                  <c:v>418.54000000000008</c:v>
                </c:pt>
                <c:pt idx="8">
                  <c:v>418.54000000000008</c:v>
                </c:pt>
                <c:pt idx="9">
                  <c:v>418.54000000000008</c:v>
                </c:pt>
                <c:pt idx="10">
                  <c:v>418.54000000000008</c:v>
                </c:pt>
                <c:pt idx="11">
                  <c:v>419.23900000000009</c:v>
                </c:pt>
                <c:pt idx="12">
                  <c:v>419.23900000000009</c:v>
                </c:pt>
                <c:pt idx="13">
                  <c:v>419.23900000000009</c:v>
                </c:pt>
                <c:pt idx="14">
                  <c:v>424.73900000000009</c:v>
                </c:pt>
                <c:pt idx="15">
                  <c:v>425.64000000000004</c:v>
                </c:pt>
                <c:pt idx="16">
                  <c:v>414.84000000000003</c:v>
                </c:pt>
                <c:pt idx="17">
                  <c:v>414.84000000000003</c:v>
                </c:pt>
                <c:pt idx="18" formatCode="0.0">
                  <c:v>414.84000000000003</c:v>
                </c:pt>
                <c:pt idx="19" formatCode="0.0">
                  <c:v>415.3</c:v>
                </c:pt>
                <c:pt idx="20" formatCode="0.0">
                  <c:v>413.34000000000003</c:v>
                </c:pt>
                <c:pt idx="21" formatCode="0.0">
                  <c:v>413.34000000000003</c:v>
                </c:pt>
                <c:pt idx="22" formatCode="0.0">
                  <c:v>413.34000000000003</c:v>
                </c:pt>
                <c:pt idx="23" formatCode="0.0">
                  <c:v>413.34000000000003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6-4138-879D-FE5E243D7CF1}"/>
            </c:ext>
          </c:extLst>
        </c:ser>
        <c:ser>
          <c:idx val="0"/>
          <c:order val="3"/>
          <c:tx>
            <c:strRef>
              <c:f>'16'!$AL$19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B6-4138-879D-FE5E243D7CF1}"/>
            </c:ext>
          </c:extLst>
        </c:ser>
        <c:ser>
          <c:idx val="4"/>
          <c:order val="4"/>
          <c:tx>
            <c:strRef>
              <c:f>'16'!$AL$20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B6-4138-879D-FE5E243D7CF1}"/>
            </c:ext>
          </c:extLst>
        </c:ser>
        <c:ser>
          <c:idx val="5"/>
          <c:order val="5"/>
          <c:tx>
            <c:strRef>
              <c:f>'16'!$AL$21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B6-4138-879D-FE5E243D7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'16'!$AM$23:$BJ$23</c:f>
              <c:numCache>
                <c:formatCode>General</c:formatCode>
                <c:ptCount val="24"/>
                <c:pt idx="0">
                  <c:v>-617</c:v>
                </c:pt>
                <c:pt idx="1">
                  <c:v>-602</c:v>
                </c:pt>
                <c:pt idx="2">
                  <c:v>-626</c:v>
                </c:pt>
                <c:pt idx="3">
                  <c:v>-577</c:v>
                </c:pt>
                <c:pt idx="4">
                  <c:v>-624</c:v>
                </c:pt>
                <c:pt idx="5">
                  <c:v>-647</c:v>
                </c:pt>
                <c:pt idx="6">
                  <c:v>-682</c:v>
                </c:pt>
                <c:pt idx="7">
                  <c:v>-536</c:v>
                </c:pt>
                <c:pt idx="8">
                  <c:v>-474</c:v>
                </c:pt>
                <c:pt idx="9">
                  <c:v>-489</c:v>
                </c:pt>
                <c:pt idx="10">
                  <c:v>-439</c:v>
                </c:pt>
                <c:pt idx="11">
                  <c:v>-477</c:v>
                </c:pt>
                <c:pt idx="12">
                  <c:v>-398</c:v>
                </c:pt>
                <c:pt idx="13">
                  <c:v>-464</c:v>
                </c:pt>
                <c:pt idx="14">
                  <c:v>-433.8</c:v>
                </c:pt>
                <c:pt idx="15">
                  <c:v>-465.90000000000003</c:v>
                </c:pt>
                <c:pt idx="16">
                  <c:v>-474.9</c:v>
                </c:pt>
                <c:pt idx="17">
                  <c:v>-514.5</c:v>
                </c:pt>
                <c:pt idx="18">
                  <c:v>-498</c:v>
                </c:pt>
                <c:pt idx="19">
                  <c:v>-463</c:v>
                </c:pt>
                <c:pt idx="20">
                  <c:v>-458.2</c:v>
                </c:pt>
                <c:pt idx="21">
                  <c:v>-490</c:v>
                </c:pt>
                <c:pt idx="22">
                  <c:v>-545</c:v>
                </c:pt>
                <c:pt idx="23">
                  <c:v>-561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B6-4138-879D-FE5E243D7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'16'!$AM$22:$BJ$22</c:f>
              <c:numCache>
                <c:formatCode>General</c:formatCode>
                <c:ptCount val="24"/>
                <c:pt idx="0">
                  <c:v>2045.8400000000001</c:v>
                </c:pt>
                <c:pt idx="1">
                  <c:v>2000.0400000000002</c:v>
                </c:pt>
                <c:pt idx="2">
                  <c:v>1957.94</c:v>
                </c:pt>
                <c:pt idx="3">
                  <c:v>1878.44</c:v>
                </c:pt>
                <c:pt idx="4">
                  <c:v>1927.74</c:v>
                </c:pt>
                <c:pt idx="5">
                  <c:v>1922.8400000000001</c:v>
                </c:pt>
                <c:pt idx="6">
                  <c:v>1940.7400000000002</c:v>
                </c:pt>
                <c:pt idx="7">
                  <c:v>1940.54</c:v>
                </c:pt>
                <c:pt idx="8">
                  <c:v>1940.54</c:v>
                </c:pt>
                <c:pt idx="9">
                  <c:v>1940.54</c:v>
                </c:pt>
                <c:pt idx="10">
                  <c:v>1972.94</c:v>
                </c:pt>
                <c:pt idx="11">
                  <c:v>1945.5390000000002</c:v>
                </c:pt>
                <c:pt idx="12">
                  <c:v>1933.0390000000002</c:v>
                </c:pt>
                <c:pt idx="13">
                  <c:v>2016.039</c:v>
                </c:pt>
                <c:pt idx="14">
                  <c:v>2032.4390000000001</c:v>
                </c:pt>
                <c:pt idx="15">
                  <c:v>2044.0400000000002</c:v>
                </c:pt>
                <c:pt idx="16">
                  <c:v>2026.2400000000002</c:v>
                </c:pt>
                <c:pt idx="17">
                  <c:v>2006.04</c:v>
                </c:pt>
                <c:pt idx="18">
                  <c:v>1966.2400000000002</c:v>
                </c:pt>
                <c:pt idx="19">
                  <c:v>1987.2</c:v>
                </c:pt>
                <c:pt idx="20">
                  <c:v>1985.2400000000002</c:v>
                </c:pt>
                <c:pt idx="21">
                  <c:v>1985.2400000000002</c:v>
                </c:pt>
                <c:pt idx="22">
                  <c:v>2010.2400000000002</c:v>
                </c:pt>
                <c:pt idx="23">
                  <c:v>2010.2400000000002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0B6-4138-879D-FE5E243D7CF1}"/>
            </c:ext>
          </c:extLst>
        </c:ser>
        <c:ser>
          <c:idx val="8"/>
          <c:order val="8"/>
          <c:tx>
            <c:strRef>
              <c:f>'16'!$AL$24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'16'!$AM$24:$BJ$24</c:f>
              <c:numCache>
                <c:formatCode>General</c:formatCode>
                <c:ptCount val="24"/>
                <c:pt idx="0">
                  <c:v>1428.8400000000001</c:v>
                </c:pt>
                <c:pt idx="1">
                  <c:v>1398.0400000000002</c:v>
                </c:pt>
                <c:pt idx="2">
                  <c:v>1331.94</c:v>
                </c:pt>
                <c:pt idx="3">
                  <c:v>1301.44</c:v>
                </c:pt>
                <c:pt idx="4">
                  <c:v>1303.74</c:v>
                </c:pt>
                <c:pt idx="5">
                  <c:v>1275.8400000000001</c:v>
                </c:pt>
                <c:pt idx="6">
                  <c:v>1258.7400000000002</c:v>
                </c:pt>
                <c:pt idx="7">
                  <c:v>1404.54</c:v>
                </c:pt>
                <c:pt idx="8">
                  <c:v>1466.54</c:v>
                </c:pt>
                <c:pt idx="9">
                  <c:v>1451.54</c:v>
                </c:pt>
                <c:pt idx="10">
                  <c:v>1533.94</c:v>
                </c:pt>
                <c:pt idx="11">
                  <c:v>1468.5390000000002</c:v>
                </c:pt>
                <c:pt idx="12">
                  <c:v>1535.0390000000002</c:v>
                </c:pt>
                <c:pt idx="13">
                  <c:v>1552.039</c:v>
                </c:pt>
                <c:pt idx="14">
                  <c:v>1598.6390000000001</c:v>
                </c:pt>
                <c:pt idx="15">
                  <c:v>1578.14</c:v>
                </c:pt>
                <c:pt idx="16">
                  <c:v>1551.3400000000001</c:v>
                </c:pt>
                <c:pt idx="17">
                  <c:v>1491.54</c:v>
                </c:pt>
                <c:pt idx="18">
                  <c:v>1468.2400000000002</c:v>
                </c:pt>
                <c:pt idx="19">
                  <c:v>1524.2</c:v>
                </c:pt>
                <c:pt idx="20">
                  <c:v>1527.0400000000002</c:v>
                </c:pt>
                <c:pt idx="21">
                  <c:v>1495.2400000000002</c:v>
                </c:pt>
                <c:pt idx="22">
                  <c:v>1465.2400000000002</c:v>
                </c:pt>
                <c:pt idx="23">
                  <c:v>1449.2400000000002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B6-4138-879D-FE5E243D7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F1-4E48-BA80-EEDC63A6F0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F1-4E48-BA80-EEDC63A6F0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F1-4E48-BA80-EEDC63A6F0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F1-4E48-BA80-EEDC63A6F0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F1-4E48-BA80-EEDC63A6F0A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7F1-4E48-BA80-EEDC63A6F0A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'17'!$AM$16:$BJ$16</c:f>
              <c:numCache>
                <c:formatCode>General</c:formatCode>
                <c:ptCount val="24"/>
                <c:pt idx="0">
                  <c:v>1156.2</c:v>
                </c:pt>
                <c:pt idx="1">
                  <c:v>1151.2</c:v>
                </c:pt>
                <c:pt idx="2">
                  <c:v>1146.2</c:v>
                </c:pt>
                <c:pt idx="3">
                  <c:v>1160.5</c:v>
                </c:pt>
                <c:pt idx="4">
                  <c:v>1140.4000000000001</c:v>
                </c:pt>
                <c:pt idx="5">
                  <c:v>1101.4000000000001</c:v>
                </c:pt>
                <c:pt idx="6">
                  <c:v>1106.5</c:v>
                </c:pt>
                <c:pt idx="7">
                  <c:v>1193.4000000000001</c:v>
                </c:pt>
                <c:pt idx="8">
                  <c:v>1270.3000000000002</c:v>
                </c:pt>
                <c:pt idx="9">
                  <c:v>1284.4000000000001</c:v>
                </c:pt>
                <c:pt idx="10">
                  <c:v>1305.3000000000002</c:v>
                </c:pt>
                <c:pt idx="11">
                  <c:v>1260.0999999999999</c:v>
                </c:pt>
                <c:pt idx="12">
                  <c:v>1227.9000000000001</c:v>
                </c:pt>
                <c:pt idx="13">
                  <c:v>1317.9</c:v>
                </c:pt>
                <c:pt idx="14">
                  <c:v>1317.9</c:v>
                </c:pt>
                <c:pt idx="15">
                  <c:v>1315.8000000000002</c:v>
                </c:pt>
                <c:pt idx="16">
                  <c:v>1291.4000000000001</c:v>
                </c:pt>
                <c:pt idx="17">
                  <c:v>1288.3</c:v>
                </c:pt>
                <c:pt idx="18" formatCode="0.0">
                  <c:v>1262.7000000000003</c:v>
                </c:pt>
                <c:pt idx="19" formatCode="0.0">
                  <c:v>1247.5</c:v>
                </c:pt>
                <c:pt idx="20" formatCode="0.0">
                  <c:v>1336</c:v>
                </c:pt>
                <c:pt idx="21" formatCode="0.0">
                  <c:v>1389.6000000000001</c:v>
                </c:pt>
                <c:pt idx="22" formatCode="0.0">
                  <c:v>1339.2000000000003</c:v>
                </c:pt>
                <c:pt idx="23" formatCode="0.0">
                  <c:v>1339.2000000000003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B-4FC2-AF5D-E508A65D8C16}"/>
            </c:ext>
          </c:extLst>
        </c:ser>
        <c:ser>
          <c:idx val="2"/>
          <c:order val="1"/>
          <c:tx>
            <c:strRef>
              <c:f>'17'!$AL$17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'17'!$AM$17:$BJ$17</c:f>
              <c:numCache>
                <c:formatCode>General</c:formatCode>
                <c:ptCount val="24"/>
                <c:pt idx="0">
                  <c:v>542</c:v>
                </c:pt>
                <c:pt idx="1">
                  <c:v>542</c:v>
                </c:pt>
                <c:pt idx="2">
                  <c:v>542</c:v>
                </c:pt>
                <c:pt idx="3">
                  <c:v>542</c:v>
                </c:pt>
                <c:pt idx="4">
                  <c:v>542</c:v>
                </c:pt>
                <c:pt idx="5">
                  <c:v>542</c:v>
                </c:pt>
                <c:pt idx="6">
                  <c:v>542</c:v>
                </c:pt>
                <c:pt idx="7">
                  <c:v>542</c:v>
                </c:pt>
                <c:pt idx="8">
                  <c:v>541.70000000000005</c:v>
                </c:pt>
                <c:pt idx="9">
                  <c:v>541.70000000000005</c:v>
                </c:pt>
                <c:pt idx="10">
                  <c:v>541.70000000000005</c:v>
                </c:pt>
                <c:pt idx="11">
                  <c:v>541.70000000000005</c:v>
                </c:pt>
                <c:pt idx="12">
                  <c:v>541.70000000000005</c:v>
                </c:pt>
                <c:pt idx="13">
                  <c:v>541.9</c:v>
                </c:pt>
                <c:pt idx="14">
                  <c:v>541.9</c:v>
                </c:pt>
                <c:pt idx="15">
                  <c:v>541.9</c:v>
                </c:pt>
                <c:pt idx="16">
                  <c:v>541.9</c:v>
                </c:pt>
                <c:pt idx="17">
                  <c:v>541.9</c:v>
                </c:pt>
                <c:pt idx="18" formatCode="0.0">
                  <c:v>541.9</c:v>
                </c:pt>
                <c:pt idx="19" formatCode="0.0">
                  <c:v>541.9</c:v>
                </c:pt>
                <c:pt idx="20" formatCode="0.0">
                  <c:v>541.9</c:v>
                </c:pt>
                <c:pt idx="21" formatCode="0.0">
                  <c:v>232.6</c:v>
                </c:pt>
                <c:pt idx="22" formatCode="0.0">
                  <c:v>538.6</c:v>
                </c:pt>
                <c:pt idx="23" formatCode="0.0">
                  <c:v>538.6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B-4FC2-AF5D-E508A65D8C16}"/>
            </c:ext>
          </c:extLst>
        </c:ser>
        <c:ser>
          <c:idx val="3"/>
          <c:order val="2"/>
          <c:tx>
            <c:strRef>
              <c:f>'17'!$AL$18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'17'!$AM$18:$BJ$18</c:f>
              <c:numCache>
                <c:formatCode>General</c:formatCode>
                <c:ptCount val="24"/>
                <c:pt idx="0">
                  <c:v>413.34000000000003</c:v>
                </c:pt>
                <c:pt idx="1">
                  <c:v>413.34000000000003</c:v>
                </c:pt>
                <c:pt idx="2">
                  <c:v>413.34000000000003</c:v>
                </c:pt>
                <c:pt idx="3">
                  <c:v>413.14000000000004</c:v>
                </c:pt>
                <c:pt idx="4">
                  <c:v>413.14000000000004</c:v>
                </c:pt>
                <c:pt idx="5">
                  <c:v>400.74000000000007</c:v>
                </c:pt>
                <c:pt idx="6">
                  <c:v>413.14000000000004</c:v>
                </c:pt>
                <c:pt idx="7">
                  <c:v>413.14000000000004</c:v>
                </c:pt>
                <c:pt idx="8">
                  <c:v>383.44000000000005</c:v>
                </c:pt>
                <c:pt idx="9">
                  <c:v>391.44000000000005</c:v>
                </c:pt>
                <c:pt idx="10">
                  <c:v>428.24000000000007</c:v>
                </c:pt>
                <c:pt idx="11">
                  <c:v>395.84000000000003</c:v>
                </c:pt>
                <c:pt idx="12">
                  <c:v>416.74</c:v>
                </c:pt>
                <c:pt idx="13">
                  <c:v>428.44</c:v>
                </c:pt>
                <c:pt idx="14">
                  <c:v>387.84</c:v>
                </c:pt>
                <c:pt idx="15">
                  <c:v>388.04</c:v>
                </c:pt>
                <c:pt idx="16">
                  <c:v>402.74</c:v>
                </c:pt>
                <c:pt idx="17">
                  <c:v>412.84</c:v>
                </c:pt>
                <c:pt idx="18" formatCode="0.0">
                  <c:v>411.44</c:v>
                </c:pt>
                <c:pt idx="19" formatCode="0.0">
                  <c:v>414.44</c:v>
                </c:pt>
                <c:pt idx="20" formatCode="0.0">
                  <c:v>414.44</c:v>
                </c:pt>
                <c:pt idx="21" formatCode="0.0">
                  <c:v>416.94</c:v>
                </c:pt>
                <c:pt idx="22" formatCode="0.0">
                  <c:v>416.94</c:v>
                </c:pt>
                <c:pt idx="23" formatCode="0.0">
                  <c:v>416.94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B-4FC2-AF5D-E508A65D8C16}"/>
            </c:ext>
          </c:extLst>
        </c:ser>
        <c:ser>
          <c:idx val="0"/>
          <c:order val="3"/>
          <c:tx>
            <c:strRef>
              <c:f>'17'!$AL$19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BB-4FC2-AF5D-E508A65D8C16}"/>
            </c:ext>
          </c:extLst>
        </c:ser>
        <c:ser>
          <c:idx val="4"/>
          <c:order val="4"/>
          <c:tx>
            <c:strRef>
              <c:f>'17'!$AL$20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21.8</c:v>
                </c:pt>
                <c:pt idx="10">
                  <c:v>21.8</c:v>
                </c:pt>
                <c:pt idx="11">
                  <c:v>21.8</c:v>
                </c:pt>
                <c:pt idx="12">
                  <c:v>21.700000000000003</c:v>
                </c:pt>
                <c:pt idx="13">
                  <c:v>21.4</c:v>
                </c:pt>
                <c:pt idx="14">
                  <c:v>21.4</c:v>
                </c:pt>
                <c:pt idx="15">
                  <c:v>17.700000000000003</c:v>
                </c:pt>
                <c:pt idx="16">
                  <c:v>17.700000000000003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BB-4FC2-AF5D-E508A65D8C16}"/>
            </c:ext>
          </c:extLst>
        </c:ser>
        <c:ser>
          <c:idx val="5"/>
          <c:order val="5"/>
          <c:tx>
            <c:strRef>
              <c:f>'17'!$AL$21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BB-4FC2-AF5D-E508A65D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'17'!$AM$23:$BJ$23</c:f>
              <c:numCache>
                <c:formatCode>General</c:formatCode>
                <c:ptCount val="24"/>
                <c:pt idx="0">
                  <c:v>-587</c:v>
                </c:pt>
                <c:pt idx="1">
                  <c:v>-629</c:v>
                </c:pt>
                <c:pt idx="2">
                  <c:v>-711</c:v>
                </c:pt>
                <c:pt idx="3">
                  <c:v>-656</c:v>
                </c:pt>
                <c:pt idx="4">
                  <c:v>-645</c:v>
                </c:pt>
                <c:pt idx="5">
                  <c:v>-562</c:v>
                </c:pt>
                <c:pt idx="6">
                  <c:v>-698.5</c:v>
                </c:pt>
                <c:pt idx="7">
                  <c:v>-595</c:v>
                </c:pt>
                <c:pt idx="8">
                  <c:v>-585</c:v>
                </c:pt>
                <c:pt idx="9">
                  <c:v>-582</c:v>
                </c:pt>
                <c:pt idx="10">
                  <c:v>-535</c:v>
                </c:pt>
                <c:pt idx="11">
                  <c:v>-549.70000000000005</c:v>
                </c:pt>
                <c:pt idx="12">
                  <c:v>-436</c:v>
                </c:pt>
                <c:pt idx="13">
                  <c:v>-568.6</c:v>
                </c:pt>
                <c:pt idx="14">
                  <c:v>-546</c:v>
                </c:pt>
                <c:pt idx="15">
                  <c:v>-563</c:v>
                </c:pt>
                <c:pt idx="16">
                  <c:v>-614</c:v>
                </c:pt>
                <c:pt idx="17">
                  <c:v>-657</c:v>
                </c:pt>
                <c:pt idx="18">
                  <c:v>-680</c:v>
                </c:pt>
                <c:pt idx="19">
                  <c:v>-575</c:v>
                </c:pt>
                <c:pt idx="20">
                  <c:v>-499</c:v>
                </c:pt>
                <c:pt idx="21">
                  <c:v>-329</c:v>
                </c:pt>
                <c:pt idx="22">
                  <c:v>-588</c:v>
                </c:pt>
                <c:pt idx="23">
                  <c:v>-595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BB-4FC2-AF5D-E508A65D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'17'!$AM$22:$BJ$22</c:f>
              <c:numCache>
                <c:formatCode>General</c:formatCode>
                <c:ptCount val="24"/>
                <c:pt idx="0">
                  <c:v>2111.54</c:v>
                </c:pt>
                <c:pt idx="1">
                  <c:v>2106.54</c:v>
                </c:pt>
                <c:pt idx="2">
                  <c:v>2101.54</c:v>
                </c:pt>
                <c:pt idx="3">
                  <c:v>2115.64</c:v>
                </c:pt>
                <c:pt idx="4">
                  <c:v>2095.54</c:v>
                </c:pt>
                <c:pt idx="5">
                  <c:v>2044.14</c:v>
                </c:pt>
                <c:pt idx="6">
                  <c:v>2061.64</c:v>
                </c:pt>
                <c:pt idx="7">
                  <c:v>2148.54</c:v>
                </c:pt>
                <c:pt idx="8">
                  <c:v>2195.4400000000005</c:v>
                </c:pt>
                <c:pt idx="9">
                  <c:v>2239.34</c:v>
                </c:pt>
                <c:pt idx="10">
                  <c:v>2297.0400000000004</c:v>
                </c:pt>
                <c:pt idx="11">
                  <c:v>2219.44</c:v>
                </c:pt>
                <c:pt idx="12">
                  <c:v>2208.04</c:v>
                </c:pt>
                <c:pt idx="13">
                  <c:v>2309.6400000000003</c:v>
                </c:pt>
                <c:pt idx="14">
                  <c:v>2269.0400000000004</c:v>
                </c:pt>
                <c:pt idx="15">
                  <c:v>2263.44</c:v>
                </c:pt>
                <c:pt idx="16">
                  <c:v>2253.7399999999998</c:v>
                </c:pt>
                <c:pt idx="17">
                  <c:v>2243.04</c:v>
                </c:pt>
                <c:pt idx="18">
                  <c:v>2216.0400000000004</c:v>
                </c:pt>
                <c:pt idx="19">
                  <c:v>2203.84</c:v>
                </c:pt>
                <c:pt idx="20">
                  <c:v>2292.34</c:v>
                </c:pt>
                <c:pt idx="21">
                  <c:v>2039.14</c:v>
                </c:pt>
                <c:pt idx="22">
                  <c:v>2294.7400000000002</c:v>
                </c:pt>
                <c:pt idx="23">
                  <c:v>2294.7400000000002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CBB-4FC2-AF5D-E508A65D8C16}"/>
            </c:ext>
          </c:extLst>
        </c:ser>
        <c:ser>
          <c:idx val="8"/>
          <c:order val="8"/>
          <c:tx>
            <c:strRef>
              <c:f>'17'!$AL$24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'17'!$AM$24:$BJ$24</c:f>
              <c:numCache>
                <c:formatCode>General</c:formatCode>
                <c:ptCount val="24"/>
                <c:pt idx="0">
                  <c:v>1524.54</c:v>
                </c:pt>
                <c:pt idx="1">
                  <c:v>1477.54</c:v>
                </c:pt>
                <c:pt idx="2">
                  <c:v>1390.54</c:v>
                </c:pt>
                <c:pt idx="3">
                  <c:v>1459.6399999999999</c:v>
                </c:pt>
                <c:pt idx="4">
                  <c:v>1450.54</c:v>
                </c:pt>
                <c:pt idx="5">
                  <c:v>1482.14</c:v>
                </c:pt>
                <c:pt idx="6">
                  <c:v>1363.1399999999999</c:v>
                </c:pt>
                <c:pt idx="7">
                  <c:v>1553.54</c:v>
                </c:pt>
                <c:pt idx="8">
                  <c:v>1610.4400000000005</c:v>
                </c:pt>
                <c:pt idx="9">
                  <c:v>1657.3400000000001</c:v>
                </c:pt>
                <c:pt idx="10">
                  <c:v>1762.0400000000004</c:v>
                </c:pt>
                <c:pt idx="11">
                  <c:v>1669.74</c:v>
                </c:pt>
                <c:pt idx="12">
                  <c:v>1772.04</c:v>
                </c:pt>
                <c:pt idx="13">
                  <c:v>1741.0400000000004</c:v>
                </c:pt>
                <c:pt idx="14">
                  <c:v>1723.0400000000004</c:v>
                </c:pt>
                <c:pt idx="15">
                  <c:v>1700.44</c:v>
                </c:pt>
                <c:pt idx="16">
                  <c:v>1639.7399999999998</c:v>
                </c:pt>
                <c:pt idx="17">
                  <c:v>1586.04</c:v>
                </c:pt>
                <c:pt idx="18">
                  <c:v>1536.0400000000004</c:v>
                </c:pt>
                <c:pt idx="19">
                  <c:v>1628.8400000000001</c:v>
                </c:pt>
                <c:pt idx="20">
                  <c:v>1793.3400000000001</c:v>
                </c:pt>
                <c:pt idx="21">
                  <c:v>1710.14</c:v>
                </c:pt>
                <c:pt idx="22">
                  <c:v>1706.7400000000002</c:v>
                </c:pt>
                <c:pt idx="23">
                  <c:v>1699.7400000000002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BB-4FC2-AF5D-E508A65D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0C-4F84-B490-745EBB08CF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0C-4F84-B490-745EBB08CF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0C-4F84-B490-745EBB08CF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0C-4F84-B490-745EBB08CF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30C-4F84-B490-745EBB08CF6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30C-4F84-B490-745EBB08CF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'18'!$AM$16:$BJ$16</c:f>
              <c:numCache>
                <c:formatCode>General</c:formatCode>
                <c:ptCount val="24"/>
                <c:pt idx="0">
                  <c:v>1359.2000000000003</c:v>
                </c:pt>
                <c:pt idx="1">
                  <c:v>1359.2000000000003</c:v>
                </c:pt>
                <c:pt idx="2">
                  <c:v>1409.2000000000003</c:v>
                </c:pt>
                <c:pt idx="3">
                  <c:v>1265.8</c:v>
                </c:pt>
                <c:pt idx="4">
                  <c:v>1216</c:v>
                </c:pt>
                <c:pt idx="5">
                  <c:v>1270.8</c:v>
                </c:pt>
                <c:pt idx="6">
                  <c:v>1248.4000000000001</c:v>
                </c:pt>
                <c:pt idx="7">
                  <c:v>1275.3</c:v>
                </c:pt>
                <c:pt idx="8">
                  <c:v>1314.1</c:v>
                </c:pt>
                <c:pt idx="9">
                  <c:v>1381.7</c:v>
                </c:pt>
                <c:pt idx="10">
                  <c:v>1381.7</c:v>
                </c:pt>
                <c:pt idx="11">
                  <c:v>1389.7</c:v>
                </c:pt>
                <c:pt idx="12">
                  <c:v>1378</c:v>
                </c:pt>
                <c:pt idx="13">
                  <c:v>1376.3000000000002</c:v>
                </c:pt>
                <c:pt idx="14">
                  <c:v>1321.2</c:v>
                </c:pt>
                <c:pt idx="15">
                  <c:v>1307.3</c:v>
                </c:pt>
                <c:pt idx="16">
                  <c:v>1284</c:v>
                </c:pt>
                <c:pt idx="17">
                  <c:v>1324.5</c:v>
                </c:pt>
                <c:pt idx="18" formatCode="0.0">
                  <c:v>1311.5</c:v>
                </c:pt>
                <c:pt idx="19" formatCode="0.0">
                  <c:v>1311.5</c:v>
                </c:pt>
                <c:pt idx="20" formatCode="0.0">
                  <c:v>1305.4000000000001</c:v>
                </c:pt>
                <c:pt idx="21" formatCode="0.0">
                  <c:v>1243.8</c:v>
                </c:pt>
                <c:pt idx="22" formatCode="0.0">
                  <c:v>1198.8000000000002</c:v>
                </c:pt>
                <c:pt idx="23" formatCode="0.0">
                  <c:v>1264.6000000000001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A-4E3C-97AF-5617F1EAA0CE}"/>
            </c:ext>
          </c:extLst>
        </c:ser>
        <c:ser>
          <c:idx val="2"/>
          <c:order val="1"/>
          <c:tx>
            <c:strRef>
              <c:f>'18'!$AL$17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'18'!$AM$17:$BJ$17</c:f>
              <c:numCache>
                <c:formatCode>General</c:formatCode>
                <c:ptCount val="24"/>
                <c:pt idx="0">
                  <c:v>538.6</c:v>
                </c:pt>
                <c:pt idx="1">
                  <c:v>538.6</c:v>
                </c:pt>
                <c:pt idx="2">
                  <c:v>538.6</c:v>
                </c:pt>
                <c:pt idx="3">
                  <c:v>538</c:v>
                </c:pt>
                <c:pt idx="4">
                  <c:v>538</c:v>
                </c:pt>
                <c:pt idx="5">
                  <c:v>538</c:v>
                </c:pt>
                <c:pt idx="6">
                  <c:v>538</c:v>
                </c:pt>
                <c:pt idx="7">
                  <c:v>538</c:v>
                </c:pt>
                <c:pt idx="8">
                  <c:v>538</c:v>
                </c:pt>
                <c:pt idx="9">
                  <c:v>538</c:v>
                </c:pt>
                <c:pt idx="10">
                  <c:v>538</c:v>
                </c:pt>
                <c:pt idx="11">
                  <c:v>538</c:v>
                </c:pt>
                <c:pt idx="12">
                  <c:v>538</c:v>
                </c:pt>
                <c:pt idx="13">
                  <c:v>538</c:v>
                </c:pt>
                <c:pt idx="14">
                  <c:v>538</c:v>
                </c:pt>
                <c:pt idx="15">
                  <c:v>538</c:v>
                </c:pt>
                <c:pt idx="16">
                  <c:v>538</c:v>
                </c:pt>
                <c:pt idx="17">
                  <c:v>538</c:v>
                </c:pt>
                <c:pt idx="18" formatCode="0.0">
                  <c:v>538</c:v>
                </c:pt>
                <c:pt idx="19" formatCode="0.0">
                  <c:v>538</c:v>
                </c:pt>
                <c:pt idx="20" formatCode="0.0">
                  <c:v>538</c:v>
                </c:pt>
                <c:pt idx="21" formatCode="0.0">
                  <c:v>538</c:v>
                </c:pt>
                <c:pt idx="22" formatCode="0.0">
                  <c:v>538</c:v>
                </c:pt>
                <c:pt idx="23" formatCode="0.0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A-4E3C-97AF-5617F1EAA0CE}"/>
            </c:ext>
          </c:extLst>
        </c:ser>
        <c:ser>
          <c:idx val="3"/>
          <c:order val="2"/>
          <c:tx>
            <c:strRef>
              <c:f>'18'!$AL$18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'18'!$AM$18:$BJ$18</c:f>
              <c:numCache>
                <c:formatCode>General</c:formatCode>
                <c:ptCount val="24"/>
                <c:pt idx="0">
                  <c:v>416.94</c:v>
                </c:pt>
                <c:pt idx="1">
                  <c:v>416.94</c:v>
                </c:pt>
                <c:pt idx="2">
                  <c:v>416.94</c:v>
                </c:pt>
                <c:pt idx="3">
                  <c:v>417.73999999999995</c:v>
                </c:pt>
                <c:pt idx="4">
                  <c:v>417.73999999999995</c:v>
                </c:pt>
                <c:pt idx="5">
                  <c:v>417.73999999999995</c:v>
                </c:pt>
                <c:pt idx="6">
                  <c:v>417.73999999999995</c:v>
                </c:pt>
                <c:pt idx="7">
                  <c:v>418.93999999999994</c:v>
                </c:pt>
                <c:pt idx="8">
                  <c:v>416.14</c:v>
                </c:pt>
                <c:pt idx="9">
                  <c:v>413.53999999999996</c:v>
                </c:pt>
                <c:pt idx="10">
                  <c:v>413.53999999999996</c:v>
                </c:pt>
                <c:pt idx="11">
                  <c:v>362.54</c:v>
                </c:pt>
                <c:pt idx="12">
                  <c:v>352.94</c:v>
                </c:pt>
                <c:pt idx="13">
                  <c:v>352.64</c:v>
                </c:pt>
                <c:pt idx="14">
                  <c:v>359.34</c:v>
                </c:pt>
                <c:pt idx="15">
                  <c:v>359.34</c:v>
                </c:pt>
                <c:pt idx="16">
                  <c:v>373.44</c:v>
                </c:pt>
                <c:pt idx="17">
                  <c:v>373.44</c:v>
                </c:pt>
                <c:pt idx="18" formatCode="0.0">
                  <c:v>368.24</c:v>
                </c:pt>
                <c:pt idx="19" formatCode="0.0">
                  <c:v>354.24</c:v>
                </c:pt>
                <c:pt idx="20" formatCode="0.0">
                  <c:v>376.1400000000001</c:v>
                </c:pt>
                <c:pt idx="21" formatCode="0.0">
                  <c:v>319.04000000000008</c:v>
                </c:pt>
                <c:pt idx="22" formatCode="0.0">
                  <c:v>349.04000000000008</c:v>
                </c:pt>
                <c:pt idx="23" formatCode="0.0">
                  <c:v>349.04000000000008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A-4E3C-97AF-5617F1EAA0CE}"/>
            </c:ext>
          </c:extLst>
        </c:ser>
        <c:ser>
          <c:idx val="0"/>
          <c:order val="3"/>
          <c:tx>
            <c:strRef>
              <c:f>'18'!$AL$19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A-4E3C-97AF-5617F1EAA0CE}"/>
            </c:ext>
          </c:extLst>
        </c:ser>
        <c:ser>
          <c:idx val="4"/>
          <c:order val="4"/>
          <c:tx>
            <c:strRef>
              <c:f>'18'!$AL$20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18.2</c:v>
                </c:pt>
                <c:pt idx="11">
                  <c:v>18.2</c:v>
                </c:pt>
                <c:pt idx="12">
                  <c:v>18.2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33.700000000000003</c:v>
                </c:pt>
                <c:pt idx="17">
                  <c:v>15.5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20.7</c:v>
                </c:pt>
                <c:pt idx="21" formatCode="0.0">
                  <c:v>32.799999999999997</c:v>
                </c:pt>
                <c:pt idx="22" formatCode="0.0">
                  <c:v>22.799999999999997</c:v>
                </c:pt>
                <c:pt idx="23" formatCode="0.0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AA-4E3C-97AF-5617F1EAA0CE}"/>
            </c:ext>
          </c:extLst>
        </c:ser>
        <c:ser>
          <c:idx val="5"/>
          <c:order val="5"/>
          <c:tx>
            <c:strRef>
              <c:f>'18'!$AL$21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AA-4E3C-97AF-5617F1EA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'18'!$AM$23:$BJ$23</c:f>
              <c:numCache>
                <c:formatCode>General</c:formatCode>
                <c:ptCount val="24"/>
                <c:pt idx="0">
                  <c:v>-638</c:v>
                </c:pt>
                <c:pt idx="1">
                  <c:v>-638</c:v>
                </c:pt>
                <c:pt idx="2">
                  <c:v>-702</c:v>
                </c:pt>
                <c:pt idx="3">
                  <c:v>-685</c:v>
                </c:pt>
                <c:pt idx="4">
                  <c:v>-685.4</c:v>
                </c:pt>
                <c:pt idx="5">
                  <c:v>-757.9</c:v>
                </c:pt>
                <c:pt idx="6">
                  <c:v>-743.5</c:v>
                </c:pt>
                <c:pt idx="7">
                  <c:v>-623.1</c:v>
                </c:pt>
                <c:pt idx="8">
                  <c:v>-627.5</c:v>
                </c:pt>
                <c:pt idx="9">
                  <c:v>-683</c:v>
                </c:pt>
                <c:pt idx="10">
                  <c:v>-660</c:v>
                </c:pt>
                <c:pt idx="11">
                  <c:v>-647</c:v>
                </c:pt>
                <c:pt idx="12">
                  <c:v>-647</c:v>
                </c:pt>
                <c:pt idx="13">
                  <c:v>-656</c:v>
                </c:pt>
                <c:pt idx="14">
                  <c:v>-580</c:v>
                </c:pt>
                <c:pt idx="15">
                  <c:v>-559.5</c:v>
                </c:pt>
                <c:pt idx="16">
                  <c:v>-580</c:v>
                </c:pt>
                <c:pt idx="17">
                  <c:v>-619</c:v>
                </c:pt>
                <c:pt idx="18">
                  <c:v>-587</c:v>
                </c:pt>
                <c:pt idx="19">
                  <c:v>-584</c:v>
                </c:pt>
                <c:pt idx="20">
                  <c:v>-453</c:v>
                </c:pt>
                <c:pt idx="21">
                  <c:v>-539</c:v>
                </c:pt>
                <c:pt idx="22">
                  <c:v>-660</c:v>
                </c:pt>
                <c:pt idx="23">
                  <c:v>-590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AA-4E3C-97AF-5617F1EA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'18'!$AM$22:$BJ$22</c:f>
              <c:numCache>
                <c:formatCode>General</c:formatCode>
                <c:ptCount val="24"/>
                <c:pt idx="0">
                  <c:v>2314.7400000000002</c:v>
                </c:pt>
                <c:pt idx="1">
                  <c:v>2314.7400000000002</c:v>
                </c:pt>
                <c:pt idx="2">
                  <c:v>2364.7400000000002</c:v>
                </c:pt>
                <c:pt idx="3">
                  <c:v>2221.54</c:v>
                </c:pt>
                <c:pt idx="4">
                  <c:v>2171.7399999999998</c:v>
                </c:pt>
                <c:pt idx="5">
                  <c:v>2226.54</c:v>
                </c:pt>
                <c:pt idx="6">
                  <c:v>2204.14</c:v>
                </c:pt>
                <c:pt idx="7">
                  <c:v>2232.2399999999998</c:v>
                </c:pt>
                <c:pt idx="8">
                  <c:v>2268.2399999999998</c:v>
                </c:pt>
                <c:pt idx="9">
                  <c:v>2333.2399999999998</c:v>
                </c:pt>
                <c:pt idx="10">
                  <c:v>2351.4399999999996</c:v>
                </c:pt>
                <c:pt idx="11">
                  <c:v>2308.44</c:v>
                </c:pt>
                <c:pt idx="12">
                  <c:v>2287.14</c:v>
                </c:pt>
                <c:pt idx="13">
                  <c:v>2266.94</c:v>
                </c:pt>
                <c:pt idx="14">
                  <c:v>2218.54</c:v>
                </c:pt>
                <c:pt idx="15">
                  <c:v>2204.64</c:v>
                </c:pt>
                <c:pt idx="16">
                  <c:v>2229.14</c:v>
                </c:pt>
                <c:pt idx="17">
                  <c:v>2251.44</c:v>
                </c:pt>
                <c:pt idx="18">
                  <c:v>2217.7399999999998</c:v>
                </c:pt>
                <c:pt idx="19">
                  <c:v>2203.7399999999998</c:v>
                </c:pt>
                <c:pt idx="20">
                  <c:v>2240.2399999999998</c:v>
                </c:pt>
                <c:pt idx="21">
                  <c:v>2133.6400000000003</c:v>
                </c:pt>
                <c:pt idx="22">
                  <c:v>2108.6400000000003</c:v>
                </c:pt>
                <c:pt idx="23">
                  <c:v>2166.1400000000003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3AA-4E3C-97AF-5617F1EAA0CE}"/>
            </c:ext>
          </c:extLst>
        </c:ser>
        <c:ser>
          <c:idx val="8"/>
          <c:order val="8"/>
          <c:tx>
            <c:strRef>
              <c:f>'18'!$AL$24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'18'!$AM$24:$BJ$24</c:f>
              <c:numCache>
                <c:formatCode>General</c:formatCode>
                <c:ptCount val="24"/>
                <c:pt idx="0">
                  <c:v>1676.7400000000002</c:v>
                </c:pt>
                <c:pt idx="1">
                  <c:v>1676.7400000000002</c:v>
                </c:pt>
                <c:pt idx="2">
                  <c:v>1662.7400000000002</c:v>
                </c:pt>
                <c:pt idx="3">
                  <c:v>1536.54</c:v>
                </c:pt>
                <c:pt idx="4">
                  <c:v>1486.3399999999997</c:v>
                </c:pt>
                <c:pt idx="5">
                  <c:v>1468.6399999999999</c:v>
                </c:pt>
                <c:pt idx="6">
                  <c:v>1460.6399999999999</c:v>
                </c:pt>
                <c:pt idx="7">
                  <c:v>1609.1399999999999</c:v>
                </c:pt>
                <c:pt idx="8">
                  <c:v>1640.7399999999998</c:v>
                </c:pt>
                <c:pt idx="9">
                  <c:v>1650.2399999999998</c:v>
                </c:pt>
                <c:pt idx="10">
                  <c:v>1691.4399999999996</c:v>
                </c:pt>
                <c:pt idx="11">
                  <c:v>1661.44</c:v>
                </c:pt>
                <c:pt idx="12">
                  <c:v>1640.1399999999999</c:v>
                </c:pt>
                <c:pt idx="13">
                  <c:v>1610.94</c:v>
                </c:pt>
                <c:pt idx="14">
                  <c:v>1638.54</c:v>
                </c:pt>
                <c:pt idx="15">
                  <c:v>1645.1399999999999</c:v>
                </c:pt>
                <c:pt idx="16">
                  <c:v>1649.1399999999999</c:v>
                </c:pt>
                <c:pt idx="17">
                  <c:v>1632.44</c:v>
                </c:pt>
                <c:pt idx="18">
                  <c:v>1630.7399999999998</c:v>
                </c:pt>
                <c:pt idx="19">
                  <c:v>1619.7399999999998</c:v>
                </c:pt>
                <c:pt idx="20">
                  <c:v>1787.2399999999998</c:v>
                </c:pt>
                <c:pt idx="21">
                  <c:v>1594.6400000000003</c:v>
                </c:pt>
                <c:pt idx="22">
                  <c:v>1448.6400000000003</c:v>
                </c:pt>
                <c:pt idx="23">
                  <c:v>1576.1400000000003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AA-4E3C-97AF-5617F1EA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4C-4276-8550-79368D8076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4C-4276-8550-79368D8076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4C-4276-8550-79368D8076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4C-4276-8550-79368D8076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4C-4276-8550-79368D8076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04C-4276-8550-79368D8076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'19'!$AM$16:$BJ$16</c:f>
              <c:numCache>
                <c:formatCode>General</c:formatCode>
                <c:ptCount val="24"/>
                <c:pt idx="0">
                  <c:v>1264.6000000000001</c:v>
                </c:pt>
                <c:pt idx="1">
                  <c:v>1264.6000000000001</c:v>
                </c:pt>
                <c:pt idx="2">
                  <c:v>1264.6000000000001</c:v>
                </c:pt>
                <c:pt idx="3">
                  <c:v>1298.1000000000001</c:v>
                </c:pt>
                <c:pt idx="4">
                  <c:v>1239.3000000000002</c:v>
                </c:pt>
                <c:pt idx="5">
                  <c:v>1218.8000000000002</c:v>
                </c:pt>
                <c:pt idx="6">
                  <c:v>1251.6000000000001</c:v>
                </c:pt>
                <c:pt idx="7">
                  <c:v>1184.5</c:v>
                </c:pt>
                <c:pt idx="8">
                  <c:v>1330</c:v>
                </c:pt>
                <c:pt idx="9">
                  <c:v>1294</c:v>
                </c:pt>
                <c:pt idx="10">
                  <c:v>1276.8</c:v>
                </c:pt>
                <c:pt idx="11">
                  <c:v>1312.8</c:v>
                </c:pt>
                <c:pt idx="12">
                  <c:v>1420.6000000000001</c:v>
                </c:pt>
                <c:pt idx="13">
                  <c:v>1420.6000000000001</c:v>
                </c:pt>
                <c:pt idx="14">
                  <c:v>1394.5</c:v>
                </c:pt>
                <c:pt idx="15">
                  <c:v>1400.6000000000001</c:v>
                </c:pt>
                <c:pt idx="16">
                  <c:v>1314.6000000000001</c:v>
                </c:pt>
                <c:pt idx="17">
                  <c:v>1314.6000000000001</c:v>
                </c:pt>
                <c:pt idx="18" formatCode="0.0">
                  <c:v>1303.5999999999999</c:v>
                </c:pt>
                <c:pt idx="19" formatCode="0.0">
                  <c:v>1303.5999999999999</c:v>
                </c:pt>
                <c:pt idx="20" formatCode="0.0">
                  <c:v>1304.3</c:v>
                </c:pt>
                <c:pt idx="21" formatCode="0.0">
                  <c:v>1284.8000000000002</c:v>
                </c:pt>
                <c:pt idx="22" formatCode="0.0">
                  <c:v>1286.7999999999997</c:v>
                </c:pt>
                <c:pt idx="23" formatCode="0.0">
                  <c:v>1284.5999999999999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6-49B0-9BAD-F8D5BAD11F74}"/>
            </c:ext>
          </c:extLst>
        </c:ser>
        <c:ser>
          <c:idx val="2"/>
          <c:order val="1"/>
          <c:tx>
            <c:strRef>
              <c:f>'19'!$AL$17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'19'!$AM$17:$BJ$17</c:f>
              <c:numCache>
                <c:formatCode>General</c:formatCode>
                <c:ptCount val="24"/>
                <c:pt idx="0">
                  <c:v>538</c:v>
                </c:pt>
                <c:pt idx="1">
                  <c:v>538</c:v>
                </c:pt>
                <c:pt idx="2">
                  <c:v>538</c:v>
                </c:pt>
                <c:pt idx="3">
                  <c:v>538.6</c:v>
                </c:pt>
                <c:pt idx="4">
                  <c:v>538.6</c:v>
                </c:pt>
                <c:pt idx="5">
                  <c:v>538.6</c:v>
                </c:pt>
                <c:pt idx="6">
                  <c:v>538.6</c:v>
                </c:pt>
                <c:pt idx="7">
                  <c:v>538.6</c:v>
                </c:pt>
                <c:pt idx="8">
                  <c:v>538.6</c:v>
                </c:pt>
                <c:pt idx="9">
                  <c:v>538.6</c:v>
                </c:pt>
                <c:pt idx="10">
                  <c:v>538.6</c:v>
                </c:pt>
                <c:pt idx="11">
                  <c:v>538.6</c:v>
                </c:pt>
                <c:pt idx="12">
                  <c:v>538.6</c:v>
                </c:pt>
                <c:pt idx="13">
                  <c:v>538.6</c:v>
                </c:pt>
                <c:pt idx="14">
                  <c:v>538.6</c:v>
                </c:pt>
                <c:pt idx="15">
                  <c:v>538.6</c:v>
                </c:pt>
                <c:pt idx="16">
                  <c:v>538.6</c:v>
                </c:pt>
                <c:pt idx="17">
                  <c:v>538.6</c:v>
                </c:pt>
                <c:pt idx="18" formatCode="0.0">
                  <c:v>538.6</c:v>
                </c:pt>
                <c:pt idx="19" formatCode="0.0">
                  <c:v>538.6</c:v>
                </c:pt>
                <c:pt idx="20" formatCode="0.0">
                  <c:v>538.6</c:v>
                </c:pt>
                <c:pt idx="21" formatCode="0.0">
                  <c:v>538.6</c:v>
                </c:pt>
                <c:pt idx="22" formatCode="0.0">
                  <c:v>538.6</c:v>
                </c:pt>
                <c:pt idx="23" formatCode="0.0">
                  <c:v>538.6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6-49B0-9BAD-F8D5BAD11F74}"/>
            </c:ext>
          </c:extLst>
        </c:ser>
        <c:ser>
          <c:idx val="3"/>
          <c:order val="2"/>
          <c:tx>
            <c:strRef>
              <c:f>'19'!$AL$18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'19'!$AM$18:$BJ$18</c:f>
              <c:numCache>
                <c:formatCode>General</c:formatCode>
                <c:ptCount val="24"/>
                <c:pt idx="0">
                  <c:v>349.04000000000008</c:v>
                </c:pt>
                <c:pt idx="1">
                  <c:v>349.04000000000008</c:v>
                </c:pt>
                <c:pt idx="2">
                  <c:v>349.04000000000008</c:v>
                </c:pt>
                <c:pt idx="3">
                  <c:v>312.24</c:v>
                </c:pt>
                <c:pt idx="4">
                  <c:v>381.74000000000007</c:v>
                </c:pt>
                <c:pt idx="5">
                  <c:v>379.84000000000009</c:v>
                </c:pt>
                <c:pt idx="6">
                  <c:v>299.6400000000001</c:v>
                </c:pt>
                <c:pt idx="7">
                  <c:v>249.83999999999997</c:v>
                </c:pt>
                <c:pt idx="8">
                  <c:v>399.34000000000003</c:v>
                </c:pt>
                <c:pt idx="9">
                  <c:v>399.84000000000003</c:v>
                </c:pt>
                <c:pt idx="10">
                  <c:v>403.64000000000004</c:v>
                </c:pt>
                <c:pt idx="11">
                  <c:v>383.73999999999995</c:v>
                </c:pt>
                <c:pt idx="12">
                  <c:v>256.94</c:v>
                </c:pt>
                <c:pt idx="13">
                  <c:v>331.44000000000005</c:v>
                </c:pt>
                <c:pt idx="14">
                  <c:v>335.64000000000004</c:v>
                </c:pt>
                <c:pt idx="15">
                  <c:v>336.34000000000003</c:v>
                </c:pt>
                <c:pt idx="16">
                  <c:v>370.34000000000003</c:v>
                </c:pt>
                <c:pt idx="17">
                  <c:v>381.04</c:v>
                </c:pt>
                <c:pt idx="18" formatCode="0.0">
                  <c:v>410.94</c:v>
                </c:pt>
                <c:pt idx="19" formatCode="0.0">
                  <c:v>408.44000000000005</c:v>
                </c:pt>
                <c:pt idx="20" formatCode="0.0">
                  <c:v>401.04</c:v>
                </c:pt>
                <c:pt idx="21" formatCode="0.0">
                  <c:v>401.04</c:v>
                </c:pt>
                <c:pt idx="22" formatCode="0.0">
                  <c:v>365.74</c:v>
                </c:pt>
                <c:pt idx="23" formatCode="0.0">
                  <c:v>365.74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6-49B0-9BAD-F8D5BAD11F74}"/>
            </c:ext>
          </c:extLst>
        </c:ser>
        <c:ser>
          <c:idx val="0"/>
          <c:order val="3"/>
          <c:tx>
            <c:strRef>
              <c:f>'19'!$AL$19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56.7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2.2999999999999998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6-49B0-9BAD-F8D5BAD11F74}"/>
            </c:ext>
          </c:extLst>
        </c:ser>
        <c:ser>
          <c:idx val="4"/>
          <c:order val="4"/>
          <c:tx>
            <c:strRef>
              <c:f>'19'!$AL$20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'19'!$AM$20:$BJ$20</c:f>
              <c:numCache>
                <c:formatCode>General</c:formatCode>
                <c:ptCount val="24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16</c:v>
                </c:pt>
                <c:pt idx="12">
                  <c:v>22.200000000000003</c:v>
                </c:pt>
                <c:pt idx="13">
                  <c:v>19.2</c:v>
                </c:pt>
                <c:pt idx="14">
                  <c:v>19.2</c:v>
                </c:pt>
                <c:pt idx="15">
                  <c:v>19.600000000000001</c:v>
                </c:pt>
                <c:pt idx="16">
                  <c:v>15.6</c:v>
                </c:pt>
                <c:pt idx="17">
                  <c:v>15.6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15.5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6-49B0-9BAD-F8D5BAD11F74}"/>
            </c:ext>
          </c:extLst>
        </c:ser>
        <c:ser>
          <c:idx val="5"/>
          <c:order val="5"/>
          <c:tx>
            <c:strRef>
              <c:f>'19'!$AL$21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66-49B0-9BAD-F8D5BAD11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'19'!$AM$23:$BJ$23</c:f>
              <c:numCache>
                <c:formatCode>General</c:formatCode>
                <c:ptCount val="24"/>
                <c:pt idx="0">
                  <c:v>-628.4</c:v>
                </c:pt>
                <c:pt idx="1">
                  <c:v>-645</c:v>
                </c:pt>
                <c:pt idx="2">
                  <c:v>-655</c:v>
                </c:pt>
                <c:pt idx="3">
                  <c:v>-695.4</c:v>
                </c:pt>
                <c:pt idx="4">
                  <c:v>-733.2</c:v>
                </c:pt>
                <c:pt idx="5">
                  <c:v>-733.3</c:v>
                </c:pt>
                <c:pt idx="6">
                  <c:v>-630.1</c:v>
                </c:pt>
                <c:pt idx="7">
                  <c:v>-612.5</c:v>
                </c:pt>
                <c:pt idx="8">
                  <c:v>-658.9</c:v>
                </c:pt>
                <c:pt idx="9">
                  <c:v>-601.70000000000005</c:v>
                </c:pt>
                <c:pt idx="10">
                  <c:v>-594.9</c:v>
                </c:pt>
                <c:pt idx="11">
                  <c:v>-638</c:v>
                </c:pt>
                <c:pt idx="12">
                  <c:v>-603</c:v>
                </c:pt>
                <c:pt idx="13">
                  <c:v>-645</c:v>
                </c:pt>
                <c:pt idx="14">
                  <c:v>-506</c:v>
                </c:pt>
                <c:pt idx="15">
                  <c:v>-561</c:v>
                </c:pt>
                <c:pt idx="16">
                  <c:v>-573</c:v>
                </c:pt>
                <c:pt idx="17">
                  <c:v>-610</c:v>
                </c:pt>
                <c:pt idx="18">
                  <c:v>-686</c:v>
                </c:pt>
                <c:pt idx="19">
                  <c:v>-676</c:v>
                </c:pt>
                <c:pt idx="20">
                  <c:v>-577.9</c:v>
                </c:pt>
                <c:pt idx="21">
                  <c:v>-563</c:v>
                </c:pt>
                <c:pt idx="22">
                  <c:v>-615.1</c:v>
                </c:pt>
                <c:pt idx="23">
                  <c:v>-655.4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66-49B0-9BAD-F8D5BAD11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'19'!$AM$22:$BJ$22</c:f>
              <c:numCache>
                <c:formatCode>General</c:formatCode>
                <c:ptCount val="24"/>
                <c:pt idx="0">
                  <c:v>2166.1400000000003</c:v>
                </c:pt>
                <c:pt idx="1">
                  <c:v>2166.1400000000003</c:v>
                </c:pt>
                <c:pt idx="2">
                  <c:v>2166.1400000000003</c:v>
                </c:pt>
                <c:pt idx="3">
                  <c:v>2148.9400000000005</c:v>
                </c:pt>
                <c:pt idx="4">
                  <c:v>2159.6400000000003</c:v>
                </c:pt>
                <c:pt idx="5">
                  <c:v>2137.2400000000002</c:v>
                </c:pt>
                <c:pt idx="6">
                  <c:v>2089.84</c:v>
                </c:pt>
                <c:pt idx="7">
                  <c:v>2029.6399999999999</c:v>
                </c:pt>
                <c:pt idx="8">
                  <c:v>2267.94</c:v>
                </c:pt>
                <c:pt idx="9">
                  <c:v>2232.44</c:v>
                </c:pt>
                <c:pt idx="10">
                  <c:v>2219.04</c:v>
                </c:pt>
                <c:pt idx="11">
                  <c:v>2251.14</c:v>
                </c:pt>
                <c:pt idx="12">
                  <c:v>2238.34</c:v>
                </c:pt>
                <c:pt idx="13">
                  <c:v>2309.84</c:v>
                </c:pt>
                <c:pt idx="14">
                  <c:v>2290.2399999999998</c:v>
                </c:pt>
                <c:pt idx="15">
                  <c:v>2295.1400000000003</c:v>
                </c:pt>
                <c:pt idx="16">
                  <c:v>2239.1400000000003</c:v>
                </c:pt>
                <c:pt idx="17">
                  <c:v>2249.84</c:v>
                </c:pt>
                <c:pt idx="18">
                  <c:v>2253.14</c:v>
                </c:pt>
                <c:pt idx="19">
                  <c:v>2250.64</c:v>
                </c:pt>
                <c:pt idx="20">
                  <c:v>2243.94</c:v>
                </c:pt>
                <c:pt idx="21">
                  <c:v>2239.94</c:v>
                </c:pt>
                <c:pt idx="22">
                  <c:v>2191.1399999999994</c:v>
                </c:pt>
                <c:pt idx="23">
                  <c:v>2188.9399999999996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866-49B0-9BAD-F8D5BAD11F74}"/>
            </c:ext>
          </c:extLst>
        </c:ser>
        <c:ser>
          <c:idx val="8"/>
          <c:order val="8"/>
          <c:tx>
            <c:strRef>
              <c:f>'19'!$AL$24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'19'!$AM$24:$BJ$24</c:f>
              <c:numCache>
                <c:formatCode>General</c:formatCode>
                <c:ptCount val="24"/>
                <c:pt idx="0">
                  <c:v>1537.7400000000002</c:v>
                </c:pt>
                <c:pt idx="1">
                  <c:v>1521.1400000000003</c:v>
                </c:pt>
                <c:pt idx="2">
                  <c:v>1511.1400000000003</c:v>
                </c:pt>
                <c:pt idx="3">
                  <c:v>1453.5400000000004</c:v>
                </c:pt>
                <c:pt idx="4">
                  <c:v>1426.4400000000003</c:v>
                </c:pt>
                <c:pt idx="5">
                  <c:v>1403.9400000000003</c:v>
                </c:pt>
                <c:pt idx="6">
                  <c:v>1459.7400000000002</c:v>
                </c:pt>
                <c:pt idx="7">
                  <c:v>1417.1399999999999</c:v>
                </c:pt>
                <c:pt idx="8">
                  <c:v>1609.04</c:v>
                </c:pt>
                <c:pt idx="9">
                  <c:v>1630.74</c:v>
                </c:pt>
                <c:pt idx="10">
                  <c:v>1624.1399999999999</c:v>
                </c:pt>
                <c:pt idx="11">
                  <c:v>1613.1399999999999</c:v>
                </c:pt>
                <c:pt idx="12">
                  <c:v>1635.3400000000001</c:v>
                </c:pt>
                <c:pt idx="13">
                  <c:v>1664.8400000000001</c:v>
                </c:pt>
                <c:pt idx="14">
                  <c:v>1784.2399999999998</c:v>
                </c:pt>
                <c:pt idx="15">
                  <c:v>1734.1400000000003</c:v>
                </c:pt>
                <c:pt idx="16">
                  <c:v>1666.1400000000003</c:v>
                </c:pt>
                <c:pt idx="17">
                  <c:v>1639.8400000000001</c:v>
                </c:pt>
                <c:pt idx="18">
                  <c:v>1567.1399999999999</c:v>
                </c:pt>
                <c:pt idx="19">
                  <c:v>1574.6399999999999</c:v>
                </c:pt>
                <c:pt idx="20">
                  <c:v>1666.04</c:v>
                </c:pt>
                <c:pt idx="21">
                  <c:v>1676.94</c:v>
                </c:pt>
                <c:pt idx="22">
                  <c:v>1576.0399999999995</c:v>
                </c:pt>
                <c:pt idx="23">
                  <c:v>1533.5399999999995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66-49B0-9BAD-F8D5BAD11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8D-414F-AAA6-690072D2F0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8D-414F-AAA6-690072D2F0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8D-414F-AAA6-690072D2F0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8D-414F-AAA6-690072D2F0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8D-414F-AAA6-690072D2F0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58D-414F-AAA6-690072D2F0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'20'!$AM$16:$BJ$16</c:f>
              <c:numCache>
                <c:formatCode>General</c:formatCode>
                <c:ptCount val="24"/>
                <c:pt idx="0">
                  <c:v>1248.3</c:v>
                </c:pt>
                <c:pt idx="1">
                  <c:v>1288.3</c:v>
                </c:pt>
                <c:pt idx="2">
                  <c:v>1222.5999999999999</c:v>
                </c:pt>
                <c:pt idx="3">
                  <c:v>1245</c:v>
                </c:pt>
                <c:pt idx="4">
                  <c:v>1216</c:v>
                </c:pt>
                <c:pt idx="5">
                  <c:v>1223.2</c:v>
                </c:pt>
                <c:pt idx="6">
                  <c:v>1240.2</c:v>
                </c:pt>
                <c:pt idx="7">
                  <c:v>1278</c:v>
                </c:pt>
                <c:pt idx="8">
                  <c:v>1380.1</c:v>
                </c:pt>
                <c:pt idx="9">
                  <c:v>1380.1</c:v>
                </c:pt>
                <c:pt idx="10">
                  <c:v>1345.4</c:v>
                </c:pt>
                <c:pt idx="11">
                  <c:v>1345.4</c:v>
                </c:pt>
                <c:pt idx="12">
                  <c:v>1394.4</c:v>
                </c:pt>
                <c:pt idx="13">
                  <c:v>1345.4</c:v>
                </c:pt>
                <c:pt idx="14">
                  <c:v>1425.5</c:v>
                </c:pt>
                <c:pt idx="15">
                  <c:v>1412.1</c:v>
                </c:pt>
                <c:pt idx="16">
                  <c:v>1384.3000000000002</c:v>
                </c:pt>
                <c:pt idx="17">
                  <c:v>1381.3</c:v>
                </c:pt>
                <c:pt idx="18" formatCode="0.0">
                  <c:v>1311.1</c:v>
                </c:pt>
                <c:pt idx="19" formatCode="0.0">
                  <c:v>1286.2</c:v>
                </c:pt>
                <c:pt idx="20" formatCode="0.0">
                  <c:v>1328.9</c:v>
                </c:pt>
                <c:pt idx="21" formatCode="0.0">
                  <c:v>1328.9</c:v>
                </c:pt>
                <c:pt idx="22" formatCode="0.0">
                  <c:v>1371.9</c:v>
                </c:pt>
                <c:pt idx="23" formatCode="0.0">
                  <c:v>1290.5999999999999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C-44EC-B3BF-24F12135A6DD}"/>
            </c:ext>
          </c:extLst>
        </c:ser>
        <c:ser>
          <c:idx val="2"/>
          <c:order val="1"/>
          <c:tx>
            <c:strRef>
              <c:f>'20'!$AL$17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'20'!$AM$17:$BJ$17</c:f>
              <c:numCache>
                <c:formatCode>General</c:formatCode>
                <c:ptCount val="24"/>
                <c:pt idx="0">
                  <c:v>538.6</c:v>
                </c:pt>
                <c:pt idx="1">
                  <c:v>538.6</c:v>
                </c:pt>
                <c:pt idx="2">
                  <c:v>538.6</c:v>
                </c:pt>
                <c:pt idx="3">
                  <c:v>538.6</c:v>
                </c:pt>
                <c:pt idx="4">
                  <c:v>538.6</c:v>
                </c:pt>
                <c:pt idx="5">
                  <c:v>538.6</c:v>
                </c:pt>
                <c:pt idx="6">
                  <c:v>538.6</c:v>
                </c:pt>
                <c:pt idx="7">
                  <c:v>538.6</c:v>
                </c:pt>
                <c:pt idx="8">
                  <c:v>538.6</c:v>
                </c:pt>
                <c:pt idx="9">
                  <c:v>538.6</c:v>
                </c:pt>
                <c:pt idx="10">
                  <c:v>538.6</c:v>
                </c:pt>
                <c:pt idx="11">
                  <c:v>538.6</c:v>
                </c:pt>
                <c:pt idx="12">
                  <c:v>538.6</c:v>
                </c:pt>
                <c:pt idx="13">
                  <c:v>538.6</c:v>
                </c:pt>
                <c:pt idx="14">
                  <c:v>538.70000000000005</c:v>
                </c:pt>
                <c:pt idx="15">
                  <c:v>538.70000000000005</c:v>
                </c:pt>
                <c:pt idx="16">
                  <c:v>542</c:v>
                </c:pt>
                <c:pt idx="17">
                  <c:v>542</c:v>
                </c:pt>
                <c:pt idx="18" formatCode="0.0">
                  <c:v>543.1</c:v>
                </c:pt>
                <c:pt idx="19" formatCode="0.0">
                  <c:v>542.40000000000009</c:v>
                </c:pt>
                <c:pt idx="20" formatCode="0.0">
                  <c:v>542.40000000000009</c:v>
                </c:pt>
                <c:pt idx="21" formatCode="0.0">
                  <c:v>542.40000000000009</c:v>
                </c:pt>
                <c:pt idx="22" formatCode="0.0">
                  <c:v>542.40000000000009</c:v>
                </c:pt>
                <c:pt idx="23" formatCode="0.0">
                  <c:v>542.40000000000009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C-44EC-B3BF-24F12135A6DD}"/>
            </c:ext>
          </c:extLst>
        </c:ser>
        <c:ser>
          <c:idx val="3"/>
          <c:order val="2"/>
          <c:tx>
            <c:strRef>
              <c:f>'20'!$AL$18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'20'!$AM$18:$BJ$18</c:f>
              <c:numCache>
                <c:formatCode>General</c:formatCode>
                <c:ptCount val="24"/>
                <c:pt idx="0">
                  <c:v>345.44</c:v>
                </c:pt>
                <c:pt idx="1">
                  <c:v>284.94000000000005</c:v>
                </c:pt>
                <c:pt idx="2">
                  <c:v>317.54000000000002</c:v>
                </c:pt>
                <c:pt idx="3">
                  <c:v>307.54000000000002</c:v>
                </c:pt>
                <c:pt idx="4">
                  <c:v>333.54</c:v>
                </c:pt>
                <c:pt idx="5">
                  <c:v>343.54</c:v>
                </c:pt>
                <c:pt idx="6">
                  <c:v>353.54</c:v>
                </c:pt>
                <c:pt idx="7">
                  <c:v>370.94</c:v>
                </c:pt>
                <c:pt idx="8">
                  <c:v>395.84</c:v>
                </c:pt>
                <c:pt idx="9">
                  <c:v>395.84</c:v>
                </c:pt>
                <c:pt idx="10">
                  <c:v>395.84</c:v>
                </c:pt>
                <c:pt idx="11">
                  <c:v>395.84</c:v>
                </c:pt>
                <c:pt idx="12">
                  <c:v>395.84</c:v>
                </c:pt>
                <c:pt idx="13">
                  <c:v>395.84</c:v>
                </c:pt>
                <c:pt idx="14">
                  <c:v>414.93999999999994</c:v>
                </c:pt>
                <c:pt idx="15">
                  <c:v>415.63999999999993</c:v>
                </c:pt>
                <c:pt idx="16">
                  <c:v>407.94</c:v>
                </c:pt>
                <c:pt idx="17">
                  <c:v>388.44</c:v>
                </c:pt>
                <c:pt idx="18" formatCode="0.0">
                  <c:v>400.54</c:v>
                </c:pt>
                <c:pt idx="19" formatCode="0.0">
                  <c:v>414.8</c:v>
                </c:pt>
                <c:pt idx="20" formatCode="0.0">
                  <c:v>412.84000000000003</c:v>
                </c:pt>
                <c:pt idx="21" formatCode="0.0">
                  <c:v>412.84000000000003</c:v>
                </c:pt>
                <c:pt idx="22" formatCode="0.0">
                  <c:v>412.84000000000003</c:v>
                </c:pt>
                <c:pt idx="23" formatCode="0.0">
                  <c:v>412.84000000000003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1C-44EC-B3BF-24F12135A6DD}"/>
            </c:ext>
          </c:extLst>
        </c:ser>
        <c:ser>
          <c:idx val="0"/>
          <c:order val="3"/>
          <c:tx>
            <c:strRef>
              <c:f>'20'!$AL$19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1C-44EC-B3BF-24F12135A6DD}"/>
            </c:ext>
          </c:extLst>
        </c:ser>
        <c:ser>
          <c:idx val="4"/>
          <c:order val="4"/>
          <c:tx>
            <c:strRef>
              <c:f>'20'!$AL$20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17.3</c:v>
                </c:pt>
                <c:pt idx="17">
                  <c:v>16.2</c:v>
                </c:pt>
                <c:pt idx="18" formatCode="0.0">
                  <c:v>16.8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1C-44EC-B3BF-24F12135A6DD}"/>
            </c:ext>
          </c:extLst>
        </c:ser>
        <c:ser>
          <c:idx val="5"/>
          <c:order val="5"/>
          <c:tx>
            <c:strRef>
              <c:f>'20'!$AL$21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40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1C-44EC-B3BF-24F12135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'20'!$AM$23:$BJ$23</c:f>
              <c:numCache>
                <c:formatCode>General</c:formatCode>
                <c:ptCount val="24"/>
                <c:pt idx="0">
                  <c:v>-655.9</c:v>
                </c:pt>
                <c:pt idx="1">
                  <c:v>-662</c:v>
                </c:pt>
                <c:pt idx="2">
                  <c:v>-624</c:v>
                </c:pt>
                <c:pt idx="3">
                  <c:v>-734</c:v>
                </c:pt>
                <c:pt idx="4">
                  <c:v>-660</c:v>
                </c:pt>
                <c:pt idx="5">
                  <c:v>-694.4</c:v>
                </c:pt>
                <c:pt idx="6">
                  <c:v>-678.4</c:v>
                </c:pt>
                <c:pt idx="7">
                  <c:v>-669</c:v>
                </c:pt>
                <c:pt idx="8">
                  <c:v>-660</c:v>
                </c:pt>
                <c:pt idx="9">
                  <c:v>-541</c:v>
                </c:pt>
                <c:pt idx="10">
                  <c:v>-535</c:v>
                </c:pt>
                <c:pt idx="11">
                  <c:v>-521.5</c:v>
                </c:pt>
                <c:pt idx="12">
                  <c:v>-583</c:v>
                </c:pt>
                <c:pt idx="13">
                  <c:v>-541</c:v>
                </c:pt>
                <c:pt idx="14">
                  <c:v>-589.29999999999995</c:v>
                </c:pt>
                <c:pt idx="15">
                  <c:v>-592.9</c:v>
                </c:pt>
                <c:pt idx="16">
                  <c:v>-467.20000000000005</c:v>
                </c:pt>
                <c:pt idx="17">
                  <c:v>-601</c:v>
                </c:pt>
                <c:pt idx="18">
                  <c:v>-606.9</c:v>
                </c:pt>
                <c:pt idx="19">
                  <c:v>-618.9</c:v>
                </c:pt>
                <c:pt idx="20">
                  <c:v>-493.7</c:v>
                </c:pt>
                <c:pt idx="21">
                  <c:v>-580</c:v>
                </c:pt>
                <c:pt idx="22">
                  <c:v>-597</c:v>
                </c:pt>
                <c:pt idx="23">
                  <c:v>-528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1C-44EC-B3BF-24F12135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'20'!$AM$22:$BJ$22</c:f>
              <c:numCache>
                <c:formatCode>General</c:formatCode>
                <c:ptCount val="24"/>
                <c:pt idx="0">
                  <c:v>2132.34</c:v>
                </c:pt>
                <c:pt idx="1">
                  <c:v>2111.84</c:v>
                </c:pt>
                <c:pt idx="2">
                  <c:v>2098.7399999999998</c:v>
                </c:pt>
                <c:pt idx="3">
                  <c:v>2091.14</c:v>
                </c:pt>
                <c:pt idx="4">
                  <c:v>2088.14</c:v>
                </c:pt>
                <c:pt idx="5">
                  <c:v>2105.34</c:v>
                </c:pt>
                <c:pt idx="6">
                  <c:v>2132.34</c:v>
                </c:pt>
                <c:pt idx="7">
                  <c:v>2187.54</c:v>
                </c:pt>
                <c:pt idx="8">
                  <c:v>2314.54</c:v>
                </c:pt>
                <c:pt idx="9">
                  <c:v>2314.54</c:v>
                </c:pt>
                <c:pt idx="10">
                  <c:v>2279.84</c:v>
                </c:pt>
                <c:pt idx="11">
                  <c:v>2279.84</c:v>
                </c:pt>
                <c:pt idx="12">
                  <c:v>2328.84</c:v>
                </c:pt>
                <c:pt idx="13">
                  <c:v>2279.84</c:v>
                </c:pt>
                <c:pt idx="14">
                  <c:v>2379.14</c:v>
                </c:pt>
                <c:pt idx="15">
                  <c:v>2366.44</c:v>
                </c:pt>
                <c:pt idx="16">
                  <c:v>2351.5400000000004</c:v>
                </c:pt>
                <c:pt idx="17">
                  <c:v>2327.9399999999996</c:v>
                </c:pt>
                <c:pt idx="18">
                  <c:v>2271.54</c:v>
                </c:pt>
                <c:pt idx="19">
                  <c:v>2283.4</c:v>
                </c:pt>
                <c:pt idx="20">
                  <c:v>2284.1400000000003</c:v>
                </c:pt>
                <c:pt idx="21">
                  <c:v>2284.1400000000003</c:v>
                </c:pt>
                <c:pt idx="22">
                  <c:v>2327.1400000000003</c:v>
                </c:pt>
                <c:pt idx="23">
                  <c:v>2246.84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F1C-44EC-B3BF-24F12135A6DD}"/>
            </c:ext>
          </c:extLst>
        </c:ser>
        <c:ser>
          <c:idx val="8"/>
          <c:order val="8"/>
          <c:tx>
            <c:strRef>
              <c:f>'20'!$AL$24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'20'!$AM$24:$BJ$24</c:f>
              <c:numCache>
                <c:formatCode>General</c:formatCode>
                <c:ptCount val="24"/>
                <c:pt idx="0">
                  <c:v>1476.44</c:v>
                </c:pt>
                <c:pt idx="1">
                  <c:v>1449.8400000000001</c:v>
                </c:pt>
                <c:pt idx="2">
                  <c:v>1474.7399999999998</c:v>
                </c:pt>
                <c:pt idx="3">
                  <c:v>1357.1399999999999</c:v>
                </c:pt>
                <c:pt idx="4">
                  <c:v>1428.1399999999999</c:v>
                </c:pt>
                <c:pt idx="5">
                  <c:v>1410.94</c:v>
                </c:pt>
                <c:pt idx="6">
                  <c:v>1453.94</c:v>
                </c:pt>
                <c:pt idx="7">
                  <c:v>1518.54</c:v>
                </c:pt>
                <c:pt idx="8">
                  <c:v>1654.54</c:v>
                </c:pt>
                <c:pt idx="9">
                  <c:v>1773.54</c:v>
                </c:pt>
                <c:pt idx="10">
                  <c:v>1744.8400000000001</c:v>
                </c:pt>
                <c:pt idx="11">
                  <c:v>1758.3400000000001</c:v>
                </c:pt>
                <c:pt idx="12">
                  <c:v>1745.8400000000001</c:v>
                </c:pt>
                <c:pt idx="13">
                  <c:v>1738.8400000000001</c:v>
                </c:pt>
                <c:pt idx="14">
                  <c:v>1789.84</c:v>
                </c:pt>
                <c:pt idx="15">
                  <c:v>1773.54</c:v>
                </c:pt>
                <c:pt idx="16">
                  <c:v>1884.3400000000004</c:v>
                </c:pt>
                <c:pt idx="17">
                  <c:v>1726.9399999999996</c:v>
                </c:pt>
                <c:pt idx="18">
                  <c:v>1664.6399999999999</c:v>
                </c:pt>
                <c:pt idx="19">
                  <c:v>1664.5</c:v>
                </c:pt>
                <c:pt idx="20">
                  <c:v>1790.4400000000003</c:v>
                </c:pt>
                <c:pt idx="21">
                  <c:v>1704.1400000000003</c:v>
                </c:pt>
                <c:pt idx="22">
                  <c:v>1730.1400000000003</c:v>
                </c:pt>
                <c:pt idx="23">
                  <c:v>1718.8400000000001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1C-44EC-B3BF-24F12135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8F-4214-8EE3-C61B77B37D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8F-4214-8EE3-C61B77B37D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8F-4214-8EE3-C61B77B37D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8F-4214-8EE3-C61B77B37D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8F-4214-8EE3-C61B77B37DC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38F-4214-8EE3-C61B77B37D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'21'!$AM$16:$BJ$16</c:f>
              <c:numCache>
                <c:formatCode>General</c:formatCode>
                <c:ptCount val="24"/>
                <c:pt idx="0">
                  <c:v>1247.5999999999999</c:v>
                </c:pt>
                <c:pt idx="1">
                  <c:v>1263.9000000000001</c:v>
                </c:pt>
                <c:pt idx="2">
                  <c:v>1283.9000000000001</c:v>
                </c:pt>
                <c:pt idx="3">
                  <c:v>1283.9000000000001</c:v>
                </c:pt>
                <c:pt idx="4">
                  <c:v>1336.6400000000003</c:v>
                </c:pt>
                <c:pt idx="5">
                  <c:v>1323</c:v>
                </c:pt>
                <c:pt idx="6">
                  <c:v>1323</c:v>
                </c:pt>
                <c:pt idx="7">
                  <c:v>1351.4</c:v>
                </c:pt>
                <c:pt idx="8">
                  <c:v>1351.3000000000002</c:v>
                </c:pt>
                <c:pt idx="9">
                  <c:v>1339.8000000000002</c:v>
                </c:pt>
                <c:pt idx="10">
                  <c:v>1339.7</c:v>
                </c:pt>
                <c:pt idx="11">
                  <c:v>1311.8</c:v>
                </c:pt>
                <c:pt idx="12">
                  <c:v>300</c:v>
                </c:pt>
                <c:pt idx="13">
                  <c:v>1161.8</c:v>
                </c:pt>
                <c:pt idx="14">
                  <c:v>1161.8</c:v>
                </c:pt>
                <c:pt idx="15">
                  <c:v>1161.8</c:v>
                </c:pt>
                <c:pt idx="16">
                  <c:v>1161.8</c:v>
                </c:pt>
                <c:pt idx="17">
                  <c:v>1161.8</c:v>
                </c:pt>
                <c:pt idx="18" formatCode="0.0">
                  <c:v>1179.5</c:v>
                </c:pt>
                <c:pt idx="19" formatCode="0.0">
                  <c:v>1214.2</c:v>
                </c:pt>
                <c:pt idx="20" formatCode="0.0">
                  <c:v>1290.7000000000003</c:v>
                </c:pt>
                <c:pt idx="21" formatCode="0.0">
                  <c:v>1206.4000000000001</c:v>
                </c:pt>
                <c:pt idx="22" formatCode="0.0">
                  <c:v>1216.4000000000001</c:v>
                </c:pt>
                <c:pt idx="23" formatCode="0.0">
                  <c:v>1145.9000000000001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9-4773-8A9C-AD9A346F1B7F}"/>
            </c:ext>
          </c:extLst>
        </c:ser>
        <c:ser>
          <c:idx val="2"/>
          <c:order val="1"/>
          <c:tx>
            <c:strRef>
              <c:f>'21'!$AL$17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'21'!$AM$17:$BJ$17</c:f>
              <c:numCache>
                <c:formatCode>General</c:formatCode>
                <c:ptCount val="24"/>
                <c:pt idx="0">
                  <c:v>542.40000000000009</c:v>
                </c:pt>
                <c:pt idx="1">
                  <c:v>542.40000000000009</c:v>
                </c:pt>
                <c:pt idx="2">
                  <c:v>542.40000000000009</c:v>
                </c:pt>
                <c:pt idx="3">
                  <c:v>542.40000000000009</c:v>
                </c:pt>
                <c:pt idx="4">
                  <c:v>542.40000000000009</c:v>
                </c:pt>
                <c:pt idx="5">
                  <c:v>542.40000000000009</c:v>
                </c:pt>
                <c:pt idx="6">
                  <c:v>542.40000000000009</c:v>
                </c:pt>
                <c:pt idx="7">
                  <c:v>542.40000000000009</c:v>
                </c:pt>
                <c:pt idx="8">
                  <c:v>542.40000000000009</c:v>
                </c:pt>
                <c:pt idx="9">
                  <c:v>542.40000000000009</c:v>
                </c:pt>
                <c:pt idx="10">
                  <c:v>542.40000000000009</c:v>
                </c:pt>
                <c:pt idx="11">
                  <c:v>542.40000000000009</c:v>
                </c:pt>
                <c:pt idx="12">
                  <c:v>0</c:v>
                </c:pt>
                <c:pt idx="13">
                  <c:v>542.40000000000009</c:v>
                </c:pt>
                <c:pt idx="14">
                  <c:v>542.40000000000009</c:v>
                </c:pt>
                <c:pt idx="15">
                  <c:v>542.40000000000009</c:v>
                </c:pt>
                <c:pt idx="16">
                  <c:v>542.40000000000009</c:v>
                </c:pt>
                <c:pt idx="17">
                  <c:v>542.40000000000009</c:v>
                </c:pt>
                <c:pt idx="18" formatCode="0.0">
                  <c:v>542.6</c:v>
                </c:pt>
                <c:pt idx="19" formatCode="0.0">
                  <c:v>542.6</c:v>
                </c:pt>
                <c:pt idx="20" formatCode="0.0">
                  <c:v>542.6</c:v>
                </c:pt>
                <c:pt idx="21" formatCode="0.0">
                  <c:v>542.6</c:v>
                </c:pt>
                <c:pt idx="22" formatCode="0.0">
                  <c:v>543.50000000000011</c:v>
                </c:pt>
                <c:pt idx="23" formatCode="0.0">
                  <c:v>543.50000000000011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9-4773-8A9C-AD9A346F1B7F}"/>
            </c:ext>
          </c:extLst>
        </c:ser>
        <c:ser>
          <c:idx val="3"/>
          <c:order val="2"/>
          <c:tx>
            <c:strRef>
              <c:f>'21'!$AL$18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'21'!$AM$18:$BJ$18</c:f>
              <c:numCache>
                <c:formatCode>General</c:formatCode>
                <c:ptCount val="24"/>
                <c:pt idx="0">
                  <c:v>402.84000000000003</c:v>
                </c:pt>
                <c:pt idx="1">
                  <c:v>376.24</c:v>
                </c:pt>
                <c:pt idx="2">
                  <c:v>376.24</c:v>
                </c:pt>
                <c:pt idx="3">
                  <c:v>327.04000000000002</c:v>
                </c:pt>
                <c:pt idx="4">
                  <c:v>327.04000000000002</c:v>
                </c:pt>
                <c:pt idx="5">
                  <c:v>327.04000000000002</c:v>
                </c:pt>
                <c:pt idx="6">
                  <c:v>327.04000000000002</c:v>
                </c:pt>
                <c:pt idx="7">
                  <c:v>330.54</c:v>
                </c:pt>
                <c:pt idx="8">
                  <c:v>391.54</c:v>
                </c:pt>
                <c:pt idx="9">
                  <c:v>393.04</c:v>
                </c:pt>
                <c:pt idx="10">
                  <c:v>393.74</c:v>
                </c:pt>
                <c:pt idx="11">
                  <c:v>390.84</c:v>
                </c:pt>
                <c:pt idx="12">
                  <c:v>3.54</c:v>
                </c:pt>
                <c:pt idx="13">
                  <c:v>413.94</c:v>
                </c:pt>
                <c:pt idx="14">
                  <c:v>406.03999999999996</c:v>
                </c:pt>
                <c:pt idx="15">
                  <c:v>408.54</c:v>
                </c:pt>
                <c:pt idx="16">
                  <c:v>407.34000000000003</c:v>
                </c:pt>
                <c:pt idx="17">
                  <c:v>407.34000000000003</c:v>
                </c:pt>
                <c:pt idx="18" formatCode="0.0">
                  <c:v>403.03999999999996</c:v>
                </c:pt>
                <c:pt idx="19" formatCode="0.0">
                  <c:v>401.84</c:v>
                </c:pt>
                <c:pt idx="20" formatCode="0.0">
                  <c:v>406.34</c:v>
                </c:pt>
                <c:pt idx="21" formatCode="0.0">
                  <c:v>406.34</c:v>
                </c:pt>
                <c:pt idx="22" formatCode="0.0">
                  <c:v>336.44</c:v>
                </c:pt>
                <c:pt idx="23" formatCode="0.0">
                  <c:v>396.74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9-4773-8A9C-AD9A346F1B7F}"/>
            </c:ext>
          </c:extLst>
        </c:ser>
        <c:ser>
          <c:idx val="0"/>
          <c:order val="3"/>
          <c:tx>
            <c:strRef>
              <c:f>'21'!$AL$19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29-4773-8A9C-AD9A346F1B7F}"/>
            </c:ext>
          </c:extLst>
        </c:ser>
        <c:ser>
          <c:idx val="4"/>
          <c:order val="4"/>
          <c:tx>
            <c:strRef>
              <c:f>'21'!$AL$20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15.5</c:v>
                </c:pt>
                <c:pt idx="9">
                  <c:v>16.100000000000001</c:v>
                </c:pt>
                <c:pt idx="10">
                  <c:v>15.3</c:v>
                </c:pt>
                <c:pt idx="11">
                  <c:v>15.3</c:v>
                </c:pt>
                <c:pt idx="12">
                  <c:v>0</c:v>
                </c:pt>
                <c:pt idx="13">
                  <c:v>15.5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6.8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29-4773-8A9C-AD9A346F1B7F}"/>
            </c:ext>
          </c:extLst>
        </c:ser>
        <c:ser>
          <c:idx val="5"/>
          <c:order val="5"/>
          <c:tx>
            <c:strRef>
              <c:f>'21'!$AL$21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29-4773-8A9C-AD9A346F1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'21'!$AM$23:$BJ$23</c:f>
              <c:numCache>
                <c:formatCode>General</c:formatCode>
                <c:ptCount val="24"/>
                <c:pt idx="0">
                  <c:v>-513</c:v>
                </c:pt>
                <c:pt idx="1">
                  <c:v>-532</c:v>
                </c:pt>
                <c:pt idx="2">
                  <c:v>-607</c:v>
                </c:pt>
                <c:pt idx="3">
                  <c:v>-529.5</c:v>
                </c:pt>
                <c:pt idx="4">
                  <c:v>-650.4</c:v>
                </c:pt>
                <c:pt idx="5">
                  <c:v>-644.1</c:v>
                </c:pt>
                <c:pt idx="6">
                  <c:v>-574.6</c:v>
                </c:pt>
                <c:pt idx="7">
                  <c:v>-650.40000000000009</c:v>
                </c:pt>
                <c:pt idx="8">
                  <c:v>-604.5</c:v>
                </c:pt>
                <c:pt idx="9">
                  <c:v>-579.1</c:v>
                </c:pt>
                <c:pt idx="10">
                  <c:v>-630.29999999999995</c:v>
                </c:pt>
                <c:pt idx="11">
                  <c:v>-620</c:v>
                </c:pt>
                <c:pt idx="12">
                  <c:v>0</c:v>
                </c:pt>
                <c:pt idx="13">
                  <c:v>-621</c:v>
                </c:pt>
                <c:pt idx="14">
                  <c:v>-548.9</c:v>
                </c:pt>
                <c:pt idx="15">
                  <c:v>-643.9</c:v>
                </c:pt>
                <c:pt idx="16">
                  <c:v>-674.4</c:v>
                </c:pt>
                <c:pt idx="17">
                  <c:v>-709.6</c:v>
                </c:pt>
                <c:pt idx="18">
                  <c:v>-646</c:v>
                </c:pt>
                <c:pt idx="19">
                  <c:v>-627.30000000000007</c:v>
                </c:pt>
                <c:pt idx="20">
                  <c:v>-630.79999999999995</c:v>
                </c:pt>
                <c:pt idx="21">
                  <c:v>-575.5</c:v>
                </c:pt>
                <c:pt idx="22">
                  <c:v>-625.59999999999991</c:v>
                </c:pt>
                <c:pt idx="23">
                  <c:v>-605.4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29-4773-8A9C-AD9A346F1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'21'!$AM$22:$BJ$22</c:f>
              <c:numCache>
                <c:formatCode>General</c:formatCode>
                <c:ptCount val="24"/>
                <c:pt idx="0">
                  <c:v>2192.84</c:v>
                </c:pt>
                <c:pt idx="1">
                  <c:v>2182.54</c:v>
                </c:pt>
                <c:pt idx="2">
                  <c:v>2202.54</c:v>
                </c:pt>
                <c:pt idx="3">
                  <c:v>2153.34</c:v>
                </c:pt>
                <c:pt idx="4">
                  <c:v>2206.0800000000004</c:v>
                </c:pt>
                <c:pt idx="5">
                  <c:v>2192.44</c:v>
                </c:pt>
                <c:pt idx="6">
                  <c:v>2192.44</c:v>
                </c:pt>
                <c:pt idx="7">
                  <c:v>2224.34</c:v>
                </c:pt>
                <c:pt idx="8">
                  <c:v>2300.7400000000002</c:v>
                </c:pt>
                <c:pt idx="9">
                  <c:v>2291.34</c:v>
                </c:pt>
                <c:pt idx="10">
                  <c:v>2291.1400000000003</c:v>
                </c:pt>
                <c:pt idx="11">
                  <c:v>2260.34</c:v>
                </c:pt>
                <c:pt idx="12">
                  <c:v>303.54000000000002</c:v>
                </c:pt>
                <c:pt idx="13">
                  <c:v>2133.64</c:v>
                </c:pt>
                <c:pt idx="14">
                  <c:v>2110.2399999999998</c:v>
                </c:pt>
                <c:pt idx="15">
                  <c:v>2112.7400000000002</c:v>
                </c:pt>
                <c:pt idx="16">
                  <c:v>2111.54</c:v>
                </c:pt>
                <c:pt idx="17">
                  <c:v>2111.54</c:v>
                </c:pt>
                <c:pt idx="18">
                  <c:v>2125.14</c:v>
                </c:pt>
                <c:pt idx="19">
                  <c:v>2158.6400000000003</c:v>
                </c:pt>
                <c:pt idx="20">
                  <c:v>2239.6400000000003</c:v>
                </c:pt>
                <c:pt idx="21">
                  <c:v>2162.1400000000003</c:v>
                </c:pt>
                <c:pt idx="22">
                  <c:v>2096.34</c:v>
                </c:pt>
                <c:pt idx="23">
                  <c:v>2086.1400000000003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929-4773-8A9C-AD9A346F1B7F}"/>
            </c:ext>
          </c:extLst>
        </c:ser>
        <c:ser>
          <c:idx val="8"/>
          <c:order val="8"/>
          <c:tx>
            <c:strRef>
              <c:f>'21'!$AL$24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'21'!$AM$24:$BJ$24</c:f>
              <c:numCache>
                <c:formatCode>General</c:formatCode>
                <c:ptCount val="24"/>
                <c:pt idx="0">
                  <c:v>1679.8400000000001</c:v>
                </c:pt>
                <c:pt idx="1">
                  <c:v>1650.54</c:v>
                </c:pt>
                <c:pt idx="2">
                  <c:v>1595.54</c:v>
                </c:pt>
                <c:pt idx="3">
                  <c:v>1623.8400000000001</c:v>
                </c:pt>
                <c:pt idx="4">
                  <c:v>1555.6800000000003</c:v>
                </c:pt>
                <c:pt idx="5">
                  <c:v>1548.3400000000001</c:v>
                </c:pt>
                <c:pt idx="6">
                  <c:v>1617.8400000000001</c:v>
                </c:pt>
                <c:pt idx="7">
                  <c:v>1573.94</c:v>
                </c:pt>
                <c:pt idx="8">
                  <c:v>1696.2400000000002</c:v>
                </c:pt>
                <c:pt idx="9">
                  <c:v>1712.2400000000002</c:v>
                </c:pt>
                <c:pt idx="10">
                  <c:v>1660.8400000000004</c:v>
                </c:pt>
                <c:pt idx="11">
                  <c:v>1640.3400000000001</c:v>
                </c:pt>
                <c:pt idx="12">
                  <c:v>303.54000000000002</c:v>
                </c:pt>
                <c:pt idx="13">
                  <c:v>1512.6399999999999</c:v>
                </c:pt>
                <c:pt idx="14">
                  <c:v>1561.3399999999997</c:v>
                </c:pt>
                <c:pt idx="15">
                  <c:v>1468.8400000000001</c:v>
                </c:pt>
                <c:pt idx="16">
                  <c:v>1437.1399999999999</c:v>
                </c:pt>
                <c:pt idx="17">
                  <c:v>1401.94</c:v>
                </c:pt>
                <c:pt idx="18">
                  <c:v>1479.1399999999999</c:v>
                </c:pt>
                <c:pt idx="19">
                  <c:v>1531.3400000000001</c:v>
                </c:pt>
                <c:pt idx="20">
                  <c:v>1608.8400000000004</c:v>
                </c:pt>
                <c:pt idx="21">
                  <c:v>1586.6400000000003</c:v>
                </c:pt>
                <c:pt idx="22">
                  <c:v>1470.7400000000002</c:v>
                </c:pt>
                <c:pt idx="23">
                  <c:v>1480.7400000000002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29-4773-8A9C-AD9A346F1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07-4417-A090-94211E7EFC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07-4417-A090-94211E7EFC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07-4417-A090-94211E7EFC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07-4417-A090-94211E7EFC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07-4417-A090-94211E7EFC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F07-4417-A090-94211E7EFC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'22'!$AM$16:$BJ$16</c:f>
              <c:numCache>
                <c:formatCode>General</c:formatCode>
                <c:ptCount val="24"/>
                <c:pt idx="0">
                  <c:v>1212.2</c:v>
                </c:pt>
                <c:pt idx="1">
                  <c:v>1215.4000000000001</c:v>
                </c:pt>
                <c:pt idx="2">
                  <c:v>1286.2</c:v>
                </c:pt>
                <c:pt idx="3">
                  <c:v>1132.5</c:v>
                </c:pt>
                <c:pt idx="4">
                  <c:v>1070.3</c:v>
                </c:pt>
                <c:pt idx="5">
                  <c:v>1130.9000000000001</c:v>
                </c:pt>
                <c:pt idx="6">
                  <c:v>1125.4000000000001</c:v>
                </c:pt>
                <c:pt idx="7">
                  <c:v>1205.5</c:v>
                </c:pt>
                <c:pt idx="8">
                  <c:v>1274</c:v>
                </c:pt>
                <c:pt idx="9">
                  <c:v>1234.0999999999999</c:v>
                </c:pt>
                <c:pt idx="10">
                  <c:v>1229.0999999999999</c:v>
                </c:pt>
                <c:pt idx="11">
                  <c:v>1263.0999999999999</c:v>
                </c:pt>
                <c:pt idx="12">
                  <c:v>1257.9000000000001</c:v>
                </c:pt>
                <c:pt idx="13">
                  <c:v>1300.2999999999997</c:v>
                </c:pt>
                <c:pt idx="14">
                  <c:v>1267.3999999999999</c:v>
                </c:pt>
                <c:pt idx="15">
                  <c:v>1199.8</c:v>
                </c:pt>
                <c:pt idx="16">
                  <c:v>1199.8</c:v>
                </c:pt>
                <c:pt idx="17">
                  <c:v>1056.5</c:v>
                </c:pt>
                <c:pt idx="18" formatCode="0.0">
                  <c:v>1056.5</c:v>
                </c:pt>
                <c:pt idx="19" formatCode="0.0">
                  <c:v>1057.5999999999999</c:v>
                </c:pt>
                <c:pt idx="20" formatCode="0.0">
                  <c:v>1095.5</c:v>
                </c:pt>
                <c:pt idx="21" formatCode="0.0">
                  <c:v>1133.7999999999997</c:v>
                </c:pt>
                <c:pt idx="22" formatCode="0.0">
                  <c:v>1133.7999999999997</c:v>
                </c:pt>
                <c:pt idx="23" formatCode="0.0">
                  <c:v>1110.6999999999998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E-467C-8C78-20AD8B26369C}"/>
            </c:ext>
          </c:extLst>
        </c:ser>
        <c:ser>
          <c:idx val="2"/>
          <c:order val="1"/>
          <c:tx>
            <c:strRef>
              <c:f>'22'!$AL$17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'22'!$AM$17:$BJ$17</c:f>
              <c:numCache>
                <c:formatCode>General</c:formatCode>
                <c:ptCount val="24"/>
                <c:pt idx="0">
                  <c:v>543.70000000000005</c:v>
                </c:pt>
                <c:pt idx="1">
                  <c:v>543.70000000000005</c:v>
                </c:pt>
                <c:pt idx="2">
                  <c:v>82.6</c:v>
                </c:pt>
                <c:pt idx="3">
                  <c:v>82.6</c:v>
                </c:pt>
                <c:pt idx="4">
                  <c:v>82.6</c:v>
                </c:pt>
                <c:pt idx="5">
                  <c:v>82.6</c:v>
                </c:pt>
                <c:pt idx="6">
                  <c:v>82.6</c:v>
                </c:pt>
                <c:pt idx="7">
                  <c:v>82.6</c:v>
                </c:pt>
                <c:pt idx="8">
                  <c:v>82.7</c:v>
                </c:pt>
                <c:pt idx="9">
                  <c:v>82.7</c:v>
                </c:pt>
                <c:pt idx="10">
                  <c:v>82.7</c:v>
                </c:pt>
                <c:pt idx="11">
                  <c:v>82.7</c:v>
                </c:pt>
                <c:pt idx="12">
                  <c:v>82.7</c:v>
                </c:pt>
                <c:pt idx="13">
                  <c:v>82.7</c:v>
                </c:pt>
                <c:pt idx="14">
                  <c:v>82.7</c:v>
                </c:pt>
                <c:pt idx="15">
                  <c:v>82.7</c:v>
                </c:pt>
                <c:pt idx="16">
                  <c:v>82.7</c:v>
                </c:pt>
                <c:pt idx="17">
                  <c:v>82.7</c:v>
                </c:pt>
                <c:pt idx="18" formatCode="0.0">
                  <c:v>82.7</c:v>
                </c:pt>
                <c:pt idx="19" formatCode="0.0">
                  <c:v>82.6</c:v>
                </c:pt>
                <c:pt idx="20" formatCode="0.0">
                  <c:v>544.1</c:v>
                </c:pt>
                <c:pt idx="21" formatCode="0.0">
                  <c:v>544.1</c:v>
                </c:pt>
                <c:pt idx="22" formatCode="0.0">
                  <c:v>541.6</c:v>
                </c:pt>
                <c:pt idx="23" formatCode="0.0">
                  <c:v>541.6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E-467C-8C78-20AD8B26369C}"/>
            </c:ext>
          </c:extLst>
        </c:ser>
        <c:ser>
          <c:idx val="3"/>
          <c:order val="2"/>
          <c:tx>
            <c:strRef>
              <c:f>'22'!$AL$18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'22'!$AM$18:$BJ$18</c:f>
              <c:numCache>
                <c:formatCode>General</c:formatCode>
                <c:ptCount val="24"/>
                <c:pt idx="0">
                  <c:v>330.74</c:v>
                </c:pt>
                <c:pt idx="1">
                  <c:v>330.74</c:v>
                </c:pt>
                <c:pt idx="2">
                  <c:v>330.74</c:v>
                </c:pt>
                <c:pt idx="3">
                  <c:v>327.44000000000005</c:v>
                </c:pt>
                <c:pt idx="4">
                  <c:v>364.64000000000004</c:v>
                </c:pt>
                <c:pt idx="5">
                  <c:v>324.64000000000004</c:v>
                </c:pt>
                <c:pt idx="6">
                  <c:v>291.24</c:v>
                </c:pt>
                <c:pt idx="7">
                  <c:v>281.24</c:v>
                </c:pt>
                <c:pt idx="8">
                  <c:v>219.24</c:v>
                </c:pt>
                <c:pt idx="9">
                  <c:v>156.13999999999999</c:v>
                </c:pt>
                <c:pt idx="10">
                  <c:v>171.84</c:v>
                </c:pt>
                <c:pt idx="11">
                  <c:v>171.84</c:v>
                </c:pt>
                <c:pt idx="12">
                  <c:v>167.34</c:v>
                </c:pt>
                <c:pt idx="13">
                  <c:v>156.74</c:v>
                </c:pt>
                <c:pt idx="14">
                  <c:v>179.73999999999998</c:v>
                </c:pt>
                <c:pt idx="15">
                  <c:v>221</c:v>
                </c:pt>
                <c:pt idx="16">
                  <c:v>202.23999999999998</c:v>
                </c:pt>
                <c:pt idx="17">
                  <c:v>201.73999999999998</c:v>
                </c:pt>
                <c:pt idx="18" formatCode="0.0">
                  <c:v>195.24999999999997</c:v>
                </c:pt>
                <c:pt idx="19" formatCode="0.0">
                  <c:v>204.20000000000002</c:v>
                </c:pt>
                <c:pt idx="20" formatCode="0.0">
                  <c:v>179.84</c:v>
                </c:pt>
                <c:pt idx="21" formatCode="0.0">
                  <c:v>209.84</c:v>
                </c:pt>
                <c:pt idx="22" formatCode="0.0">
                  <c:v>224.94</c:v>
                </c:pt>
                <c:pt idx="23" formatCode="0.0">
                  <c:v>264.44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E-467C-8C78-20AD8B26369C}"/>
            </c:ext>
          </c:extLst>
        </c:ser>
        <c:ser>
          <c:idx val="0"/>
          <c:order val="3"/>
          <c:tx>
            <c:strRef>
              <c:f>'22'!$AL$19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48.5</c:v>
                </c:pt>
                <c:pt idx="17">
                  <c:v>17.899999999999999</c:v>
                </c:pt>
                <c:pt idx="18" formatCode="0.0">
                  <c:v>28.1</c:v>
                </c:pt>
                <c:pt idx="19" formatCode="0.0">
                  <c:v>20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E-467C-8C78-20AD8B26369C}"/>
            </c:ext>
          </c:extLst>
        </c:ser>
        <c:ser>
          <c:idx val="4"/>
          <c:order val="4"/>
          <c:tx>
            <c:strRef>
              <c:f>'22'!$AL$20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35.1</c:v>
                </c:pt>
                <c:pt idx="8">
                  <c:v>35.1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19.899999999999999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64.399999999999991</c:v>
                </c:pt>
                <c:pt idx="21" formatCode="0.0">
                  <c:v>16</c:v>
                </c:pt>
                <c:pt idx="22" formatCode="0.0">
                  <c:v>14.7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E-467C-8C78-20AD8B26369C}"/>
            </c:ext>
          </c:extLst>
        </c:ser>
        <c:ser>
          <c:idx val="5"/>
          <c:order val="5"/>
          <c:tx>
            <c:strRef>
              <c:f>'22'!$AL$21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100</c:v>
                </c:pt>
                <c:pt idx="22" formatCode="0.0">
                  <c:v>80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CE-467C-8C78-20AD8B263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'22'!$AM$23:$BJ$23</c:f>
              <c:numCache>
                <c:formatCode>General</c:formatCode>
                <c:ptCount val="24"/>
                <c:pt idx="0">
                  <c:v>-644.9</c:v>
                </c:pt>
                <c:pt idx="1">
                  <c:v>-659</c:v>
                </c:pt>
                <c:pt idx="2">
                  <c:v>-298.09999999999997</c:v>
                </c:pt>
                <c:pt idx="3">
                  <c:v>-268.89999999999998</c:v>
                </c:pt>
                <c:pt idx="4">
                  <c:v>-281.3</c:v>
                </c:pt>
                <c:pt idx="5">
                  <c:v>-320.10000000000002</c:v>
                </c:pt>
                <c:pt idx="6">
                  <c:v>-311.7</c:v>
                </c:pt>
                <c:pt idx="7">
                  <c:v>-323.3</c:v>
                </c:pt>
                <c:pt idx="8">
                  <c:v>-357.6</c:v>
                </c:pt>
                <c:pt idx="9">
                  <c:v>-199.1</c:v>
                </c:pt>
                <c:pt idx="10">
                  <c:v>-287</c:v>
                </c:pt>
                <c:pt idx="11">
                  <c:v>-330</c:v>
                </c:pt>
                <c:pt idx="12">
                  <c:v>-346.7</c:v>
                </c:pt>
                <c:pt idx="13">
                  <c:v>-358</c:v>
                </c:pt>
                <c:pt idx="14">
                  <c:v>-330.7</c:v>
                </c:pt>
                <c:pt idx="15">
                  <c:v>-311.39999999999998</c:v>
                </c:pt>
                <c:pt idx="16">
                  <c:v>-352</c:v>
                </c:pt>
                <c:pt idx="17">
                  <c:v>-172</c:v>
                </c:pt>
                <c:pt idx="18">
                  <c:v>-198.7</c:v>
                </c:pt>
                <c:pt idx="19">
                  <c:v>-47.1</c:v>
                </c:pt>
                <c:pt idx="20">
                  <c:v>-554.30000000000007</c:v>
                </c:pt>
                <c:pt idx="21">
                  <c:v>-545.5</c:v>
                </c:pt>
                <c:pt idx="22">
                  <c:v>-623.80000000000007</c:v>
                </c:pt>
                <c:pt idx="23">
                  <c:v>-593.20000000000005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CE-467C-8C78-20AD8B263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'22'!$AM$22:$BJ$22</c:f>
              <c:numCache>
                <c:formatCode>General</c:formatCode>
                <c:ptCount val="24"/>
                <c:pt idx="0">
                  <c:v>2086.6400000000003</c:v>
                </c:pt>
                <c:pt idx="1">
                  <c:v>2089.84</c:v>
                </c:pt>
                <c:pt idx="2">
                  <c:v>1699.54</c:v>
                </c:pt>
                <c:pt idx="3">
                  <c:v>1542.54</c:v>
                </c:pt>
                <c:pt idx="4">
                  <c:v>1517.54</c:v>
                </c:pt>
                <c:pt idx="5">
                  <c:v>1538.14</c:v>
                </c:pt>
                <c:pt idx="6">
                  <c:v>1499.24</c:v>
                </c:pt>
                <c:pt idx="7">
                  <c:v>1604.4399999999998</c:v>
                </c:pt>
                <c:pt idx="8">
                  <c:v>1611.04</c:v>
                </c:pt>
                <c:pt idx="9">
                  <c:v>1472.94</c:v>
                </c:pt>
                <c:pt idx="10">
                  <c:v>1483.6399999999999</c:v>
                </c:pt>
                <c:pt idx="11">
                  <c:v>1517.6399999999999</c:v>
                </c:pt>
                <c:pt idx="12">
                  <c:v>1507.94</c:v>
                </c:pt>
                <c:pt idx="13">
                  <c:v>1547.7399999999998</c:v>
                </c:pt>
                <c:pt idx="14">
                  <c:v>1529.84</c:v>
                </c:pt>
                <c:pt idx="15">
                  <c:v>1503.5</c:v>
                </c:pt>
                <c:pt idx="16">
                  <c:v>1533.24</c:v>
                </c:pt>
                <c:pt idx="17">
                  <c:v>1378.7400000000002</c:v>
                </c:pt>
                <c:pt idx="18">
                  <c:v>1362.55</c:v>
                </c:pt>
                <c:pt idx="19">
                  <c:v>1514.3999999999999</c:v>
                </c:pt>
                <c:pt idx="20">
                  <c:v>2033.84</c:v>
                </c:pt>
                <c:pt idx="21">
                  <c:v>2003.7399999999996</c:v>
                </c:pt>
                <c:pt idx="22">
                  <c:v>1995.0399999999997</c:v>
                </c:pt>
                <c:pt idx="23">
                  <c:v>1916.7399999999998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1CE-467C-8C78-20AD8B26369C}"/>
            </c:ext>
          </c:extLst>
        </c:ser>
        <c:ser>
          <c:idx val="8"/>
          <c:order val="8"/>
          <c:tx>
            <c:strRef>
              <c:f>'22'!$AL$24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'22'!$AM$24:$BJ$24</c:f>
              <c:numCache>
                <c:formatCode>General</c:formatCode>
                <c:ptCount val="24"/>
                <c:pt idx="0">
                  <c:v>1441.7400000000002</c:v>
                </c:pt>
                <c:pt idx="1">
                  <c:v>1430.8400000000001</c:v>
                </c:pt>
                <c:pt idx="2">
                  <c:v>1401.44</c:v>
                </c:pt>
                <c:pt idx="3">
                  <c:v>1273.6399999999999</c:v>
                </c:pt>
                <c:pt idx="4">
                  <c:v>1236.24</c:v>
                </c:pt>
                <c:pt idx="5">
                  <c:v>1218.04</c:v>
                </c:pt>
                <c:pt idx="6">
                  <c:v>1187.54</c:v>
                </c:pt>
                <c:pt idx="7">
                  <c:v>1281.1399999999999</c:v>
                </c:pt>
                <c:pt idx="8">
                  <c:v>1253.44</c:v>
                </c:pt>
                <c:pt idx="9">
                  <c:v>1273.8400000000001</c:v>
                </c:pt>
                <c:pt idx="10">
                  <c:v>1196.6399999999999</c:v>
                </c:pt>
                <c:pt idx="11">
                  <c:v>1187.6399999999999</c:v>
                </c:pt>
                <c:pt idx="12">
                  <c:v>1161.24</c:v>
                </c:pt>
                <c:pt idx="13">
                  <c:v>1189.7399999999998</c:v>
                </c:pt>
                <c:pt idx="14">
                  <c:v>1199.1399999999999</c:v>
                </c:pt>
                <c:pt idx="15">
                  <c:v>1192.0999999999999</c:v>
                </c:pt>
                <c:pt idx="16">
                  <c:v>1181.24</c:v>
                </c:pt>
                <c:pt idx="17">
                  <c:v>1206.7400000000002</c:v>
                </c:pt>
                <c:pt idx="18">
                  <c:v>1163.8499999999999</c:v>
                </c:pt>
                <c:pt idx="19">
                  <c:v>1467.3</c:v>
                </c:pt>
                <c:pt idx="20">
                  <c:v>1479.54</c:v>
                </c:pt>
                <c:pt idx="21">
                  <c:v>1458.2399999999996</c:v>
                </c:pt>
                <c:pt idx="22">
                  <c:v>1371.2399999999998</c:v>
                </c:pt>
                <c:pt idx="23">
                  <c:v>1323.5399999999997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CE-467C-8C78-20AD8B263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74-4EA4-A11D-F6B7FFE690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74-4EA4-A11D-F6B7FFE690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74-4EA4-A11D-F6B7FFE690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74-4EA4-A11D-F6B7FFE690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74-4EA4-A11D-F6B7FFE690E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174-4EA4-A11D-F6B7FFE690E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'23'!$AM$16:$BJ$16</c:f>
              <c:numCache>
                <c:formatCode>General</c:formatCode>
                <c:ptCount val="24"/>
                <c:pt idx="0">
                  <c:v>1190.1999999999998</c:v>
                </c:pt>
                <c:pt idx="1">
                  <c:v>1172.8000000000002</c:v>
                </c:pt>
                <c:pt idx="2">
                  <c:v>1146.1000000000001</c:v>
                </c:pt>
                <c:pt idx="3">
                  <c:v>1129.8</c:v>
                </c:pt>
                <c:pt idx="4">
                  <c:v>1129.8</c:v>
                </c:pt>
                <c:pt idx="5">
                  <c:v>1129.8</c:v>
                </c:pt>
                <c:pt idx="6">
                  <c:v>1129.8</c:v>
                </c:pt>
                <c:pt idx="7">
                  <c:v>1129.8</c:v>
                </c:pt>
                <c:pt idx="8">
                  <c:v>1220.5999999999999</c:v>
                </c:pt>
                <c:pt idx="9">
                  <c:v>1220.5999999999999</c:v>
                </c:pt>
                <c:pt idx="10">
                  <c:v>1170.5999999999999</c:v>
                </c:pt>
                <c:pt idx="11">
                  <c:v>1170.5999999999999</c:v>
                </c:pt>
                <c:pt idx="12">
                  <c:v>1202.8</c:v>
                </c:pt>
                <c:pt idx="13">
                  <c:v>1202.8</c:v>
                </c:pt>
                <c:pt idx="14">
                  <c:v>1199.8</c:v>
                </c:pt>
                <c:pt idx="15">
                  <c:v>1199.8</c:v>
                </c:pt>
                <c:pt idx="16">
                  <c:v>1144.8</c:v>
                </c:pt>
                <c:pt idx="17">
                  <c:v>1152.5</c:v>
                </c:pt>
                <c:pt idx="18" formatCode="0.0">
                  <c:v>1297.5999999999999</c:v>
                </c:pt>
                <c:pt idx="19" formatCode="0.0">
                  <c:v>1297.5999999999999</c:v>
                </c:pt>
                <c:pt idx="20" formatCode="0.0">
                  <c:v>1267.9000000000001</c:v>
                </c:pt>
                <c:pt idx="21" formatCode="0.0">
                  <c:v>1257.9000000000001</c:v>
                </c:pt>
                <c:pt idx="22" formatCode="0.0">
                  <c:v>1257.9000000000001</c:v>
                </c:pt>
                <c:pt idx="23" formatCode="0.0">
                  <c:v>1175.5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B-4C9B-883E-149ADCD0BDFE}"/>
            </c:ext>
          </c:extLst>
        </c:ser>
        <c:ser>
          <c:idx val="2"/>
          <c:order val="1"/>
          <c:tx>
            <c:strRef>
              <c:f>'23'!$AL$17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'23'!$AM$17:$BJ$17</c:f>
              <c:numCache>
                <c:formatCode>General</c:formatCode>
                <c:ptCount val="24"/>
                <c:pt idx="0">
                  <c:v>543.70000000000005</c:v>
                </c:pt>
                <c:pt idx="1">
                  <c:v>543.70000000000005</c:v>
                </c:pt>
                <c:pt idx="2">
                  <c:v>543.70000000000005</c:v>
                </c:pt>
                <c:pt idx="3">
                  <c:v>543.70000000000005</c:v>
                </c:pt>
                <c:pt idx="4">
                  <c:v>543.70000000000005</c:v>
                </c:pt>
                <c:pt idx="5">
                  <c:v>543.70000000000005</c:v>
                </c:pt>
                <c:pt idx="6">
                  <c:v>543.70000000000005</c:v>
                </c:pt>
                <c:pt idx="7">
                  <c:v>543.70000000000005</c:v>
                </c:pt>
                <c:pt idx="8">
                  <c:v>543.70000000000005</c:v>
                </c:pt>
                <c:pt idx="9">
                  <c:v>543.70000000000005</c:v>
                </c:pt>
                <c:pt idx="10">
                  <c:v>543.70000000000005</c:v>
                </c:pt>
                <c:pt idx="11">
                  <c:v>543.70000000000005</c:v>
                </c:pt>
                <c:pt idx="12">
                  <c:v>543.70000000000005</c:v>
                </c:pt>
                <c:pt idx="13">
                  <c:v>543.70000000000005</c:v>
                </c:pt>
                <c:pt idx="14">
                  <c:v>543.70000000000005</c:v>
                </c:pt>
                <c:pt idx="15">
                  <c:v>543.70000000000005</c:v>
                </c:pt>
                <c:pt idx="16">
                  <c:v>540.6</c:v>
                </c:pt>
                <c:pt idx="17">
                  <c:v>540.6</c:v>
                </c:pt>
                <c:pt idx="18" formatCode="0.0">
                  <c:v>540.6</c:v>
                </c:pt>
                <c:pt idx="19" formatCode="0.0">
                  <c:v>533</c:v>
                </c:pt>
                <c:pt idx="20" formatCode="0.0">
                  <c:v>533</c:v>
                </c:pt>
                <c:pt idx="21" formatCode="0.0">
                  <c:v>533</c:v>
                </c:pt>
                <c:pt idx="22" formatCode="0.0">
                  <c:v>533</c:v>
                </c:pt>
                <c:pt idx="23" formatCode="0.0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B-4C9B-883E-149ADCD0BDFE}"/>
            </c:ext>
          </c:extLst>
        </c:ser>
        <c:ser>
          <c:idx val="3"/>
          <c:order val="2"/>
          <c:tx>
            <c:strRef>
              <c:f>'23'!$AL$18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'23'!$AM$18:$BJ$18</c:f>
              <c:numCache>
                <c:formatCode>General</c:formatCode>
                <c:ptCount val="24"/>
                <c:pt idx="0">
                  <c:v>280.54000000000002</c:v>
                </c:pt>
                <c:pt idx="1">
                  <c:v>305.74</c:v>
                </c:pt>
                <c:pt idx="2">
                  <c:v>340.74</c:v>
                </c:pt>
                <c:pt idx="3">
                  <c:v>340.74</c:v>
                </c:pt>
                <c:pt idx="4">
                  <c:v>340.74</c:v>
                </c:pt>
                <c:pt idx="5">
                  <c:v>315.74</c:v>
                </c:pt>
                <c:pt idx="6">
                  <c:v>345.14000000000004</c:v>
                </c:pt>
                <c:pt idx="7">
                  <c:v>345.14000000000004</c:v>
                </c:pt>
                <c:pt idx="8">
                  <c:v>323.44000000000005</c:v>
                </c:pt>
                <c:pt idx="9">
                  <c:v>343.84000000000003</c:v>
                </c:pt>
                <c:pt idx="10">
                  <c:v>309.24</c:v>
                </c:pt>
                <c:pt idx="11">
                  <c:v>309.24</c:v>
                </c:pt>
                <c:pt idx="12">
                  <c:v>280.64</c:v>
                </c:pt>
                <c:pt idx="13">
                  <c:v>280.64</c:v>
                </c:pt>
                <c:pt idx="14">
                  <c:v>280.64</c:v>
                </c:pt>
                <c:pt idx="15">
                  <c:v>297.14</c:v>
                </c:pt>
                <c:pt idx="16">
                  <c:v>270.14000000000004</c:v>
                </c:pt>
                <c:pt idx="17">
                  <c:v>270.14000000000004</c:v>
                </c:pt>
                <c:pt idx="18" formatCode="0.0">
                  <c:v>338.14000000000004</c:v>
                </c:pt>
                <c:pt idx="19" formatCode="0.0">
                  <c:v>337.3</c:v>
                </c:pt>
                <c:pt idx="20" formatCode="0.0">
                  <c:v>348.94</c:v>
                </c:pt>
                <c:pt idx="21" formatCode="0.0">
                  <c:v>348.94</c:v>
                </c:pt>
                <c:pt idx="22" formatCode="0.0">
                  <c:v>348.94</c:v>
                </c:pt>
                <c:pt idx="23" formatCode="0.0">
                  <c:v>348.94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B-4C9B-883E-149ADCD0BDFE}"/>
            </c:ext>
          </c:extLst>
        </c:ser>
        <c:ser>
          <c:idx val="0"/>
          <c:order val="3"/>
          <c:tx>
            <c:strRef>
              <c:f>'23'!$AL$19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B-4C9B-883E-149ADCD0BDFE}"/>
            </c:ext>
          </c:extLst>
        </c:ser>
        <c:ser>
          <c:idx val="4"/>
          <c:order val="4"/>
          <c:tx>
            <c:strRef>
              <c:f>'23'!$AL$20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20.799999999999997</c:v>
                </c:pt>
                <c:pt idx="9">
                  <c:v>20.799999999999997</c:v>
                </c:pt>
                <c:pt idx="10">
                  <c:v>51.2</c:v>
                </c:pt>
                <c:pt idx="11">
                  <c:v>51.2</c:v>
                </c:pt>
                <c:pt idx="12">
                  <c:v>20.7</c:v>
                </c:pt>
                <c:pt idx="13">
                  <c:v>20.7</c:v>
                </c:pt>
                <c:pt idx="14">
                  <c:v>20.7</c:v>
                </c:pt>
                <c:pt idx="15">
                  <c:v>50.6</c:v>
                </c:pt>
                <c:pt idx="16">
                  <c:v>50.6</c:v>
                </c:pt>
                <c:pt idx="17">
                  <c:v>20</c:v>
                </c:pt>
                <c:pt idx="18" formatCode="0.0">
                  <c:v>6.4</c:v>
                </c:pt>
                <c:pt idx="19" formatCode="0.0">
                  <c:v>0</c:v>
                </c:pt>
                <c:pt idx="20" formatCode="0.0">
                  <c:v>63.8</c:v>
                </c:pt>
                <c:pt idx="21" formatCode="0.0">
                  <c:v>19.399999999999999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B-4C9B-883E-149ADCD0BDFE}"/>
            </c:ext>
          </c:extLst>
        </c:ser>
        <c:ser>
          <c:idx val="5"/>
          <c:order val="5"/>
          <c:tx>
            <c:strRef>
              <c:f>'23'!$AL$21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B-4C9B-883E-149ADCD0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'23'!$AM$23:$BJ$23</c:f>
              <c:numCache>
                <c:formatCode>General</c:formatCode>
                <c:ptCount val="24"/>
                <c:pt idx="0">
                  <c:v>-726.8</c:v>
                </c:pt>
                <c:pt idx="1">
                  <c:v>-744</c:v>
                </c:pt>
                <c:pt idx="2">
                  <c:v>-736.5</c:v>
                </c:pt>
                <c:pt idx="3">
                  <c:v>-717</c:v>
                </c:pt>
                <c:pt idx="4">
                  <c:v>-748</c:v>
                </c:pt>
                <c:pt idx="5">
                  <c:v>-704</c:v>
                </c:pt>
                <c:pt idx="6">
                  <c:v>-688</c:v>
                </c:pt>
                <c:pt idx="7">
                  <c:v>-675</c:v>
                </c:pt>
                <c:pt idx="8">
                  <c:v>-640</c:v>
                </c:pt>
                <c:pt idx="9">
                  <c:v>-654</c:v>
                </c:pt>
                <c:pt idx="10">
                  <c:v>-593</c:v>
                </c:pt>
                <c:pt idx="11">
                  <c:v>-633</c:v>
                </c:pt>
                <c:pt idx="12">
                  <c:v>-618</c:v>
                </c:pt>
                <c:pt idx="13">
                  <c:v>-618</c:v>
                </c:pt>
                <c:pt idx="14">
                  <c:v>-646</c:v>
                </c:pt>
                <c:pt idx="15">
                  <c:v>-631.79999999999995</c:v>
                </c:pt>
                <c:pt idx="16">
                  <c:v>-610</c:v>
                </c:pt>
                <c:pt idx="17">
                  <c:v>-609</c:v>
                </c:pt>
                <c:pt idx="18">
                  <c:v>-681</c:v>
                </c:pt>
                <c:pt idx="19">
                  <c:v>-595</c:v>
                </c:pt>
                <c:pt idx="20">
                  <c:v>-635.5</c:v>
                </c:pt>
                <c:pt idx="21">
                  <c:v>-616.29999999999995</c:v>
                </c:pt>
                <c:pt idx="22">
                  <c:v>-648.80000000000007</c:v>
                </c:pt>
                <c:pt idx="23">
                  <c:v>-671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EB-4C9B-883E-149ADCD0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'23'!$AM$22:$BJ$22</c:f>
              <c:numCache>
                <c:formatCode>General</c:formatCode>
                <c:ptCount val="24"/>
                <c:pt idx="0">
                  <c:v>2014.4399999999998</c:v>
                </c:pt>
                <c:pt idx="1">
                  <c:v>2022.2400000000002</c:v>
                </c:pt>
                <c:pt idx="2">
                  <c:v>2030.5400000000002</c:v>
                </c:pt>
                <c:pt idx="3">
                  <c:v>2014.24</c:v>
                </c:pt>
                <c:pt idx="4">
                  <c:v>2014.24</c:v>
                </c:pt>
                <c:pt idx="5">
                  <c:v>1989.24</c:v>
                </c:pt>
                <c:pt idx="6">
                  <c:v>2018.64</c:v>
                </c:pt>
                <c:pt idx="7">
                  <c:v>2018.64</c:v>
                </c:pt>
                <c:pt idx="8">
                  <c:v>2108.54</c:v>
                </c:pt>
                <c:pt idx="9">
                  <c:v>2128.94</c:v>
                </c:pt>
                <c:pt idx="10">
                  <c:v>2074.7399999999998</c:v>
                </c:pt>
                <c:pt idx="11">
                  <c:v>2074.7399999999998</c:v>
                </c:pt>
                <c:pt idx="12">
                  <c:v>2047.84</c:v>
                </c:pt>
                <c:pt idx="13">
                  <c:v>2047.84</c:v>
                </c:pt>
                <c:pt idx="14">
                  <c:v>2044.84</c:v>
                </c:pt>
                <c:pt idx="15">
                  <c:v>2091.2399999999998</c:v>
                </c:pt>
                <c:pt idx="16">
                  <c:v>2006.14</c:v>
                </c:pt>
                <c:pt idx="17">
                  <c:v>1996.24</c:v>
                </c:pt>
                <c:pt idx="18">
                  <c:v>2182.7399999999998</c:v>
                </c:pt>
                <c:pt idx="19">
                  <c:v>2167.9</c:v>
                </c:pt>
                <c:pt idx="20">
                  <c:v>2213.6400000000003</c:v>
                </c:pt>
                <c:pt idx="21">
                  <c:v>2159.2400000000002</c:v>
                </c:pt>
                <c:pt idx="22">
                  <c:v>2139.84</c:v>
                </c:pt>
                <c:pt idx="23">
                  <c:v>2057.44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DEB-4C9B-883E-149ADCD0BDFE}"/>
            </c:ext>
          </c:extLst>
        </c:ser>
        <c:ser>
          <c:idx val="8"/>
          <c:order val="8"/>
          <c:tx>
            <c:strRef>
              <c:f>'23'!$AL$24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'23'!$AM$24:$BJ$24</c:f>
              <c:numCache>
                <c:formatCode>General</c:formatCode>
                <c:ptCount val="24"/>
                <c:pt idx="0">
                  <c:v>1287.6399999999999</c:v>
                </c:pt>
                <c:pt idx="1">
                  <c:v>1278.2400000000002</c:v>
                </c:pt>
                <c:pt idx="2">
                  <c:v>1294.0400000000002</c:v>
                </c:pt>
                <c:pt idx="3">
                  <c:v>1297.24</c:v>
                </c:pt>
                <c:pt idx="4">
                  <c:v>1266.24</c:v>
                </c:pt>
                <c:pt idx="5">
                  <c:v>1285.24</c:v>
                </c:pt>
                <c:pt idx="6">
                  <c:v>1330.64</c:v>
                </c:pt>
                <c:pt idx="7">
                  <c:v>1343.64</c:v>
                </c:pt>
                <c:pt idx="8">
                  <c:v>1468.54</c:v>
                </c:pt>
                <c:pt idx="9">
                  <c:v>1474.94</c:v>
                </c:pt>
                <c:pt idx="10">
                  <c:v>1481.7399999999998</c:v>
                </c:pt>
                <c:pt idx="11">
                  <c:v>1441.7399999999998</c:v>
                </c:pt>
                <c:pt idx="12">
                  <c:v>1429.84</c:v>
                </c:pt>
                <c:pt idx="13">
                  <c:v>1429.84</c:v>
                </c:pt>
                <c:pt idx="14">
                  <c:v>1398.84</c:v>
                </c:pt>
                <c:pt idx="15">
                  <c:v>1459.4399999999998</c:v>
                </c:pt>
                <c:pt idx="16">
                  <c:v>1396.14</c:v>
                </c:pt>
                <c:pt idx="17">
                  <c:v>1387.24</c:v>
                </c:pt>
                <c:pt idx="18">
                  <c:v>1501.7399999999998</c:v>
                </c:pt>
                <c:pt idx="19">
                  <c:v>1572.9</c:v>
                </c:pt>
                <c:pt idx="20">
                  <c:v>1578.1400000000003</c:v>
                </c:pt>
                <c:pt idx="21">
                  <c:v>1542.9400000000003</c:v>
                </c:pt>
                <c:pt idx="22">
                  <c:v>1491.04</c:v>
                </c:pt>
                <c:pt idx="23">
                  <c:v>1386.44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EB-4C9B-883E-149ADCD0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51-4E4C-A599-4E20807F96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51-4E4C-A599-4E20807F96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51-4E4C-A599-4E20807F96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51-4E4C-A599-4E20807F96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51-4E4C-A599-4E20807F966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A51-4E4C-A599-4E20807F96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'24'!$AM$16:$BJ$16</c:f>
              <c:numCache>
                <c:formatCode>General</c:formatCode>
                <c:ptCount val="24"/>
                <c:pt idx="0">
                  <c:v>1168.8</c:v>
                </c:pt>
                <c:pt idx="1">
                  <c:v>1172.4000000000001</c:v>
                </c:pt>
                <c:pt idx="2">
                  <c:v>1223</c:v>
                </c:pt>
                <c:pt idx="3">
                  <c:v>1152</c:v>
                </c:pt>
                <c:pt idx="4">
                  <c:v>1143</c:v>
                </c:pt>
                <c:pt idx="5">
                  <c:v>1143.5</c:v>
                </c:pt>
                <c:pt idx="6">
                  <c:v>1106.5</c:v>
                </c:pt>
                <c:pt idx="7">
                  <c:v>1169.9000000000001</c:v>
                </c:pt>
                <c:pt idx="8">
                  <c:v>1216.0000000000002</c:v>
                </c:pt>
                <c:pt idx="9">
                  <c:v>1262.5</c:v>
                </c:pt>
                <c:pt idx="10">
                  <c:v>1244.5</c:v>
                </c:pt>
                <c:pt idx="11">
                  <c:v>1287.8000000000002</c:v>
                </c:pt>
                <c:pt idx="12">
                  <c:v>1271.7</c:v>
                </c:pt>
                <c:pt idx="13">
                  <c:v>1353.2</c:v>
                </c:pt>
                <c:pt idx="14">
                  <c:v>1353.2</c:v>
                </c:pt>
                <c:pt idx="15">
                  <c:v>1337.3000000000002</c:v>
                </c:pt>
                <c:pt idx="16">
                  <c:v>1337.3000000000002</c:v>
                </c:pt>
                <c:pt idx="17">
                  <c:v>1337.3000000000002</c:v>
                </c:pt>
                <c:pt idx="18" formatCode="0.0">
                  <c:v>1295.0999999999999</c:v>
                </c:pt>
                <c:pt idx="19" formatCode="0.0">
                  <c:v>1280.5</c:v>
                </c:pt>
                <c:pt idx="20" formatCode="0.0">
                  <c:v>1419.9</c:v>
                </c:pt>
                <c:pt idx="21" formatCode="0.0">
                  <c:v>1411.5000000000002</c:v>
                </c:pt>
                <c:pt idx="22" formatCode="0.0">
                  <c:v>1403.5000000000002</c:v>
                </c:pt>
                <c:pt idx="23" formatCode="0.0">
                  <c:v>1339.5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8-435A-AFFB-6BBBBDB4C197}"/>
            </c:ext>
          </c:extLst>
        </c:ser>
        <c:ser>
          <c:idx val="2"/>
          <c:order val="1"/>
          <c:tx>
            <c:strRef>
              <c:f>'24'!$AL$17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'24'!$AM$17:$BJ$17</c:f>
              <c:numCache>
                <c:formatCode>General</c:formatCode>
                <c:ptCount val="24"/>
                <c:pt idx="0">
                  <c:v>533</c:v>
                </c:pt>
                <c:pt idx="1">
                  <c:v>533</c:v>
                </c:pt>
                <c:pt idx="2">
                  <c:v>534.1</c:v>
                </c:pt>
                <c:pt idx="3">
                  <c:v>534.20000000000005</c:v>
                </c:pt>
                <c:pt idx="4">
                  <c:v>534.20000000000005</c:v>
                </c:pt>
                <c:pt idx="5">
                  <c:v>534.40000000000009</c:v>
                </c:pt>
                <c:pt idx="6">
                  <c:v>532.5</c:v>
                </c:pt>
                <c:pt idx="7">
                  <c:v>534.70000000000005</c:v>
                </c:pt>
                <c:pt idx="8">
                  <c:v>540</c:v>
                </c:pt>
                <c:pt idx="9">
                  <c:v>540</c:v>
                </c:pt>
                <c:pt idx="10">
                  <c:v>540</c:v>
                </c:pt>
                <c:pt idx="11">
                  <c:v>540</c:v>
                </c:pt>
                <c:pt idx="12">
                  <c:v>540</c:v>
                </c:pt>
                <c:pt idx="13">
                  <c:v>540</c:v>
                </c:pt>
                <c:pt idx="14">
                  <c:v>540</c:v>
                </c:pt>
                <c:pt idx="15">
                  <c:v>540</c:v>
                </c:pt>
                <c:pt idx="16">
                  <c:v>540</c:v>
                </c:pt>
                <c:pt idx="17">
                  <c:v>540</c:v>
                </c:pt>
                <c:pt idx="18" formatCode="0.0">
                  <c:v>540</c:v>
                </c:pt>
                <c:pt idx="19" formatCode="0.0">
                  <c:v>540</c:v>
                </c:pt>
                <c:pt idx="20" formatCode="0.0">
                  <c:v>540</c:v>
                </c:pt>
                <c:pt idx="21" formatCode="0.0">
                  <c:v>540</c:v>
                </c:pt>
                <c:pt idx="22" formatCode="0.0">
                  <c:v>540</c:v>
                </c:pt>
                <c:pt idx="23" formatCode="0.0">
                  <c:v>540.20000000000005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8-435A-AFFB-6BBBBDB4C197}"/>
            </c:ext>
          </c:extLst>
        </c:ser>
        <c:ser>
          <c:idx val="3"/>
          <c:order val="2"/>
          <c:tx>
            <c:strRef>
              <c:f>'24'!$AL$18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'24'!$AM$18:$BJ$18</c:f>
              <c:numCache>
                <c:formatCode>General</c:formatCode>
                <c:ptCount val="24"/>
                <c:pt idx="0">
                  <c:v>348.94</c:v>
                </c:pt>
                <c:pt idx="1">
                  <c:v>348.94</c:v>
                </c:pt>
                <c:pt idx="2">
                  <c:v>324.64000000000004</c:v>
                </c:pt>
                <c:pt idx="3">
                  <c:v>339.84000000000003</c:v>
                </c:pt>
                <c:pt idx="4">
                  <c:v>359.34000000000003</c:v>
                </c:pt>
                <c:pt idx="5">
                  <c:v>360.34000000000003</c:v>
                </c:pt>
                <c:pt idx="6">
                  <c:v>333.34000000000003</c:v>
                </c:pt>
                <c:pt idx="7">
                  <c:v>365.84</c:v>
                </c:pt>
                <c:pt idx="8">
                  <c:v>375.44</c:v>
                </c:pt>
                <c:pt idx="9">
                  <c:v>406.14</c:v>
                </c:pt>
                <c:pt idx="10">
                  <c:v>406.14</c:v>
                </c:pt>
                <c:pt idx="11">
                  <c:v>276.54000000000002</c:v>
                </c:pt>
                <c:pt idx="12">
                  <c:v>350.93999999999988</c:v>
                </c:pt>
                <c:pt idx="13">
                  <c:v>350.93999999999988</c:v>
                </c:pt>
                <c:pt idx="14">
                  <c:v>350.93999999999988</c:v>
                </c:pt>
                <c:pt idx="15">
                  <c:v>410.03999999999996</c:v>
                </c:pt>
                <c:pt idx="16">
                  <c:v>410.03999999999996</c:v>
                </c:pt>
                <c:pt idx="17">
                  <c:v>403.03999999999991</c:v>
                </c:pt>
                <c:pt idx="18" formatCode="0.0">
                  <c:v>401.93999999999994</c:v>
                </c:pt>
                <c:pt idx="19" formatCode="0.0">
                  <c:v>400.33999999999992</c:v>
                </c:pt>
                <c:pt idx="20" formatCode="0.0">
                  <c:v>399.33999999999992</c:v>
                </c:pt>
                <c:pt idx="21" formatCode="0.0">
                  <c:v>399.33999999999992</c:v>
                </c:pt>
                <c:pt idx="22" formatCode="0.0">
                  <c:v>402.63999999999993</c:v>
                </c:pt>
                <c:pt idx="23" formatCode="0.0">
                  <c:v>405.34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8-435A-AFFB-6BBBBDB4C197}"/>
            </c:ext>
          </c:extLst>
        </c:ser>
        <c:ser>
          <c:idx val="0"/>
          <c:order val="3"/>
          <c:tx>
            <c:strRef>
              <c:f>'24'!$AL$19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8-435A-AFFB-6BBBBDB4C197}"/>
            </c:ext>
          </c:extLst>
        </c:ser>
        <c:ser>
          <c:idx val="4"/>
          <c:order val="4"/>
          <c:tx>
            <c:strRef>
              <c:f>'24'!$AL$20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17.900000000000002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21.099999999999998</c:v>
                </c:pt>
                <c:pt idx="10">
                  <c:v>21.099999999999998</c:v>
                </c:pt>
                <c:pt idx="11">
                  <c:v>19.8</c:v>
                </c:pt>
                <c:pt idx="12">
                  <c:v>14.799999999999999</c:v>
                </c:pt>
                <c:pt idx="13">
                  <c:v>26.599999999999998</c:v>
                </c:pt>
                <c:pt idx="14">
                  <c:v>26.599999999999998</c:v>
                </c:pt>
                <c:pt idx="15">
                  <c:v>16.7</c:v>
                </c:pt>
                <c:pt idx="16">
                  <c:v>16.7</c:v>
                </c:pt>
                <c:pt idx="17">
                  <c:v>16.7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29.4</c:v>
                </c:pt>
                <c:pt idx="21" formatCode="0.0">
                  <c:v>20.8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8-435A-AFFB-6BBBBDB4C197}"/>
            </c:ext>
          </c:extLst>
        </c:ser>
        <c:ser>
          <c:idx val="5"/>
          <c:order val="5"/>
          <c:tx>
            <c:strRef>
              <c:f>'24'!$AL$21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8-435A-AFFB-6BBBBDB4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'24'!$AM$23:$BJ$23</c:f>
              <c:numCache>
                <c:formatCode>General</c:formatCode>
                <c:ptCount val="24"/>
                <c:pt idx="0">
                  <c:v>-635.20000000000005</c:v>
                </c:pt>
                <c:pt idx="1">
                  <c:v>-666.7</c:v>
                </c:pt>
                <c:pt idx="2">
                  <c:v>-692.4</c:v>
                </c:pt>
                <c:pt idx="3">
                  <c:v>-692.4</c:v>
                </c:pt>
                <c:pt idx="4">
                  <c:v>-701.7</c:v>
                </c:pt>
                <c:pt idx="5">
                  <c:v>-689.3</c:v>
                </c:pt>
                <c:pt idx="6">
                  <c:v>-673.5</c:v>
                </c:pt>
                <c:pt idx="7">
                  <c:v>-716.6</c:v>
                </c:pt>
                <c:pt idx="8">
                  <c:v>-665.4</c:v>
                </c:pt>
                <c:pt idx="9">
                  <c:v>-495.7</c:v>
                </c:pt>
                <c:pt idx="10">
                  <c:v>-576.69999999999993</c:v>
                </c:pt>
                <c:pt idx="11">
                  <c:v>-543.80000000000007</c:v>
                </c:pt>
                <c:pt idx="12">
                  <c:v>-572</c:v>
                </c:pt>
                <c:pt idx="13">
                  <c:v>-597</c:v>
                </c:pt>
                <c:pt idx="14">
                  <c:v>-623</c:v>
                </c:pt>
                <c:pt idx="15">
                  <c:v>-658</c:v>
                </c:pt>
                <c:pt idx="16">
                  <c:v>-668</c:v>
                </c:pt>
                <c:pt idx="17">
                  <c:v>-717</c:v>
                </c:pt>
                <c:pt idx="18">
                  <c:v>-672</c:v>
                </c:pt>
                <c:pt idx="19">
                  <c:v>-641</c:v>
                </c:pt>
                <c:pt idx="20">
                  <c:v>-654</c:v>
                </c:pt>
                <c:pt idx="21">
                  <c:v>-685.9</c:v>
                </c:pt>
                <c:pt idx="22">
                  <c:v>-677</c:v>
                </c:pt>
                <c:pt idx="23">
                  <c:v>-666.3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8-435A-AFFB-6BBBBDB4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'24'!$AM$22:$BJ$22</c:f>
              <c:numCache>
                <c:formatCode>General</c:formatCode>
                <c:ptCount val="24"/>
                <c:pt idx="0">
                  <c:v>2050.7399999999998</c:v>
                </c:pt>
                <c:pt idx="1">
                  <c:v>2072.2400000000002</c:v>
                </c:pt>
                <c:pt idx="2">
                  <c:v>2120.7399999999998</c:v>
                </c:pt>
                <c:pt idx="3">
                  <c:v>2026.04</c:v>
                </c:pt>
                <c:pt idx="4">
                  <c:v>2036.54</c:v>
                </c:pt>
                <c:pt idx="5">
                  <c:v>2038.2400000000002</c:v>
                </c:pt>
                <c:pt idx="6">
                  <c:v>1972.3400000000001</c:v>
                </c:pt>
                <c:pt idx="7">
                  <c:v>2070.44</c:v>
                </c:pt>
                <c:pt idx="8">
                  <c:v>2131.44</c:v>
                </c:pt>
                <c:pt idx="9">
                  <c:v>2229.7399999999998</c:v>
                </c:pt>
                <c:pt idx="10">
                  <c:v>2211.7399999999998</c:v>
                </c:pt>
                <c:pt idx="11">
                  <c:v>2124.1400000000003</c:v>
                </c:pt>
                <c:pt idx="12">
                  <c:v>2177.44</c:v>
                </c:pt>
                <c:pt idx="13">
                  <c:v>2270.7399999999998</c:v>
                </c:pt>
                <c:pt idx="14">
                  <c:v>2270.7399999999998</c:v>
                </c:pt>
                <c:pt idx="15">
                  <c:v>2304.04</c:v>
                </c:pt>
                <c:pt idx="16">
                  <c:v>2304.04</c:v>
                </c:pt>
                <c:pt idx="17">
                  <c:v>2297.04</c:v>
                </c:pt>
                <c:pt idx="18">
                  <c:v>2237.04</c:v>
                </c:pt>
                <c:pt idx="19">
                  <c:v>2220.84</c:v>
                </c:pt>
                <c:pt idx="20">
                  <c:v>2388.64</c:v>
                </c:pt>
                <c:pt idx="21">
                  <c:v>2371.6400000000003</c:v>
                </c:pt>
                <c:pt idx="22">
                  <c:v>2346.1400000000003</c:v>
                </c:pt>
                <c:pt idx="23">
                  <c:v>2285.04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F68-435A-AFFB-6BBBBDB4C197}"/>
            </c:ext>
          </c:extLst>
        </c:ser>
        <c:ser>
          <c:idx val="8"/>
          <c:order val="8"/>
          <c:tx>
            <c:strRef>
              <c:f>'24'!$AL$24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'24'!$AM$24:$BJ$24</c:f>
              <c:numCache>
                <c:formatCode>General</c:formatCode>
                <c:ptCount val="24"/>
                <c:pt idx="0">
                  <c:v>1415.5399999999997</c:v>
                </c:pt>
                <c:pt idx="1">
                  <c:v>1405.5400000000002</c:v>
                </c:pt>
                <c:pt idx="2">
                  <c:v>1428.3399999999997</c:v>
                </c:pt>
                <c:pt idx="3">
                  <c:v>1333.6399999999999</c:v>
                </c:pt>
                <c:pt idx="4">
                  <c:v>1334.84</c:v>
                </c:pt>
                <c:pt idx="5">
                  <c:v>1348.9400000000003</c:v>
                </c:pt>
                <c:pt idx="6">
                  <c:v>1298.8400000000001</c:v>
                </c:pt>
                <c:pt idx="7">
                  <c:v>1353.8400000000001</c:v>
                </c:pt>
                <c:pt idx="8">
                  <c:v>1466.04</c:v>
                </c:pt>
                <c:pt idx="9">
                  <c:v>1734.0399999999997</c:v>
                </c:pt>
                <c:pt idx="10">
                  <c:v>1635.04</c:v>
                </c:pt>
                <c:pt idx="11">
                  <c:v>1580.3400000000001</c:v>
                </c:pt>
                <c:pt idx="12">
                  <c:v>1605.44</c:v>
                </c:pt>
                <c:pt idx="13">
                  <c:v>1673.7399999999998</c:v>
                </c:pt>
                <c:pt idx="14">
                  <c:v>1647.7399999999998</c:v>
                </c:pt>
                <c:pt idx="15">
                  <c:v>1646.04</c:v>
                </c:pt>
                <c:pt idx="16">
                  <c:v>1636.04</c:v>
                </c:pt>
                <c:pt idx="17">
                  <c:v>1580.04</c:v>
                </c:pt>
                <c:pt idx="18">
                  <c:v>1565.04</c:v>
                </c:pt>
                <c:pt idx="19">
                  <c:v>1579.8400000000001</c:v>
                </c:pt>
                <c:pt idx="20">
                  <c:v>1734.6399999999999</c:v>
                </c:pt>
                <c:pt idx="21">
                  <c:v>1685.7400000000002</c:v>
                </c:pt>
                <c:pt idx="22">
                  <c:v>1669.1400000000003</c:v>
                </c:pt>
                <c:pt idx="23">
                  <c:v>1618.74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68-435A-AFFB-6BBBBDB4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FB-434A-8FEA-EAD7096EC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FB-434A-8FEA-EAD7096EC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FB-434A-8FEA-EAD7096EC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6FB-434A-8FEA-EAD7096ECE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6FB-434A-8FEA-EAD7096ECED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6FB-434A-8FEA-EAD7096ECE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'25'!$AM$16:$BJ$16</c:f>
              <c:numCache>
                <c:formatCode>General</c:formatCode>
                <c:ptCount val="24"/>
                <c:pt idx="0">
                  <c:v>1339.5</c:v>
                </c:pt>
                <c:pt idx="1">
                  <c:v>1339.5</c:v>
                </c:pt>
                <c:pt idx="2">
                  <c:v>1319.8000000000002</c:v>
                </c:pt>
                <c:pt idx="3">
                  <c:v>1297.6000000000004</c:v>
                </c:pt>
                <c:pt idx="4">
                  <c:v>1258.1000000000001</c:v>
                </c:pt>
                <c:pt idx="5">
                  <c:v>1251.5000000000002</c:v>
                </c:pt>
                <c:pt idx="6">
                  <c:v>1248.6000000000001</c:v>
                </c:pt>
                <c:pt idx="7">
                  <c:v>1265.0000000000002</c:v>
                </c:pt>
                <c:pt idx="8">
                  <c:v>1278.6000000000004</c:v>
                </c:pt>
                <c:pt idx="9">
                  <c:v>1281.0000000000002</c:v>
                </c:pt>
                <c:pt idx="10">
                  <c:v>1284.2000000000003</c:v>
                </c:pt>
                <c:pt idx="11">
                  <c:v>1284.2000000000003</c:v>
                </c:pt>
                <c:pt idx="12">
                  <c:v>1284.2000000000003</c:v>
                </c:pt>
                <c:pt idx="13">
                  <c:v>1284.2000000000003</c:v>
                </c:pt>
                <c:pt idx="14">
                  <c:v>1419.9</c:v>
                </c:pt>
                <c:pt idx="15">
                  <c:v>1419.9</c:v>
                </c:pt>
                <c:pt idx="16">
                  <c:v>1457.4000000000003</c:v>
                </c:pt>
                <c:pt idx="17">
                  <c:v>1457.4000000000003</c:v>
                </c:pt>
                <c:pt idx="18" formatCode="0.0">
                  <c:v>1421.0000000000002</c:v>
                </c:pt>
                <c:pt idx="19" formatCode="0.0">
                  <c:v>1421.1000000000001</c:v>
                </c:pt>
                <c:pt idx="20" formatCode="0.0">
                  <c:v>1371.2000000000003</c:v>
                </c:pt>
                <c:pt idx="21" formatCode="0.0">
                  <c:v>1354.3000000000002</c:v>
                </c:pt>
                <c:pt idx="22" formatCode="0.0">
                  <c:v>1342.3000000000002</c:v>
                </c:pt>
                <c:pt idx="23" formatCode="0.0">
                  <c:v>1342.3000000000002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5-43BC-96C6-20B6999C8CA6}"/>
            </c:ext>
          </c:extLst>
        </c:ser>
        <c:ser>
          <c:idx val="2"/>
          <c:order val="1"/>
          <c:tx>
            <c:strRef>
              <c:f>'25'!$AL$17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'25'!$AM$17:$BJ$17</c:f>
              <c:numCache>
                <c:formatCode>General</c:formatCode>
                <c:ptCount val="24"/>
                <c:pt idx="0">
                  <c:v>540.20000000000005</c:v>
                </c:pt>
                <c:pt idx="1">
                  <c:v>540.20000000000005</c:v>
                </c:pt>
                <c:pt idx="2">
                  <c:v>540.20000000000005</c:v>
                </c:pt>
                <c:pt idx="3">
                  <c:v>540.20000000000005</c:v>
                </c:pt>
                <c:pt idx="4">
                  <c:v>540.20000000000005</c:v>
                </c:pt>
                <c:pt idx="5">
                  <c:v>540.20000000000005</c:v>
                </c:pt>
                <c:pt idx="6">
                  <c:v>540.20000000000005</c:v>
                </c:pt>
                <c:pt idx="7">
                  <c:v>540.20000000000005</c:v>
                </c:pt>
                <c:pt idx="8">
                  <c:v>540.20000000000005</c:v>
                </c:pt>
                <c:pt idx="9">
                  <c:v>540.20000000000005</c:v>
                </c:pt>
                <c:pt idx="10">
                  <c:v>540.20000000000005</c:v>
                </c:pt>
                <c:pt idx="11">
                  <c:v>540.20000000000005</c:v>
                </c:pt>
                <c:pt idx="12">
                  <c:v>540.20000000000005</c:v>
                </c:pt>
                <c:pt idx="13">
                  <c:v>540.20000000000005</c:v>
                </c:pt>
                <c:pt idx="14">
                  <c:v>539.79999999999995</c:v>
                </c:pt>
                <c:pt idx="15">
                  <c:v>539.79999999999995</c:v>
                </c:pt>
                <c:pt idx="16">
                  <c:v>539.79999999999995</c:v>
                </c:pt>
                <c:pt idx="17">
                  <c:v>539.79999999999995</c:v>
                </c:pt>
                <c:pt idx="18" formatCode="0.0">
                  <c:v>539.79999999999995</c:v>
                </c:pt>
                <c:pt idx="19" formatCode="0.0">
                  <c:v>540.29999999999995</c:v>
                </c:pt>
                <c:pt idx="20" formatCode="0.0">
                  <c:v>540.29999999999995</c:v>
                </c:pt>
                <c:pt idx="21" formatCode="0.0">
                  <c:v>540.29999999999995</c:v>
                </c:pt>
                <c:pt idx="22" formatCode="0.0">
                  <c:v>540.29999999999995</c:v>
                </c:pt>
                <c:pt idx="23" formatCode="0.0">
                  <c:v>540.29999999999995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5-43BC-96C6-20B6999C8CA6}"/>
            </c:ext>
          </c:extLst>
        </c:ser>
        <c:ser>
          <c:idx val="3"/>
          <c:order val="2"/>
          <c:tx>
            <c:strRef>
              <c:f>'25'!$AL$18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'25'!$AM$18:$BJ$18</c:f>
              <c:numCache>
                <c:formatCode>General</c:formatCode>
                <c:ptCount val="24"/>
                <c:pt idx="0">
                  <c:v>407.24</c:v>
                </c:pt>
                <c:pt idx="1">
                  <c:v>406.94</c:v>
                </c:pt>
                <c:pt idx="2">
                  <c:v>407.04</c:v>
                </c:pt>
                <c:pt idx="3">
                  <c:v>407.04</c:v>
                </c:pt>
                <c:pt idx="4">
                  <c:v>407.04</c:v>
                </c:pt>
                <c:pt idx="5">
                  <c:v>407.04</c:v>
                </c:pt>
                <c:pt idx="6">
                  <c:v>402.14000000000004</c:v>
                </c:pt>
                <c:pt idx="7">
                  <c:v>404.44000000000005</c:v>
                </c:pt>
                <c:pt idx="8">
                  <c:v>404.44000000000005</c:v>
                </c:pt>
                <c:pt idx="9">
                  <c:v>404.44000000000005</c:v>
                </c:pt>
                <c:pt idx="10">
                  <c:v>418.44000000000005</c:v>
                </c:pt>
                <c:pt idx="11">
                  <c:v>418.44000000000005</c:v>
                </c:pt>
                <c:pt idx="12">
                  <c:v>418.44000000000005</c:v>
                </c:pt>
                <c:pt idx="13">
                  <c:v>413.64000000000004</c:v>
                </c:pt>
                <c:pt idx="14">
                  <c:v>426.44000000000011</c:v>
                </c:pt>
                <c:pt idx="15">
                  <c:v>423.1400000000001</c:v>
                </c:pt>
                <c:pt idx="16">
                  <c:v>392.34000000000009</c:v>
                </c:pt>
                <c:pt idx="17">
                  <c:v>388.04000000000008</c:v>
                </c:pt>
                <c:pt idx="18" formatCode="0.0">
                  <c:v>365.44</c:v>
                </c:pt>
                <c:pt idx="19" formatCode="0.0">
                  <c:v>407.2</c:v>
                </c:pt>
                <c:pt idx="20" formatCode="0.0">
                  <c:v>405.24</c:v>
                </c:pt>
                <c:pt idx="21" formatCode="0.0">
                  <c:v>399.64</c:v>
                </c:pt>
                <c:pt idx="22" formatCode="0.0">
                  <c:v>399.64</c:v>
                </c:pt>
                <c:pt idx="23" formatCode="0.0">
                  <c:v>399.64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5-43BC-96C6-20B6999C8CA6}"/>
            </c:ext>
          </c:extLst>
        </c:ser>
        <c:ser>
          <c:idx val="0"/>
          <c:order val="3"/>
          <c:tx>
            <c:strRef>
              <c:f>'25'!$AL$19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18</c:v>
                </c:pt>
                <c:pt idx="22" formatCode="0.0">
                  <c:v>20</c:v>
                </c:pt>
                <c:pt idx="23" formatCode="0.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5-43BC-96C6-20B6999C8CA6}"/>
            </c:ext>
          </c:extLst>
        </c:ser>
        <c:ser>
          <c:idx val="4"/>
          <c:order val="4"/>
          <c:tx>
            <c:strRef>
              <c:f>'25'!$AL$20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18.5</c:v>
                </c:pt>
                <c:pt idx="21" formatCode="0.0">
                  <c:v>18.5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5-43BC-96C6-20B6999C8CA6}"/>
            </c:ext>
          </c:extLst>
        </c:ser>
        <c:ser>
          <c:idx val="5"/>
          <c:order val="5"/>
          <c:tx>
            <c:strRef>
              <c:f>'25'!$AL$21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5-43BC-96C6-20B6999C8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'25'!$AM$23:$BJ$23</c:f>
              <c:numCache>
                <c:formatCode>General</c:formatCode>
                <c:ptCount val="24"/>
                <c:pt idx="0">
                  <c:v>-699</c:v>
                </c:pt>
                <c:pt idx="1">
                  <c:v>-691.4</c:v>
                </c:pt>
                <c:pt idx="2">
                  <c:v>-700.4</c:v>
                </c:pt>
                <c:pt idx="3">
                  <c:v>-699</c:v>
                </c:pt>
                <c:pt idx="4">
                  <c:v>-710</c:v>
                </c:pt>
                <c:pt idx="5">
                  <c:v>-733</c:v>
                </c:pt>
                <c:pt idx="6">
                  <c:v>-693.6</c:v>
                </c:pt>
                <c:pt idx="7">
                  <c:v>-737</c:v>
                </c:pt>
                <c:pt idx="8">
                  <c:v>-743</c:v>
                </c:pt>
                <c:pt idx="9">
                  <c:v>-743</c:v>
                </c:pt>
                <c:pt idx="10">
                  <c:v>-638</c:v>
                </c:pt>
                <c:pt idx="11">
                  <c:v>-665</c:v>
                </c:pt>
                <c:pt idx="12">
                  <c:v>-654</c:v>
                </c:pt>
                <c:pt idx="13">
                  <c:v>-610</c:v>
                </c:pt>
                <c:pt idx="14">
                  <c:v>-633.19999999999993</c:v>
                </c:pt>
                <c:pt idx="15">
                  <c:v>-720.8</c:v>
                </c:pt>
                <c:pt idx="16">
                  <c:v>-696.1</c:v>
                </c:pt>
                <c:pt idx="17">
                  <c:v>-666.2</c:v>
                </c:pt>
                <c:pt idx="18">
                  <c:v>-702.7</c:v>
                </c:pt>
                <c:pt idx="19">
                  <c:v>-624.4</c:v>
                </c:pt>
                <c:pt idx="20">
                  <c:v>-547</c:v>
                </c:pt>
                <c:pt idx="21">
                  <c:v>-618</c:v>
                </c:pt>
                <c:pt idx="22">
                  <c:v>-620</c:v>
                </c:pt>
                <c:pt idx="23">
                  <c:v>-626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C5-43BC-96C6-20B6999C8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'25'!$AM$22:$BJ$22</c:f>
              <c:numCache>
                <c:formatCode>General</c:formatCode>
                <c:ptCount val="24"/>
                <c:pt idx="0">
                  <c:v>2286.94</c:v>
                </c:pt>
                <c:pt idx="1">
                  <c:v>2286.64</c:v>
                </c:pt>
                <c:pt idx="2">
                  <c:v>2267.0400000000004</c:v>
                </c:pt>
                <c:pt idx="3">
                  <c:v>2244.8400000000006</c:v>
                </c:pt>
                <c:pt idx="4">
                  <c:v>2205.34</c:v>
                </c:pt>
                <c:pt idx="5">
                  <c:v>2198.7400000000002</c:v>
                </c:pt>
                <c:pt idx="6">
                  <c:v>2190.94</c:v>
                </c:pt>
                <c:pt idx="7">
                  <c:v>2209.6400000000003</c:v>
                </c:pt>
                <c:pt idx="8">
                  <c:v>2223.2400000000007</c:v>
                </c:pt>
                <c:pt idx="9">
                  <c:v>2225.6400000000003</c:v>
                </c:pt>
                <c:pt idx="10">
                  <c:v>2242.84</c:v>
                </c:pt>
                <c:pt idx="11">
                  <c:v>2242.84</c:v>
                </c:pt>
                <c:pt idx="12">
                  <c:v>2242.84</c:v>
                </c:pt>
                <c:pt idx="13">
                  <c:v>2239.4400000000005</c:v>
                </c:pt>
                <c:pt idx="14">
                  <c:v>2386.1400000000003</c:v>
                </c:pt>
                <c:pt idx="15">
                  <c:v>2382.84</c:v>
                </c:pt>
                <c:pt idx="16">
                  <c:v>2389.5400000000004</c:v>
                </c:pt>
                <c:pt idx="17">
                  <c:v>2385.2400000000002</c:v>
                </c:pt>
                <c:pt idx="18">
                  <c:v>2326.2400000000002</c:v>
                </c:pt>
                <c:pt idx="19">
                  <c:v>2368.6</c:v>
                </c:pt>
                <c:pt idx="20">
                  <c:v>2335.2400000000002</c:v>
                </c:pt>
                <c:pt idx="21">
                  <c:v>2330.7400000000002</c:v>
                </c:pt>
                <c:pt idx="22">
                  <c:v>2302.2400000000002</c:v>
                </c:pt>
                <c:pt idx="23">
                  <c:v>2299.2400000000002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FC5-43BC-96C6-20B6999C8CA6}"/>
            </c:ext>
          </c:extLst>
        </c:ser>
        <c:ser>
          <c:idx val="8"/>
          <c:order val="8"/>
          <c:tx>
            <c:strRef>
              <c:f>'25'!$AL$24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'25'!$AM$24:$BJ$24</c:f>
              <c:numCache>
                <c:formatCode>General</c:formatCode>
                <c:ptCount val="24"/>
                <c:pt idx="0">
                  <c:v>1587.94</c:v>
                </c:pt>
                <c:pt idx="1">
                  <c:v>1595.2399999999998</c:v>
                </c:pt>
                <c:pt idx="2">
                  <c:v>1566.6400000000003</c:v>
                </c:pt>
                <c:pt idx="3">
                  <c:v>1545.8400000000006</c:v>
                </c:pt>
                <c:pt idx="4">
                  <c:v>1495.3400000000001</c:v>
                </c:pt>
                <c:pt idx="5">
                  <c:v>1465.7400000000002</c:v>
                </c:pt>
                <c:pt idx="6">
                  <c:v>1497.3400000000001</c:v>
                </c:pt>
                <c:pt idx="7">
                  <c:v>1472.6400000000003</c:v>
                </c:pt>
                <c:pt idx="8">
                  <c:v>1480.2400000000007</c:v>
                </c:pt>
                <c:pt idx="9">
                  <c:v>1482.6400000000003</c:v>
                </c:pt>
                <c:pt idx="10">
                  <c:v>1604.8400000000001</c:v>
                </c:pt>
                <c:pt idx="11">
                  <c:v>1577.8400000000001</c:v>
                </c:pt>
                <c:pt idx="12">
                  <c:v>1588.8400000000001</c:v>
                </c:pt>
                <c:pt idx="13">
                  <c:v>1629.4400000000005</c:v>
                </c:pt>
                <c:pt idx="14">
                  <c:v>1752.9400000000005</c:v>
                </c:pt>
                <c:pt idx="15">
                  <c:v>1662.0400000000002</c:v>
                </c:pt>
                <c:pt idx="16">
                  <c:v>1693.4400000000005</c:v>
                </c:pt>
                <c:pt idx="17">
                  <c:v>1719.0400000000002</c:v>
                </c:pt>
                <c:pt idx="18">
                  <c:v>1623.5400000000002</c:v>
                </c:pt>
                <c:pt idx="19">
                  <c:v>1744.1999999999998</c:v>
                </c:pt>
                <c:pt idx="20">
                  <c:v>1788.2400000000002</c:v>
                </c:pt>
                <c:pt idx="21">
                  <c:v>1712.7400000000002</c:v>
                </c:pt>
                <c:pt idx="22">
                  <c:v>1682.2400000000002</c:v>
                </c:pt>
                <c:pt idx="23">
                  <c:v>1673.2400000000002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C5-43BC-96C6-20B6999C8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96-42F8-B31E-D1611AE320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96-42F8-B31E-D1611AE320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96-42F8-B31E-D1611AE320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96-42F8-B31E-D1611AE320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B96-42F8-B31E-D1611AE3205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B96-42F8-B31E-D1611AE320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'26'!$AM$16:$BJ$16</c:f>
              <c:numCache>
                <c:formatCode>General</c:formatCode>
                <c:ptCount val="24"/>
                <c:pt idx="0">
                  <c:v>1367.3000000000004</c:v>
                </c:pt>
                <c:pt idx="1">
                  <c:v>1367.3000000000004</c:v>
                </c:pt>
                <c:pt idx="2">
                  <c:v>1367.3000000000004</c:v>
                </c:pt>
                <c:pt idx="3">
                  <c:v>1343.2000000000003</c:v>
                </c:pt>
                <c:pt idx="4">
                  <c:v>1351.2000000000003</c:v>
                </c:pt>
                <c:pt idx="5">
                  <c:v>1343.2000000000003</c:v>
                </c:pt>
                <c:pt idx="6">
                  <c:v>1258.1000000000001</c:v>
                </c:pt>
                <c:pt idx="7">
                  <c:v>1265.1000000000001</c:v>
                </c:pt>
                <c:pt idx="8">
                  <c:v>1412.8</c:v>
                </c:pt>
                <c:pt idx="9">
                  <c:v>1409.8</c:v>
                </c:pt>
                <c:pt idx="10">
                  <c:v>1336.15</c:v>
                </c:pt>
                <c:pt idx="11">
                  <c:v>1336.15</c:v>
                </c:pt>
                <c:pt idx="12">
                  <c:v>1336.15</c:v>
                </c:pt>
                <c:pt idx="13">
                  <c:v>1336.15</c:v>
                </c:pt>
                <c:pt idx="14">
                  <c:v>1366.1499999999999</c:v>
                </c:pt>
                <c:pt idx="15">
                  <c:v>1293.9000000000001</c:v>
                </c:pt>
                <c:pt idx="16">
                  <c:v>1293.8000000000002</c:v>
                </c:pt>
                <c:pt idx="17">
                  <c:v>1270.5</c:v>
                </c:pt>
                <c:pt idx="18" formatCode="0.0">
                  <c:v>1230.6000000000001</c:v>
                </c:pt>
                <c:pt idx="19" formatCode="0.0">
                  <c:v>1294.5</c:v>
                </c:pt>
                <c:pt idx="20" formatCode="0.0">
                  <c:v>1420.7</c:v>
                </c:pt>
                <c:pt idx="21" formatCode="0.0">
                  <c:v>1429.7</c:v>
                </c:pt>
                <c:pt idx="22" formatCode="0.0">
                  <c:v>1352</c:v>
                </c:pt>
                <c:pt idx="23" formatCode="0.0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6-4C14-83A9-C42F08A545DE}"/>
            </c:ext>
          </c:extLst>
        </c:ser>
        <c:ser>
          <c:idx val="2"/>
          <c:order val="1"/>
          <c:tx>
            <c:strRef>
              <c:f>'26'!$AL$17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'26'!$AM$17:$BJ$17</c:f>
              <c:numCache>
                <c:formatCode>General</c:formatCode>
                <c:ptCount val="24"/>
                <c:pt idx="0">
                  <c:v>540.29999999999995</c:v>
                </c:pt>
                <c:pt idx="1">
                  <c:v>518.29999999999995</c:v>
                </c:pt>
                <c:pt idx="2">
                  <c:v>518.29999999999995</c:v>
                </c:pt>
                <c:pt idx="3">
                  <c:v>534.29999999999995</c:v>
                </c:pt>
                <c:pt idx="4">
                  <c:v>534.29999999999995</c:v>
                </c:pt>
                <c:pt idx="5">
                  <c:v>534.29999999999995</c:v>
                </c:pt>
                <c:pt idx="6">
                  <c:v>534.29999999999995</c:v>
                </c:pt>
                <c:pt idx="7">
                  <c:v>534.29999999999995</c:v>
                </c:pt>
                <c:pt idx="8">
                  <c:v>533.79999999999995</c:v>
                </c:pt>
                <c:pt idx="9">
                  <c:v>533.79999999999995</c:v>
                </c:pt>
                <c:pt idx="10">
                  <c:v>517.79999999999995</c:v>
                </c:pt>
                <c:pt idx="11">
                  <c:v>533.79999999999995</c:v>
                </c:pt>
                <c:pt idx="12">
                  <c:v>533.79999999999995</c:v>
                </c:pt>
                <c:pt idx="13">
                  <c:v>533.79999999999995</c:v>
                </c:pt>
                <c:pt idx="14">
                  <c:v>534</c:v>
                </c:pt>
                <c:pt idx="15">
                  <c:v>540</c:v>
                </c:pt>
                <c:pt idx="16">
                  <c:v>540</c:v>
                </c:pt>
                <c:pt idx="17">
                  <c:v>540</c:v>
                </c:pt>
                <c:pt idx="18" formatCode="0.0">
                  <c:v>540.20000000000005</c:v>
                </c:pt>
                <c:pt idx="19" formatCode="0.0">
                  <c:v>540.20000000000005</c:v>
                </c:pt>
                <c:pt idx="20" formatCode="0.0">
                  <c:v>540.20000000000005</c:v>
                </c:pt>
                <c:pt idx="21" formatCode="0.0">
                  <c:v>540.20000000000005</c:v>
                </c:pt>
                <c:pt idx="22" formatCode="0.0">
                  <c:v>540.20000000000005</c:v>
                </c:pt>
                <c:pt idx="23" formatCode="0.0">
                  <c:v>540.20000000000005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6-4C14-83A9-C42F08A545DE}"/>
            </c:ext>
          </c:extLst>
        </c:ser>
        <c:ser>
          <c:idx val="3"/>
          <c:order val="2"/>
          <c:tx>
            <c:strRef>
              <c:f>'26'!$AL$18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'26'!$AM$18:$BJ$18</c:f>
              <c:numCache>
                <c:formatCode>General</c:formatCode>
                <c:ptCount val="24"/>
                <c:pt idx="0">
                  <c:v>395.14</c:v>
                </c:pt>
                <c:pt idx="1">
                  <c:v>380.03999999999996</c:v>
                </c:pt>
                <c:pt idx="2">
                  <c:v>380.03999999999996</c:v>
                </c:pt>
                <c:pt idx="3">
                  <c:v>326.44</c:v>
                </c:pt>
                <c:pt idx="4">
                  <c:v>332.44</c:v>
                </c:pt>
                <c:pt idx="5">
                  <c:v>362.44</c:v>
                </c:pt>
                <c:pt idx="6">
                  <c:v>375.04</c:v>
                </c:pt>
                <c:pt idx="7">
                  <c:v>352.44</c:v>
                </c:pt>
                <c:pt idx="8">
                  <c:v>380.69000000000005</c:v>
                </c:pt>
                <c:pt idx="9">
                  <c:v>380.69000000000005</c:v>
                </c:pt>
                <c:pt idx="10">
                  <c:v>370.74</c:v>
                </c:pt>
                <c:pt idx="11">
                  <c:v>370.74</c:v>
                </c:pt>
                <c:pt idx="12">
                  <c:v>370.74</c:v>
                </c:pt>
                <c:pt idx="13">
                  <c:v>370.74</c:v>
                </c:pt>
                <c:pt idx="14">
                  <c:v>370.03999999999996</c:v>
                </c:pt>
                <c:pt idx="15">
                  <c:v>369.34</c:v>
                </c:pt>
                <c:pt idx="16">
                  <c:v>370.03999999999996</c:v>
                </c:pt>
                <c:pt idx="17">
                  <c:v>274.04000000000002</c:v>
                </c:pt>
                <c:pt idx="18" formatCode="0.0">
                  <c:v>394.83999999999992</c:v>
                </c:pt>
                <c:pt idx="19" formatCode="0.0">
                  <c:v>390.79999999999995</c:v>
                </c:pt>
                <c:pt idx="20" formatCode="0.0">
                  <c:v>401.14</c:v>
                </c:pt>
                <c:pt idx="21" formatCode="0.0">
                  <c:v>405.24</c:v>
                </c:pt>
                <c:pt idx="22" formatCode="0.0">
                  <c:v>342.74</c:v>
                </c:pt>
                <c:pt idx="23" formatCode="0.0">
                  <c:v>337.24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6-4C14-83A9-C42F08A545DE}"/>
            </c:ext>
          </c:extLst>
        </c:ser>
        <c:ser>
          <c:idx val="0"/>
          <c:order val="3"/>
          <c:tx>
            <c:strRef>
              <c:f>'26'!$AL$19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A6-4C14-83A9-C42F08A545DE}"/>
            </c:ext>
          </c:extLst>
        </c:ser>
        <c:ser>
          <c:idx val="4"/>
          <c:order val="4"/>
          <c:tx>
            <c:strRef>
              <c:f>'26'!$AL$20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-37.6</c:v>
                </c:pt>
                <c:pt idx="11">
                  <c:v>21.95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A6-4C14-83A9-C42F08A545DE}"/>
            </c:ext>
          </c:extLst>
        </c:ser>
        <c:ser>
          <c:idx val="5"/>
          <c:order val="5"/>
          <c:tx>
            <c:strRef>
              <c:f>'26'!$AL$21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A6-4C14-83A9-C42F08A5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'26'!$AM$23:$BJ$23</c:f>
              <c:numCache>
                <c:formatCode>General</c:formatCode>
                <c:ptCount val="24"/>
                <c:pt idx="0">
                  <c:v>-662</c:v>
                </c:pt>
                <c:pt idx="1">
                  <c:v>-629</c:v>
                </c:pt>
                <c:pt idx="2">
                  <c:v>-658</c:v>
                </c:pt>
                <c:pt idx="3">
                  <c:v>-725.1</c:v>
                </c:pt>
                <c:pt idx="4">
                  <c:v>-730</c:v>
                </c:pt>
                <c:pt idx="5">
                  <c:v>-762</c:v>
                </c:pt>
                <c:pt idx="6">
                  <c:v>-744.5</c:v>
                </c:pt>
                <c:pt idx="7">
                  <c:v>-733</c:v>
                </c:pt>
                <c:pt idx="8">
                  <c:v>-704.3</c:v>
                </c:pt>
                <c:pt idx="9">
                  <c:v>-708.8</c:v>
                </c:pt>
                <c:pt idx="10">
                  <c:v>-667.6</c:v>
                </c:pt>
                <c:pt idx="11">
                  <c:v>-713.6</c:v>
                </c:pt>
                <c:pt idx="12">
                  <c:v>-677</c:v>
                </c:pt>
                <c:pt idx="13">
                  <c:v>-750</c:v>
                </c:pt>
                <c:pt idx="14">
                  <c:v>-745.8</c:v>
                </c:pt>
                <c:pt idx="15">
                  <c:v>-681.7</c:v>
                </c:pt>
                <c:pt idx="16">
                  <c:v>-691.6</c:v>
                </c:pt>
                <c:pt idx="17">
                  <c:v>-691.6</c:v>
                </c:pt>
                <c:pt idx="18">
                  <c:v>-736.6</c:v>
                </c:pt>
                <c:pt idx="19">
                  <c:v>-660</c:v>
                </c:pt>
                <c:pt idx="20">
                  <c:v>-680.4</c:v>
                </c:pt>
                <c:pt idx="21">
                  <c:v>-708.6</c:v>
                </c:pt>
                <c:pt idx="22">
                  <c:v>-693.7</c:v>
                </c:pt>
                <c:pt idx="23">
                  <c:v>-702.2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A6-4C14-83A9-C42F08A5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'26'!$AM$22:$BJ$22</c:f>
              <c:numCache>
                <c:formatCode>General</c:formatCode>
                <c:ptCount val="24"/>
                <c:pt idx="0">
                  <c:v>2302.7400000000002</c:v>
                </c:pt>
                <c:pt idx="1">
                  <c:v>2265.6400000000003</c:v>
                </c:pt>
                <c:pt idx="2">
                  <c:v>2265.6400000000003</c:v>
                </c:pt>
                <c:pt idx="3">
                  <c:v>2203.94</c:v>
                </c:pt>
                <c:pt idx="4">
                  <c:v>2217.94</c:v>
                </c:pt>
                <c:pt idx="5">
                  <c:v>2239.94</c:v>
                </c:pt>
                <c:pt idx="6">
                  <c:v>2167.44</c:v>
                </c:pt>
                <c:pt idx="7">
                  <c:v>2151.84</c:v>
                </c:pt>
                <c:pt idx="8">
                  <c:v>2327.29</c:v>
                </c:pt>
                <c:pt idx="9">
                  <c:v>2324.29</c:v>
                </c:pt>
                <c:pt idx="10">
                  <c:v>2187.09</c:v>
                </c:pt>
                <c:pt idx="11">
                  <c:v>2262.64</c:v>
                </c:pt>
                <c:pt idx="12">
                  <c:v>2240.69</c:v>
                </c:pt>
                <c:pt idx="13">
                  <c:v>2240.69</c:v>
                </c:pt>
                <c:pt idx="14">
                  <c:v>2270.1899999999996</c:v>
                </c:pt>
                <c:pt idx="15">
                  <c:v>2203.2400000000002</c:v>
                </c:pt>
                <c:pt idx="16">
                  <c:v>2203.84</c:v>
                </c:pt>
                <c:pt idx="17">
                  <c:v>2084.54</c:v>
                </c:pt>
                <c:pt idx="18">
                  <c:v>2165.6400000000003</c:v>
                </c:pt>
                <c:pt idx="19">
                  <c:v>2225.5</c:v>
                </c:pt>
                <c:pt idx="20">
                  <c:v>2362.04</c:v>
                </c:pt>
                <c:pt idx="21">
                  <c:v>2375.1400000000003</c:v>
                </c:pt>
                <c:pt idx="22">
                  <c:v>2234.94</c:v>
                </c:pt>
                <c:pt idx="23">
                  <c:v>2216.44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6A6-4C14-83A9-C42F08A545DE}"/>
            </c:ext>
          </c:extLst>
        </c:ser>
        <c:ser>
          <c:idx val="8"/>
          <c:order val="8"/>
          <c:tx>
            <c:strRef>
              <c:f>'26'!$AL$24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'26'!$AM$24:$BJ$24</c:f>
              <c:numCache>
                <c:formatCode>General</c:formatCode>
                <c:ptCount val="24"/>
                <c:pt idx="0">
                  <c:v>1640.7400000000002</c:v>
                </c:pt>
                <c:pt idx="1">
                  <c:v>1636.6400000000003</c:v>
                </c:pt>
                <c:pt idx="2">
                  <c:v>1607.6400000000003</c:v>
                </c:pt>
                <c:pt idx="3">
                  <c:v>1478.8400000000001</c:v>
                </c:pt>
                <c:pt idx="4">
                  <c:v>1487.94</c:v>
                </c:pt>
                <c:pt idx="5">
                  <c:v>1477.94</c:v>
                </c:pt>
                <c:pt idx="6">
                  <c:v>1422.94</c:v>
                </c:pt>
                <c:pt idx="7">
                  <c:v>1418.8400000000001</c:v>
                </c:pt>
                <c:pt idx="8">
                  <c:v>1622.99</c:v>
                </c:pt>
                <c:pt idx="9">
                  <c:v>1615.49</c:v>
                </c:pt>
                <c:pt idx="10">
                  <c:v>1519.4900000000002</c:v>
                </c:pt>
                <c:pt idx="11">
                  <c:v>1549.04</c:v>
                </c:pt>
                <c:pt idx="12">
                  <c:v>1563.69</c:v>
                </c:pt>
                <c:pt idx="13">
                  <c:v>1490.69</c:v>
                </c:pt>
                <c:pt idx="14">
                  <c:v>1524.3899999999996</c:v>
                </c:pt>
                <c:pt idx="15">
                  <c:v>1521.5400000000002</c:v>
                </c:pt>
                <c:pt idx="16">
                  <c:v>1512.2400000000002</c:v>
                </c:pt>
                <c:pt idx="17">
                  <c:v>1392.94</c:v>
                </c:pt>
                <c:pt idx="18">
                  <c:v>1429.0400000000004</c:v>
                </c:pt>
                <c:pt idx="19">
                  <c:v>1565.5</c:v>
                </c:pt>
                <c:pt idx="20">
                  <c:v>1681.6399999999999</c:v>
                </c:pt>
                <c:pt idx="21">
                  <c:v>1666.5400000000004</c:v>
                </c:pt>
                <c:pt idx="22">
                  <c:v>1541.24</c:v>
                </c:pt>
                <c:pt idx="23">
                  <c:v>1514.24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A6-4C14-83A9-C42F08A5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3F-40BF-890A-29B7CDA303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3F-40BF-890A-29B7CDA303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3F-40BF-890A-29B7CDA303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3F-40BF-890A-29B7CDA303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3F-40BF-890A-29B7CDA303E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03F-40BF-890A-29B7CDA303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'27'!$AM$16:$BJ$16</c:f>
              <c:numCache>
                <c:formatCode>General</c:formatCode>
                <c:ptCount val="24"/>
                <c:pt idx="0">
                  <c:v>1355.8</c:v>
                </c:pt>
                <c:pt idx="1">
                  <c:v>1353.8</c:v>
                </c:pt>
                <c:pt idx="2">
                  <c:v>1330.3000000000002</c:v>
                </c:pt>
                <c:pt idx="3">
                  <c:v>1292.9000000000001</c:v>
                </c:pt>
                <c:pt idx="4">
                  <c:v>1235</c:v>
                </c:pt>
                <c:pt idx="5">
                  <c:v>1273.4000000000001</c:v>
                </c:pt>
                <c:pt idx="6">
                  <c:v>1234.7000000000003</c:v>
                </c:pt>
                <c:pt idx="7">
                  <c:v>1312.3000000000002</c:v>
                </c:pt>
                <c:pt idx="8">
                  <c:v>1389.3000000000002</c:v>
                </c:pt>
                <c:pt idx="9">
                  <c:v>1389.3000000000002</c:v>
                </c:pt>
                <c:pt idx="10">
                  <c:v>1389.3000000000002</c:v>
                </c:pt>
                <c:pt idx="11">
                  <c:v>1318.4</c:v>
                </c:pt>
                <c:pt idx="12">
                  <c:v>1362.4</c:v>
                </c:pt>
                <c:pt idx="13">
                  <c:v>1362.3</c:v>
                </c:pt>
                <c:pt idx="14">
                  <c:v>1373.0000000000002</c:v>
                </c:pt>
                <c:pt idx="15">
                  <c:v>1344.1</c:v>
                </c:pt>
                <c:pt idx="16">
                  <c:v>1318.2</c:v>
                </c:pt>
                <c:pt idx="17">
                  <c:v>1306.2</c:v>
                </c:pt>
                <c:pt idx="18" formatCode="0.0">
                  <c:v>1240.9000000000001</c:v>
                </c:pt>
                <c:pt idx="19" formatCode="0.0">
                  <c:v>1317.9</c:v>
                </c:pt>
                <c:pt idx="20" formatCode="0.0">
                  <c:v>1434.4</c:v>
                </c:pt>
                <c:pt idx="21" formatCode="0.0">
                  <c:v>1334.3000000000002</c:v>
                </c:pt>
                <c:pt idx="22" formatCode="0.0">
                  <c:v>1312.6000000000001</c:v>
                </c:pt>
                <c:pt idx="23" formatCode="0.0">
                  <c:v>1291.4000000000001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A-4F87-96FD-9EE4EFFAFB8E}"/>
            </c:ext>
          </c:extLst>
        </c:ser>
        <c:ser>
          <c:idx val="2"/>
          <c:order val="1"/>
          <c:tx>
            <c:strRef>
              <c:f>'27'!$AL$17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'27'!$AM$17:$BJ$17</c:f>
              <c:numCache>
                <c:formatCode>General</c:formatCode>
                <c:ptCount val="24"/>
                <c:pt idx="0">
                  <c:v>541.1</c:v>
                </c:pt>
                <c:pt idx="1">
                  <c:v>541.1</c:v>
                </c:pt>
                <c:pt idx="2">
                  <c:v>541.1</c:v>
                </c:pt>
                <c:pt idx="3">
                  <c:v>540.20000000000005</c:v>
                </c:pt>
                <c:pt idx="4">
                  <c:v>517.70000000000005</c:v>
                </c:pt>
                <c:pt idx="5">
                  <c:v>517.70000000000005</c:v>
                </c:pt>
                <c:pt idx="6">
                  <c:v>517.70000000000005</c:v>
                </c:pt>
                <c:pt idx="7">
                  <c:v>517.70000000000005</c:v>
                </c:pt>
                <c:pt idx="8">
                  <c:v>517.70000000000005</c:v>
                </c:pt>
                <c:pt idx="9">
                  <c:v>539.70000000000005</c:v>
                </c:pt>
                <c:pt idx="10">
                  <c:v>539.70000000000005</c:v>
                </c:pt>
                <c:pt idx="11">
                  <c:v>539.70000000000005</c:v>
                </c:pt>
                <c:pt idx="12">
                  <c:v>539.70000000000005</c:v>
                </c:pt>
                <c:pt idx="13">
                  <c:v>539.70000000000005</c:v>
                </c:pt>
                <c:pt idx="14">
                  <c:v>539.9</c:v>
                </c:pt>
                <c:pt idx="15">
                  <c:v>539.9</c:v>
                </c:pt>
                <c:pt idx="16">
                  <c:v>539.9</c:v>
                </c:pt>
                <c:pt idx="17">
                  <c:v>539.9</c:v>
                </c:pt>
                <c:pt idx="18" formatCode="0.0">
                  <c:v>540.6</c:v>
                </c:pt>
                <c:pt idx="19" formatCode="0.0">
                  <c:v>540.6</c:v>
                </c:pt>
                <c:pt idx="20" formatCode="0.0">
                  <c:v>540.6</c:v>
                </c:pt>
                <c:pt idx="21" formatCode="0.0">
                  <c:v>540.6</c:v>
                </c:pt>
                <c:pt idx="22" formatCode="0.0">
                  <c:v>540.6</c:v>
                </c:pt>
                <c:pt idx="23" formatCode="0.0">
                  <c:v>540.6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A-4F87-96FD-9EE4EFFAFB8E}"/>
            </c:ext>
          </c:extLst>
        </c:ser>
        <c:ser>
          <c:idx val="3"/>
          <c:order val="2"/>
          <c:tx>
            <c:strRef>
              <c:f>'27'!$AL$18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'27'!$AM$18:$BJ$18</c:f>
              <c:numCache>
                <c:formatCode>General</c:formatCode>
                <c:ptCount val="24"/>
                <c:pt idx="0">
                  <c:v>305.64000000000004</c:v>
                </c:pt>
                <c:pt idx="1">
                  <c:v>245.54</c:v>
                </c:pt>
                <c:pt idx="2">
                  <c:v>272.54000000000002</c:v>
                </c:pt>
                <c:pt idx="3">
                  <c:v>246.83999999999997</c:v>
                </c:pt>
                <c:pt idx="4">
                  <c:v>315.74000000000007</c:v>
                </c:pt>
                <c:pt idx="5">
                  <c:v>330.44000000000005</c:v>
                </c:pt>
                <c:pt idx="6">
                  <c:v>344.84000000000003</c:v>
                </c:pt>
                <c:pt idx="7">
                  <c:v>332.64000000000004</c:v>
                </c:pt>
                <c:pt idx="8">
                  <c:v>356.84000000000003</c:v>
                </c:pt>
                <c:pt idx="9">
                  <c:v>372.44</c:v>
                </c:pt>
                <c:pt idx="10">
                  <c:v>269.34000000000003</c:v>
                </c:pt>
                <c:pt idx="11">
                  <c:v>396.84</c:v>
                </c:pt>
                <c:pt idx="12">
                  <c:v>319.23999999999995</c:v>
                </c:pt>
                <c:pt idx="13">
                  <c:v>319.53999999999996</c:v>
                </c:pt>
                <c:pt idx="14">
                  <c:v>387.44</c:v>
                </c:pt>
                <c:pt idx="15">
                  <c:v>383.74</c:v>
                </c:pt>
                <c:pt idx="16">
                  <c:v>384.34000000000003</c:v>
                </c:pt>
                <c:pt idx="17">
                  <c:v>382.54</c:v>
                </c:pt>
                <c:pt idx="18" formatCode="0.0">
                  <c:v>381.84</c:v>
                </c:pt>
                <c:pt idx="19" formatCode="0.0">
                  <c:v>381.03999999999996</c:v>
                </c:pt>
                <c:pt idx="20" formatCode="0.0">
                  <c:v>393.34</c:v>
                </c:pt>
                <c:pt idx="21" formatCode="0.0">
                  <c:v>402.24</c:v>
                </c:pt>
                <c:pt idx="22" formatCode="0.0">
                  <c:v>402.24</c:v>
                </c:pt>
                <c:pt idx="23" formatCode="0.0">
                  <c:v>395.44000000000005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A-4F87-96FD-9EE4EFFAFB8E}"/>
            </c:ext>
          </c:extLst>
        </c:ser>
        <c:ser>
          <c:idx val="0"/>
          <c:order val="3"/>
          <c:tx>
            <c:strRef>
              <c:f>'27'!$AL$19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22</c:v>
                </c:pt>
                <c:pt idx="2">
                  <c:v>0</c:v>
                </c:pt>
                <c:pt idx="3">
                  <c:v>14.3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2A-4F87-96FD-9EE4EFFAFB8E}"/>
            </c:ext>
          </c:extLst>
        </c:ser>
        <c:ser>
          <c:idx val="4"/>
          <c:order val="4"/>
          <c:tx>
            <c:strRef>
              <c:f>'27'!$AL$20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2A-4F87-96FD-9EE4EFFAFB8E}"/>
            </c:ext>
          </c:extLst>
        </c:ser>
        <c:ser>
          <c:idx val="5"/>
          <c:order val="5"/>
          <c:tx>
            <c:strRef>
              <c:f>'27'!$AL$21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2A-4F87-96FD-9EE4EFFAF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'27'!$AM$23:$BJ$23</c:f>
              <c:numCache>
                <c:formatCode>General</c:formatCode>
                <c:ptCount val="24"/>
                <c:pt idx="0">
                  <c:v>-721.9</c:v>
                </c:pt>
                <c:pt idx="1">
                  <c:v>-693</c:v>
                </c:pt>
                <c:pt idx="2">
                  <c:v>-677.9</c:v>
                </c:pt>
                <c:pt idx="3">
                  <c:v>-653.9</c:v>
                </c:pt>
                <c:pt idx="4">
                  <c:v>-660</c:v>
                </c:pt>
                <c:pt idx="5">
                  <c:v>-725.2</c:v>
                </c:pt>
                <c:pt idx="6">
                  <c:v>-744.3</c:v>
                </c:pt>
                <c:pt idx="7">
                  <c:v>-679.6</c:v>
                </c:pt>
                <c:pt idx="8">
                  <c:v>-684.5</c:v>
                </c:pt>
                <c:pt idx="9">
                  <c:v>-697.9</c:v>
                </c:pt>
                <c:pt idx="10">
                  <c:v>-673.1</c:v>
                </c:pt>
                <c:pt idx="11">
                  <c:v>-680.2</c:v>
                </c:pt>
                <c:pt idx="12">
                  <c:v>-704.3</c:v>
                </c:pt>
                <c:pt idx="13">
                  <c:v>-717.2</c:v>
                </c:pt>
                <c:pt idx="14">
                  <c:v>-726.6</c:v>
                </c:pt>
                <c:pt idx="15">
                  <c:v>-724.59999999999991</c:v>
                </c:pt>
                <c:pt idx="16">
                  <c:v>-724.04</c:v>
                </c:pt>
                <c:pt idx="17">
                  <c:v>-743.6</c:v>
                </c:pt>
                <c:pt idx="18">
                  <c:v>-734.5</c:v>
                </c:pt>
                <c:pt idx="19">
                  <c:v>-701.9</c:v>
                </c:pt>
                <c:pt idx="20">
                  <c:v>-702.9</c:v>
                </c:pt>
                <c:pt idx="21">
                  <c:v>-721.5</c:v>
                </c:pt>
                <c:pt idx="22">
                  <c:v>-773</c:v>
                </c:pt>
                <c:pt idx="23">
                  <c:v>-761.8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2A-4F87-96FD-9EE4EFFAF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'27'!$AM$22:$BJ$22</c:f>
              <c:numCache>
                <c:formatCode>General</c:formatCode>
                <c:ptCount val="24"/>
                <c:pt idx="0">
                  <c:v>2202.54</c:v>
                </c:pt>
                <c:pt idx="1">
                  <c:v>2162.44</c:v>
                </c:pt>
                <c:pt idx="2">
                  <c:v>2143.94</c:v>
                </c:pt>
                <c:pt idx="3">
                  <c:v>2094.2400000000002</c:v>
                </c:pt>
                <c:pt idx="4">
                  <c:v>2074.44</c:v>
                </c:pt>
                <c:pt idx="5">
                  <c:v>2121.54</c:v>
                </c:pt>
                <c:pt idx="6">
                  <c:v>2097.2400000000002</c:v>
                </c:pt>
                <c:pt idx="7">
                  <c:v>2162.6400000000003</c:v>
                </c:pt>
                <c:pt idx="8">
                  <c:v>2263.84</c:v>
                </c:pt>
                <c:pt idx="9">
                  <c:v>2301.44</c:v>
                </c:pt>
                <c:pt idx="10">
                  <c:v>2198.34</c:v>
                </c:pt>
                <c:pt idx="11">
                  <c:v>2254.94</c:v>
                </c:pt>
                <c:pt idx="12">
                  <c:v>2221.34</c:v>
                </c:pt>
                <c:pt idx="13">
                  <c:v>2221.54</c:v>
                </c:pt>
                <c:pt idx="14">
                  <c:v>2300.34</c:v>
                </c:pt>
                <c:pt idx="15">
                  <c:v>2267.7399999999998</c:v>
                </c:pt>
                <c:pt idx="16">
                  <c:v>2242.44</c:v>
                </c:pt>
                <c:pt idx="17">
                  <c:v>2228.64</c:v>
                </c:pt>
                <c:pt idx="18">
                  <c:v>2163.34</c:v>
                </c:pt>
                <c:pt idx="19">
                  <c:v>2239.54</c:v>
                </c:pt>
                <c:pt idx="20">
                  <c:v>2368.34</c:v>
                </c:pt>
                <c:pt idx="21">
                  <c:v>2277.1400000000003</c:v>
                </c:pt>
                <c:pt idx="22">
                  <c:v>2255.4400000000005</c:v>
                </c:pt>
                <c:pt idx="23">
                  <c:v>2227.44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82A-4F87-96FD-9EE4EFFAFB8E}"/>
            </c:ext>
          </c:extLst>
        </c:ser>
        <c:ser>
          <c:idx val="8"/>
          <c:order val="8"/>
          <c:tx>
            <c:strRef>
              <c:f>'27'!$AL$24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'27'!$AM$24:$BJ$24</c:f>
              <c:numCache>
                <c:formatCode>General</c:formatCode>
                <c:ptCount val="24"/>
                <c:pt idx="0">
                  <c:v>1480.6399999999999</c:v>
                </c:pt>
                <c:pt idx="1">
                  <c:v>1469.44</c:v>
                </c:pt>
                <c:pt idx="2">
                  <c:v>1466.04</c:v>
                </c:pt>
                <c:pt idx="3">
                  <c:v>1440.3400000000001</c:v>
                </c:pt>
                <c:pt idx="4">
                  <c:v>1414.44</c:v>
                </c:pt>
                <c:pt idx="5">
                  <c:v>1396.34</c:v>
                </c:pt>
                <c:pt idx="6">
                  <c:v>1352.9400000000003</c:v>
                </c:pt>
                <c:pt idx="7">
                  <c:v>1483.0400000000004</c:v>
                </c:pt>
                <c:pt idx="8">
                  <c:v>1579.3400000000001</c:v>
                </c:pt>
                <c:pt idx="9">
                  <c:v>1603.54</c:v>
                </c:pt>
                <c:pt idx="10">
                  <c:v>1525.2400000000002</c:v>
                </c:pt>
                <c:pt idx="11">
                  <c:v>1574.74</c:v>
                </c:pt>
                <c:pt idx="12">
                  <c:v>1517.0400000000002</c:v>
                </c:pt>
                <c:pt idx="13">
                  <c:v>1504.34</c:v>
                </c:pt>
                <c:pt idx="14">
                  <c:v>1573.7400000000002</c:v>
                </c:pt>
                <c:pt idx="15">
                  <c:v>1543.1399999999999</c:v>
                </c:pt>
                <c:pt idx="16">
                  <c:v>1518.4</c:v>
                </c:pt>
                <c:pt idx="17">
                  <c:v>1485.04</c:v>
                </c:pt>
                <c:pt idx="18">
                  <c:v>1428.8400000000001</c:v>
                </c:pt>
                <c:pt idx="19">
                  <c:v>1537.6399999999999</c:v>
                </c:pt>
                <c:pt idx="20">
                  <c:v>1665.44</c:v>
                </c:pt>
                <c:pt idx="21">
                  <c:v>1555.6400000000003</c:v>
                </c:pt>
                <c:pt idx="22">
                  <c:v>1482.4400000000005</c:v>
                </c:pt>
                <c:pt idx="23">
                  <c:v>1465.64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2A-4F87-96FD-9EE4EFFAF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52-4A88-BD7B-BB303E132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52-4A88-BD7B-BB303E132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52-4A88-BD7B-BB303E132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152-4A88-BD7B-BB303E132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152-4A88-BD7B-BB303E132CC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152-4A88-BD7B-BB303E132CC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'28'!$AM$16:$BJ$16</c:f>
              <c:numCache>
                <c:formatCode>General</c:formatCode>
                <c:ptCount val="24"/>
                <c:pt idx="0">
                  <c:v>1254.8000000000002</c:v>
                </c:pt>
                <c:pt idx="1">
                  <c:v>1207.8000000000002</c:v>
                </c:pt>
                <c:pt idx="2">
                  <c:v>1121.3000000000002</c:v>
                </c:pt>
                <c:pt idx="3">
                  <c:v>1103.4000000000001</c:v>
                </c:pt>
                <c:pt idx="4">
                  <c:v>1097.3000000000002</c:v>
                </c:pt>
                <c:pt idx="5">
                  <c:v>1033.7</c:v>
                </c:pt>
                <c:pt idx="6">
                  <c:v>1097.5</c:v>
                </c:pt>
                <c:pt idx="7">
                  <c:v>1168.0999999999999</c:v>
                </c:pt>
                <c:pt idx="8">
                  <c:v>1221.3</c:v>
                </c:pt>
                <c:pt idx="9">
                  <c:v>1177.2</c:v>
                </c:pt>
                <c:pt idx="10">
                  <c:v>1211.3000000000002</c:v>
                </c:pt>
                <c:pt idx="11">
                  <c:v>1282.4000000000001</c:v>
                </c:pt>
                <c:pt idx="12">
                  <c:v>1234.4000000000001</c:v>
                </c:pt>
                <c:pt idx="13">
                  <c:v>1213.4000000000001</c:v>
                </c:pt>
                <c:pt idx="14">
                  <c:v>1186.2</c:v>
                </c:pt>
                <c:pt idx="15">
                  <c:v>1175.4000000000001</c:v>
                </c:pt>
                <c:pt idx="16">
                  <c:v>1188.5</c:v>
                </c:pt>
                <c:pt idx="17">
                  <c:v>1188.5</c:v>
                </c:pt>
                <c:pt idx="18" formatCode="0.0">
                  <c:v>1185.5999999999999</c:v>
                </c:pt>
                <c:pt idx="19" formatCode="0.0">
                  <c:v>1181.5999999999999</c:v>
                </c:pt>
                <c:pt idx="20" formatCode="0.0">
                  <c:v>1353.7</c:v>
                </c:pt>
                <c:pt idx="21" formatCode="0.0">
                  <c:v>1312.1000000000001</c:v>
                </c:pt>
                <c:pt idx="22" formatCode="0.0">
                  <c:v>1312.1000000000001</c:v>
                </c:pt>
                <c:pt idx="23" formatCode="0.0">
                  <c:v>1180.9000000000001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C-4B5E-8B13-F79A03997256}"/>
            </c:ext>
          </c:extLst>
        </c:ser>
        <c:ser>
          <c:idx val="2"/>
          <c:order val="1"/>
          <c:tx>
            <c:strRef>
              <c:f>'28'!$AL$17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'28'!$AM$17:$BJ$17</c:f>
              <c:numCache>
                <c:formatCode>General</c:formatCode>
                <c:ptCount val="24"/>
                <c:pt idx="0">
                  <c:v>541.29999999999995</c:v>
                </c:pt>
                <c:pt idx="1">
                  <c:v>541.29999999999995</c:v>
                </c:pt>
                <c:pt idx="2">
                  <c:v>541.29999999999995</c:v>
                </c:pt>
                <c:pt idx="3">
                  <c:v>541.29999999999995</c:v>
                </c:pt>
                <c:pt idx="4">
                  <c:v>538</c:v>
                </c:pt>
                <c:pt idx="5">
                  <c:v>538</c:v>
                </c:pt>
                <c:pt idx="6">
                  <c:v>538</c:v>
                </c:pt>
                <c:pt idx="7">
                  <c:v>538</c:v>
                </c:pt>
                <c:pt idx="8">
                  <c:v>538</c:v>
                </c:pt>
                <c:pt idx="9">
                  <c:v>538</c:v>
                </c:pt>
                <c:pt idx="10">
                  <c:v>538</c:v>
                </c:pt>
                <c:pt idx="11">
                  <c:v>538</c:v>
                </c:pt>
                <c:pt idx="12">
                  <c:v>538</c:v>
                </c:pt>
                <c:pt idx="13">
                  <c:v>538</c:v>
                </c:pt>
                <c:pt idx="14">
                  <c:v>538</c:v>
                </c:pt>
                <c:pt idx="15">
                  <c:v>538</c:v>
                </c:pt>
                <c:pt idx="16">
                  <c:v>538</c:v>
                </c:pt>
                <c:pt idx="17">
                  <c:v>538</c:v>
                </c:pt>
                <c:pt idx="18" formatCode="0.0">
                  <c:v>538</c:v>
                </c:pt>
                <c:pt idx="19" formatCode="0.0">
                  <c:v>538</c:v>
                </c:pt>
                <c:pt idx="20" formatCode="0.0">
                  <c:v>538</c:v>
                </c:pt>
                <c:pt idx="21" formatCode="0.0">
                  <c:v>538</c:v>
                </c:pt>
                <c:pt idx="22" formatCode="0.0">
                  <c:v>538</c:v>
                </c:pt>
                <c:pt idx="23" formatCode="0.0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C-4B5E-8B13-F79A03997256}"/>
            </c:ext>
          </c:extLst>
        </c:ser>
        <c:ser>
          <c:idx val="3"/>
          <c:order val="2"/>
          <c:tx>
            <c:strRef>
              <c:f>'28'!$AL$18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'28'!$AM$18:$BJ$18</c:f>
              <c:numCache>
                <c:formatCode>General</c:formatCode>
                <c:ptCount val="24"/>
                <c:pt idx="0">
                  <c:v>395.44000000000005</c:v>
                </c:pt>
                <c:pt idx="1">
                  <c:v>363.64000000000004</c:v>
                </c:pt>
                <c:pt idx="2">
                  <c:v>375.44000000000005</c:v>
                </c:pt>
                <c:pt idx="3">
                  <c:v>375.34</c:v>
                </c:pt>
                <c:pt idx="4">
                  <c:v>336.73999999999995</c:v>
                </c:pt>
                <c:pt idx="5">
                  <c:v>367.84</c:v>
                </c:pt>
                <c:pt idx="6">
                  <c:v>331.94</c:v>
                </c:pt>
                <c:pt idx="7">
                  <c:v>355.84</c:v>
                </c:pt>
                <c:pt idx="8">
                  <c:v>363.54000000000008</c:v>
                </c:pt>
                <c:pt idx="9">
                  <c:v>346.44000000000005</c:v>
                </c:pt>
                <c:pt idx="10">
                  <c:v>269.34000000000003</c:v>
                </c:pt>
                <c:pt idx="11">
                  <c:v>282.54000000000002</c:v>
                </c:pt>
                <c:pt idx="12">
                  <c:v>355.44000000000005</c:v>
                </c:pt>
                <c:pt idx="13">
                  <c:v>337.74000000000007</c:v>
                </c:pt>
                <c:pt idx="14">
                  <c:v>336.6400000000001</c:v>
                </c:pt>
                <c:pt idx="15">
                  <c:v>344.54000000000008</c:v>
                </c:pt>
                <c:pt idx="16">
                  <c:v>333.84000000000003</c:v>
                </c:pt>
                <c:pt idx="17">
                  <c:v>353.34000000000003</c:v>
                </c:pt>
                <c:pt idx="18" formatCode="0.0">
                  <c:v>381.04</c:v>
                </c:pt>
                <c:pt idx="19" formatCode="0.0">
                  <c:v>391.49999999999994</c:v>
                </c:pt>
                <c:pt idx="20" formatCode="0.0">
                  <c:v>395.29999999999995</c:v>
                </c:pt>
                <c:pt idx="21" formatCode="0.0">
                  <c:v>395.29999999999995</c:v>
                </c:pt>
                <c:pt idx="22" formatCode="0.0">
                  <c:v>395.29999999999995</c:v>
                </c:pt>
                <c:pt idx="23" formatCode="0.0">
                  <c:v>405.29999999999995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C-4B5E-8B13-F79A03997256}"/>
            </c:ext>
          </c:extLst>
        </c:ser>
        <c:ser>
          <c:idx val="0"/>
          <c:order val="3"/>
          <c:tx>
            <c:strRef>
              <c:f>'28'!$AL$19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DC-4B5E-8B13-F79A03997256}"/>
            </c:ext>
          </c:extLst>
        </c:ser>
        <c:ser>
          <c:idx val="4"/>
          <c:order val="4"/>
          <c:tx>
            <c:strRef>
              <c:f>'28'!$AL$20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DC-4B5E-8B13-F79A03997256}"/>
            </c:ext>
          </c:extLst>
        </c:ser>
        <c:ser>
          <c:idx val="5"/>
          <c:order val="5"/>
          <c:tx>
            <c:strRef>
              <c:f>'28'!$AL$21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DC-4B5E-8B13-F79A0399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'28'!$AM$23:$BJ$23</c:f>
              <c:numCache>
                <c:formatCode>General</c:formatCode>
                <c:ptCount val="24"/>
                <c:pt idx="0">
                  <c:v>-762.6</c:v>
                </c:pt>
                <c:pt idx="1">
                  <c:v>-747.7</c:v>
                </c:pt>
                <c:pt idx="2">
                  <c:v>-729.8</c:v>
                </c:pt>
                <c:pt idx="3">
                  <c:v>-784</c:v>
                </c:pt>
                <c:pt idx="4">
                  <c:v>-770.4</c:v>
                </c:pt>
                <c:pt idx="5">
                  <c:v>-744.5</c:v>
                </c:pt>
                <c:pt idx="6">
                  <c:v>-770</c:v>
                </c:pt>
                <c:pt idx="7">
                  <c:v>-739</c:v>
                </c:pt>
                <c:pt idx="8">
                  <c:v>-749.7</c:v>
                </c:pt>
                <c:pt idx="9">
                  <c:v>-734.4</c:v>
                </c:pt>
                <c:pt idx="10">
                  <c:v>-698</c:v>
                </c:pt>
                <c:pt idx="11">
                  <c:v>-681</c:v>
                </c:pt>
                <c:pt idx="12">
                  <c:v>-740</c:v>
                </c:pt>
                <c:pt idx="13">
                  <c:v>-737</c:v>
                </c:pt>
                <c:pt idx="14">
                  <c:v>-698.5</c:v>
                </c:pt>
                <c:pt idx="15">
                  <c:v>-679.9</c:v>
                </c:pt>
                <c:pt idx="16">
                  <c:v>-660.9</c:v>
                </c:pt>
                <c:pt idx="17">
                  <c:v>-707.5</c:v>
                </c:pt>
                <c:pt idx="18">
                  <c:v>-754.8</c:v>
                </c:pt>
                <c:pt idx="19">
                  <c:v>-688.1</c:v>
                </c:pt>
                <c:pt idx="20">
                  <c:v>-705.4</c:v>
                </c:pt>
                <c:pt idx="21">
                  <c:v>-727.5</c:v>
                </c:pt>
                <c:pt idx="22">
                  <c:v>-719.3</c:v>
                </c:pt>
                <c:pt idx="23">
                  <c:v>-728.4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DC-4B5E-8B13-F79A0399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'28'!$AM$22:$BJ$22</c:f>
              <c:numCache>
                <c:formatCode>General</c:formatCode>
                <c:ptCount val="24"/>
                <c:pt idx="0">
                  <c:v>2191.54</c:v>
                </c:pt>
                <c:pt idx="1">
                  <c:v>2112.7400000000002</c:v>
                </c:pt>
                <c:pt idx="2">
                  <c:v>2038.0400000000002</c:v>
                </c:pt>
                <c:pt idx="3">
                  <c:v>2020.04</c:v>
                </c:pt>
                <c:pt idx="4">
                  <c:v>1972.0400000000002</c:v>
                </c:pt>
                <c:pt idx="5">
                  <c:v>1939.54</c:v>
                </c:pt>
                <c:pt idx="6">
                  <c:v>1967.44</c:v>
                </c:pt>
                <c:pt idx="7">
                  <c:v>2061.94</c:v>
                </c:pt>
                <c:pt idx="8">
                  <c:v>2122.84</c:v>
                </c:pt>
                <c:pt idx="9">
                  <c:v>2061.6400000000003</c:v>
                </c:pt>
                <c:pt idx="10">
                  <c:v>2018.6400000000003</c:v>
                </c:pt>
                <c:pt idx="11">
                  <c:v>2102.94</c:v>
                </c:pt>
                <c:pt idx="12">
                  <c:v>2127.84</c:v>
                </c:pt>
                <c:pt idx="13">
                  <c:v>2089.1400000000003</c:v>
                </c:pt>
                <c:pt idx="14">
                  <c:v>2060.84</c:v>
                </c:pt>
                <c:pt idx="15">
                  <c:v>2057.94</c:v>
                </c:pt>
                <c:pt idx="16">
                  <c:v>2060.34</c:v>
                </c:pt>
                <c:pt idx="17">
                  <c:v>2079.84</c:v>
                </c:pt>
                <c:pt idx="18">
                  <c:v>2104.64</c:v>
                </c:pt>
                <c:pt idx="19">
                  <c:v>2111.1</c:v>
                </c:pt>
                <c:pt idx="20">
                  <c:v>2287</c:v>
                </c:pt>
                <c:pt idx="21">
                  <c:v>2245.4</c:v>
                </c:pt>
                <c:pt idx="22">
                  <c:v>2245.4</c:v>
                </c:pt>
                <c:pt idx="23">
                  <c:v>2124.1999999999998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ADC-4B5E-8B13-F79A03997256}"/>
            </c:ext>
          </c:extLst>
        </c:ser>
        <c:ser>
          <c:idx val="8"/>
          <c:order val="8"/>
          <c:tx>
            <c:strRef>
              <c:f>'28'!$AL$24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'28'!$AM$24:$BJ$24</c:f>
              <c:numCache>
                <c:formatCode>General</c:formatCode>
                <c:ptCount val="24"/>
                <c:pt idx="0">
                  <c:v>1428.94</c:v>
                </c:pt>
                <c:pt idx="1">
                  <c:v>1365.0400000000002</c:v>
                </c:pt>
                <c:pt idx="2">
                  <c:v>1308.2400000000002</c:v>
                </c:pt>
                <c:pt idx="3">
                  <c:v>1236.04</c:v>
                </c:pt>
                <c:pt idx="4">
                  <c:v>1201.6400000000003</c:v>
                </c:pt>
                <c:pt idx="5">
                  <c:v>1195.04</c:v>
                </c:pt>
                <c:pt idx="6">
                  <c:v>1197.44</c:v>
                </c:pt>
                <c:pt idx="7">
                  <c:v>1322.94</c:v>
                </c:pt>
                <c:pt idx="8">
                  <c:v>1373.14</c:v>
                </c:pt>
                <c:pt idx="9">
                  <c:v>1327.2400000000002</c:v>
                </c:pt>
                <c:pt idx="10">
                  <c:v>1320.6400000000003</c:v>
                </c:pt>
                <c:pt idx="11">
                  <c:v>1421.94</c:v>
                </c:pt>
                <c:pt idx="12">
                  <c:v>1387.8400000000001</c:v>
                </c:pt>
                <c:pt idx="13">
                  <c:v>1352.1400000000003</c:v>
                </c:pt>
                <c:pt idx="14">
                  <c:v>1362.3400000000001</c:v>
                </c:pt>
                <c:pt idx="15">
                  <c:v>1378.04</c:v>
                </c:pt>
                <c:pt idx="16">
                  <c:v>1399.44</c:v>
                </c:pt>
                <c:pt idx="17">
                  <c:v>1372.3400000000001</c:v>
                </c:pt>
                <c:pt idx="18">
                  <c:v>1349.84</c:v>
                </c:pt>
                <c:pt idx="19">
                  <c:v>1423</c:v>
                </c:pt>
                <c:pt idx="20">
                  <c:v>1581.6</c:v>
                </c:pt>
                <c:pt idx="21">
                  <c:v>1517.9</c:v>
                </c:pt>
                <c:pt idx="22">
                  <c:v>1526.1000000000001</c:v>
                </c:pt>
                <c:pt idx="23">
                  <c:v>1395.7999999999997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DC-4B5E-8B13-F79A0399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0D-49C1-AAE4-2E173DCC40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0D-49C1-AAE4-2E173DCC40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0D-49C1-AAE4-2E173DCC40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60D-49C1-AAE4-2E173DCC40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60D-49C1-AAE4-2E173DCC404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60D-49C1-AAE4-2E173DCC404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'29'!$AM$16:$BJ$16</c:f>
              <c:numCache>
                <c:formatCode>General</c:formatCode>
                <c:ptCount val="24"/>
                <c:pt idx="0">
                  <c:v>1180.9000000000001</c:v>
                </c:pt>
                <c:pt idx="1">
                  <c:v>1142.1000000000001</c:v>
                </c:pt>
                <c:pt idx="2">
                  <c:v>1142.1000000000001</c:v>
                </c:pt>
                <c:pt idx="3">
                  <c:v>1146</c:v>
                </c:pt>
                <c:pt idx="4">
                  <c:v>1120</c:v>
                </c:pt>
                <c:pt idx="5">
                  <c:v>1105.9000000000001</c:v>
                </c:pt>
                <c:pt idx="6">
                  <c:v>1149.5999999999999</c:v>
                </c:pt>
                <c:pt idx="7">
                  <c:v>1151.6999999999998</c:v>
                </c:pt>
                <c:pt idx="8">
                  <c:v>1140.3999999999999</c:v>
                </c:pt>
                <c:pt idx="9">
                  <c:v>1211.3</c:v>
                </c:pt>
                <c:pt idx="10">
                  <c:v>1214.3</c:v>
                </c:pt>
                <c:pt idx="11">
                  <c:v>1170.6999999999998</c:v>
                </c:pt>
                <c:pt idx="12">
                  <c:v>1187.9000000000001</c:v>
                </c:pt>
                <c:pt idx="13">
                  <c:v>1187.9000000000001</c:v>
                </c:pt>
                <c:pt idx="14">
                  <c:v>1250.9000000000001</c:v>
                </c:pt>
                <c:pt idx="15">
                  <c:v>1250.9000000000001</c:v>
                </c:pt>
                <c:pt idx="16">
                  <c:v>1250.9000000000001</c:v>
                </c:pt>
                <c:pt idx="17">
                  <c:v>1250.9000000000001</c:v>
                </c:pt>
                <c:pt idx="18" formatCode="0.0">
                  <c:v>1295.8</c:v>
                </c:pt>
                <c:pt idx="19" formatCode="0.0">
                  <c:v>1295.8</c:v>
                </c:pt>
                <c:pt idx="20" formatCode="0.0">
                  <c:v>1435.4</c:v>
                </c:pt>
                <c:pt idx="21" formatCode="0.0">
                  <c:v>1413.7</c:v>
                </c:pt>
                <c:pt idx="22" formatCode="0.0">
                  <c:v>1413.7</c:v>
                </c:pt>
                <c:pt idx="23" formatCode="0.0">
                  <c:v>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265-9A87-A1E8B46272B5}"/>
            </c:ext>
          </c:extLst>
        </c:ser>
        <c:ser>
          <c:idx val="2"/>
          <c:order val="1"/>
          <c:tx>
            <c:strRef>
              <c:f>'29'!$AL$17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'29'!$AM$17:$BJ$17</c:f>
              <c:numCache>
                <c:formatCode>General</c:formatCode>
                <c:ptCount val="24"/>
                <c:pt idx="0">
                  <c:v>538</c:v>
                </c:pt>
                <c:pt idx="1">
                  <c:v>538</c:v>
                </c:pt>
                <c:pt idx="2">
                  <c:v>538</c:v>
                </c:pt>
                <c:pt idx="3">
                  <c:v>541.19999999999993</c:v>
                </c:pt>
                <c:pt idx="4">
                  <c:v>539.69999999999993</c:v>
                </c:pt>
                <c:pt idx="5">
                  <c:v>539.79999999999995</c:v>
                </c:pt>
                <c:pt idx="6">
                  <c:v>539.9</c:v>
                </c:pt>
                <c:pt idx="7">
                  <c:v>540</c:v>
                </c:pt>
                <c:pt idx="8">
                  <c:v>541.20000000000005</c:v>
                </c:pt>
                <c:pt idx="9">
                  <c:v>541.20000000000005</c:v>
                </c:pt>
                <c:pt idx="10">
                  <c:v>541.20000000000005</c:v>
                </c:pt>
                <c:pt idx="11">
                  <c:v>541.20000000000005</c:v>
                </c:pt>
                <c:pt idx="12">
                  <c:v>541.20000000000005</c:v>
                </c:pt>
                <c:pt idx="13">
                  <c:v>466.40000000000003</c:v>
                </c:pt>
                <c:pt idx="14">
                  <c:v>466.40000000000003</c:v>
                </c:pt>
                <c:pt idx="15">
                  <c:v>466.40000000000003</c:v>
                </c:pt>
                <c:pt idx="16">
                  <c:v>466.40000000000003</c:v>
                </c:pt>
                <c:pt idx="17">
                  <c:v>466.40000000000003</c:v>
                </c:pt>
                <c:pt idx="18" formatCode="0.0">
                  <c:v>466.40000000000003</c:v>
                </c:pt>
                <c:pt idx="19" formatCode="0.0">
                  <c:v>466.40000000000003</c:v>
                </c:pt>
                <c:pt idx="20" formatCode="0.0">
                  <c:v>466.40000000000003</c:v>
                </c:pt>
                <c:pt idx="21" formatCode="0.0">
                  <c:v>466.40000000000003</c:v>
                </c:pt>
                <c:pt idx="22" formatCode="0.0">
                  <c:v>466.40000000000003</c:v>
                </c:pt>
                <c:pt idx="23" formatCode="0.0">
                  <c:v>466.40000000000003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265-9A87-A1E8B46272B5}"/>
            </c:ext>
          </c:extLst>
        </c:ser>
        <c:ser>
          <c:idx val="3"/>
          <c:order val="2"/>
          <c:tx>
            <c:strRef>
              <c:f>'29'!$AL$18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'29'!$AM$18:$BJ$18</c:f>
              <c:numCache>
                <c:formatCode>General</c:formatCode>
                <c:ptCount val="24"/>
                <c:pt idx="0">
                  <c:v>405.29999999999995</c:v>
                </c:pt>
                <c:pt idx="1">
                  <c:v>405.29999999999995</c:v>
                </c:pt>
                <c:pt idx="2">
                  <c:v>405.29999999999995</c:v>
                </c:pt>
                <c:pt idx="3">
                  <c:v>380.34</c:v>
                </c:pt>
                <c:pt idx="4">
                  <c:v>380.34</c:v>
                </c:pt>
                <c:pt idx="5">
                  <c:v>391.34000000000003</c:v>
                </c:pt>
                <c:pt idx="6">
                  <c:v>330.34000000000003</c:v>
                </c:pt>
                <c:pt idx="7">
                  <c:v>311.64000000000004</c:v>
                </c:pt>
                <c:pt idx="8">
                  <c:v>326.64000000000004</c:v>
                </c:pt>
                <c:pt idx="9">
                  <c:v>346.64000000000004</c:v>
                </c:pt>
                <c:pt idx="10">
                  <c:v>351.34</c:v>
                </c:pt>
                <c:pt idx="11">
                  <c:v>352.29999999999995</c:v>
                </c:pt>
                <c:pt idx="12">
                  <c:v>352.29999999999995</c:v>
                </c:pt>
                <c:pt idx="13">
                  <c:v>333.44</c:v>
                </c:pt>
                <c:pt idx="14">
                  <c:v>348.24</c:v>
                </c:pt>
                <c:pt idx="15">
                  <c:v>348.24</c:v>
                </c:pt>
                <c:pt idx="16">
                  <c:v>366.34</c:v>
                </c:pt>
                <c:pt idx="17">
                  <c:v>363.34</c:v>
                </c:pt>
                <c:pt idx="18" formatCode="0.0">
                  <c:v>368.14</c:v>
                </c:pt>
                <c:pt idx="19" formatCode="0.0">
                  <c:v>364.74</c:v>
                </c:pt>
                <c:pt idx="20" formatCode="0.0">
                  <c:v>416.64</c:v>
                </c:pt>
                <c:pt idx="21" formatCode="0.0">
                  <c:v>416.64</c:v>
                </c:pt>
                <c:pt idx="22" formatCode="0.0">
                  <c:v>416.64</c:v>
                </c:pt>
                <c:pt idx="23" formatCode="0.0">
                  <c:v>416.64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8-4265-9A87-A1E8B46272B5}"/>
            </c:ext>
          </c:extLst>
        </c:ser>
        <c:ser>
          <c:idx val="0"/>
          <c:order val="3"/>
          <c:tx>
            <c:strRef>
              <c:f>'29'!$AL$19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8-4265-9A87-A1E8B46272B5}"/>
            </c:ext>
          </c:extLst>
        </c:ser>
        <c:ser>
          <c:idx val="4"/>
          <c:order val="4"/>
          <c:tx>
            <c:strRef>
              <c:f>'29'!$AL$20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8-4265-9A87-A1E8B46272B5}"/>
            </c:ext>
          </c:extLst>
        </c:ser>
        <c:ser>
          <c:idx val="5"/>
          <c:order val="5"/>
          <c:tx>
            <c:strRef>
              <c:f>'29'!$AL$21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A8-4265-9A87-A1E8B4627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'29'!$AM$23:$BJ$23</c:f>
              <c:numCache>
                <c:formatCode>General</c:formatCode>
                <c:ptCount val="24"/>
                <c:pt idx="0">
                  <c:v>-756</c:v>
                </c:pt>
                <c:pt idx="1">
                  <c:v>-769.9</c:v>
                </c:pt>
                <c:pt idx="2">
                  <c:v>-755.9</c:v>
                </c:pt>
                <c:pt idx="3">
                  <c:v>-738.1</c:v>
                </c:pt>
                <c:pt idx="4">
                  <c:v>-727.5</c:v>
                </c:pt>
                <c:pt idx="5">
                  <c:v>-792.3</c:v>
                </c:pt>
                <c:pt idx="6">
                  <c:v>-788.6</c:v>
                </c:pt>
                <c:pt idx="7">
                  <c:v>-700.2</c:v>
                </c:pt>
                <c:pt idx="8">
                  <c:v>-769.8</c:v>
                </c:pt>
                <c:pt idx="9">
                  <c:v>-688.90000000000009</c:v>
                </c:pt>
                <c:pt idx="10">
                  <c:v>-695</c:v>
                </c:pt>
                <c:pt idx="11">
                  <c:v>-735.90000000000009</c:v>
                </c:pt>
                <c:pt idx="12">
                  <c:v>-757.6</c:v>
                </c:pt>
                <c:pt idx="13">
                  <c:v>-669.5</c:v>
                </c:pt>
                <c:pt idx="14">
                  <c:v>-748.5</c:v>
                </c:pt>
                <c:pt idx="15">
                  <c:v>-751.80000000000007</c:v>
                </c:pt>
                <c:pt idx="16">
                  <c:v>-820.19999999999993</c:v>
                </c:pt>
                <c:pt idx="17">
                  <c:v>-844.3</c:v>
                </c:pt>
                <c:pt idx="18">
                  <c:v>-811.30000000000007</c:v>
                </c:pt>
                <c:pt idx="19">
                  <c:v>-751.8</c:v>
                </c:pt>
                <c:pt idx="20">
                  <c:v>-747.6</c:v>
                </c:pt>
                <c:pt idx="21">
                  <c:v>-720</c:v>
                </c:pt>
                <c:pt idx="22">
                  <c:v>-752</c:v>
                </c:pt>
                <c:pt idx="23">
                  <c:v>-744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A8-4265-9A87-A1E8B4627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'29'!$AM$22:$BJ$22</c:f>
              <c:numCache>
                <c:formatCode>General</c:formatCode>
                <c:ptCount val="24"/>
                <c:pt idx="0">
                  <c:v>2124.1999999999998</c:v>
                </c:pt>
                <c:pt idx="1">
                  <c:v>2085.4</c:v>
                </c:pt>
                <c:pt idx="2">
                  <c:v>2085.4</c:v>
                </c:pt>
                <c:pt idx="3">
                  <c:v>2067.54</c:v>
                </c:pt>
                <c:pt idx="4">
                  <c:v>2040.0399999999997</c:v>
                </c:pt>
                <c:pt idx="5">
                  <c:v>2037.04</c:v>
                </c:pt>
                <c:pt idx="6">
                  <c:v>2019.8400000000001</c:v>
                </c:pt>
                <c:pt idx="7">
                  <c:v>2003.34</c:v>
                </c:pt>
                <c:pt idx="8">
                  <c:v>2008.24</c:v>
                </c:pt>
                <c:pt idx="9">
                  <c:v>2099.14</c:v>
                </c:pt>
                <c:pt idx="10">
                  <c:v>2106.84</c:v>
                </c:pt>
                <c:pt idx="11">
                  <c:v>2064.1999999999998</c:v>
                </c:pt>
                <c:pt idx="12">
                  <c:v>2081.4</c:v>
                </c:pt>
                <c:pt idx="13">
                  <c:v>1987.7400000000002</c:v>
                </c:pt>
                <c:pt idx="14">
                  <c:v>2065.54</c:v>
                </c:pt>
                <c:pt idx="15">
                  <c:v>2065.54</c:v>
                </c:pt>
                <c:pt idx="16">
                  <c:v>2083.6400000000003</c:v>
                </c:pt>
                <c:pt idx="17">
                  <c:v>2080.6400000000003</c:v>
                </c:pt>
                <c:pt idx="18">
                  <c:v>2130.34</c:v>
                </c:pt>
                <c:pt idx="19">
                  <c:v>2126.94</c:v>
                </c:pt>
                <c:pt idx="20">
                  <c:v>2318.44</c:v>
                </c:pt>
                <c:pt idx="21">
                  <c:v>2296.7400000000002</c:v>
                </c:pt>
                <c:pt idx="22">
                  <c:v>2296.7400000000002</c:v>
                </c:pt>
                <c:pt idx="23">
                  <c:v>2142.04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DA8-4265-9A87-A1E8B46272B5}"/>
            </c:ext>
          </c:extLst>
        </c:ser>
        <c:ser>
          <c:idx val="8"/>
          <c:order val="8"/>
          <c:tx>
            <c:strRef>
              <c:f>'29'!$AL$24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'29'!$AM$24:$BJ$24</c:f>
              <c:numCache>
                <c:formatCode>General</c:formatCode>
                <c:ptCount val="24"/>
                <c:pt idx="0">
                  <c:v>1368.1999999999998</c:v>
                </c:pt>
                <c:pt idx="1">
                  <c:v>1315.5</c:v>
                </c:pt>
                <c:pt idx="2">
                  <c:v>1329.5</c:v>
                </c:pt>
                <c:pt idx="3">
                  <c:v>1329.44</c:v>
                </c:pt>
                <c:pt idx="4">
                  <c:v>1312.5399999999997</c:v>
                </c:pt>
                <c:pt idx="5">
                  <c:v>1244.74</c:v>
                </c:pt>
                <c:pt idx="6">
                  <c:v>1231.2400000000002</c:v>
                </c:pt>
                <c:pt idx="7">
                  <c:v>1303.1399999999999</c:v>
                </c:pt>
                <c:pt idx="8">
                  <c:v>1238.44</c:v>
                </c:pt>
                <c:pt idx="9">
                  <c:v>1410.2399999999998</c:v>
                </c:pt>
                <c:pt idx="10">
                  <c:v>1411.8400000000001</c:v>
                </c:pt>
                <c:pt idx="11">
                  <c:v>1328.2999999999997</c:v>
                </c:pt>
                <c:pt idx="12">
                  <c:v>1323.8000000000002</c:v>
                </c:pt>
                <c:pt idx="13">
                  <c:v>1318.2400000000002</c:v>
                </c:pt>
                <c:pt idx="14">
                  <c:v>1317.04</c:v>
                </c:pt>
                <c:pt idx="15">
                  <c:v>1313.7399999999998</c:v>
                </c:pt>
                <c:pt idx="16">
                  <c:v>1263.4400000000005</c:v>
                </c:pt>
                <c:pt idx="17">
                  <c:v>1236.3400000000004</c:v>
                </c:pt>
                <c:pt idx="18">
                  <c:v>1319.04</c:v>
                </c:pt>
                <c:pt idx="19">
                  <c:v>1375.14</c:v>
                </c:pt>
                <c:pt idx="20">
                  <c:v>1570.8400000000001</c:v>
                </c:pt>
                <c:pt idx="21">
                  <c:v>1576.7400000000002</c:v>
                </c:pt>
                <c:pt idx="22">
                  <c:v>1544.7400000000002</c:v>
                </c:pt>
                <c:pt idx="23">
                  <c:v>1398.04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A8-4265-9A87-A1E8B4627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B0-4DA4-B8D2-35AB05CB5E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B0-4DA4-B8D2-35AB05CB5E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B0-4DA4-B8D2-35AB05CB5E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B0-4DA4-B8D2-35AB05CB5E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B0-4DA4-B8D2-35AB05CB5E1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8B0-4DA4-B8D2-35AB05CB5E1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'30'!$AM$16:$BJ$16</c:f>
              <c:numCache>
                <c:formatCode>General</c:formatCode>
                <c:ptCount val="24"/>
                <c:pt idx="0">
                  <c:v>1251.5999999999999</c:v>
                </c:pt>
                <c:pt idx="1">
                  <c:v>1239.3</c:v>
                </c:pt>
                <c:pt idx="2">
                  <c:v>1217.3</c:v>
                </c:pt>
                <c:pt idx="3">
                  <c:v>1192.5</c:v>
                </c:pt>
                <c:pt idx="4">
                  <c:v>1173.0999999999999</c:v>
                </c:pt>
                <c:pt idx="5">
                  <c:v>1173.0999999999999</c:v>
                </c:pt>
                <c:pt idx="6">
                  <c:v>1159.3</c:v>
                </c:pt>
                <c:pt idx="7">
                  <c:v>1247.7999999999997</c:v>
                </c:pt>
                <c:pt idx="8">
                  <c:v>1253.6999999999998</c:v>
                </c:pt>
                <c:pt idx="9">
                  <c:v>1289.5999999999999</c:v>
                </c:pt>
                <c:pt idx="10">
                  <c:v>1430.5</c:v>
                </c:pt>
                <c:pt idx="11">
                  <c:v>1430.5</c:v>
                </c:pt>
                <c:pt idx="12">
                  <c:v>1430.5</c:v>
                </c:pt>
                <c:pt idx="13">
                  <c:v>1430.5</c:v>
                </c:pt>
                <c:pt idx="14">
                  <c:v>1428.0000000000002</c:v>
                </c:pt>
                <c:pt idx="15">
                  <c:v>1428.0000000000002</c:v>
                </c:pt>
                <c:pt idx="16">
                  <c:v>1431.1000000000001</c:v>
                </c:pt>
                <c:pt idx="17">
                  <c:v>1330.4</c:v>
                </c:pt>
                <c:pt idx="18" formatCode="0.0">
                  <c:v>1316.4</c:v>
                </c:pt>
                <c:pt idx="19" formatCode="0.0">
                  <c:v>1322.9</c:v>
                </c:pt>
                <c:pt idx="20" formatCode="0.0">
                  <c:v>1452.6999999999998</c:v>
                </c:pt>
                <c:pt idx="21" formatCode="0.0">
                  <c:v>300</c:v>
                </c:pt>
                <c:pt idx="22" formatCode="0.0">
                  <c:v>1413.6999999999998</c:v>
                </c:pt>
                <c:pt idx="23" formatCode="0.0">
                  <c:v>1413.6999999999998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F-4664-AC9C-580549935827}"/>
            </c:ext>
          </c:extLst>
        </c:ser>
        <c:ser>
          <c:idx val="2"/>
          <c:order val="1"/>
          <c:tx>
            <c:strRef>
              <c:f>'30'!$AL$17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'30'!$AM$17:$BJ$17</c:f>
              <c:numCache>
                <c:formatCode>General</c:formatCode>
                <c:ptCount val="24"/>
                <c:pt idx="0">
                  <c:v>465.3</c:v>
                </c:pt>
                <c:pt idx="1">
                  <c:v>465.3</c:v>
                </c:pt>
                <c:pt idx="2">
                  <c:v>465.3</c:v>
                </c:pt>
                <c:pt idx="3">
                  <c:v>465.3</c:v>
                </c:pt>
                <c:pt idx="4">
                  <c:v>465.3</c:v>
                </c:pt>
                <c:pt idx="5">
                  <c:v>465.3</c:v>
                </c:pt>
                <c:pt idx="6">
                  <c:v>465.3</c:v>
                </c:pt>
                <c:pt idx="7">
                  <c:v>465.3</c:v>
                </c:pt>
                <c:pt idx="8">
                  <c:v>465.3</c:v>
                </c:pt>
                <c:pt idx="9">
                  <c:v>465.3</c:v>
                </c:pt>
                <c:pt idx="10">
                  <c:v>465.4</c:v>
                </c:pt>
                <c:pt idx="11">
                  <c:v>465.4</c:v>
                </c:pt>
                <c:pt idx="12">
                  <c:v>465.4</c:v>
                </c:pt>
                <c:pt idx="13">
                  <c:v>465.4</c:v>
                </c:pt>
                <c:pt idx="14">
                  <c:v>528</c:v>
                </c:pt>
                <c:pt idx="15">
                  <c:v>528</c:v>
                </c:pt>
                <c:pt idx="16">
                  <c:v>528</c:v>
                </c:pt>
                <c:pt idx="17">
                  <c:v>528</c:v>
                </c:pt>
                <c:pt idx="18" formatCode="0.0">
                  <c:v>528</c:v>
                </c:pt>
                <c:pt idx="19" formatCode="0.0">
                  <c:v>539</c:v>
                </c:pt>
                <c:pt idx="20" formatCode="0.0">
                  <c:v>539.4</c:v>
                </c:pt>
                <c:pt idx="21" formatCode="0.0">
                  <c:v>0</c:v>
                </c:pt>
                <c:pt idx="22" formatCode="0.0">
                  <c:v>539.4</c:v>
                </c:pt>
                <c:pt idx="23" formatCode="0.0">
                  <c:v>539.4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F-4664-AC9C-580549935827}"/>
            </c:ext>
          </c:extLst>
        </c:ser>
        <c:ser>
          <c:idx val="3"/>
          <c:order val="2"/>
          <c:tx>
            <c:strRef>
              <c:f>'30'!$AL$18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'30'!$AM$18:$BJ$18</c:f>
              <c:numCache>
                <c:formatCode>General</c:formatCode>
                <c:ptCount val="24"/>
                <c:pt idx="0">
                  <c:v>415.43999999999994</c:v>
                </c:pt>
                <c:pt idx="1">
                  <c:v>415.43999999999994</c:v>
                </c:pt>
                <c:pt idx="2">
                  <c:v>414.53999999999991</c:v>
                </c:pt>
                <c:pt idx="3">
                  <c:v>414.53999999999991</c:v>
                </c:pt>
                <c:pt idx="4">
                  <c:v>393.73999999999995</c:v>
                </c:pt>
                <c:pt idx="5">
                  <c:v>393.73999999999995</c:v>
                </c:pt>
                <c:pt idx="6">
                  <c:v>391.34</c:v>
                </c:pt>
                <c:pt idx="7">
                  <c:v>408.73999999999995</c:v>
                </c:pt>
                <c:pt idx="8">
                  <c:v>419.73999999999995</c:v>
                </c:pt>
                <c:pt idx="9">
                  <c:v>419.73999999999995</c:v>
                </c:pt>
                <c:pt idx="10">
                  <c:v>424.44</c:v>
                </c:pt>
                <c:pt idx="11">
                  <c:v>424.44</c:v>
                </c:pt>
                <c:pt idx="12">
                  <c:v>424.44</c:v>
                </c:pt>
                <c:pt idx="13">
                  <c:v>424.44</c:v>
                </c:pt>
                <c:pt idx="14">
                  <c:v>427.54</c:v>
                </c:pt>
                <c:pt idx="15">
                  <c:v>423.34000000000003</c:v>
                </c:pt>
                <c:pt idx="16">
                  <c:v>424.64000000000004</c:v>
                </c:pt>
                <c:pt idx="17">
                  <c:v>418.04</c:v>
                </c:pt>
                <c:pt idx="18" formatCode="0.0">
                  <c:v>416.84000000000003</c:v>
                </c:pt>
                <c:pt idx="19" formatCode="0.0">
                  <c:v>416.6</c:v>
                </c:pt>
                <c:pt idx="20" formatCode="0.0">
                  <c:v>414.64000000000004</c:v>
                </c:pt>
                <c:pt idx="21" formatCode="0.0">
                  <c:v>3.54</c:v>
                </c:pt>
                <c:pt idx="22" formatCode="0.0">
                  <c:v>414.64000000000004</c:v>
                </c:pt>
                <c:pt idx="23" formatCode="0.0">
                  <c:v>414.64000000000004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0F-4664-AC9C-580549935827}"/>
            </c:ext>
          </c:extLst>
        </c:ser>
        <c:ser>
          <c:idx val="0"/>
          <c:order val="3"/>
          <c:tx>
            <c:strRef>
              <c:f>'30'!$AL$19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F-4664-AC9C-580549935827}"/>
            </c:ext>
          </c:extLst>
        </c:ser>
        <c:ser>
          <c:idx val="4"/>
          <c:order val="4"/>
          <c:tx>
            <c:strRef>
              <c:f>'30'!$AL$20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49.2</c:v>
                </c:pt>
                <c:pt idx="21" formatCode="0.0">
                  <c:v>0</c:v>
                </c:pt>
                <c:pt idx="22" formatCode="0.0">
                  <c:v>49.2</c:v>
                </c:pt>
                <c:pt idx="23" formatCode="0.0">
                  <c:v>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0F-4664-AC9C-580549935827}"/>
            </c:ext>
          </c:extLst>
        </c:ser>
        <c:ser>
          <c:idx val="5"/>
          <c:order val="5"/>
          <c:tx>
            <c:strRef>
              <c:f>'30'!$AL$21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0F-4664-AC9C-58054993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'30'!$AM$23:$BJ$23</c:f>
              <c:numCache>
                <c:formatCode>General</c:formatCode>
                <c:ptCount val="24"/>
                <c:pt idx="0">
                  <c:v>-694.9</c:v>
                </c:pt>
                <c:pt idx="1">
                  <c:v>-734</c:v>
                </c:pt>
                <c:pt idx="2">
                  <c:v>-735.30000000000007</c:v>
                </c:pt>
                <c:pt idx="3">
                  <c:v>-754</c:v>
                </c:pt>
                <c:pt idx="4">
                  <c:v>-742.6</c:v>
                </c:pt>
                <c:pt idx="5">
                  <c:v>-725.6</c:v>
                </c:pt>
                <c:pt idx="6">
                  <c:v>-723</c:v>
                </c:pt>
                <c:pt idx="7">
                  <c:v>-699</c:v>
                </c:pt>
                <c:pt idx="8">
                  <c:v>-672.5</c:v>
                </c:pt>
                <c:pt idx="9">
                  <c:v>-726</c:v>
                </c:pt>
                <c:pt idx="10">
                  <c:v>-755.6</c:v>
                </c:pt>
                <c:pt idx="11">
                  <c:v>-666</c:v>
                </c:pt>
                <c:pt idx="12">
                  <c:v>-675</c:v>
                </c:pt>
                <c:pt idx="13">
                  <c:v>-673.6</c:v>
                </c:pt>
                <c:pt idx="14">
                  <c:v>-736</c:v>
                </c:pt>
                <c:pt idx="15">
                  <c:v>-640.4</c:v>
                </c:pt>
                <c:pt idx="16">
                  <c:v>-726.5</c:v>
                </c:pt>
                <c:pt idx="17">
                  <c:v>-772.3</c:v>
                </c:pt>
                <c:pt idx="18">
                  <c:v>-736.19999999999993</c:v>
                </c:pt>
                <c:pt idx="19">
                  <c:v>-733.59</c:v>
                </c:pt>
                <c:pt idx="20">
                  <c:v>-712.1</c:v>
                </c:pt>
                <c:pt idx="21">
                  <c:v>0</c:v>
                </c:pt>
                <c:pt idx="22">
                  <c:v>-712</c:v>
                </c:pt>
                <c:pt idx="23">
                  <c:v>-712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0F-4664-AC9C-58054993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'30'!$AM$22:$BJ$22</c:f>
              <c:numCache>
                <c:formatCode>General</c:formatCode>
                <c:ptCount val="24"/>
                <c:pt idx="0">
                  <c:v>2132.3399999999997</c:v>
                </c:pt>
                <c:pt idx="1">
                  <c:v>2120.04</c:v>
                </c:pt>
                <c:pt idx="2">
                  <c:v>2097.14</c:v>
                </c:pt>
                <c:pt idx="3">
                  <c:v>2072.3399999999997</c:v>
                </c:pt>
                <c:pt idx="4">
                  <c:v>2032.1399999999999</c:v>
                </c:pt>
                <c:pt idx="5">
                  <c:v>2032.1399999999999</c:v>
                </c:pt>
                <c:pt idx="6">
                  <c:v>2015.9399999999998</c:v>
                </c:pt>
                <c:pt idx="7">
                  <c:v>2121.8399999999997</c:v>
                </c:pt>
                <c:pt idx="8">
                  <c:v>2138.7399999999998</c:v>
                </c:pt>
                <c:pt idx="9">
                  <c:v>2174.64</c:v>
                </c:pt>
                <c:pt idx="10">
                  <c:v>2320.34</c:v>
                </c:pt>
                <c:pt idx="11">
                  <c:v>2320.34</c:v>
                </c:pt>
                <c:pt idx="12">
                  <c:v>2320.34</c:v>
                </c:pt>
                <c:pt idx="13">
                  <c:v>2320.34</c:v>
                </c:pt>
                <c:pt idx="14">
                  <c:v>2383.5400000000004</c:v>
                </c:pt>
                <c:pt idx="15">
                  <c:v>2379.34</c:v>
                </c:pt>
                <c:pt idx="16">
                  <c:v>2383.7400000000002</c:v>
                </c:pt>
                <c:pt idx="17">
                  <c:v>2276.44</c:v>
                </c:pt>
                <c:pt idx="18">
                  <c:v>2261.2400000000002</c:v>
                </c:pt>
                <c:pt idx="19">
                  <c:v>2278.5</c:v>
                </c:pt>
                <c:pt idx="20">
                  <c:v>2455.9399999999996</c:v>
                </c:pt>
                <c:pt idx="21">
                  <c:v>303.54000000000002</c:v>
                </c:pt>
                <c:pt idx="22">
                  <c:v>2416.9399999999996</c:v>
                </c:pt>
                <c:pt idx="23">
                  <c:v>2416.9399999999996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A0F-4664-AC9C-580549935827}"/>
            </c:ext>
          </c:extLst>
        </c:ser>
        <c:ser>
          <c:idx val="8"/>
          <c:order val="8"/>
          <c:tx>
            <c:strRef>
              <c:f>'30'!$AL$24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'30'!$AM$24:$BJ$24</c:f>
              <c:numCache>
                <c:formatCode>General</c:formatCode>
                <c:ptCount val="24"/>
                <c:pt idx="0">
                  <c:v>1437.4399999999996</c:v>
                </c:pt>
                <c:pt idx="1">
                  <c:v>1386.04</c:v>
                </c:pt>
                <c:pt idx="2">
                  <c:v>1361.8399999999997</c:v>
                </c:pt>
                <c:pt idx="3">
                  <c:v>1318.3399999999997</c:v>
                </c:pt>
                <c:pt idx="4">
                  <c:v>1289.54</c:v>
                </c:pt>
                <c:pt idx="5">
                  <c:v>1306.54</c:v>
                </c:pt>
                <c:pt idx="6">
                  <c:v>1292.9399999999998</c:v>
                </c:pt>
                <c:pt idx="7">
                  <c:v>1422.8399999999997</c:v>
                </c:pt>
                <c:pt idx="8">
                  <c:v>1466.2399999999998</c:v>
                </c:pt>
                <c:pt idx="9">
                  <c:v>1448.6399999999999</c:v>
                </c:pt>
                <c:pt idx="10">
                  <c:v>1564.7400000000002</c:v>
                </c:pt>
                <c:pt idx="11">
                  <c:v>1654.3400000000001</c:v>
                </c:pt>
                <c:pt idx="12">
                  <c:v>1645.3400000000001</c:v>
                </c:pt>
                <c:pt idx="13">
                  <c:v>1646.7400000000002</c:v>
                </c:pt>
                <c:pt idx="14">
                  <c:v>1647.5400000000004</c:v>
                </c:pt>
                <c:pt idx="15">
                  <c:v>1738.94</c:v>
                </c:pt>
                <c:pt idx="16">
                  <c:v>1657.2400000000002</c:v>
                </c:pt>
                <c:pt idx="17">
                  <c:v>1504.14</c:v>
                </c:pt>
                <c:pt idx="18">
                  <c:v>1525.0400000000004</c:v>
                </c:pt>
                <c:pt idx="19">
                  <c:v>1544.9099999999999</c:v>
                </c:pt>
                <c:pt idx="20">
                  <c:v>1743.8399999999997</c:v>
                </c:pt>
                <c:pt idx="21">
                  <c:v>303.54000000000002</c:v>
                </c:pt>
                <c:pt idx="22">
                  <c:v>1704.9399999999996</c:v>
                </c:pt>
                <c:pt idx="23">
                  <c:v>1704.9399999999996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0F-4664-AC9C-58054993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54-4568-B59B-1F420690AF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54-4568-B59B-1F420690AF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54-4568-B59B-1F420690AF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54-4568-B59B-1F420690AF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54-4568-B59B-1F420690AF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A54-4568-B59B-1F420690AF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'31'!$AM$16:$BJ$16</c:f>
              <c:numCache>
                <c:formatCode>General</c:formatCode>
                <c:ptCount val="24"/>
                <c:pt idx="0">
                  <c:v>300</c:v>
                </c:pt>
                <c:pt idx="1">
                  <c:v>1377.8999999999999</c:v>
                </c:pt>
                <c:pt idx="2">
                  <c:v>1363.4999999999998</c:v>
                </c:pt>
                <c:pt idx="3">
                  <c:v>1264.9999999999998</c:v>
                </c:pt>
                <c:pt idx="4">
                  <c:v>1290.0999999999999</c:v>
                </c:pt>
                <c:pt idx="5">
                  <c:v>1279.0999999999999</c:v>
                </c:pt>
                <c:pt idx="6">
                  <c:v>1286.9999999999998</c:v>
                </c:pt>
                <c:pt idx="7">
                  <c:v>1306.9999999999998</c:v>
                </c:pt>
                <c:pt idx="8">
                  <c:v>1306.9999999999998</c:v>
                </c:pt>
                <c:pt idx="9">
                  <c:v>1306.9999999999998</c:v>
                </c:pt>
                <c:pt idx="10">
                  <c:v>1313.4999999999998</c:v>
                </c:pt>
                <c:pt idx="11">
                  <c:v>1313.4999999999998</c:v>
                </c:pt>
                <c:pt idx="12">
                  <c:v>1277.8999999999996</c:v>
                </c:pt>
                <c:pt idx="13">
                  <c:v>1277.8999999999996</c:v>
                </c:pt>
                <c:pt idx="14">
                  <c:v>1266</c:v>
                </c:pt>
                <c:pt idx="15">
                  <c:v>1284</c:v>
                </c:pt>
                <c:pt idx="16">
                  <c:v>1296.5</c:v>
                </c:pt>
                <c:pt idx="17">
                  <c:v>1296.5</c:v>
                </c:pt>
                <c:pt idx="18" formatCode="0.0">
                  <c:v>1307.4999999999998</c:v>
                </c:pt>
                <c:pt idx="19" formatCode="0.0">
                  <c:v>1313.7999999999997</c:v>
                </c:pt>
                <c:pt idx="20" formatCode="0.0">
                  <c:v>1366.3</c:v>
                </c:pt>
                <c:pt idx="21" formatCode="0.0">
                  <c:v>1366.3</c:v>
                </c:pt>
                <c:pt idx="22" formatCode="0.0">
                  <c:v>1366.3</c:v>
                </c:pt>
                <c:pt idx="23" formatCode="0.0">
                  <c:v>1341.2999999999997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0-4B1D-B7EF-D4B83D375C9F}"/>
            </c:ext>
          </c:extLst>
        </c:ser>
        <c:ser>
          <c:idx val="2"/>
          <c:order val="1"/>
          <c:tx>
            <c:strRef>
              <c:f>'31'!$AL$17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'31'!$AM$17:$BJ$17</c:f>
              <c:numCache>
                <c:formatCode>General</c:formatCode>
                <c:ptCount val="24"/>
                <c:pt idx="0">
                  <c:v>0</c:v>
                </c:pt>
                <c:pt idx="1">
                  <c:v>538.4</c:v>
                </c:pt>
                <c:pt idx="2">
                  <c:v>538.4</c:v>
                </c:pt>
                <c:pt idx="3">
                  <c:v>538.4</c:v>
                </c:pt>
                <c:pt idx="4">
                  <c:v>538.4</c:v>
                </c:pt>
                <c:pt idx="5">
                  <c:v>538.4</c:v>
                </c:pt>
                <c:pt idx="6">
                  <c:v>538.4</c:v>
                </c:pt>
                <c:pt idx="7">
                  <c:v>538.4</c:v>
                </c:pt>
                <c:pt idx="8">
                  <c:v>538.4</c:v>
                </c:pt>
                <c:pt idx="9">
                  <c:v>538.4</c:v>
                </c:pt>
                <c:pt idx="10">
                  <c:v>538.4</c:v>
                </c:pt>
                <c:pt idx="11">
                  <c:v>538.4</c:v>
                </c:pt>
                <c:pt idx="12">
                  <c:v>538.4</c:v>
                </c:pt>
                <c:pt idx="13">
                  <c:v>538.4</c:v>
                </c:pt>
                <c:pt idx="14">
                  <c:v>516</c:v>
                </c:pt>
                <c:pt idx="15">
                  <c:v>516</c:v>
                </c:pt>
                <c:pt idx="16">
                  <c:v>516</c:v>
                </c:pt>
                <c:pt idx="17">
                  <c:v>516</c:v>
                </c:pt>
                <c:pt idx="18" formatCode="0.0">
                  <c:v>516</c:v>
                </c:pt>
                <c:pt idx="19" formatCode="0.0">
                  <c:v>538.4</c:v>
                </c:pt>
                <c:pt idx="20" formatCode="0.0">
                  <c:v>538.4</c:v>
                </c:pt>
                <c:pt idx="21" formatCode="0.0">
                  <c:v>540</c:v>
                </c:pt>
                <c:pt idx="22" formatCode="0.0">
                  <c:v>540</c:v>
                </c:pt>
                <c:pt idx="23" formatCode="0.0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00-4B1D-B7EF-D4B83D375C9F}"/>
            </c:ext>
          </c:extLst>
        </c:ser>
        <c:ser>
          <c:idx val="3"/>
          <c:order val="2"/>
          <c:tx>
            <c:strRef>
              <c:f>'31'!$AL$18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414.64000000000004</c:v>
                </c:pt>
                <c:pt idx="2">
                  <c:v>353.44000000000005</c:v>
                </c:pt>
                <c:pt idx="3">
                  <c:v>343.44000000000005</c:v>
                </c:pt>
                <c:pt idx="4">
                  <c:v>315.94000000000005</c:v>
                </c:pt>
                <c:pt idx="5">
                  <c:v>315.94000000000005</c:v>
                </c:pt>
                <c:pt idx="6">
                  <c:v>303.84000000000009</c:v>
                </c:pt>
                <c:pt idx="7">
                  <c:v>308.54000000000002</c:v>
                </c:pt>
                <c:pt idx="8">
                  <c:v>378.54</c:v>
                </c:pt>
                <c:pt idx="9">
                  <c:v>378.54</c:v>
                </c:pt>
                <c:pt idx="10">
                  <c:v>407.94000000000005</c:v>
                </c:pt>
                <c:pt idx="11">
                  <c:v>407.94000000000005</c:v>
                </c:pt>
                <c:pt idx="12">
                  <c:v>411.54000000000008</c:v>
                </c:pt>
                <c:pt idx="13">
                  <c:v>411.54000000000008</c:v>
                </c:pt>
                <c:pt idx="14">
                  <c:v>418.98</c:v>
                </c:pt>
                <c:pt idx="15">
                  <c:v>415.25000000000006</c:v>
                </c:pt>
                <c:pt idx="16">
                  <c:v>413.67</c:v>
                </c:pt>
                <c:pt idx="17">
                  <c:v>410.07000000000005</c:v>
                </c:pt>
                <c:pt idx="18" formatCode="0.0">
                  <c:v>406.94</c:v>
                </c:pt>
                <c:pt idx="19" formatCode="0.0">
                  <c:v>410.74</c:v>
                </c:pt>
                <c:pt idx="20" formatCode="0.0">
                  <c:v>279.94</c:v>
                </c:pt>
                <c:pt idx="21" formatCode="0.0">
                  <c:v>413.44000000000005</c:v>
                </c:pt>
                <c:pt idx="22" formatCode="0.0">
                  <c:v>413.44000000000005</c:v>
                </c:pt>
                <c:pt idx="23" formatCode="0.0">
                  <c:v>353.04000000000008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00-4B1D-B7EF-D4B83D375C9F}"/>
            </c:ext>
          </c:extLst>
        </c:ser>
        <c:ser>
          <c:idx val="0"/>
          <c:order val="3"/>
          <c:tx>
            <c:strRef>
              <c:f>'31'!$AL$19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00-4B1D-B7EF-D4B83D375C9F}"/>
            </c:ext>
          </c:extLst>
        </c:ser>
        <c:ser>
          <c:idx val="4"/>
          <c:order val="4"/>
          <c:tx>
            <c:strRef>
              <c:f>'31'!$AL$20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39</c:v>
                </c:pt>
                <c:pt idx="2">
                  <c:v>39</c:v>
                </c:pt>
                <c:pt idx="3">
                  <c:v>49.699999999999996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98.5</c:v>
                </c:pt>
                <c:pt idx="9">
                  <c:v>98.5</c:v>
                </c:pt>
                <c:pt idx="10">
                  <c:v>98.5</c:v>
                </c:pt>
                <c:pt idx="11">
                  <c:v>98.5</c:v>
                </c:pt>
                <c:pt idx="12">
                  <c:v>98.9</c:v>
                </c:pt>
                <c:pt idx="13">
                  <c:v>98.9</c:v>
                </c:pt>
                <c:pt idx="14">
                  <c:v>98.9</c:v>
                </c:pt>
                <c:pt idx="15">
                  <c:v>98.9</c:v>
                </c:pt>
                <c:pt idx="16">
                  <c:v>98.9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19.099999999999998</c:v>
                </c:pt>
                <c:pt idx="20" formatCode="0.0">
                  <c:v>88.2</c:v>
                </c:pt>
                <c:pt idx="21" formatCode="0.0">
                  <c:v>98.300000000000011</c:v>
                </c:pt>
                <c:pt idx="22" formatCode="0.0">
                  <c:v>31</c:v>
                </c:pt>
                <c:pt idx="23" formatCode="0.0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00-4B1D-B7EF-D4B83D375C9F}"/>
            </c:ext>
          </c:extLst>
        </c:ser>
        <c:ser>
          <c:idx val="5"/>
          <c:order val="5"/>
          <c:tx>
            <c:strRef>
              <c:f>'31'!$AL$21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50</c:v>
                </c:pt>
                <c:pt idx="20" formatCode="0.0">
                  <c:v>200</c:v>
                </c:pt>
                <c:pt idx="21" formatCode="0.0">
                  <c:v>50</c:v>
                </c:pt>
                <c:pt idx="22" formatCode="0.0">
                  <c:v>50</c:v>
                </c:pt>
                <c:pt idx="23" formatCode="0.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00-4B1D-B7EF-D4B83D375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-712</c:v>
                </c:pt>
                <c:pt idx="2">
                  <c:v>-712</c:v>
                </c:pt>
                <c:pt idx="3">
                  <c:v>-647</c:v>
                </c:pt>
                <c:pt idx="4">
                  <c:v>-627</c:v>
                </c:pt>
                <c:pt idx="5">
                  <c:v>-656.2</c:v>
                </c:pt>
                <c:pt idx="6">
                  <c:v>-675.5</c:v>
                </c:pt>
                <c:pt idx="7">
                  <c:v>-633</c:v>
                </c:pt>
                <c:pt idx="8">
                  <c:v>-661</c:v>
                </c:pt>
                <c:pt idx="9">
                  <c:v>-661.5</c:v>
                </c:pt>
                <c:pt idx="10">
                  <c:v>-722</c:v>
                </c:pt>
                <c:pt idx="11">
                  <c:v>-557</c:v>
                </c:pt>
                <c:pt idx="12">
                  <c:v>-618.40000000000009</c:v>
                </c:pt>
                <c:pt idx="13">
                  <c:v>-610</c:v>
                </c:pt>
                <c:pt idx="14">
                  <c:v>-593</c:v>
                </c:pt>
                <c:pt idx="15">
                  <c:v>-677</c:v>
                </c:pt>
                <c:pt idx="16">
                  <c:v>-686</c:v>
                </c:pt>
                <c:pt idx="17">
                  <c:v>-716.6</c:v>
                </c:pt>
                <c:pt idx="18">
                  <c:v>-727.6</c:v>
                </c:pt>
                <c:pt idx="19">
                  <c:v>-736.9</c:v>
                </c:pt>
                <c:pt idx="20">
                  <c:v>-658.5</c:v>
                </c:pt>
                <c:pt idx="21">
                  <c:v>-689.9</c:v>
                </c:pt>
                <c:pt idx="22">
                  <c:v>-690</c:v>
                </c:pt>
                <c:pt idx="23">
                  <c:v>-684.7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00-4B1D-B7EF-D4B83D375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'31'!$AM$22:$BJ$22</c:f>
              <c:numCache>
                <c:formatCode>General</c:formatCode>
                <c:ptCount val="24"/>
                <c:pt idx="0">
                  <c:v>303.54000000000002</c:v>
                </c:pt>
                <c:pt idx="1">
                  <c:v>2369.9399999999996</c:v>
                </c:pt>
                <c:pt idx="2">
                  <c:v>2294.3399999999997</c:v>
                </c:pt>
                <c:pt idx="3">
                  <c:v>2196.5399999999995</c:v>
                </c:pt>
                <c:pt idx="4">
                  <c:v>2144.44</c:v>
                </c:pt>
                <c:pt idx="5">
                  <c:v>2133.44</c:v>
                </c:pt>
                <c:pt idx="6">
                  <c:v>2129.2399999999998</c:v>
                </c:pt>
                <c:pt idx="7">
                  <c:v>2153.9399999999996</c:v>
                </c:pt>
                <c:pt idx="8">
                  <c:v>2322.4399999999996</c:v>
                </c:pt>
                <c:pt idx="9">
                  <c:v>2322.4399999999996</c:v>
                </c:pt>
                <c:pt idx="10">
                  <c:v>2358.3399999999997</c:v>
                </c:pt>
                <c:pt idx="11">
                  <c:v>2358.3399999999997</c:v>
                </c:pt>
                <c:pt idx="12">
                  <c:v>2326.7399999999998</c:v>
                </c:pt>
                <c:pt idx="13">
                  <c:v>2326.7399999999998</c:v>
                </c:pt>
                <c:pt idx="14">
                  <c:v>2299.88</c:v>
                </c:pt>
                <c:pt idx="15">
                  <c:v>2314.15</c:v>
                </c:pt>
                <c:pt idx="16">
                  <c:v>2325.0700000000002</c:v>
                </c:pt>
                <c:pt idx="17">
                  <c:v>2222.5700000000002</c:v>
                </c:pt>
                <c:pt idx="18">
                  <c:v>2230.4399999999996</c:v>
                </c:pt>
                <c:pt idx="19">
                  <c:v>2332.0399999999995</c:v>
                </c:pt>
                <c:pt idx="20">
                  <c:v>2472.8399999999997</c:v>
                </c:pt>
                <c:pt idx="21">
                  <c:v>2468.04</c:v>
                </c:pt>
                <c:pt idx="22">
                  <c:v>2400.7399999999998</c:v>
                </c:pt>
                <c:pt idx="23">
                  <c:v>2318.8399999999997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F00-4B1D-B7EF-D4B83D375C9F}"/>
            </c:ext>
          </c:extLst>
        </c:ser>
        <c:ser>
          <c:idx val="8"/>
          <c:order val="8"/>
          <c:tx>
            <c:strRef>
              <c:f>'31'!$AL$24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'31'!$AM$24:$BJ$24</c:f>
              <c:numCache>
                <c:formatCode>General</c:formatCode>
                <c:ptCount val="24"/>
                <c:pt idx="0">
                  <c:v>303.54000000000002</c:v>
                </c:pt>
                <c:pt idx="1">
                  <c:v>1657.9399999999996</c:v>
                </c:pt>
                <c:pt idx="2">
                  <c:v>1582.3399999999997</c:v>
                </c:pt>
                <c:pt idx="3">
                  <c:v>1549.5399999999995</c:v>
                </c:pt>
                <c:pt idx="4">
                  <c:v>1517.44</c:v>
                </c:pt>
                <c:pt idx="5">
                  <c:v>1477.24</c:v>
                </c:pt>
                <c:pt idx="6">
                  <c:v>1453.7399999999998</c:v>
                </c:pt>
                <c:pt idx="7">
                  <c:v>1520.9399999999996</c:v>
                </c:pt>
                <c:pt idx="8">
                  <c:v>1661.4399999999996</c:v>
                </c:pt>
                <c:pt idx="9">
                  <c:v>1660.9399999999996</c:v>
                </c:pt>
                <c:pt idx="10">
                  <c:v>1636.3399999999997</c:v>
                </c:pt>
                <c:pt idx="11">
                  <c:v>1801.3399999999997</c:v>
                </c:pt>
                <c:pt idx="12">
                  <c:v>1708.3399999999997</c:v>
                </c:pt>
                <c:pt idx="13">
                  <c:v>1716.7399999999998</c:v>
                </c:pt>
                <c:pt idx="14">
                  <c:v>1706.88</c:v>
                </c:pt>
                <c:pt idx="15">
                  <c:v>1637.15</c:v>
                </c:pt>
                <c:pt idx="16">
                  <c:v>1639.0700000000002</c:v>
                </c:pt>
                <c:pt idx="17">
                  <c:v>1505.9700000000003</c:v>
                </c:pt>
                <c:pt idx="18">
                  <c:v>1502.8399999999997</c:v>
                </c:pt>
                <c:pt idx="19">
                  <c:v>1595.1399999999994</c:v>
                </c:pt>
                <c:pt idx="20">
                  <c:v>1814.3399999999997</c:v>
                </c:pt>
                <c:pt idx="21">
                  <c:v>1778.1399999999999</c:v>
                </c:pt>
                <c:pt idx="22">
                  <c:v>1710.7399999999998</c:v>
                </c:pt>
                <c:pt idx="23">
                  <c:v>1634.1399999999996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00-4B1D-B7EF-D4B83D375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38-4747-8E0B-B3A525F92C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38-4747-8E0B-B3A525F92C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38-4747-8E0B-B3A525F92C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38-4747-8E0B-B3A525F92C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38-4747-8E0B-B3A525F92C5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C38-4747-8E0B-B3A525F92C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'4-01'!$AL$16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'4-01'!$AM$16:$BJ$16</c:f>
              <c:numCache>
                <c:formatCode>General</c:formatCode>
                <c:ptCount val="24"/>
                <c:pt idx="0">
                  <c:v>1336.2</c:v>
                </c:pt>
                <c:pt idx="1">
                  <c:v>1275.0999999999999</c:v>
                </c:pt>
                <c:pt idx="2">
                  <c:v>1275.7</c:v>
                </c:pt>
                <c:pt idx="3">
                  <c:v>1210.6999999999998</c:v>
                </c:pt>
                <c:pt idx="4">
                  <c:v>1235.7999999999997</c:v>
                </c:pt>
                <c:pt idx="5">
                  <c:v>1229.8</c:v>
                </c:pt>
                <c:pt idx="6">
                  <c:v>1207.3</c:v>
                </c:pt>
                <c:pt idx="7">
                  <c:v>1222.8</c:v>
                </c:pt>
                <c:pt idx="8">
                  <c:v>1258.7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 formatCode="0.0">
                  <c:v>300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6-4AE7-AA1F-1E9B4F82C58D}"/>
            </c:ext>
          </c:extLst>
        </c:ser>
        <c:ser>
          <c:idx val="2"/>
          <c:order val="1"/>
          <c:tx>
            <c:strRef>
              <c:f>'4-01'!$AL$17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'4-01'!$AM$17:$BJ$17</c:f>
              <c:numCache>
                <c:formatCode>General</c:formatCode>
                <c:ptCount val="24"/>
                <c:pt idx="0">
                  <c:v>539.4</c:v>
                </c:pt>
                <c:pt idx="1">
                  <c:v>539.4</c:v>
                </c:pt>
                <c:pt idx="2">
                  <c:v>539.4</c:v>
                </c:pt>
                <c:pt idx="3">
                  <c:v>538.1</c:v>
                </c:pt>
                <c:pt idx="4">
                  <c:v>538.1</c:v>
                </c:pt>
                <c:pt idx="5">
                  <c:v>538.1</c:v>
                </c:pt>
                <c:pt idx="6">
                  <c:v>538.1</c:v>
                </c:pt>
                <c:pt idx="7">
                  <c:v>538.1</c:v>
                </c:pt>
                <c:pt idx="8">
                  <c:v>538.1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6-4AE7-AA1F-1E9B4F82C58D}"/>
            </c:ext>
          </c:extLst>
        </c:ser>
        <c:ser>
          <c:idx val="3"/>
          <c:order val="2"/>
          <c:tx>
            <c:strRef>
              <c:f>'4-01'!$AL$18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'4-01'!$AM$18:$BJ$18</c:f>
              <c:numCache>
                <c:formatCode>General</c:formatCode>
                <c:ptCount val="24"/>
                <c:pt idx="0">
                  <c:v>411.94000000000005</c:v>
                </c:pt>
                <c:pt idx="1">
                  <c:v>411.94000000000005</c:v>
                </c:pt>
                <c:pt idx="2">
                  <c:v>411.94000000000005</c:v>
                </c:pt>
                <c:pt idx="3">
                  <c:v>394.93999999999994</c:v>
                </c:pt>
                <c:pt idx="4">
                  <c:v>394.93999999999994</c:v>
                </c:pt>
                <c:pt idx="5">
                  <c:v>396.63999999999993</c:v>
                </c:pt>
                <c:pt idx="6">
                  <c:v>382.33999999999992</c:v>
                </c:pt>
                <c:pt idx="7">
                  <c:v>378.84</c:v>
                </c:pt>
                <c:pt idx="8">
                  <c:v>378.73999999999995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6-4AE7-AA1F-1E9B4F82C58D}"/>
            </c:ext>
          </c:extLst>
        </c:ser>
        <c:ser>
          <c:idx val="0"/>
          <c:order val="3"/>
          <c:tx>
            <c:strRef>
              <c:f>'4-01'!$AL$19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86-4AE7-AA1F-1E9B4F82C58D}"/>
            </c:ext>
          </c:extLst>
        </c:ser>
        <c:ser>
          <c:idx val="4"/>
          <c:order val="4"/>
          <c:tx>
            <c:strRef>
              <c:f>'4-01'!$AL$20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86-4AE7-AA1F-1E9B4F82C58D}"/>
            </c:ext>
          </c:extLst>
        </c:ser>
        <c:ser>
          <c:idx val="5"/>
          <c:order val="5"/>
          <c:tx>
            <c:strRef>
              <c:f>'4-01'!$AL$21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86-4AE7-AA1F-1E9B4F82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'4-01'!$AL$23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'4-01'!$AM$23:$BJ$23</c:f>
              <c:numCache>
                <c:formatCode>General</c:formatCode>
                <c:ptCount val="24"/>
                <c:pt idx="0">
                  <c:v>-713.59999999999991</c:v>
                </c:pt>
                <c:pt idx="1">
                  <c:v>-682.2</c:v>
                </c:pt>
                <c:pt idx="2">
                  <c:v>-694.5</c:v>
                </c:pt>
                <c:pt idx="3">
                  <c:v>-672</c:v>
                </c:pt>
                <c:pt idx="4">
                  <c:v>-715</c:v>
                </c:pt>
                <c:pt idx="5">
                  <c:v>-723</c:v>
                </c:pt>
                <c:pt idx="6">
                  <c:v>-752</c:v>
                </c:pt>
                <c:pt idx="7">
                  <c:v>-696</c:v>
                </c:pt>
                <c:pt idx="8">
                  <c:v>-665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86-4AE7-AA1F-1E9B4F82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'4-01'!$AL$22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'4-01'!$AM$22:$BJ$22</c:f>
              <c:numCache>
                <c:formatCode>General</c:formatCode>
                <c:ptCount val="24"/>
                <c:pt idx="0">
                  <c:v>2287.54</c:v>
                </c:pt>
                <c:pt idx="1">
                  <c:v>2226.44</c:v>
                </c:pt>
                <c:pt idx="2">
                  <c:v>2227.04</c:v>
                </c:pt>
                <c:pt idx="3">
                  <c:v>2143.7399999999998</c:v>
                </c:pt>
                <c:pt idx="4">
                  <c:v>2168.8399999999997</c:v>
                </c:pt>
                <c:pt idx="5">
                  <c:v>2164.54</c:v>
                </c:pt>
                <c:pt idx="6">
                  <c:v>2127.7399999999998</c:v>
                </c:pt>
                <c:pt idx="7">
                  <c:v>2139.7400000000002</c:v>
                </c:pt>
                <c:pt idx="8">
                  <c:v>2175.54</c:v>
                </c:pt>
                <c:pt idx="9">
                  <c:v>303.54000000000002</c:v>
                </c:pt>
                <c:pt idx="10">
                  <c:v>303.54000000000002</c:v>
                </c:pt>
                <c:pt idx="11">
                  <c:v>303.54000000000002</c:v>
                </c:pt>
                <c:pt idx="12">
                  <c:v>303.54000000000002</c:v>
                </c:pt>
                <c:pt idx="13">
                  <c:v>303.54000000000002</c:v>
                </c:pt>
                <c:pt idx="14">
                  <c:v>303.54000000000002</c:v>
                </c:pt>
                <c:pt idx="15">
                  <c:v>303.54000000000002</c:v>
                </c:pt>
                <c:pt idx="16">
                  <c:v>303.54000000000002</c:v>
                </c:pt>
                <c:pt idx="17">
                  <c:v>303.54000000000002</c:v>
                </c:pt>
                <c:pt idx="18">
                  <c:v>303.54000000000002</c:v>
                </c:pt>
                <c:pt idx="19">
                  <c:v>305.5</c:v>
                </c:pt>
                <c:pt idx="20">
                  <c:v>303.54000000000002</c:v>
                </c:pt>
                <c:pt idx="21">
                  <c:v>303.54000000000002</c:v>
                </c:pt>
                <c:pt idx="22">
                  <c:v>303.54000000000002</c:v>
                </c:pt>
                <c:pt idx="23">
                  <c:v>303.54000000000002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186-4AE7-AA1F-1E9B4F82C58D}"/>
            </c:ext>
          </c:extLst>
        </c:ser>
        <c:ser>
          <c:idx val="8"/>
          <c:order val="8"/>
          <c:tx>
            <c:strRef>
              <c:f>'4-01'!$AL$24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'4-01'!$AM$15:$BJ$15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'4-01'!$AM$24:$BJ$24</c:f>
              <c:numCache>
                <c:formatCode>General</c:formatCode>
                <c:ptCount val="24"/>
                <c:pt idx="0">
                  <c:v>1573.94</c:v>
                </c:pt>
                <c:pt idx="1">
                  <c:v>1544.24</c:v>
                </c:pt>
                <c:pt idx="2">
                  <c:v>1532.54</c:v>
                </c:pt>
                <c:pt idx="3">
                  <c:v>1471.7399999999998</c:v>
                </c:pt>
                <c:pt idx="4">
                  <c:v>1453.8399999999997</c:v>
                </c:pt>
                <c:pt idx="5">
                  <c:v>1441.54</c:v>
                </c:pt>
                <c:pt idx="6">
                  <c:v>1375.7399999999998</c:v>
                </c:pt>
                <c:pt idx="7">
                  <c:v>1443.7400000000002</c:v>
                </c:pt>
                <c:pt idx="8">
                  <c:v>1510.54</c:v>
                </c:pt>
                <c:pt idx="9">
                  <c:v>303.54000000000002</c:v>
                </c:pt>
                <c:pt idx="10">
                  <c:v>303.54000000000002</c:v>
                </c:pt>
                <c:pt idx="11">
                  <c:v>303.54000000000002</c:v>
                </c:pt>
                <c:pt idx="12">
                  <c:v>303.54000000000002</c:v>
                </c:pt>
                <c:pt idx="13">
                  <c:v>303.54000000000002</c:v>
                </c:pt>
                <c:pt idx="14">
                  <c:v>303.54000000000002</c:v>
                </c:pt>
                <c:pt idx="15">
                  <c:v>303.54000000000002</c:v>
                </c:pt>
                <c:pt idx="16">
                  <c:v>303.54000000000002</c:v>
                </c:pt>
                <c:pt idx="17">
                  <c:v>303.54000000000002</c:v>
                </c:pt>
                <c:pt idx="18">
                  <c:v>303.54000000000002</c:v>
                </c:pt>
                <c:pt idx="19">
                  <c:v>305.5</c:v>
                </c:pt>
                <c:pt idx="20">
                  <c:v>303.54000000000002</c:v>
                </c:pt>
                <c:pt idx="21">
                  <c:v>303.54000000000002</c:v>
                </c:pt>
                <c:pt idx="22">
                  <c:v>303.54000000000002</c:v>
                </c:pt>
                <c:pt idx="23">
                  <c:v>303.54000000000002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86-4AE7-AA1F-1E9B4F82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4A-46E3-9DBD-617DC644E5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4A-46E3-9DBD-617DC644E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4A-46E3-9DBD-617DC644E5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4A-46E3-9DBD-617DC644E5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4A-46E3-9DBD-617DC644E56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94A-46E3-9DBD-617DC644E5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NewSample!$AL$16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NewSample!$AM$16:$BJ$16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 formatCode="0.0">
                  <c:v>300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D-48AF-9C10-EF3FAED5C4C6}"/>
            </c:ext>
          </c:extLst>
        </c:ser>
        <c:ser>
          <c:idx val="2"/>
          <c:order val="1"/>
          <c:tx>
            <c:strRef>
              <c:f>NewSample!$AL$17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NewSample!$AM$17:$BJ$17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D-48AF-9C10-EF3FAED5C4C6}"/>
            </c:ext>
          </c:extLst>
        </c:ser>
        <c:ser>
          <c:idx val="3"/>
          <c:order val="2"/>
          <c:tx>
            <c:strRef>
              <c:f>NewSample!$AL$18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D-48AF-9C10-EF3FAED5C4C6}"/>
            </c:ext>
          </c:extLst>
        </c:ser>
        <c:ser>
          <c:idx val="0"/>
          <c:order val="3"/>
          <c:tx>
            <c:strRef>
              <c:f>NewSample!$AL$19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8D-48AF-9C10-EF3FAED5C4C6}"/>
            </c:ext>
          </c:extLst>
        </c:ser>
        <c:ser>
          <c:idx val="4"/>
          <c:order val="4"/>
          <c:tx>
            <c:strRef>
              <c:f>NewSample!$AL$20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D-48AF-9C10-EF3FAED5C4C6}"/>
            </c:ext>
          </c:extLst>
        </c:ser>
        <c:ser>
          <c:idx val="5"/>
          <c:order val="5"/>
          <c:tx>
            <c:strRef>
              <c:f>NewSample!$AL$21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8D-48AF-9C10-EF3FAED5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NewSample!$AL$23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8D-48AF-9C10-EF3FAED5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NewSample!$AL$22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NewSample!$AM$22:$BJ$22</c:f>
              <c:numCache>
                <c:formatCode>General</c:formatCode>
                <c:ptCount val="24"/>
                <c:pt idx="0">
                  <c:v>303.54000000000002</c:v>
                </c:pt>
                <c:pt idx="1">
                  <c:v>303.54000000000002</c:v>
                </c:pt>
                <c:pt idx="2">
                  <c:v>303.54000000000002</c:v>
                </c:pt>
                <c:pt idx="3">
                  <c:v>303.54000000000002</c:v>
                </c:pt>
                <c:pt idx="4">
                  <c:v>303.54000000000002</c:v>
                </c:pt>
                <c:pt idx="5">
                  <c:v>303.54000000000002</c:v>
                </c:pt>
                <c:pt idx="6">
                  <c:v>303.54000000000002</c:v>
                </c:pt>
                <c:pt idx="7">
                  <c:v>303.54000000000002</c:v>
                </c:pt>
                <c:pt idx="8">
                  <c:v>303.54000000000002</c:v>
                </c:pt>
                <c:pt idx="9">
                  <c:v>303.54000000000002</c:v>
                </c:pt>
                <c:pt idx="10">
                  <c:v>303.54000000000002</c:v>
                </c:pt>
                <c:pt idx="11">
                  <c:v>303.54000000000002</c:v>
                </c:pt>
                <c:pt idx="12">
                  <c:v>303.54000000000002</c:v>
                </c:pt>
                <c:pt idx="13">
                  <c:v>303.54000000000002</c:v>
                </c:pt>
                <c:pt idx="14">
                  <c:v>303.54000000000002</c:v>
                </c:pt>
                <c:pt idx="15">
                  <c:v>303.54000000000002</c:v>
                </c:pt>
                <c:pt idx="16">
                  <c:v>303.54000000000002</c:v>
                </c:pt>
                <c:pt idx="17">
                  <c:v>303.54000000000002</c:v>
                </c:pt>
                <c:pt idx="18">
                  <c:v>303.54000000000002</c:v>
                </c:pt>
                <c:pt idx="19">
                  <c:v>305.5</c:v>
                </c:pt>
                <c:pt idx="20">
                  <c:v>303.54000000000002</c:v>
                </c:pt>
                <c:pt idx="21">
                  <c:v>303.54000000000002</c:v>
                </c:pt>
                <c:pt idx="22">
                  <c:v>303.54000000000002</c:v>
                </c:pt>
                <c:pt idx="23">
                  <c:v>303.54000000000002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E8D-48AF-9C10-EF3FAED5C4C6}"/>
            </c:ext>
          </c:extLst>
        </c:ser>
        <c:ser>
          <c:idx val="8"/>
          <c:order val="8"/>
          <c:tx>
            <c:strRef>
              <c:f>NewSample!$AL$24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NewSample!$AM$24:$BJ$24</c:f>
              <c:numCache>
                <c:formatCode>General</c:formatCode>
                <c:ptCount val="24"/>
                <c:pt idx="0">
                  <c:v>303.54000000000002</c:v>
                </c:pt>
                <c:pt idx="1">
                  <c:v>303.54000000000002</c:v>
                </c:pt>
                <c:pt idx="2">
                  <c:v>303.54000000000002</c:v>
                </c:pt>
                <c:pt idx="3">
                  <c:v>303.54000000000002</c:v>
                </c:pt>
                <c:pt idx="4">
                  <c:v>303.54000000000002</c:v>
                </c:pt>
                <c:pt idx="5">
                  <c:v>303.54000000000002</c:v>
                </c:pt>
                <c:pt idx="6">
                  <c:v>303.54000000000002</c:v>
                </c:pt>
                <c:pt idx="7">
                  <c:v>303.54000000000002</c:v>
                </c:pt>
                <c:pt idx="8">
                  <c:v>303.54000000000002</c:v>
                </c:pt>
                <c:pt idx="9">
                  <c:v>303.54000000000002</c:v>
                </c:pt>
                <c:pt idx="10">
                  <c:v>303.54000000000002</c:v>
                </c:pt>
                <c:pt idx="11">
                  <c:v>303.54000000000002</c:v>
                </c:pt>
                <c:pt idx="12">
                  <c:v>303.54000000000002</c:v>
                </c:pt>
                <c:pt idx="13">
                  <c:v>303.54000000000002</c:v>
                </c:pt>
                <c:pt idx="14">
                  <c:v>303.54000000000002</c:v>
                </c:pt>
                <c:pt idx="15">
                  <c:v>303.54000000000002</c:v>
                </c:pt>
                <c:pt idx="16">
                  <c:v>303.54000000000002</c:v>
                </c:pt>
                <c:pt idx="17">
                  <c:v>303.54000000000002</c:v>
                </c:pt>
                <c:pt idx="18">
                  <c:v>303.54000000000002</c:v>
                </c:pt>
                <c:pt idx="19">
                  <c:v>305.5</c:v>
                </c:pt>
                <c:pt idx="20">
                  <c:v>303.54000000000002</c:v>
                </c:pt>
                <c:pt idx="21">
                  <c:v>303.54000000000002</c:v>
                </c:pt>
                <c:pt idx="22">
                  <c:v>303.54000000000002</c:v>
                </c:pt>
                <c:pt idx="23">
                  <c:v>303.54000000000002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8D-48AF-9C10-EF3FAED5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6E-4934-A24E-25A100BD0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6E-4934-A24E-25A100BD02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6E-4934-A24E-25A100BD02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6E-4934-A24E-25A100BD02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6E-4934-A24E-25A100BD025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E6E-4934-A24E-25A100BD02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OSample!$AL$16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OSample!$AM$16:$BJ$16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5-4846-AA3F-F1DFBCAE0DCD}"/>
            </c:ext>
          </c:extLst>
        </c:ser>
        <c:ser>
          <c:idx val="2"/>
          <c:order val="1"/>
          <c:tx>
            <c:strRef>
              <c:f>OSample!$AL$17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OSample!$AM$17:$BJ$17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5-4846-AA3F-F1DFBCAE0DCD}"/>
            </c:ext>
          </c:extLst>
        </c:ser>
        <c:ser>
          <c:idx val="3"/>
          <c:order val="2"/>
          <c:tx>
            <c:strRef>
              <c:f>OSample!$AL$18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5-4846-AA3F-F1DFBCAE0DCD}"/>
            </c:ext>
          </c:extLst>
        </c:ser>
        <c:ser>
          <c:idx val="0"/>
          <c:order val="3"/>
          <c:tx>
            <c:strRef>
              <c:f>OSample!$AL$19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5-4846-AA3F-F1DFBCAE0DCD}"/>
            </c:ext>
          </c:extLst>
        </c:ser>
        <c:ser>
          <c:idx val="4"/>
          <c:order val="4"/>
          <c:tx>
            <c:strRef>
              <c:f>OSample!$AL$20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05-4846-AA3F-F1DFBCAE0DCD}"/>
            </c:ext>
          </c:extLst>
        </c:ser>
        <c:ser>
          <c:idx val="5"/>
          <c:order val="5"/>
          <c:tx>
            <c:strRef>
              <c:f>OSample!$AL$21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05-4846-AA3F-F1DFBCAE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OSample!$AL$23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05-4846-AA3F-F1DFBCAE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OSample!$AL$22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OSample!$AM$22:$BJ$22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605-4846-AA3F-F1DFBCAE0DCD}"/>
            </c:ext>
          </c:extLst>
        </c:ser>
        <c:ser>
          <c:idx val="8"/>
          <c:order val="8"/>
          <c:tx>
            <c:strRef>
              <c:f>OSample!$AL$24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OSample!$AM$24:$BJ$24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05-4846-AA3F-F1DFBCAE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98A40-2CCE-4AA1-8007-CE85EDBCF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73F940-2AE1-403A-AE6D-A4434ACF8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1875.64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2048.74 MW</a:t>
          </a:fld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5AD21-FFCB-4E19-9684-259B862B4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907BEC-5122-4BD7-B8D7-E373CE807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1928.64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2131.34 MW</a:t>
          </a:fld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1C48D-7C42-4E0A-B3E8-5D5D7CB88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EF5C7-8472-4D54-9B44-88BFAFEE8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1906.54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2061.14 MW</a:t>
          </a:fld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63673-206F-499B-9FFE-AB9D974A3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A5C6AB-1432-401C-B6B3-ECA663BD2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1937.68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2182.74 MW</a:t>
          </a:fld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9E7E4-24E8-4119-83CC-DBC895220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B0716-D25E-44E3-B83C-A2C588179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1690.54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2117.44 MW</a:t>
          </a:fld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0C37E-E672-47F3-AC68-B6B713D22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8C512-F61D-415F-836B-BC1B7021A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1607.24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2051.24 MW</a:t>
          </a:fld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9102D-5C2D-4A74-B7C4-B3DE555BB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0AD90E-68AD-4225-93A0-E5A475936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1715.14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2196.94 MW</a:t>
          </a:fld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62EC1-CA23-42F3-9432-A68CA5FFA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9783A7-0696-42BA-BF7C-AE5FB7E12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1796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2211.9 MW</a:t>
          </a:fld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94FBD-2710-4928-ADB7-71E938273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5E4C2B-2393-494B-8D57-FF86AC73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1903.64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2287.44 MW</a:t>
          </a:fld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A06C7-9798-4D0F-93DB-2C3F34970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AC155-FB4A-47D2-816D-510C0640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2702.978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2702.978 MW</a:t>
          </a:fld>
          <a:endParaRPr lang="en-US" sz="11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76411-3DC7-4601-B5DC-72884B149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BB231-E224-4648-ABF4-8072AB440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2626.49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2626.49 MW</a:t>
          </a:fld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C03FF-8A8B-4239-BC28-157BEC36F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DD5554-767C-4D98-9BBF-BF7251647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1626.24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2087.04 MW</a:t>
          </a:fld>
          <a:endParaRPr lang="en-US" sz="11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C9882-342C-449C-A2E4-5BF1D2078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79AD7D-F34A-4512-B1F2-A05B6AF8C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1691.84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2042.34 MW</a:t>
          </a:fld>
          <a:endParaRPr lang="en-US" sz="1100"/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4DC20-5A82-4521-9005-BD35EDA4C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743C5-4B39-409D-84A2-AEFC05698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1623.34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2087.94 MW</a:t>
          </a:fld>
          <a:endParaRPr lang="en-US" sz="1100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4F079-DF28-4852-904F-373F81279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C1E2D2-30C8-4C3E-8869-F9FC224F7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1606.44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2122.04 MW</a:t>
          </a:fld>
          <a:endParaRPr lang="en-US" sz="1100"/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E8D30-A961-49DB-A4E5-2E4F5F77E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7E0253-15BF-4C72-BBCC-19C9CB97E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1598.639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2045.84 MW</a:t>
          </a:fld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D50B2-C854-4965-9B7E-92B508948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CFBF4D-EC08-46BE-8C66-3B56E0F42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1793.34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2309.64 MW</a:t>
          </a:fld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64C8F-969E-44C3-B172-277841A23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03FF8-6654-4F0B-89C7-8F5E3C0F6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1787.24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2364.74 MW</a:t>
          </a:fld>
          <a:endParaRPr lang="en-US" sz="1100"/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B09E4-7F83-471A-B12C-6DA6E727B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DF7E67-535F-449C-8B51-1A5FEA4F5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1784.24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2309.84 MW</a:t>
          </a:fld>
          <a:endParaRPr lang="en-US" sz="1100"/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9A8DB-3B23-4384-96CC-FECC3E47F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BB3EC2-982D-4B7F-A89F-0E979812D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1884.34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2379.14 MW</a:t>
          </a:fld>
          <a:endParaRPr lang="en-US" sz="1100"/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C0406-231B-4DDC-A630-5B9BBD3F6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1263A-C79D-4C17-9772-0D6915E5B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1712.24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2300.74 MW</a:t>
          </a:fld>
          <a:endParaRPr lang="en-US" sz="1100"/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9CC84-A09B-461A-AD14-FBA0E05B6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02CFF9-9ADA-4675-90D3-40B04396E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1479.54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2089.84 MW</a:t>
          </a:fld>
          <a:endParaRPr lang="en-US" sz="1100"/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27DB2-6FAD-46F7-89DB-E259D65C9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F610FC-280F-43FD-BE92-F2C017786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1578.14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2213.64 MW</a:t>
          </a:fld>
          <a:endParaRPr lang="en-US" sz="1100"/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7BDBB-6CE2-44FF-89CD-D9417431D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56DFE8-9E74-453E-8ACB-E871B882D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1734.64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2388.64 MW</a:t>
          </a:fld>
          <a:endParaRPr lang="en-US" sz="1100"/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FBB2-97D3-4330-88A9-95C22C77F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025461-91FA-48CC-AF18-ED87CA67C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1788.24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2389.54 MW</a:t>
          </a:fld>
          <a:endParaRPr lang="en-US" sz="1100"/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DBB2B-96F2-4DF3-90AC-03C574860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4938AF-E0A3-4C46-8013-8465EFDE4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1681.64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2375.14 MW</a:t>
          </a:fld>
          <a:endParaRPr lang="en-US" sz="1100"/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3ACF6-3063-49FC-B236-E68BF15BE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8E6E9A-24BE-45EF-AE54-30AEB343F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1665.44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2368.34 MW</a:t>
          </a:fld>
          <a:endParaRPr lang="en-US" sz="1100"/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03AC-04C7-4BB8-B3AB-A13D30A82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DE55A-5E97-4D47-811A-DFFFB8471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1581.6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2287 MW</a:t>
          </a:fld>
          <a:endParaRPr lang="en-US" sz="1100"/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93953-9940-4C9D-A860-3892DA59D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999D7-7AB5-4850-8E28-3BCA3567B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1576.74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2318.44 MW</a:t>
          </a:fld>
          <a:endParaRPr lang="en-US" sz="1100"/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6A9CF-46AA-4BA7-9761-EAF372B92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1934E4-D29F-4ED8-B408-E928B11FC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1743.84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2455.94 MW</a:t>
          </a:fld>
          <a:endParaRPr lang="en-US" sz="1100"/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296A0-FCE1-4569-98C1-4D84735ED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EA5314-07DA-4863-ABDF-4B9E990CD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1814.34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2472.84 MW</a:t>
          </a:fld>
          <a:endParaRPr lang="en-US" sz="1100"/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08FA5-71A0-4B25-9ABA-2B0BF3D21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77AA1-2E10-4251-8161-C34E3526F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4-0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1573.94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4-0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2287.54 MW</a:t>
          </a:fld>
          <a:endParaRPr lang="en-US" sz="1100"/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375A3-5776-4BEE-A946-88F98319C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497DFF-E3BE-4B19-BBBD-0838FCE98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NewSample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305.5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NewSample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305.5 MW</a:t>
          </a:fld>
          <a:endParaRPr lang="en-US" sz="1100"/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065B5-4CEC-4F25-909A-600032204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6541F5-ECB5-405B-AE0B-BD36BD8B1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OSample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155.5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OSample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155.5 MW</a:t>
          </a:fld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</row>
        <row r="241">
          <cell r="A241" t="str">
            <v>NEA(RoR+PRoR)</v>
          </cell>
          <cell r="B241"/>
        </row>
        <row r="242">
          <cell r="A242" t="str">
            <v>KL1+KL2+KL3</v>
          </cell>
          <cell r="B242"/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4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4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4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4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5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5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5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6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6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6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6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31A1-128F-4E8C-8A18-399C0710F161}">
  <dimension ref="A1:CJ297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I7" sqref="I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</v>
      </c>
      <c r="C4" s="189"/>
      <c r="D4" s="189"/>
      <c r="E4" s="190" t="str">
        <f ca="1">"2080/"&amp;"10/"&amp;INT(MID(CELL("filename",G6),FIND("]",CELL("filename",G6))+1,200))</f>
        <v>2080/10/1</v>
      </c>
      <c r="F4" s="190"/>
      <c r="G4" s="190"/>
      <c r="H4" s="190" t="str">
        <f ca="1">TEXT(E4,"dddd")</f>
        <v>Tuesday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28</v>
      </c>
      <c r="C5" s="30">
        <f t="shared" si="0"/>
        <v>27</v>
      </c>
      <c r="D5" s="30">
        <f t="shared" si="0"/>
        <v>28</v>
      </c>
      <c r="E5" s="30">
        <f t="shared" si="0"/>
        <v>20.9</v>
      </c>
      <c r="F5" s="30">
        <f t="shared" si="0"/>
        <v>16.3</v>
      </c>
      <c r="G5" s="30">
        <f t="shared" si="0"/>
        <v>14</v>
      </c>
      <c r="H5" s="30">
        <f t="shared" si="0"/>
        <v>39</v>
      </c>
      <c r="I5" s="30">
        <f t="shared" si="0"/>
        <v>141</v>
      </c>
      <c r="J5" s="30">
        <f t="shared" si="0"/>
        <v>141</v>
      </c>
      <c r="K5" s="30">
        <f t="shared" si="0"/>
        <v>141</v>
      </c>
      <c r="L5" s="30">
        <f t="shared" si="0"/>
        <v>197.9</v>
      </c>
      <c r="M5" s="30">
        <f t="shared" si="0"/>
        <v>202</v>
      </c>
      <c r="N5" s="30">
        <f t="shared" si="0"/>
        <v>221.3</v>
      </c>
      <c r="O5" s="30">
        <f t="shared" si="0"/>
        <v>212</v>
      </c>
      <c r="P5" s="30">
        <f t="shared" si="0"/>
        <v>219.2</v>
      </c>
      <c r="Q5" s="30">
        <f t="shared" si="0"/>
        <v>237</v>
      </c>
      <c r="R5" s="30">
        <f t="shared" si="0"/>
        <v>243.7</v>
      </c>
      <c r="S5" s="30">
        <f t="shared" si="0"/>
        <v>225.1</v>
      </c>
      <c r="T5" s="30">
        <f t="shared" si="0"/>
        <v>233.1</v>
      </c>
      <c r="U5" s="30">
        <f t="shared" si="0"/>
        <v>234.2</v>
      </c>
      <c r="V5" s="30">
        <f t="shared" si="0"/>
        <v>226.10000000000002</v>
      </c>
      <c r="W5" s="30">
        <f t="shared" si="0"/>
        <v>176.6</v>
      </c>
      <c r="X5" s="30">
        <f t="shared" si="0"/>
        <v>54.900000000000006</v>
      </c>
      <c r="Y5" s="30">
        <f t="shared" si="0"/>
        <v>20.7</v>
      </c>
      <c r="Z5" s="30">
        <f t="shared" si="0"/>
        <v>16.399999999999999</v>
      </c>
      <c r="AA5" s="30">
        <f t="shared" si="0"/>
        <v>2.9</v>
      </c>
      <c r="AB5" s="30">
        <f t="shared" si="0"/>
        <v>21.5</v>
      </c>
      <c r="AC5" s="30">
        <f t="shared" si="0"/>
        <v>26.8</v>
      </c>
      <c r="AD5" s="30">
        <f t="shared" si="0"/>
        <v>28.4</v>
      </c>
      <c r="AE5" s="30">
        <f t="shared" si="0"/>
        <v>20</v>
      </c>
      <c r="AF5" s="30">
        <f>B95</f>
        <v>28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1990MW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Load=1448</v>
      </c>
      <c r="B7" s="35">
        <f t="shared" ref="B7:AF7" si="1">B103</f>
        <v>1692.04</v>
      </c>
      <c r="C7" s="35">
        <f t="shared" si="1"/>
        <v>1703.04</v>
      </c>
      <c r="D7" s="35">
        <f t="shared" si="1"/>
        <v>1656.04</v>
      </c>
      <c r="E7" s="35">
        <f t="shared" si="1"/>
        <v>1580.04</v>
      </c>
      <c r="F7" s="35">
        <f t="shared" si="1"/>
        <v>1571.5400000000002</v>
      </c>
      <c r="G7" s="35">
        <f t="shared" si="1"/>
        <v>1456.94</v>
      </c>
      <c r="H7" s="35">
        <f t="shared" si="1"/>
        <v>1451.34</v>
      </c>
      <c r="I7" s="35">
        <f t="shared" si="1"/>
        <v>1536.34</v>
      </c>
      <c r="J7" s="35">
        <f t="shared" si="1"/>
        <v>1599.54</v>
      </c>
      <c r="K7" s="35">
        <f t="shared" si="1"/>
        <v>1499.54</v>
      </c>
      <c r="L7" s="35">
        <f t="shared" si="1"/>
        <v>1499.54</v>
      </c>
      <c r="M7" s="35">
        <f t="shared" si="1"/>
        <v>1586.44</v>
      </c>
      <c r="N7" s="35">
        <f t="shared" si="1"/>
        <v>1610.54</v>
      </c>
      <c r="O7" s="35">
        <f t="shared" si="1"/>
        <v>1647.84</v>
      </c>
      <c r="P7" s="35">
        <f t="shared" si="1"/>
        <v>1653.54</v>
      </c>
      <c r="Q7" s="35">
        <f t="shared" si="1"/>
        <v>1654.0400000000002</v>
      </c>
      <c r="R7" s="35">
        <f t="shared" si="1"/>
        <v>1667.8400000000001</v>
      </c>
      <c r="S7" s="35">
        <f t="shared" si="1"/>
        <v>1832.4400000000003</v>
      </c>
      <c r="T7" s="35">
        <f t="shared" si="1"/>
        <v>1693.5400000000002</v>
      </c>
      <c r="U7" s="35">
        <f t="shared" si="1"/>
        <v>1698.54</v>
      </c>
      <c r="V7" s="35">
        <f t="shared" si="1"/>
        <v>1729.0400000000002</v>
      </c>
      <c r="W7" s="35">
        <f t="shared" si="1"/>
        <v>1673.9399999999998</v>
      </c>
      <c r="X7" s="35">
        <f t="shared" si="1"/>
        <v>1556.54</v>
      </c>
      <c r="Y7" s="35">
        <f t="shared" si="1"/>
        <v>1448.1400000000003</v>
      </c>
      <c r="Z7" s="35">
        <f t="shared" si="1"/>
        <v>1630.3400000000004</v>
      </c>
      <c r="AA7" s="35">
        <f t="shared" si="1"/>
        <v>1849.54</v>
      </c>
      <c r="AB7" s="35">
        <f t="shared" si="1"/>
        <v>1836.4400000000005</v>
      </c>
      <c r="AC7" s="35">
        <f t="shared" si="1"/>
        <v>1848.8400000000001</v>
      </c>
      <c r="AD7" s="35">
        <f t="shared" si="1"/>
        <v>1875.64</v>
      </c>
      <c r="AE7" s="35">
        <f t="shared" si="1"/>
        <v>1769.7400000000002</v>
      </c>
      <c r="AF7" s="35">
        <f t="shared" si="1"/>
        <v>1720.44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2048.74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1875.64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34.299999999999997</v>
      </c>
      <c r="C11" s="46">
        <v>34.299999999999997</v>
      </c>
      <c r="D11" s="46">
        <v>34.299999999999997</v>
      </c>
      <c r="E11" s="46">
        <v>34.299999999999997</v>
      </c>
      <c r="F11" s="46">
        <v>34.299999999999997</v>
      </c>
      <c r="G11" s="46">
        <v>34.299999999999997</v>
      </c>
      <c r="H11" s="46">
        <v>34.299999999999997</v>
      </c>
      <c r="I11" s="46">
        <v>34.299999999999997</v>
      </c>
      <c r="J11" s="46">
        <v>34.299999999999997</v>
      </c>
      <c r="K11" s="46">
        <v>34.299999999999997</v>
      </c>
      <c r="L11" s="46">
        <v>34.299999999999997</v>
      </c>
      <c r="M11" s="46">
        <v>34.299999999999997</v>
      </c>
      <c r="N11" s="46">
        <v>34.299999999999997</v>
      </c>
      <c r="O11" s="46">
        <v>34.299999999999997</v>
      </c>
      <c r="P11" s="46">
        <v>34.299999999999997</v>
      </c>
      <c r="Q11" s="46">
        <v>42.6</v>
      </c>
      <c r="R11" s="46">
        <v>42.6</v>
      </c>
      <c r="S11" s="46">
        <v>42.6</v>
      </c>
      <c r="T11" s="46">
        <v>42.6</v>
      </c>
      <c r="U11" s="46">
        <v>42.6</v>
      </c>
      <c r="V11" s="46">
        <v>42.6</v>
      </c>
      <c r="W11" s="46">
        <v>42.6</v>
      </c>
      <c r="X11" s="46">
        <v>42.6</v>
      </c>
      <c r="Y11" s="46">
        <v>42.6</v>
      </c>
      <c r="Z11" s="46">
        <v>42.6</v>
      </c>
      <c r="AA11" s="46">
        <v>42.6</v>
      </c>
      <c r="AB11" s="46">
        <v>33</v>
      </c>
      <c r="AC11" s="46">
        <v>33</v>
      </c>
      <c r="AD11" s="46">
        <v>33</v>
      </c>
      <c r="AE11" s="46">
        <v>33</v>
      </c>
      <c r="AF11" s="46">
        <v>33</v>
      </c>
      <c r="AG11" s="47">
        <v>86</v>
      </c>
      <c r="AH11" s="48">
        <f t="shared" ref="AH11:AH74" si="2">MAX(B11:AF11)</f>
        <v>42.6</v>
      </c>
      <c r="AI11" s="49">
        <f t="shared" ref="AI11:AI74" si="3">MIN(B11:AF11)</f>
        <v>33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51</v>
      </c>
      <c r="C12" s="46">
        <v>51</v>
      </c>
      <c r="D12" s="46">
        <v>51</v>
      </c>
      <c r="E12" s="46">
        <v>51</v>
      </c>
      <c r="F12" s="46">
        <v>51</v>
      </c>
      <c r="G12" s="46">
        <v>51</v>
      </c>
      <c r="H12" s="46">
        <v>51</v>
      </c>
      <c r="I12" s="46">
        <v>51</v>
      </c>
      <c r="J12" s="46">
        <v>51</v>
      </c>
      <c r="K12" s="46">
        <v>51</v>
      </c>
      <c r="L12" s="46">
        <v>51</v>
      </c>
      <c r="M12" s="46">
        <v>51</v>
      </c>
      <c r="N12" s="46">
        <v>51</v>
      </c>
      <c r="O12" s="46">
        <v>51</v>
      </c>
      <c r="P12" s="46">
        <v>51</v>
      </c>
      <c r="Q12" s="46">
        <v>51</v>
      </c>
      <c r="R12" s="46">
        <v>51</v>
      </c>
      <c r="S12" s="46">
        <v>51</v>
      </c>
      <c r="T12" s="46">
        <v>51</v>
      </c>
      <c r="U12" s="46">
        <v>51</v>
      </c>
      <c r="V12" s="46">
        <v>51</v>
      </c>
      <c r="W12" s="46">
        <v>51</v>
      </c>
      <c r="X12" s="46">
        <v>51</v>
      </c>
      <c r="Y12" s="46">
        <v>51</v>
      </c>
      <c r="Z12" s="46">
        <v>51</v>
      </c>
      <c r="AA12" s="46">
        <v>51</v>
      </c>
      <c r="AB12" s="46">
        <v>39</v>
      </c>
      <c r="AC12" s="46">
        <v>39</v>
      </c>
      <c r="AD12" s="46">
        <v>39</v>
      </c>
      <c r="AE12" s="46">
        <v>39</v>
      </c>
      <c r="AF12" s="46">
        <v>39</v>
      </c>
      <c r="AG12" s="50">
        <v>77</v>
      </c>
      <c r="AH12" s="48">
        <f t="shared" si="2"/>
        <v>51</v>
      </c>
      <c r="AI12" s="49">
        <f t="shared" si="3"/>
        <v>39</v>
      </c>
      <c r="AK12" s="51"/>
      <c r="AL12" s="52" t="str">
        <f ca="1">MID(CELL("filename",C7),FIND("]",CELL("filename",C7))+1,600)</f>
        <v>01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20</v>
      </c>
      <c r="AA13" s="46">
        <v>69</v>
      </c>
      <c r="AB13" s="46">
        <v>69.599999999999994</v>
      </c>
      <c r="AC13" s="46">
        <v>69.599999999999994</v>
      </c>
      <c r="AD13" s="46">
        <v>69.599999999999994</v>
      </c>
      <c r="AE13" s="46">
        <v>69.599999999999994</v>
      </c>
      <c r="AF13" s="46">
        <v>69.599999999999994</v>
      </c>
      <c r="AG13" s="50">
        <v>73</v>
      </c>
      <c r="AH13" s="48">
        <f t="shared" si="2"/>
        <v>69.599999999999994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41</v>
      </c>
      <c r="C14" s="46">
        <v>41</v>
      </c>
      <c r="D14" s="46">
        <v>41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41</v>
      </c>
      <c r="K14" s="46">
        <v>41</v>
      </c>
      <c r="L14" s="46">
        <v>41</v>
      </c>
      <c r="M14" s="46">
        <v>41</v>
      </c>
      <c r="N14" s="46">
        <v>41</v>
      </c>
      <c r="O14" s="46">
        <v>41</v>
      </c>
      <c r="P14" s="46">
        <v>41</v>
      </c>
      <c r="Q14" s="46">
        <v>41</v>
      </c>
      <c r="R14" s="46">
        <v>41</v>
      </c>
      <c r="S14" s="46">
        <v>41</v>
      </c>
      <c r="T14" s="46">
        <v>41</v>
      </c>
      <c r="U14" s="46">
        <v>41</v>
      </c>
      <c r="V14" s="46">
        <v>41</v>
      </c>
      <c r="W14" s="46">
        <v>41</v>
      </c>
      <c r="X14" s="46">
        <v>41</v>
      </c>
      <c r="Y14" s="46">
        <v>41</v>
      </c>
      <c r="Z14" s="46">
        <v>41</v>
      </c>
      <c r="AA14" s="46">
        <v>41</v>
      </c>
      <c r="AB14" s="46">
        <v>41</v>
      </c>
      <c r="AC14" s="46">
        <v>41</v>
      </c>
      <c r="AD14" s="46">
        <v>41</v>
      </c>
      <c r="AE14" s="46">
        <v>41</v>
      </c>
      <c r="AF14" s="46">
        <v>41</v>
      </c>
      <c r="AG14" s="50">
        <v>71</v>
      </c>
      <c r="AH14" s="48">
        <f t="shared" si="2"/>
        <v>41</v>
      </c>
      <c r="AI14" s="49">
        <f t="shared" si="3"/>
        <v>41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27.8</v>
      </c>
      <c r="C15" s="46">
        <v>27.8</v>
      </c>
      <c r="D15" s="46">
        <v>27.8</v>
      </c>
      <c r="E15" s="46">
        <v>27.8</v>
      </c>
      <c r="F15" s="46">
        <v>27.8</v>
      </c>
      <c r="G15" s="46">
        <v>27.8</v>
      </c>
      <c r="H15" s="46">
        <v>27.8</v>
      </c>
      <c r="I15" s="46">
        <v>27.8</v>
      </c>
      <c r="J15" s="46">
        <v>27.8</v>
      </c>
      <c r="K15" s="46">
        <v>27.8</v>
      </c>
      <c r="L15" s="46">
        <v>27.8</v>
      </c>
      <c r="M15" s="46">
        <v>27.8</v>
      </c>
      <c r="N15" s="46">
        <v>27.8</v>
      </c>
      <c r="O15" s="46">
        <v>27.8</v>
      </c>
      <c r="P15" s="46">
        <v>27.8</v>
      </c>
      <c r="Q15" s="46">
        <v>27.8</v>
      </c>
      <c r="R15" s="46">
        <v>27.8</v>
      </c>
      <c r="S15" s="46">
        <v>27.8</v>
      </c>
      <c r="T15" s="46">
        <v>27.8</v>
      </c>
      <c r="U15" s="46">
        <v>27.8</v>
      </c>
      <c r="V15" s="46">
        <v>27.8</v>
      </c>
      <c r="W15" s="46">
        <v>27.8</v>
      </c>
      <c r="X15" s="46">
        <v>27.8</v>
      </c>
      <c r="Y15" s="46">
        <v>27.8</v>
      </c>
      <c r="Z15" s="46">
        <v>27.8</v>
      </c>
      <c r="AA15" s="46">
        <v>27.8</v>
      </c>
      <c r="AB15" s="46">
        <v>27.8</v>
      </c>
      <c r="AC15" s="46">
        <v>27.8</v>
      </c>
      <c r="AD15" s="46">
        <v>27.8</v>
      </c>
      <c r="AE15" s="46">
        <v>27.8</v>
      </c>
      <c r="AF15" s="46">
        <v>27.8</v>
      </c>
      <c r="AG15" s="50">
        <v>54</v>
      </c>
      <c r="AH15" s="48">
        <f t="shared" si="2"/>
        <v>27.8</v>
      </c>
      <c r="AI15" s="49">
        <f t="shared" si="3"/>
        <v>27.8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847.8</v>
      </c>
      <c r="AN16" s="59">
        <f t="shared" si="4"/>
        <v>847.8</v>
      </c>
      <c r="AO16" s="59">
        <f t="shared" si="4"/>
        <v>847.8</v>
      </c>
      <c r="AP16" s="59">
        <f t="shared" si="4"/>
        <v>802.8</v>
      </c>
      <c r="AQ16" s="59">
        <f t="shared" si="4"/>
        <v>847.8</v>
      </c>
      <c r="AR16" s="59">
        <f t="shared" si="4"/>
        <v>847.8</v>
      </c>
      <c r="AS16" s="59">
        <f>I61</f>
        <v>834.5</v>
      </c>
      <c r="AT16" s="59">
        <f>K61</f>
        <v>834.5</v>
      </c>
      <c r="AU16" s="59">
        <f t="shared" ref="AU16:BD16" si="5">M61</f>
        <v>834.5</v>
      </c>
      <c r="AV16" s="59">
        <f t="shared" si="5"/>
        <v>834.5</v>
      </c>
      <c r="AW16" s="59">
        <f t="shared" si="5"/>
        <v>834.5</v>
      </c>
      <c r="AX16" s="59">
        <f t="shared" si="5"/>
        <v>834.5</v>
      </c>
      <c r="AY16" s="59">
        <f t="shared" si="5"/>
        <v>842.80000000000007</v>
      </c>
      <c r="AZ16" s="59">
        <f t="shared" si="5"/>
        <v>842.80000000000007</v>
      </c>
      <c r="BA16" s="59">
        <f t="shared" si="5"/>
        <v>842.80000000000007</v>
      </c>
      <c r="BB16" s="59">
        <f t="shared" si="5"/>
        <v>842.80000000000007</v>
      </c>
      <c r="BC16" s="59">
        <f t="shared" si="5"/>
        <v>842.80000000000007</v>
      </c>
      <c r="BD16" s="59">
        <f t="shared" si="5"/>
        <v>842.80000000000007</v>
      </c>
      <c r="BE16" s="60">
        <f>X61</f>
        <v>842.80000000000007</v>
      </c>
      <c r="BF16" s="60">
        <f>Z61</f>
        <v>862.80000000000007</v>
      </c>
      <c r="BG16" s="60">
        <f>AB61</f>
        <v>932.00000000000011</v>
      </c>
      <c r="BH16" s="60">
        <f>AD61</f>
        <v>932.00000000000011</v>
      </c>
      <c r="BI16" s="60">
        <f>AE61</f>
        <v>932.00000000000011</v>
      </c>
      <c r="BJ16" s="60">
        <f>AF61</f>
        <v>932.00000000000011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54.5</v>
      </c>
      <c r="C17" s="46">
        <v>54.5</v>
      </c>
      <c r="D17" s="46">
        <v>54.5</v>
      </c>
      <c r="E17" s="46">
        <v>54.5</v>
      </c>
      <c r="F17" s="46">
        <v>54.5</v>
      </c>
      <c r="G17" s="46">
        <v>54.5</v>
      </c>
      <c r="H17" s="46">
        <v>54.5</v>
      </c>
      <c r="I17" s="46">
        <v>54.5</v>
      </c>
      <c r="J17" s="46">
        <v>54.5</v>
      </c>
      <c r="K17" s="46">
        <v>54.5</v>
      </c>
      <c r="L17" s="46">
        <v>54.5</v>
      </c>
      <c r="M17" s="46">
        <v>54.5</v>
      </c>
      <c r="N17" s="46">
        <v>54.5</v>
      </c>
      <c r="O17" s="46">
        <v>54.5</v>
      </c>
      <c r="P17" s="46">
        <v>54.5</v>
      </c>
      <c r="Q17" s="46">
        <v>54.5</v>
      </c>
      <c r="R17" s="46">
        <v>54.5</v>
      </c>
      <c r="S17" s="46">
        <v>54.5</v>
      </c>
      <c r="T17" s="46">
        <v>54.5</v>
      </c>
      <c r="U17" s="46">
        <v>54.5</v>
      </c>
      <c r="V17" s="46">
        <v>54.5</v>
      </c>
      <c r="W17" s="46">
        <v>54.5</v>
      </c>
      <c r="X17" s="46">
        <v>54.5</v>
      </c>
      <c r="Y17" s="46">
        <v>54.5</v>
      </c>
      <c r="Z17" s="46">
        <v>54.5</v>
      </c>
      <c r="AA17" s="46">
        <v>54.5</v>
      </c>
      <c r="AB17" s="46">
        <v>54.5</v>
      </c>
      <c r="AC17" s="46">
        <v>54.5</v>
      </c>
      <c r="AD17" s="46">
        <v>54.5</v>
      </c>
      <c r="AE17" s="46">
        <v>54.5</v>
      </c>
      <c r="AF17" s="46">
        <v>54.5</v>
      </c>
      <c r="AG17" s="47">
        <v>52.4</v>
      </c>
      <c r="AH17" s="48">
        <f t="shared" si="2"/>
        <v>54.5</v>
      </c>
      <c r="AI17" s="49">
        <f t="shared" si="3"/>
        <v>54.5</v>
      </c>
      <c r="AK17" s="51"/>
      <c r="AL17" s="54" t="s">
        <v>27</v>
      </c>
      <c r="AM17" s="59">
        <f t="shared" ref="AM17:AR17" si="6">B65</f>
        <v>512.6</v>
      </c>
      <c r="AN17" s="59">
        <f t="shared" si="6"/>
        <v>512.6</v>
      </c>
      <c r="AO17" s="59">
        <f t="shared" si="6"/>
        <v>512.6</v>
      </c>
      <c r="AP17" s="59">
        <f t="shared" si="6"/>
        <v>512.6</v>
      </c>
      <c r="AQ17" s="59">
        <f t="shared" si="6"/>
        <v>512.6</v>
      </c>
      <c r="AR17" s="59">
        <f t="shared" si="6"/>
        <v>512.6</v>
      </c>
      <c r="AS17" s="59">
        <f>I65</f>
        <v>512.6</v>
      </c>
      <c r="AT17" s="59">
        <f>K65</f>
        <v>512.6</v>
      </c>
      <c r="AU17" s="59">
        <f t="shared" ref="AU17:BD17" si="7">M65</f>
        <v>512.6</v>
      </c>
      <c r="AV17" s="59">
        <f t="shared" si="7"/>
        <v>512.6</v>
      </c>
      <c r="AW17" s="59">
        <f t="shared" si="7"/>
        <v>512.6</v>
      </c>
      <c r="AX17" s="59">
        <f t="shared" si="7"/>
        <v>512.6</v>
      </c>
      <c r="AY17" s="59">
        <f t="shared" si="7"/>
        <v>512.6</v>
      </c>
      <c r="AZ17" s="59">
        <f t="shared" si="7"/>
        <v>512.6</v>
      </c>
      <c r="BA17" s="59">
        <f t="shared" si="7"/>
        <v>512.6</v>
      </c>
      <c r="BB17" s="59">
        <f t="shared" si="7"/>
        <v>512.6</v>
      </c>
      <c r="BC17" s="59">
        <f t="shared" si="7"/>
        <v>512.6</v>
      </c>
      <c r="BD17" s="59">
        <f t="shared" si="7"/>
        <v>512.6</v>
      </c>
      <c r="BE17" s="60">
        <f>X65</f>
        <v>512.6</v>
      </c>
      <c r="BF17" s="60">
        <f>Z65</f>
        <v>512.6</v>
      </c>
      <c r="BG17" s="60">
        <f>AB65</f>
        <v>512.20000000000005</v>
      </c>
      <c r="BH17" s="60">
        <f>AD65</f>
        <v>512.6</v>
      </c>
      <c r="BI17" s="60">
        <f>AE65</f>
        <v>512.6</v>
      </c>
      <c r="BJ17" s="60">
        <f>AF65</f>
        <v>512.6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50.7</v>
      </c>
      <c r="C18" s="46">
        <v>50.7</v>
      </c>
      <c r="D18" s="46">
        <v>50.7</v>
      </c>
      <c r="E18" s="46">
        <v>50.7</v>
      </c>
      <c r="F18" s="46">
        <v>50.7</v>
      </c>
      <c r="G18" s="46">
        <v>50.7</v>
      </c>
      <c r="H18" s="46">
        <v>50.7</v>
      </c>
      <c r="I18" s="46">
        <v>50.7</v>
      </c>
      <c r="J18" s="46">
        <v>50.7</v>
      </c>
      <c r="K18" s="46">
        <v>50.7</v>
      </c>
      <c r="L18" s="46">
        <v>50.7</v>
      </c>
      <c r="M18" s="46">
        <v>50.7</v>
      </c>
      <c r="N18" s="46">
        <v>50.7</v>
      </c>
      <c r="O18" s="46">
        <v>50.7</v>
      </c>
      <c r="P18" s="46">
        <v>50.7</v>
      </c>
      <c r="Q18" s="46">
        <v>50.7</v>
      </c>
      <c r="R18" s="46">
        <v>50.7</v>
      </c>
      <c r="S18" s="46">
        <v>50.7</v>
      </c>
      <c r="T18" s="46">
        <v>50.7</v>
      </c>
      <c r="U18" s="46">
        <v>50.7</v>
      </c>
      <c r="V18" s="46">
        <v>50.7</v>
      </c>
      <c r="W18" s="46">
        <v>50.7</v>
      </c>
      <c r="X18" s="46">
        <v>50.7</v>
      </c>
      <c r="Y18" s="46">
        <v>50.7</v>
      </c>
      <c r="Z18" s="46">
        <v>50.7</v>
      </c>
      <c r="AA18" s="53">
        <v>50.7</v>
      </c>
      <c r="AB18" s="53">
        <v>50.7</v>
      </c>
      <c r="AC18" s="53">
        <v>50.7</v>
      </c>
      <c r="AD18" s="53">
        <v>50.7</v>
      </c>
      <c r="AE18" s="53">
        <v>50.7</v>
      </c>
      <c r="AF18" s="53">
        <v>50.7</v>
      </c>
      <c r="AG18" s="50">
        <v>50</v>
      </c>
      <c r="AH18" s="48">
        <f t="shared" si="2"/>
        <v>50.7</v>
      </c>
      <c r="AI18" s="49">
        <f t="shared" si="3"/>
        <v>50.7</v>
      </c>
      <c r="AK18" s="51"/>
      <c r="AL18" s="54" t="s">
        <v>29</v>
      </c>
      <c r="AM18" s="59">
        <f t="shared" ref="AM18:AR18" si="8">B79</f>
        <v>404.64</v>
      </c>
      <c r="AN18" s="59">
        <f t="shared" si="8"/>
        <v>404.64</v>
      </c>
      <c r="AO18" s="59">
        <f t="shared" si="8"/>
        <v>404.64</v>
      </c>
      <c r="AP18" s="59">
        <f t="shared" si="8"/>
        <v>404.64</v>
      </c>
      <c r="AQ18" s="59">
        <f t="shared" si="8"/>
        <v>400.24</v>
      </c>
      <c r="AR18" s="59">
        <f t="shared" si="8"/>
        <v>400.24</v>
      </c>
      <c r="AS18" s="59">
        <f>I79</f>
        <v>400.24</v>
      </c>
      <c r="AT18" s="59">
        <f>K79</f>
        <v>401.44</v>
      </c>
      <c r="AU18" s="59">
        <f t="shared" ref="AU18:BD18" si="9">M79</f>
        <v>401.44</v>
      </c>
      <c r="AV18" s="59">
        <f t="shared" si="9"/>
        <v>401.44</v>
      </c>
      <c r="AW18" s="59">
        <f t="shared" si="9"/>
        <v>419.44</v>
      </c>
      <c r="AX18" s="59">
        <f t="shared" si="9"/>
        <v>419.44</v>
      </c>
      <c r="AY18" s="59">
        <f t="shared" si="9"/>
        <v>419.44</v>
      </c>
      <c r="AZ18" s="59">
        <f t="shared" si="9"/>
        <v>419.44</v>
      </c>
      <c r="BA18" s="59">
        <f t="shared" si="9"/>
        <v>413.24</v>
      </c>
      <c r="BB18" s="59">
        <f t="shared" si="9"/>
        <v>409.94</v>
      </c>
      <c r="BC18" s="59">
        <f t="shared" si="9"/>
        <v>407.14000000000004</v>
      </c>
      <c r="BD18" s="59">
        <f t="shared" si="9"/>
        <v>406.14000000000004</v>
      </c>
      <c r="BE18" s="60">
        <f>X79</f>
        <v>417.64</v>
      </c>
      <c r="BF18" s="60">
        <f>Z79</f>
        <v>400.34000000000003</v>
      </c>
      <c r="BG18" s="60">
        <f>AB79</f>
        <v>412.34000000000003</v>
      </c>
      <c r="BH18" s="60">
        <f>AD79</f>
        <v>400.84000000000003</v>
      </c>
      <c r="BI18" s="60">
        <f>AE79</f>
        <v>400.84000000000003</v>
      </c>
      <c r="BJ18" s="60">
        <f>AF79</f>
        <v>400.84000000000003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0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28</v>
      </c>
      <c r="AN19" s="59">
        <f t="shared" si="10"/>
        <v>28</v>
      </c>
      <c r="AO19" s="59">
        <f t="shared" si="10"/>
        <v>27</v>
      </c>
      <c r="AP19" s="59">
        <f t="shared" si="10"/>
        <v>28</v>
      </c>
      <c r="AQ19" s="59">
        <f t="shared" si="10"/>
        <v>20.9</v>
      </c>
      <c r="AR19" s="59">
        <f t="shared" si="10"/>
        <v>16.3</v>
      </c>
      <c r="AS19" s="59">
        <f>I95</f>
        <v>39</v>
      </c>
      <c r="AT19" s="59">
        <f>K95</f>
        <v>141</v>
      </c>
      <c r="AU19" s="59">
        <f t="shared" ref="AU19:BD19" si="11">M95</f>
        <v>197.9</v>
      </c>
      <c r="AV19" s="59">
        <f t="shared" si="11"/>
        <v>202</v>
      </c>
      <c r="AW19" s="59">
        <f t="shared" si="11"/>
        <v>221.3</v>
      </c>
      <c r="AX19" s="59">
        <f t="shared" si="11"/>
        <v>212</v>
      </c>
      <c r="AY19" s="59">
        <f t="shared" si="11"/>
        <v>219.2</v>
      </c>
      <c r="AZ19" s="59">
        <f t="shared" si="11"/>
        <v>237</v>
      </c>
      <c r="BA19" s="59">
        <f t="shared" si="11"/>
        <v>243.7</v>
      </c>
      <c r="BB19" s="59">
        <f t="shared" si="11"/>
        <v>225.1</v>
      </c>
      <c r="BC19" s="59">
        <f t="shared" si="11"/>
        <v>233.1</v>
      </c>
      <c r="BD19" s="59">
        <f t="shared" si="11"/>
        <v>234.2</v>
      </c>
      <c r="BE19" s="60">
        <f>X95</f>
        <v>176.6</v>
      </c>
      <c r="BF19" s="60">
        <f>Z95</f>
        <v>20.7</v>
      </c>
      <c r="BG19" s="60">
        <f>AB95</f>
        <v>2.9</v>
      </c>
      <c r="BH19" s="60">
        <f>AD95</f>
        <v>26.8</v>
      </c>
      <c r="BI19" s="60">
        <f>AE95</f>
        <v>28.4</v>
      </c>
      <c r="BJ19" s="60">
        <f>AF95</f>
        <v>20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46</v>
      </c>
      <c r="C20" s="46">
        <v>46</v>
      </c>
      <c r="D20" s="46">
        <v>46</v>
      </c>
      <c r="E20" s="46">
        <v>46</v>
      </c>
      <c r="F20" s="46">
        <v>46</v>
      </c>
      <c r="G20" s="46">
        <v>46</v>
      </c>
      <c r="H20" s="46">
        <v>46</v>
      </c>
      <c r="I20" s="46">
        <v>46</v>
      </c>
      <c r="J20" s="46">
        <v>46</v>
      </c>
      <c r="K20" s="46">
        <v>46</v>
      </c>
      <c r="L20" s="46">
        <v>46</v>
      </c>
      <c r="M20" s="46">
        <v>46</v>
      </c>
      <c r="N20" s="46">
        <v>46</v>
      </c>
      <c r="O20" s="46">
        <v>46</v>
      </c>
      <c r="P20" s="46">
        <v>46</v>
      </c>
      <c r="Q20" s="46">
        <v>46</v>
      </c>
      <c r="R20" s="46">
        <v>46</v>
      </c>
      <c r="S20" s="46">
        <v>46</v>
      </c>
      <c r="T20" s="46">
        <v>46</v>
      </c>
      <c r="U20" s="46">
        <v>46</v>
      </c>
      <c r="V20" s="46">
        <v>46</v>
      </c>
      <c r="W20" s="46">
        <v>46</v>
      </c>
      <c r="X20" s="46">
        <v>46</v>
      </c>
      <c r="Y20" s="46">
        <v>46</v>
      </c>
      <c r="Z20" s="46">
        <v>46</v>
      </c>
      <c r="AA20" s="46">
        <v>46</v>
      </c>
      <c r="AB20" s="46">
        <v>46</v>
      </c>
      <c r="AC20" s="46">
        <v>46</v>
      </c>
      <c r="AD20" s="46">
        <v>46</v>
      </c>
      <c r="AE20" s="46">
        <v>46</v>
      </c>
      <c r="AF20" s="46">
        <v>46</v>
      </c>
      <c r="AG20" s="50">
        <v>44</v>
      </c>
      <c r="AH20" s="48">
        <f t="shared" si="2"/>
        <v>46</v>
      </c>
      <c r="AI20" s="49">
        <f t="shared" si="3"/>
        <v>46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36.4</v>
      </c>
      <c r="BB20" s="59">
        <f t="shared" si="13"/>
        <v>17.900000000000002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49</v>
      </c>
      <c r="BH20" s="60">
        <f>AD83</f>
        <v>50.5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150</v>
      </c>
      <c r="AN21" s="59">
        <f t="shared" si="14"/>
        <v>150</v>
      </c>
      <c r="AO21" s="59">
        <f t="shared" si="14"/>
        <v>150</v>
      </c>
      <c r="AP21" s="59">
        <f t="shared" si="14"/>
        <v>150</v>
      </c>
      <c r="AQ21" s="59">
        <f t="shared" si="14"/>
        <v>150</v>
      </c>
      <c r="AR21" s="59">
        <f t="shared" si="14"/>
        <v>100</v>
      </c>
      <c r="AS21" s="59">
        <f>I101</f>
        <v>100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125</v>
      </c>
      <c r="BH21" s="60">
        <f>AD101</f>
        <v>125</v>
      </c>
      <c r="BI21" s="60">
        <f>AE101</f>
        <v>100</v>
      </c>
      <c r="BJ21" s="60">
        <f>AF101</f>
        <v>100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35.299999999999997</v>
      </c>
      <c r="C22" s="46">
        <v>35.299999999999997</v>
      </c>
      <c r="D22" s="46">
        <v>35.299999999999997</v>
      </c>
      <c r="E22" s="46">
        <v>35.299999999999997</v>
      </c>
      <c r="F22" s="46">
        <v>35.299999999999997</v>
      </c>
      <c r="G22" s="46">
        <v>35.299999999999997</v>
      </c>
      <c r="H22" s="46">
        <v>35.299999999999997</v>
      </c>
      <c r="I22" s="46">
        <v>35.299999999999997</v>
      </c>
      <c r="J22" s="46">
        <v>35.299999999999997</v>
      </c>
      <c r="K22" s="46">
        <v>35.299999999999997</v>
      </c>
      <c r="L22" s="46">
        <v>35.299999999999997</v>
      </c>
      <c r="M22" s="46">
        <v>35.299999999999997</v>
      </c>
      <c r="N22" s="46">
        <v>35.299999999999997</v>
      </c>
      <c r="O22" s="46">
        <v>35.299999999999997</v>
      </c>
      <c r="P22" s="46">
        <v>35.299999999999997</v>
      </c>
      <c r="Q22" s="46">
        <v>35.299999999999997</v>
      </c>
      <c r="R22" s="46">
        <v>35.299999999999997</v>
      </c>
      <c r="S22" s="46">
        <v>35.299999999999997</v>
      </c>
      <c r="T22" s="46">
        <v>35.299999999999997</v>
      </c>
      <c r="U22" s="46">
        <v>35.299999999999997</v>
      </c>
      <c r="V22" s="46">
        <v>35.299999999999997</v>
      </c>
      <c r="W22" s="46">
        <v>35.299999999999997</v>
      </c>
      <c r="X22" s="46">
        <v>35.299999999999997</v>
      </c>
      <c r="Y22" s="46">
        <v>35.299999999999997</v>
      </c>
      <c r="Z22" s="46">
        <v>35.299999999999997</v>
      </c>
      <c r="AA22" s="46">
        <v>35.299999999999997</v>
      </c>
      <c r="AB22" s="46">
        <v>35.299999999999997</v>
      </c>
      <c r="AC22" s="46">
        <v>35.299999999999997</v>
      </c>
      <c r="AD22" s="46">
        <v>35.299999999999997</v>
      </c>
      <c r="AE22" s="46">
        <v>35.299999999999997</v>
      </c>
      <c r="AF22" s="46">
        <v>35.299999999999997</v>
      </c>
      <c r="AG22" s="50">
        <v>38.46</v>
      </c>
      <c r="AH22" s="48">
        <f t="shared" si="2"/>
        <v>35.299999999999997</v>
      </c>
      <c r="AI22" s="49">
        <f t="shared" si="3"/>
        <v>35.299999999999997</v>
      </c>
      <c r="AK22" s="51"/>
      <c r="AL22" s="62" t="s">
        <v>37</v>
      </c>
      <c r="AM22" s="63">
        <f t="shared" ref="AM22:BJ22" si="16">SUM(AM16:AM21)</f>
        <v>1943.04</v>
      </c>
      <c r="AN22" s="63">
        <f t="shared" si="16"/>
        <v>1943.04</v>
      </c>
      <c r="AO22" s="63">
        <f t="shared" si="16"/>
        <v>1942.04</v>
      </c>
      <c r="AP22" s="63">
        <f t="shared" si="16"/>
        <v>1898.04</v>
      </c>
      <c r="AQ22" s="63">
        <f t="shared" si="16"/>
        <v>1931.5400000000002</v>
      </c>
      <c r="AR22" s="63">
        <f t="shared" si="16"/>
        <v>1876.94</v>
      </c>
      <c r="AS22" s="63">
        <f t="shared" si="16"/>
        <v>1886.34</v>
      </c>
      <c r="AT22" s="63">
        <f t="shared" si="16"/>
        <v>1889.54</v>
      </c>
      <c r="AU22" s="63">
        <f t="shared" si="16"/>
        <v>1946.44</v>
      </c>
      <c r="AV22" s="63">
        <f t="shared" si="16"/>
        <v>1950.54</v>
      </c>
      <c r="AW22" s="63">
        <f t="shared" si="16"/>
        <v>1987.84</v>
      </c>
      <c r="AX22" s="63">
        <f t="shared" si="16"/>
        <v>1978.54</v>
      </c>
      <c r="AY22" s="63">
        <f t="shared" si="16"/>
        <v>1994.0400000000002</v>
      </c>
      <c r="AZ22" s="63">
        <f t="shared" si="16"/>
        <v>2011.8400000000001</v>
      </c>
      <c r="BA22" s="63">
        <f t="shared" si="16"/>
        <v>2048.7400000000002</v>
      </c>
      <c r="BB22" s="63">
        <f t="shared" si="16"/>
        <v>2008.3400000000001</v>
      </c>
      <c r="BC22" s="63">
        <f t="shared" si="16"/>
        <v>1995.64</v>
      </c>
      <c r="BD22" s="63">
        <f t="shared" si="16"/>
        <v>1995.7400000000002</v>
      </c>
      <c r="BE22" s="63">
        <f t="shared" si="16"/>
        <v>1949.6399999999999</v>
      </c>
      <c r="BF22" s="63">
        <f t="shared" si="16"/>
        <v>1796.4400000000003</v>
      </c>
      <c r="BG22" s="63">
        <f t="shared" si="16"/>
        <v>2033.4400000000005</v>
      </c>
      <c r="BH22" s="63">
        <f t="shared" si="16"/>
        <v>2047.74</v>
      </c>
      <c r="BI22" s="63">
        <f t="shared" si="16"/>
        <v>1973.8400000000001</v>
      </c>
      <c r="BJ22" s="63">
        <f t="shared" si="16"/>
        <v>1965.44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>
        <v>22</v>
      </c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>
        <v>22</v>
      </c>
      <c r="AF23" s="46">
        <v>22</v>
      </c>
      <c r="AG23" s="50">
        <v>38.46</v>
      </c>
      <c r="AH23" s="48">
        <f t="shared" si="2"/>
        <v>22</v>
      </c>
      <c r="AI23" s="49">
        <f t="shared" si="3"/>
        <v>22</v>
      </c>
      <c r="AK23" s="51"/>
      <c r="AL23" s="62" t="s">
        <v>39</v>
      </c>
      <c r="AM23" s="63">
        <f t="shared" ref="AM23:AR23" si="17">B110*-1</f>
        <v>-251</v>
      </c>
      <c r="AN23" s="63">
        <f t="shared" si="17"/>
        <v>-240</v>
      </c>
      <c r="AO23" s="63">
        <f t="shared" si="17"/>
        <v>-286</v>
      </c>
      <c r="AP23" s="63">
        <f t="shared" si="17"/>
        <v>-318</v>
      </c>
      <c r="AQ23" s="63">
        <f t="shared" si="17"/>
        <v>-360</v>
      </c>
      <c r="AR23" s="63">
        <f t="shared" si="17"/>
        <v>-420</v>
      </c>
      <c r="AS23" s="63">
        <f>I110*-1</f>
        <v>-350</v>
      </c>
      <c r="AT23" s="63">
        <f>K110*-1</f>
        <v>-390</v>
      </c>
      <c r="AU23" s="63">
        <f t="shared" ref="AU23:BD23" si="18">M110*-1</f>
        <v>-360</v>
      </c>
      <c r="AV23" s="63">
        <f t="shared" si="18"/>
        <v>-340</v>
      </c>
      <c r="AW23" s="63">
        <f t="shared" si="18"/>
        <v>-340</v>
      </c>
      <c r="AX23" s="63">
        <f t="shared" si="18"/>
        <v>-325</v>
      </c>
      <c r="AY23" s="63">
        <f t="shared" si="18"/>
        <v>-340</v>
      </c>
      <c r="AZ23" s="63">
        <f t="shared" si="18"/>
        <v>-344</v>
      </c>
      <c r="BA23" s="63">
        <f t="shared" si="18"/>
        <v>-216.3</v>
      </c>
      <c r="BB23" s="63">
        <f t="shared" si="18"/>
        <v>-314.8</v>
      </c>
      <c r="BC23" s="63">
        <f t="shared" si="18"/>
        <v>-297.10000000000002</v>
      </c>
      <c r="BD23" s="63">
        <f t="shared" si="18"/>
        <v>-266.7</v>
      </c>
      <c r="BE23" s="63">
        <f>X110*-1</f>
        <v>-393.1</v>
      </c>
      <c r="BF23" s="63">
        <f>Z110*-1</f>
        <v>-166.1</v>
      </c>
      <c r="BG23" s="63">
        <f>AB110*-1</f>
        <v>-197</v>
      </c>
      <c r="BH23" s="63">
        <f>AD110*-1</f>
        <v>-172.1</v>
      </c>
      <c r="BI23" s="63">
        <f>AE110*-1</f>
        <v>-204.1</v>
      </c>
      <c r="BJ23" s="63">
        <f>AF110*-1</f>
        <v>-245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1692.04</v>
      </c>
      <c r="AN24" s="63">
        <f t="shared" si="19"/>
        <v>1703.04</v>
      </c>
      <c r="AO24" s="63">
        <f t="shared" si="19"/>
        <v>1656.04</v>
      </c>
      <c r="AP24" s="63">
        <f t="shared" si="19"/>
        <v>1580.04</v>
      </c>
      <c r="AQ24" s="63">
        <f t="shared" si="19"/>
        <v>1571.5400000000002</v>
      </c>
      <c r="AR24" s="63">
        <f t="shared" si="19"/>
        <v>1456.94</v>
      </c>
      <c r="AS24" s="63">
        <f t="shared" si="19"/>
        <v>1536.34</v>
      </c>
      <c r="AT24" s="63">
        <f t="shared" si="19"/>
        <v>1499.54</v>
      </c>
      <c r="AU24" s="63">
        <f t="shared" si="19"/>
        <v>1586.44</v>
      </c>
      <c r="AV24" s="63">
        <f t="shared" si="19"/>
        <v>1610.54</v>
      </c>
      <c r="AW24" s="63">
        <f t="shared" si="19"/>
        <v>1647.84</v>
      </c>
      <c r="AX24" s="63">
        <f t="shared" si="19"/>
        <v>1653.54</v>
      </c>
      <c r="AY24" s="63">
        <f t="shared" si="19"/>
        <v>1654.0400000000002</v>
      </c>
      <c r="AZ24" s="63">
        <f t="shared" si="19"/>
        <v>1667.8400000000001</v>
      </c>
      <c r="BA24" s="63">
        <f t="shared" si="19"/>
        <v>1832.4400000000003</v>
      </c>
      <c r="BB24" s="63">
        <f t="shared" si="19"/>
        <v>1693.5400000000002</v>
      </c>
      <c r="BC24" s="63">
        <f t="shared" si="19"/>
        <v>1698.54</v>
      </c>
      <c r="BD24" s="63">
        <f t="shared" si="19"/>
        <v>1729.0400000000002</v>
      </c>
      <c r="BE24" s="63">
        <f t="shared" si="19"/>
        <v>1556.54</v>
      </c>
      <c r="BF24" s="63">
        <f t="shared" si="19"/>
        <v>1630.3400000000004</v>
      </c>
      <c r="BG24" s="63">
        <f t="shared" si="19"/>
        <v>1836.4400000000005</v>
      </c>
      <c r="BH24" s="63">
        <f t="shared" si="19"/>
        <v>1875.64</v>
      </c>
      <c r="BI24" s="63">
        <f t="shared" si="19"/>
        <v>1769.7400000000002</v>
      </c>
      <c r="BJ24" s="63">
        <f t="shared" si="19"/>
        <v>1720.44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18</v>
      </c>
      <c r="C25" s="46">
        <v>18</v>
      </c>
      <c r="D25" s="46">
        <v>18</v>
      </c>
      <c r="E25" s="46">
        <v>18</v>
      </c>
      <c r="F25" s="46">
        <v>18</v>
      </c>
      <c r="G25" s="46">
        <v>18</v>
      </c>
      <c r="H25" s="46">
        <v>18</v>
      </c>
      <c r="I25" s="46">
        <v>18</v>
      </c>
      <c r="J25" s="46">
        <v>18</v>
      </c>
      <c r="K25" s="46">
        <v>18</v>
      </c>
      <c r="L25" s="46">
        <v>18</v>
      </c>
      <c r="M25" s="46">
        <v>18</v>
      </c>
      <c r="N25" s="46">
        <v>18</v>
      </c>
      <c r="O25" s="46">
        <v>18</v>
      </c>
      <c r="P25" s="46">
        <v>18</v>
      </c>
      <c r="Q25" s="46">
        <v>18</v>
      </c>
      <c r="R25" s="46">
        <v>18</v>
      </c>
      <c r="S25" s="46">
        <v>18</v>
      </c>
      <c r="T25" s="46">
        <v>18</v>
      </c>
      <c r="U25" s="46">
        <v>18</v>
      </c>
      <c r="V25" s="46">
        <v>18</v>
      </c>
      <c r="W25" s="46">
        <v>18</v>
      </c>
      <c r="X25" s="46">
        <v>18</v>
      </c>
      <c r="Y25" s="46">
        <v>18</v>
      </c>
      <c r="Z25" s="46">
        <v>18</v>
      </c>
      <c r="AA25" s="46">
        <v>18</v>
      </c>
      <c r="AB25" s="46">
        <v>18</v>
      </c>
      <c r="AC25" s="46">
        <v>18</v>
      </c>
      <c r="AD25" s="46">
        <v>18</v>
      </c>
      <c r="AE25" s="46">
        <v>18</v>
      </c>
      <c r="AF25" s="46">
        <v>18</v>
      </c>
      <c r="AG25" s="61">
        <v>30</v>
      </c>
      <c r="AH25" s="48">
        <f t="shared" si="2"/>
        <v>18</v>
      </c>
      <c r="AI25" s="49">
        <f t="shared" si="3"/>
        <v>18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16.7</v>
      </c>
      <c r="C26" s="46">
        <v>16.7</v>
      </c>
      <c r="D26" s="46">
        <v>16.7</v>
      </c>
      <c r="E26" s="46">
        <v>16.7</v>
      </c>
      <c r="F26" s="46">
        <v>16.7</v>
      </c>
      <c r="G26" s="46">
        <v>16.7</v>
      </c>
      <c r="H26" s="46">
        <v>16.7</v>
      </c>
      <c r="I26" s="46">
        <v>16.7</v>
      </c>
      <c r="J26" s="46">
        <v>16.7</v>
      </c>
      <c r="K26" s="46">
        <v>16.7</v>
      </c>
      <c r="L26" s="46">
        <v>16.7</v>
      </c>
      <c r="M26" s="46">
        <v>16.7</v>
      </c>
      <c r="N26" s="46">
        <v>16.7</v>
      </c>
      <c r="O26" s="46">
        <v>16.7</v>
      </c>
      <c r="P26" s="46">
        <v>16.7</v>
      </c>
      <c r="Q26" s="46">
        <v>16.7</v>
      </c>
      <c r="R26" s="46">
        <v>16.7</v>
      </c>
      <c r="S26" s="46">
        <v>16.7</v>
      </c>
      <c r="T26" s="46">
        <v>16.7</v>
      </c>
      <c r="U26" s="46">
        <v>16.7</v>
      </c>
      <c r="V26" s="46">
        <v>16.7</v>
      </c>
      <c r="W26" s="46">
        <v>16.7</v>
      </c>
      <c r="X26" s="46">
        <v>16.7</v>
      </c>
      <c r="Y26" s="46">
        <v>16.7</v>
      </c>
      <c r="Z26" s="46">
        <v>16.7</v>
      </c>
      <c r="AA26" s="46">
        <v>16.7</v>
      </c>
      <c r="AB26" s="46">
        <v>16.7</v>
      </c>
      <c r="AC26" s="46">
        <v>16.7</v>
      </c>
      <c r="AD26" s="46">
        <v>16.7</v>
      </c>
      <c r="AE26" s="46">
        <v>16.7</v>
      </c>
      <c r="AF26" s="46">
        <v>16.7</v>
      </c>
      <c r="AG26" s="50">
        <v>24.2</v>
      </c>
      <c r="AH26" s="48">
        <f t="shared" si="2"/>
        <v>16.7</v>
      </c>
      <c r="AI26" s="49">
        <f t="shared" si="3"/>
        <v>16.7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14.5</v>
      </c>
      <c r="C27" s="46">
        <v>14.5</v>
      </c>
      <c r="D27" s="46">
        <v>14.5</v>
      </c>
      <c r="E27" s="46">
        <v>14.5</v>
      </c>
      <c r="F27" s="46">
        <v>14.5</v>
      </c>
      <c r="G27" s="46">
        <v>14.5</v>
      </c>
      <c r="H27" s="46">
        <v>14.5</v>
      </c>
      <c r="I27" s="46">
        <v>14.5</v>
      </c>
      <c r="J27" s="46">
        <v>14.5</v>
      </c>
      <c r="K27" s="46">
        <v>14.5</v>
      </c>
      <c r="L27" s="46">
        <v>14.5</v>
      </c>
      <c r="M27" s="46">
        <v>14.5</v>
      </c>
      <c r="N27" s="46">
        <v>14.5</v>
      </c>
      <c r="O27" s="46">
        <v>14.5</v>
      </c>
      <c r="P27" s="46">
        <v>14.5</v>
      </c>
      <c r="Q27" s="46">
        <v>14.5</v>
      </c>
      <c r="R27" s="46">
        <v>14.5</v>
      </c>
      <c r="S27" s="46">
        <v>14.5</v>
      </c>
      <c r="T27" s="46">
        <v>14.5</v>
      </c>
      <c r="U27" s="46">
        <v>14.5</v>
      </c>
      <c r="V27" s="46">
        <v>14.5</v>
      </c>
      <c r="W27" s="46">
        <v>14.5</v>
      </c>
      <c r="X27" s="46">
        <v>14.5</v>
      </c>
      <c r="Y27" s="46">
        <v>14.5</v>
      </c>
      <c r="Z27" s="46">
        <v>14.5</v>
      </c>
      <c r="AA27" s="46">
        <v>14.5</v>
      </c>
      <c r="AB27" s="46">
        <v>14.5</v>
      </c>
      <c r="AC27" s="46">
        <v>14.5</v>
      </c>
      <c r="AD27" s="46">
        <v>14.5</v>
      </c>
      <c r="AE27" s="46">
        <v>14.5</v>
      </c>
      <c r="AF27" s="46">
        <v>14.5</v>
      </c>
      <c r="AG27" s="50">
        <v>28</v>
      </c>
      <c r="AH27" s="48">
        <f t="shared" si="2"/>
        <v>14.5</v>
      </c>
      <c r="AI27" s="49">
        <f t="shared" si="3"/>
        <v>14.5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27</v>
      </c>
      <c r="C28" s="46">
        <v>27</v>
      </c>
      <c r="D28" s="46">
        <v>27</v>
      </c>
      <c r="E28" s="46">
        <v>27</v>
      </c>
      <c r="F28" s="46">
        <v>27</v>
      </c>
      <c r="G28" s="46">
        <v>27</v>
      </c>
      <c r="H28" s="46">
        <v>27</v>
      </c>
      <c r="I28" s="46">
        <v>27</v>
      </c>
      <c r="J28" s="46">
        <v>27</v>
      </c>
      <c r="K28" s="46">
        <v>27</v>
      </c>
      <c r="L28" s="46">
        <v>27</v>
      </c>
      <c r="M28" s="46">
        <v>27</v>
      </c>
      <c r="N28" s="46">
        <v>27</v>
      </c>
      <c r="O28" s="46">
        <v>27</v>
      </c>
      <c r="P28" s="46">
        <v>27</v>
      </c>
      <c r="Q28" s="46">
        <v>27</v>
      </c>
      <c r="R28" s="46">
        <v>27</v>
      </c>
      <c r="S28" s="46">
        <v>27</v>
      </c>
      <c r="T28" s="46">
        <v>27</v>
      </c>
      <c r="U28" s="46">
        <v>27</v>
      </c>
      <c r="V28" s="46">
        <v>27</v>
      </c>
      <c r="W28" s="46">
        <v>27</v>
      </c>
      <c r="X28" s="46">
        <v>27</v>
      </c>
      <c r="Y28" s="46">
        <v>27</v>
      </c>
      <c r="Z28" s="46">
        <v>27</v>
      </c>
      <c r="AA28" s="46">
        <v>27</v>
      </c>
      <c r="AB28" s="46">
        <v>27</v>
      </c>
      <c r="AC28" s="46">
        <v>27</v>
      </c>
      <c r="AD28" s="46">
        <v>27</v>
      </c>
      <c r="AE28" s="46">
        <v>27</v>
      </c>
      <c r="AF28" s="46">
        <v>27</v>
      </c>
      <c r="AG28" s="61">
        <v>30</v>
      </c>
      <c r="AH28" s="48">
        <f t="shared" si="2"/>
        <v>27</v>
      </c>
      <c r="AI28" s="49">
        <f t="shared" si="3"/>
        <v>27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26.1</v>
      </c>
      <c r="C29" s="46">
        <v>26.1</v>
      </c>
      <c r="D29" s="46">
        <v>26.1</v>
      </c>
      <c r="E29" s="46">
        <v>26.1</v>
      </c>
      <c r="F29" s="46">
        <v>26.1</v>
      </c>
      <c r="G29" s="46">
        <v>26.1</v>
      </c>
      <c r="H29" s="46">
        <v>26.1</v>
      </c>
      <c r="I29" s="46">
        <v>26.1</v>
      </c>
      <c r="J29" s="46">
        <v>26.1</v>
      </c>
      <c r="K29" s="46">
        <v>26.1</v>
      </c>
      <c r="L29" s="46">
        <v>26.1</v>
      </c>
      <c r="M29" s="46">
        <v>26.1</v>
      </c>
      <c r="N29" s="46">
        <v>26.1</v>
      </c>
      <c r="O29" s="46">
        <v>26.1</v>
      </c>
      <c r="P29" s="46">
        <v>26.1</v>
      </c>
      <c r="Q29" s="46">
        <v>26.1</v>
      </c>
      <c r="R29" s="46">
        <v>26.1</v>
      </c>
      <c r="S29" s="46">
        <v>26.1</v>
      </c>
      <c r="T29" s="46">
        <v>26.1</v>
      </c>
      <c r="U29" s="46">
        <v>26.1</v>
      </c>
      <c r="V29" s="46">
        <v>26.1</v>
      </c>
      <c r="W29" s="46">
        <v>26.1</v>
      </c>
      <c r="X29" s="46">
        <v>26.1</v>
      </c>
      <c r="Y29" s="46">
        <v>26.1</v>
      </c>
      <c r="Z29" s="46">
        <v>26.1</v>
      </c>
      <c r="AA29" s="46">
        <v>26.1</v>
      </c>
      <c r="AB29" s="46">
        <v>26.1</v>
      </c>
      <c r="AC29" s="46">
        <v>26.1</v>
      </c>
      <c r="AD29" s="46">
        <v>26.1</v>
      </c>
      <c r="AE29" s="46">
        <v>26.1</v>
      </c>
      <c r="AF29" s="46">
        <v>26.1</v>
      </c>
      <c r="AG29" s="50">
        <v>25</v>
      </c>
      <c r="AH29" s="48">
        <f t="shared" si="2"/>
        <v>26.1</v>
      </c>
      <c r="AI29" s="49">
        <f t="shared" si="3"/>
        <v>26.1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25.2</v>
      </c>
      <c r="C32" s="46">
        <v>25.2</v>
      </c>
      <c r="D32" s="46">
        <v>25.2</v>
      </c>
      <c r="E32" s="46">
        <v>25.2</v>
      </c>
      <c r="F32" s="46">
        <v>25.2</v>
      </c>
      <c r="G32" s="46">
        <v>25.2</v>
      </c>
      <c r="H32" s="46">
        <v>25.2</v>
      </c>
      <c r="I32" s="46">
        <v>25.2</v>
      </c>
      <c r="J32" s="46">
        <v>25.2</v>
      </c>
      <c r="K32" s="46">
        <v>25.2</v>
      </c>
      <c r="L32" s="46">
        <v>25.2</v>
      </c>
      <c r="M32" s="46">
        <v>25.2</v>
      </c>
      <c r="N32" s="46">
        <v>25.2</v>
      </c>
      <c r="O32" s="46">
        <v>25.2</v>
      </c>
      <c r="P32" s="46">
        <v>25.2</v>
      </c>
      <c r="Q32" s="46">
        <v>25.2</v>
      </c>
      <c r="R32" s="46">
        <v>25.2</v>
      </c>
      <c r="S32" s="46">
        <v>25.2</v>
      </c>
      <c r="T32" s="46">
        <v>25.2</v>
      </c>
      <c r="U32" s="46">
        <v>25.2</v>
      </c>
      <c r="V32" s="46">
        <v>25.2</v>
      </c>
      <c r="W32" s="46">
        <v>25.2</v>
      </c>
      <c r="X32" s="46">
        <v>25.2</v>
      </c>
      <c r="Y32" s="46">
        <v>25.2</v>
      </c>
      <c r="Z32" s="46">
        <v>25.2</v>
      </c>
      <c r="AA32" s="46">
        <v>25.2</v>
      </c>
      <c r="AB32" s="46">
        <v>25.2</v>
      </c>
      <c r="AC32" s="46">
        <v>25.2</v>
      </c>
      <c r="AD32" s="46">
        <v>25.2</v>
      </c>
      <c r="AE32" s="46">
        <v>25.2</v>
      </c>
      <c r="AF32" s="46">
        <v>25.2</v>
      </c>
      <c r="AG32" s="50">
        <v>25</v>
      </c>
      <c r="AH32" s="48">
        <f t="shared" si="2"/>
        <v>25.2</v>
      </c>
      <c r="AI32" s="49">
        <f t="shared" si="3"/>
        <v>25.2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24.5</v>
      </c>
      <c r="C33" s="46">
        <v>24.5</v>
      </c>
      <c r="D33" s="46">
        <v>24.5</v>
      </c>
      <c r="E33" s="46">
        <v>24.5</v>
      </c>
      <c r="F33" s="46">
        <v>24.5</v>
      </c>
      <c r="G33" s="46">
        <v>24.5</v>
      </c>
      <c r="H33" s="46">
        <v>24.5</v>
      </c>
      <c r="I33" s="46">
        <v>24.5</v>
      </c>
      <c r="J33" s="46">
        <v>24.5</v>
      </c>
      <c r="K33" s="46">
        <v>24.5</v>
      </c>
      <c r="L33" s="46">
        <v>24.5</v>
      </c>
      <c r="M33" s="46">
        <v>24.5</v>
      </c>
      <c r="N33" s="46">
        <v>24.5</v>
      </c>
      <c r="O33" s="46">
        <v>24.5</v>
      </c>
      <c r="P33" s="46">
        <v>24.5</v>
      </c>
      <c r="Q33" s="46">
        <v>24.5</v>
      </c>
      <c r="R33" s="46">
        <v>24.5</v>
      </c>
      <c r="S33" s="46">
        <v>24.5</v>
      </c>
      <c r="T33" s="46">
        <v>24.5</v>
      </c>
      <c r="U33" s="46">
        <v>24.5</v>
      </c>
      <c r="V33" s="46">
        <v>24.5</v>
      </c>
      <c r="W33" s="46">
        <v>24.5</v>
      </c>
      <c r="X33" s="46">
        <v>24.5</v>
      </c>
      <c r="Y33" s="46">
        <v>24.5</v>
      </c>
      <c r="Z33" s="46">
        <v>24.5</v>
      </c>
      <c r="AA33" s="46">
        <v>24.5</v>
      </c>
      <c r="AB33" s="46">
        <v>24.5</v>
      </c>
      <c r="AC33" s="46">
        <v>24.5</v>
      </c>
      <c r="AD33" s="46">
        <v>24.5</v>
      </c>
      <c r="AE33" s="46">
        <v>24.5</v>
      </c>
      <c r="AF33" s="46">
        <v>24.5</v>
      </c>
      <c r="AG33" s="50">
        <v>23.5</v>
      </c>
      <c r="AH33" s="48">
        <f t="shared" si="2"/>
        <v>24.5</v>
      </c>
      <c r="AI33" s="49">
        <f t="shared" si="3"/>
        <v>24.5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8</v>
      </c>
      <c r="C36" s="46">
        <v>8</v>
      </c>
      <c r="D36" s="46">
        <v>8</v>
      </c>
      <c r="E36" s="46">
        <v>8</v>
      </c>
      <c r="F36" s="46">
        <v>8</v>
      </c>
      <c r="G36" s="46">
        <v>8</v>
      </c>
      <c r="H36" s="46">
        <v>8</v>
      </c>
      <c r="I36" s="46">
        <v>8</v>
      </c>
      <c r="J36" s="46">
        <v>8</v>
      </c>
      <c r="K36" s="46">
        <v>8</v>
      </c>
      <c r="L36" s="46">
        <v>8</v>
      </c>
      <c r="M36" s="46">
        <v>8</v>
      </c>
      <c r="N36" s="46">
        <v>8</v>
      </c>
      <c r="O36" s="46">
        <v>8</v>
      </c>
      <c r="P36" s="46">
        <v>8</v>
      </c>
      <c r="Q36" s="46">
        <v>8</v>
      </c>
      <c r="R36" s="46">
        <v>8</v>
      </c>
      <c r="S36" s="46">
        <v>8</v>
      </c>
      <c r="T36" s="46">
        <v>8</v>
      </c>
      <c r="U36" s="46">
        <v>8</v>
      </c>
      <c r="V36" s="46">
        <v>8</v>
      </c>
      <c r="W36" s="46">
        <v>8</v>
      </c>
      <c r="X36" s="46">
        <v>8</v>
      </c>
      <c r="Y36" s="46">
        <v>8</v>
      </c>
      <c r="Z36" s="46">
        <v>8</v>
      </c>
      <c r="AA36" s="46">
        <v>8</v>
      </c>
      <c r="AB36" s="46">
        <v>8</v>
      </c>
      <c r="AC36" s="46">
        <v>8</v>
      </c>
      <c r="AD36" s="46">
        <v>8</v>
      </c>
      <c r="AE36" s="46">
        <v>8</v>
      </c>
      <c r="AF36" s="46">
        <v>8</v>
      </c>
      <c r="AG36" s="50">
        <v>22</v>
      </c>
      <c r="AH36" s="48">
        <f t="shared" si="2"/>
        <v>8</v>
      </c>
      <c r="AI36" s="49">
        <f t="shared" si="3"/>
        <v>8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8.1999999999999993</v>
      </c>
      <c r="C37" s="46">
        <v>8.1999999999999993</v>
      </c>
      <c r="D37" s="46">
        <v>8.1999999999999993</v>
      </c>
      <c r="E37" s="46">
        <v>8.1999999999999993</v>
      </c>
      <c r="F37" s="46">
        <v>8.1999999999999993</v>
      </c>
      <c r="G37" s="46">
        <v>8.1999999999999993</v>
      </c>
      <c r="H37" s="46">
        <v>8.1999999999999993</v>
      </c>
      <c r="I37" s="46">
        <v>8.1999999999999993</v>
      </c>
      <c r="J37" s="46">
        <v>8.1999999999999993</v>
      </c>
      <c r="K37" s="46">
        <v>8.1999999999999993</v>
      </c>
      <c r="L37" s="46">
        <v>8.1999999999999993</v>
      </c>
      <c r="M37" s="46">
        <v>8.1999999999999993</v>
      </c>
      <c r="N37" s="46">
        <v>8.1999999999999993</v>
      </c>
      <c r="O37" s="46">
        <v>8.1999999999999993</v>
      </c>
      <c r="P37" s="46">
        <v>8.1999999999999993</v>
      </c>
      <c r="Q37" s="46">
        <v>8.1999999999999993</v>
      </c>
      <c r="R37" s="46">
        <v>8.1999999999999993</v>
      </c>
      <c r="S37" s="46">
        <v>8.1999999999999993</v>
      </c>
      <c r="T37" s="46">
        <v>8.1999999999999993</v>
      </c>
      <c r="U37" s="46">
        <v>8.1999999999999993</v>
      </c>
      <c r="V37" s="46">
        <v>8.1999999999999993</v>
      </c>
      <c r="W37" s="46">
        <v>8.1999999999999993</v>
      </c>
      <c r="X37" s="46">
        <v>8.1999999999999993</v>
      </c>
      <c r="Y37" s="46">
        <v>8.1999999999999993</v>
      </c>
      <c r="Z37" s="46">
        <v>8.1999999999999993</v>
      </c>
      <c r="AA37" s="46">
        <v>8.1999999999999993</v>
      </c>
      <c r="AB37" s="46">
        <v>8.1999999999999993</v>
      </c>
      <c r="AC37" s="46">
        <v>8.1999999999999993</v>
      </c>
      <c r="AD37" s="46">
        <v>8.1999999999999993</v>
      </c>
      <c r="AE37" s="46">
        <v>8.1999999999999993</v>
      </c>
      <c r="AF37" s="46">
        <v>8.1999999999999993</v>
      </c>
      <c r="AG37" s="50">
        <v>22</v>
      </c>
      <c r="AH37" s="48">
        <f t="shared" si="2"/>
        <v>8.1999999999999993</v>
      </c>
      <c r="AI37" s="49">
        <f t="shared" si="3"/>
        <v>8.1999999999999993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</v>
      </c>
      <c r="C38" s="46">
        <v>20.3</v>
      </c>
      <c r="D38" s="46">
        <v>20.3</v>
      </c>
      <c r="E38" s="46">
        <v>20.3</v>
      </c>
      <c r="F38" s="46">
        <v>20.3</v>
      </c>
      <c r="G38" s="46">
        <v>20.3</v>
      </c>
      <c r="H38" s="46">
        <v>20.3</v>
      </c>
      <c r="I38" s="46">
        <v>20.3</v>
      </c>
      <c r="J38" s="46">
        <v>20.3</v>
      </c>
      <c r="K38" s="46">
        <v>20.3</v>
      </c>
      <c r="L38" s="46">
        <v>20.3</v>
      </c>
      <c r="M38" s="46">
        <v>20.3</v>
      </c>
      <c r="N38" s="46">
        <v>20.3</v>
      </c>
      <c r="O38" s="46">
        <v>20.3</v>
      </c>
      <c r="P38" s="46">
        <v>20.3</v>
      </c>
      <c r="Q38" s="46">
        <v>20.3</v>
      </c>
      <c r="R38" s="46">
        <v>20.3</v>
      </c>
      <c r="S38" s="46">
        <v>20.3</v>
      </c>
      <c r="T38" s="46">
        <v>20.3</v>
      </c>
      <c r="U38" s="46">
        <v>20.3</v>
      </c>
      <c r="V38" s="46">
        <v>20.3</v>
      </c>
      <c r="W38" s="46">
        <v>20.3</v>
      </c>
      <c r="X38" s="46">
        <v>20.3</v>
      </c>
      <c r="Y38" s="46">
        <v>20.3</v>
      </c>
      <c r="Z38" s="46">
        <v>20.3</v>
      </c>
      <c r="AA38" s="46">
        <v>20.3</v>
      </c>
      <c r="AB38" s="46">
        <v>20.3</v>
      </c>
      <c r="AC38" s="46">
        <v>20.3</v>
      </c>
      <c r="AD38" s="46">
        <v>20.3</v>
      </c>
      <c r="AE38" s="46">
        <v>20.3</v>
      </c>
      <c r="AF38" s="46">
        <v>20.3</v>
      </c>
      <c r="AG38" s="50">
        <v>20</v>
      </c>
      <c r="AH38" s="48">
        <f t="shared" si="2"/>
        <v>20.3</v>
      </c>
      <c r="AI38" s="49">
        <f t="shared" si="3"/>
        <v>20.3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13.3</v>
      </c>
      <c r="C40" s="46">
        <v>13.3</v>
      </c>
      <c r="D40" s="46">
        <v>13.3</v>
      </c>
      <c r="E40" s="46">
        <v>13.3</v>
      </c>
      <c r="F40" s="46">
        <v>13.3</v>
      </c>
      <c r="G40" s="46">
        <v>13.3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14</v>
      </c>
      <c r="AC40" s="46">
        <v>14</v>
      </c>
      <c r="AD40" s="46">
        <v>14</v>
      </c>
      <c r="AE40" s="46">
        <v>14</v>
      </c>
      <c r="AF40" s="46">
        <v>14</v>
      </c>
      <c r="AG40" s="50">
        <v>18</v>
      </c>
      <c r="AH40" s="48">
        <f t="shared" si="2"/>
        <v>14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127</v>
      </c>
      <c r="C60" s="68">
        <v>127</v>
      </c>
      <c r="D60" s="68">
        <v>127</v>
      </c>
      <c r="E60" s="68">
        <v>109</v>
      </c>
      <c r="F60" s="68">
        <v>109</v>
      </c>
      <c r="G60" s="68">
        <v>109</v>
      </c>
      <c r="H60" s="68">
        <v>102</v>
      </c>
      <c r="I60" s="68">
        <v>97</v>
      </c>
      <c r="J60" s="68">
        <v>89</v>
      </c>
      <c r="K60" s="68">
        <v>89</v>
      </c>
      <c r="L60" s="68">
        <v>89</v>
      </c>
      <c r="M60" s="68">
        <v>89</v>
      </c>
      <c r="N60" s="68">
        <v>89</v>
      </c>
      <c r="O60" s="68">
        <v>89</v>
      </c>
      <c r="P60" s="68">
        <v>89</v>
      </c>
      <c r="Q60" s="68">
        <v>89</v>
      </c>
      <c r="R60" s="68">
        <v>89</v>
      </c>
      <c r="S60" s="68">
        <v>89</v>
      </c>
      <c r="T60" s="68">
        <v>76.2</v>
      </c>
      <c r="U60" s="68">
        <v>86.9</v>
      </c>
      <c r="V60" s="68">
        <v>86.9</v>
      </c>
      <c r="W60" s="68">
        <v>85.9</v>
      </c>
      <c r="X60" s="68">
        <v>85.9</v>
      </c>
      <c r="Y60" s="68">
        <v>85.9</v>
      </c>
      <c r="Z60" s="68">
        <v>94.8</v>
      </c>
      <c r="AA60" s="68">
        <v>91.2</v>
      </c>
      <c r="AB60" s="68">
        <v>91.2</v>
      </c>
      <c r="AC60" s="68">
        <v>91.2</v>
      </c>
      <c r="AD60" s="68">
        <f>57.8+20.3</f>
        <v>78.099999999999994</v>
      </c>
      <c r="AE60" s="68">
        <f>57.8+20.3</f>
        <v>78.099999999999994</v>
      </c>
      <c r="AF60" s="68">
        <f>57.8+20.3</f>
        <v>78.099999999999994</v>
      </c>
      <c r="AG60" s="66">
        <v>240</v>
      </c>
      <c r="AH60" s="48">
        <f t="shared" si="2"/>
        <v>127</v>
      </c>
      <c r="AI60" s="49">
        <f t="shared" si="3"/>
        <v>76.2</v>
      </c>
      <c r="AK60" s="51"/>
    </row>
    <row r="61" spans="1:88" ht="15.75" thickBot="1" x14ac:dyDescent="0.3">
      <c r="A61" s="70" t="s">
        <v>75</v>
      </c>
      <c r="B61" s="71">
        <f>SUM(B11:B59)</f>
        <v>847.8</v>
      </c>
      <c r="C61" s="71">
        <f>SUM(C11:C59)</f>
        <v>847.8</v>
      </c>
      <c r="D61" s="71">
        <f>SUM(D11:D59)</f>
        <v>847.8</v>
      </c>
      <c r="E61" s="71">
        <f t="shared" ref="E61:AG61" si="20">SUM(E11:E59)</f>
        <v>802.8</v>
      </c>
      <c r="F61" s="71">
        <f t="shared" si="20"/>
        <v>847.8</v>
      </c>
      <c r="G61" s="71">
        <f>SUM(G11:G59)</f>
        <v>847.8</v>
      </c>
      <c r="H61" s="71">
        <f t="shared" si="20"/>
        <v>834.5</v>
      </c>
      <c r="I61" s="71">
        <f t="shared" si="20"/>
        <v>834.5</v>
      </c>
      <c r="J61" s="71">
        <f t="shared" si="20"/>
        <v>834.5</v>
      </c>
      <c r="K61" s="71">
        <f t="shared" si="20"/>
        <v>834.5</v>
      </c>
      <c r="L61" s="71">
        <f t="shared" si="20"/>
        <v>834.5</v>
      </c>
      <c r="M61" s="71">
        <f t="shared" si="20"/>
        <v>834.5</v>
      </c>
      <c r="N61" s="71">
        <f t="shared" si="20"/>
        <v>834.5</v>
      </c>
      <c r="O61" s="71">
        <f t="shared" si="20"/>
        <v>834.5</v>
      </c>
      <c r="P61" s="71">
        <f t="shared" si="20"/>
        <v>834.5</v>
      </c>
      <c r="Q61" s="71">
        <f t="shared" si="20"/>
        <v>842.80000000000007</v>
      </c>
      <c r="R61" s="71">
        <f t="shared" si="20"/>
        <v>842.80000000000007</v>
      </c>
      <c r="S61" s="71">
        <f t="shared" ref="S61:AA61" si="21">SUM(S11:S59)</f>
        <v>842.80000000000007</v>
      </c>
      <c r="T61" s="71">
        <f t="shared" si="21"/>
        <v>842.80000000000007</v>
      </c>
      <c r="U61" s="71">
        <f t="shared" si="21"/>
        <v>842.80000000000007</v>
      </c>
      <c r="V61" s="71">
        <f t="shared" si="21"/>
        <v>842.80000000000007</v>
      </c>
      <c r="W61" s="71">
        <f t="shared" si="21"/>
        <v>842.80000000000007</v>
      </c>
      <c r="X61" s="71">
        <f t="shared" si="21"/>
        <v>842.80000000000007</v>
      </c>
      <c r="Y61" s="71">
        <f t="shared" si="21"/>
        <v>842.80000000000007</v>
      </c>
      <c r="Z61" s="71">
        <f t="shared" si="21"/>
        <v>862.80000000000007</v>
      </c>
      <c r="AA61" s="71">
        <f t="shared" si="21"/>
        <v>911.80000000000007</v>
      </c>
      <c r="AB61" s="71">
        <f t="shared" si="20"/>
        <v>932.00000000000011</v>
      </c>
      <c r="AC61" s="71">
        <f t="shared" si="20"/>
        <v>932.00000000000011</v>
      </c>
      <c r="AD61" s="71">
        <f t="shared" si="20"/>
        <v>932.00000000000011</v>
      </c>
      <c r="AE61" s="71">
        <f t="shared" si="20"/>
        <v>932.00000000000011</v>
      </c>
      <c r="AF61" s="71">
        <f t="shared" si="20"/>
        <v>932.00000000000011</v>
      </c>
      <c r="AG61" s="71">
        <f t="shared" si="20"/>
        <v>1466.0300000000002</v>
      </c>
      <c r="AH61" s="48">
        <f t="shared" si="2"/>
        <v>932.00000000000011</v>
      </c>
      <c r="AI61" s="49">
        <f t="shared" si="3"/>
        <v>802.8</v>
      </c>
      <c r="AK61" s="51"/>
    </row>
    <row r="62" spans="1:88" x14ac:dyDescent="0.25">
      <c r="A62" s="73" t="s">
        <v>76</v>
      </c>
      <c r="B62" s="46">
        <v>458</v>
      </c>
      <c r="C62" s="46">
        <v>458</v>
      </c>
      <c r="D62" s="46">
        <v>458</v>
      </c>
      <c r="E62" s="46">
        <v>458</v>
      </c>
      <c r="F62" s="46">
        <v>458</v>
      </c>
      <c r="G62" s="46">
        <v>458</v>
      </c>
      <c r="H62" s="46">
        <v>458</v>
      </c>
      <c r="I62" s="46">
        <v>458</v>
      </c>
      <c r="J62" s="46">
        <v>458</v>
      </c>
      <c r="K62" s="46">
        <v>458</v>
      </c>
      <c r="L62" s="46">
        <v>458</v>
      </c>
      <c r="M62" s="46">
        <v>458</v>
      </c>
      <c r="N62" s="46">
        <v>458</v>
      </c>
      <c r="O62" s="46">
        <v>458</v>
      </c>
      <c r="P62" s="46">
        <v>458</v>
      </c>
      <c r="Q62" s="74">
        <v>458</v>
      </c>
      <c r="R62" s="74">
        <v>458</v>
      </c>
      <c r="S62" s="74">
        <v>458</v>
      </c>
      <c r="T62" s="74">
        <v>458</v>
      </c>
      <c r="U62" s="74">
        <v>458</v>
      </c>
      <c r="V62" s="74">
        <v>458</v>
      </c>
      <c r="W62" s="74">
        <v>458</v>
      </c>
      <c r="X62" s="74">
        <v>458</v>
      </c>
      <c r="Y62" s="74">
        <v>458</v>
      </c>
      <c r="Z62" s="74">
        <v>458</v>
      </c>
      <c r="AA62" s="46">
        <v>458</v>
      </c>
      <c r="AB62" s="46">
        <v>458.1</v>
      </c>
      <c r="AC62" s="46">
        <v>458</v>
      </c>
      <c r="AD62" s="46">
        <v>458</v>
      </c>
      <c r="AE62" s="46">
        <v>458.1</v>
      </c>
      <c r="AF62" s="46">
        <v>458.1</v>
      </c>
      <c r="AG62" s="61">
        <v>456</v>
      </c>
      <c r="AH62" s="48">
        <f t="shared" si="2"/>
        <v>458.1</v>
      </c>
      <c r="AI62" s="49">
        <f t="shared" si="3"/>
        <v>458</v>
      </c>
      <c r="AK62" s="51"/>
    </row>
    <row r="63" spans="1:88" x14ac:dyDescent="0.25">
      <c r="A63" s="75" t="s">
        <v>77</v>
      </c>
      <c r="B63" s="76">
        <v>32</v>
      </c>
      <c r="C63" s="76">
        <v>32</v>
      </c>
      <c r="D63" s="76">
        <v>32</v>
      </c>
      <c r="E63" s="76">
        <v>32</v>
      </c>
      <c r="F63" s="76">
        <v>32</v>
      </c>
      <c r="G63" s="76">
        <v>32</v>
      </c>
      <c r="H63" s="76">
        <v>32</v>
      </c>
      <c r="I63" s="76">
        <v>32</v>
      </c>
      <c r="J63" s="76">
        <v>32</v>
      </c>
      <c r="K63" s="76">
        <v>32</v>
      </c>
      <c r="L63" s="76">
        <v>32</v>
      </c>
      <c r="M63" s="76">
        <v>32</v>
      </c>
      <c r="N63" s="76">
        <v>32</v>
      </c>
      <c r="O63" s="76">
        <v>32</v>
      </c>
      <c r="P63" s="76">
        <v>32</v>
      </c>
      <c r="Q63" s="76">
        <v>32</v>
      </c>
      <c r="R63" s="76">
        <v>32</v>
      </c>
      <c r="S63" s="76">
        <v>32</v>
      </c>
      <c r="T63" s="76">
        <v>32</v>
      </c>
      <c r="U63" s="76">
        <v>32</v>
      </c>
      <c r="V63" s="76">
        <v>32</v>
      </c>
      <c r="W63" s="76">
        <v>32</v>
      </c>
      <c r="X63" s="76">
        <v>32</v>
      </c>
      <c r="Y63" s="76">
        <v>32</v>
      </c>
      <c r="Z63" s="76">
        <v>32</v>
      </c>
      <c r="AA63" s="76">
        <v>32</v>
      </c>
      <c r="AB63" s="76">
        <v>32</v>
      </c>
      <c r="AC63" s="76">
        <v>32</v>
      </c>
      <c r="AD63" s="76">
        <v>32</v>
      </c>
      <c r="AE63" s="76">
        <v>32</v>
      </c>
      <c r="AF63" s="76">
        <v>32</v>
      </c>
      <c r="AG63" s="66">
        <v>60</v>
      </c>
      <c r="AH63" s="48">
        <f t="shared" si="2"/>
        <v>32</v>
      </c>
      <c r="AI63" s="49">
        <f t="shared" si="3"/>
        <v>32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22.1</v>
      </c>
      <c r="AC64" s="78">
        <v>22.4</v>
      </c>
      <c r="AD64" s="78">
        <v>22.6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22.1</v>
      </c>
      <c r="AK64" s="51"/>
    </row>
    <row r="65" spans="1:75" ht="15.75" thickBot="1" x14ac:dyDescent="0.3">
      <c r="A65" s="80" t="s">
        <v>79</v>
      </c>
      <c r="B65" s="71">
        <f>SUM(B62:B64)</f>
        <v>512.6</v>
      </c>
      <c r="C65" s="71">
        <f>SUM(C62:C64)</f>
        <v>512.6</v>
      </c>
      <c r="D65" s="71">
        <f>SUM(D62:D64)</f>
        <v>512.6</v>
      </c>
      <c r="E65" s="71">
        <f t="shared" ref="E65:AG65" si="22">SUM(E62:E64)</f>
        <v>512.6</v>
      </c>
      <c r="F65" s="71">
        <f t="shared" si="22"/>
        <v>512.6</v>
      </c>
      <c r="G65" s="71">
        <f>SUM(G62:G64)</f>
        <v>512.6</v>
      </c>
      <c r="H65" s="71">
        <f t="shared" si="22"/>
        <v>512.6</v>
      </c>
      <c r="I65" s="71">
        <f t="shared" si="22"/>
        <v>512.6</v>
      </c>
      <c r="J65" s="71">
        <f t="shared" si="22"/>
        <v>512.6</v>
      </c>
      <c r="K65" s="71">
        <f t="shared" si="22"/>
        <v>512.6</v>
      </c>
      <c r="L65" s="71">
        <f t="shared" si="22"/>
        <v>512.6</v>
      </c>
      <c r="M65" s="71">
        <f t="shared" si="22"/>
        <v>512.6</v>
      </c>
      <c r="N65" s="71">
        <f t="shared" si="22"/>
        <v>512.6</v>
      </c>
      <c r="O65" s="71">
        <f t="shared" si="22"/>
        <v>512.6</v>
      </c>
      <c r="P65" s="71">
        <f t="shared" si="22"/>
        <v>512.6</v>
      </c>
      <c r="Q65" s="71">
        <f t="shared" si="22"/>
        <v>512.6</v>
      </c>
      <c r="R65" s="71">
        <f t="shared" si="22"/>
        <v>512.6</v>
      </c>
      <c r="S65" s="71">
        <f t="shared" ref="S65:AA65" si="23">SUM(S62:S64)</f>
        <v>512.6</v>
      </c>
      <c r="T65" s="71">
        <f t="shared" si="23"/>
        <v>512.6</v>
      </c>
      <c r="U65" s="71">
        <f t="shared" si="23"/>
        <v>512.6</v>
      </c>
      <c r="V65" s="71">
        <f t="shared" si="23"/>
        <v>512.6</v>
      </c>
      <c r="W65" s="71">
        <f t="shared" si="23"/>
        <v>512.6</v>
      </c>
      <c r="X65" s="71">
        <f t="shared" si="23"/>
        <v>512.6</v>
      </c>
      <c r="Y65" s="71">
        <f t="shared" si="23"/>
        <v>512.6</v>
      </c>
      <c r="Z65" s="71">
        <f t="shared" si="23"/>
        <v>512.6</v>
      </c>
      <c r="AA65" s="71">
        <f t="shared" si="23"/>
        <v>512.6</v>
      </c>
      <c r="AB65" s="71">
        <f t="shared" si="22"/>
        <v>512.20000000000005</v>
      </c>
      <c r="AC65" s="71">
        <f t="shared" si="22"/>
        <v>512.4</v>
      </c>
      <c r="AD65" s="71">
        <f t="shared" si="22"/>
        <v>512.6</v>
      </c>
      <c r="AE65" s="71">
        <f t="shared" si="22"/>
        <v>512.6</v>
      </c>
      <c r="AF65" s="71">
        <f t="shared" si="22"/>
        <v>512.6</v>
      </c>
      <c r="AG65" s="72">
        <f t="shared" si="22"/>
        <v>538.1</v>
      </c>
      <c r="AH65" s="48">
        <f t="shared" si="2"/>
        <v>512.6</v>
      </c>
      <c r="AI65" s="49">
        <f t="shared" si="3"/>
        <v>512.20000000000005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145.19999999999999</v>
      </c>
      <c r="C66" s="46">
        <v>145.19999999999999</v>
      </c>
      <c r="D66" s="46">
        <v>145.19999999999999</v>
      </c>
      <c r="E66" s="46">
        <v>145.19999999999999</v>
      </c>
      <c r="F66" s="46">
        <v>145.19999999999999</v>
      </c>
      <c r="G66" s="46">
        <v>145.19999999999999</v>
      </c>
      <c r="H66" s="46">
        <v>145.19999999999999</v>
      </c>
      <c r="I66" s="46">
        <v>145.19999999999999</v>
      </c>
      <c r="J66" s="46">
        <v>145.19999999999999</v>
      </c>
      <c r="K66" s="46">
        <v>145.19999999999999</v>
      </c>
      <c r="L66" s="46">
        <v>145.19999999999999</v>
      </c>
      <c r="M66" s="46">
        <v>145.19999999999999</v>
      </c>
      <c r="N66" s="46">
        <v>145.19999999999999</v>
      </c>
      <c r="O66" s="46">
        <v>145.19999999999999</v>
      </c>
      <c r="P66" s="46">
        <v>145.19999999999999</v>
      </c>
      <c r="Q66" s="46">
        <v>145.19999999999999</v>
      </c>
      <c r="R66" s="46">
        <v>145.19999999999999</v>
      </c>
      <c r="S66" s="46">
        <v>145.19999999999999</v>
      </c>
      <c r="T66" s="46">
        <v>145.19999999999999</v>
      </c>
      <c r="U66" s="46">
        <v>145.19999999999999</v>
      </c>
      <c r="V66" s="46">
        <v>145.19999999999999</v>
      </c>
      <c r="W66" s="46">
        <v>145.19999999999999</v>
      </c>
      <c r="X66" s="46">
        <v>145.19999999999999</v>
      </c>
      <c r="Y66" s="46">
        <v>145.19999999999999</v>
      </c>
      <c r="Z66" s="46">
        <v>145.19999999999999</v>
      </c>
      <c r="AA66" s="46">
        <v>145.19999999999999</v>
      </c>
      <c r="AB66" s="46">
        <v>145.19999999999999</v>
      </c>
      <c r="AC66" s="46">
        <v>145.19999999999999</v>
      </c>
      <c r="AD66" s="46">
        <v>145.19999999999999</v>
      </c>
      <c r="AE66" s="46">
        <v>145.19999999999999</v>
      </c>
      <c r="AF66" s="46">
        <v>145.19999999999999</v>
      </c>
      <c r="AG66" s="61">
        <v>144</v>
      </c>
      <c r="AH66" s="48">
        <f t="shared" si="2"/>
        <v>145.19999999999999</v>
      </c>
      <c r="AI66" s="49">
        <f t="shared" si="3"/>
        <v>145.19999999999999</v>
      </c>
      <c r="AK66" s="51"/>
      <c r="AY66" s="1" t="s">
        <v>86</v>
      </c>
      <c r="AZ66" s="82">
        <f>ROUND(C84,0)</f>
        <v>28</v>
      </c>
      <c r="BA66" s="81">
        <f t="shared" ref="BA66:BD70" si="24">D84</f>
        <v>27</v>
      </c>
      <c r="BB66" s="81">
        <f t="shared" si="24"/>
        <v>28</v>
      </c>
      <c r="BC66" s="81">
        <f t="shared" si="24"/>
        <v>20.9</v>
      </c>
      <c r="BD66" s="81">
        <f t="shared" si="24"/>
        <v>16.3</v>
      </c>
      <c r="BE66" s="82">
        <f>I84</f>
        <v>39</v>
      </c>
      <c r="BF66" s="82">
        <f>K84</f>
        <v>39</v>
      </c>
      <c r="BG66" s="82">
        <f t="shared" ref="BG66:BP70" si="25">M84</f>
        <v>71.5</v>
      </c>
      <c r="BH66" s="82">
        <f t="shared" si="25"/>
        <v>61</v>
      </c>
      <c r="BI66" s="82">
        <f t="shared" si="25"/>
        <v>58.9</v>
      </c>
      <c r="BJ66" s="82">
        <f t="shared" si="25"/>
        <v>49</v>
      </c>
      <c r="BK66" s="82">
        <f t="shared" si="25"/>
        <v>55.3</v>
      </c>
      <c r="BL66" s="82">
        <f t="shared" si="25"/>
        <v>60.1</v>
      </c>
      <c r="BM66" s="82">
        <f t="shared" si="25"/>
        <v>64.7</v>
      </c>
      <c r="BN66" s="82">
        <f t="shared" si="25"/>
        <v>64</v>
      </c>
      <c r="BO66" s="82">
        <f t="shared" si="25"/>
        <v>60.7</v>
      </c>
      <c r="BP66" s="82">
        <f t="shared" si="25"/>
        <v>69.900000000000006</v>
      </c>
      <c r="BQ66" s="82">
        <f>X84</f>
        <v>32.9</v>
      </c>
      <c r="BR66" s="82">
        <f>Z84</f>
        <v>20.7</v>
      </c>
      <c r="BS66" s="81">
        <f>AB84</f>
        <v>2.9</v>
      </c>
      <c r="BT66" s="81">
        <f t="shared" ref="BT66:BV70" si="26">AD84</f>
        <v>26.8</v>
      </c>
      <c r="BU66" s="81">
        <f t="shared" si="26"/>
        <v>28.4</v>
      </c>
      <c r="BV66" s="81">
        <f t="shared" si="26"/>
        <v>20</v>
      </c>
      <c r="BW66" s="81">
        <f>B84</f>
        <v>28</v>
      </c>
    </row>
    <row r="67" spans="1:75" x14ac:dyDescent="0.25">
      <c r="A67" s="65" t="s">
        <v>81</v>
      </c>
      <c r="B67" s="76">
        <v>69.8</v>
      </c>
      <c r="C67" s="76">
        <v>69.8</v>
      </c>
      <c r="D67" s="76">
        <v>69.8</v>
      </c>
      <c r="E67" s="76">
        <v>69.8</v>
      </c>
      <c r="F67" s="76">
        <v>69.8</v>
      </c>
      <c r="G67" s="76">
        <v>69.8</v>
      </c>
      <c r="H67" s="76">
        <v>69.8</v>
      </c>
      <c r="I67" s="76">
        <v>69.8</v>
      </c>
      <c r="J67" s="76">
        <v>69.8</v>
      </c>
      <c r="K67" s="76">
        <v>69.8</v>
      </c>
      <c r="L67" s="76">
        <v>69.8</v>
      </c>
      <c r="M67" s="76">
        <v>69.8</v>
      </c>
      <c r="N67" s="76">
        <v>69.8</v>
      </c>
      <c r="O67" s="76">
        <v>69.8</v>
      </c>
      <c r="P67" s="76">
        <v>69.8</v>
      </c>
      <c r="Q67" s="76">
        <v>69.8</v>
      </c>
      <c r="R67" s="76">
        <v>69.8</v>
      </c>
      <c r="S67" s="76">
        <v>69.8</v>
      </c>
      <c r="T67" s="76">
        <v>69.8</v>
      </c>
      <c r="U67" s="76">
        <v>69.8</v>
      </c>
      <c r="V67" s="76">
        <v>69.8</v>
      </c>
      <c r="W67" s="76">
        <v>69.8</v>
      </c>
      <c r="X67" s="76">
        <v>69.8</v>
      </c>
      <c r="Y67" s="76">
        <v>69.8</v>
      </c>
      <c r="Z67" s="76">
        <v>69.8</v>
      </c>
      <c r="AA67" s="46">
        <v>69.8</v>
      </c>
      <c r="AB67" s="46">
        <v>69.8</v>
      </c>
      <c r="AC67" s="46">
        <v>69.8</v>
      </c>
      <c r="AD67" s="46">
        <v>69.8</v>
      </c>
      <c r="AE67" s="46">
        <v>69.8</v>
      </c>
      <c r="AF67" s="46">
        <v>69.8</v>
      </c>
      <c r="AG67" s="66">
        <v>70</v>
      </c>
      <c r="AH67" s="48">
        <f t="shared" si="2"/>
        <v>69.8</v>
      </c>
      <c r="AI67" s="49">
        <f t="shared" si="3"/>
        <v>69.8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67.599999999999994</v>
      </c>
      <c r="C68" s="76">
        <v>67.599999999999994</v>
      </c>
      <c r="D68" s="76">
        <v>67.599999999999994</v>
      </c>
      <c r="E68" s="76">
        <v>67.599999999999994</v>
      </c>
      <c r="F68" s="76">
        <v>67.599999999999994</v>
      </c>
      <c r="G68" s="76">
        <v>67.599999999999994</v>
      </c>
      <c r="H68" s="76">
        <v>67.599999999999994</v>
      </c>
      <c r="I68" s="76">
        <v>67.599999999999994</v>
      </c>
      <c r="J68" s="76">
        <v>67.599999999999994</v>
      </c>
      <c r="K68" s="76">
        <v>67.599999999999994</v>
      </c>
      <c r="L68" s="76">
        <v>67.599999999999994</v>
      </c>
      <c r="M68" s="76">
        <v>67.599999999999994</v>
      </c>
      <c r="N68" s="76">
        <v>67.599999999999994</v>
      </c>
      <c r="O68" s="76">
        <v>67.599999999999994</v>
      </c>
      <c r="P68" s="76">
        <v>67.599999999999994</v>
      </c>
      <c r="Q68" s="76">
        <v>67.599999999999994</v>
      </c>
      <c r="R68" s="76">
        <v>67.599999999999994</v>
      </c>
      <c r="S68" s="76">
        <v>67.599999999999994</v>
      </c>
      <c r="T68" s="76">
        <v>67.599999999999994</v>
      </c>
      <c r="U68" s="76">
        <v>67.599999999999994</v>
      </c>
      <c r="V68" s="76">
        <v>67.599999999999994</v>
      </c>
      <c r="W68" s="76">
        <v>67.599999999999994</v>
      </c>
      <c r="X68" s="76">
        <v>67.599999999999994</v>
      </c>
      <c r="Y68" s="76">
        <v>67.599999999999994</v>
      </c>
      <c r="Z68" s="76">
        <v>67.599999999999994</v>
      </c>
      <c r="AA68" s="46">
        <v>67.599999999999994</v>
      </c>
      <c r="AB68" s="46">
        <v>67.599999999999994</v>
      </c>
      <c r="AC68" s="46">
        <v>67.599999999999994</v>
      </c>
      <c r="AD68" s="46">
        <v>67.599999999999994</v>
      </c>
      <c r="AE68" s="46">
        <v>67.599999999999994</v>
      </c>
      <c r="AF68" s="46">
        <v>67.599999999999994</v>
      </c>
      <c r="AG68" s="66">
        <v>69</v>
      </c>
      <c r="AH68" s="48">
        <f t="shared" si="2"/>
        <v>67.599999999999994</v>
      </c>
      <c r="AI68" s="49">
        <f t="shared" si="3"/>
        <v>67.599999999999994</v>
      </c>
      <c r="AK68" s="51"/>
      <c r="AL68" s="83"/>
      <c r="AO68" s="83"/>
      <c r="AY68" s="1" t="s">
        <v>90</v>
      </c>
      <c r="AZ68" s="82">
        <f>ROUND(C86,0)</f>
        <v>-240</v>
      </c>
      <c r="BA68" s="81">
        <f t="shared" si="24"/>
        <v>-286</v>
      </c>
      <c r="BB68" s="81">
        <f t="shared" si="24"/>
        <v>-318</v>
      </c>
      <c r="BC68" s="81">
        <f t="shared" si="24"/>
        <v>-360</v>
      </c>
      <c r="BD68" s="81">
        <f t="shared" si="24"/>
        <v>-420</v>
      </c>
      <c r="BE68" s="82">
        <f>I86</f>
        <v>-350</v>
      </c>
      <c r="BF68" s="82">
        <f>K86</f>
        <v>-390</v>
      </c>
      <c r="BG68" s="82">
        <f t="shared" si="25"/>
        <v>-360</v>
      </c>
      <c r="BH68" s="82">
        <f t="shared" si="25"/>
        <v>-340</v>
      </c>
      <c r="BI68" s="82">
        <f t="shared" si="25"/>
        <v>-340</v>
      </c>
      <c r="BJ68" s="82">
        <f t="shared" si="25"/>
        <v>-325</v>
      </c>
      <c r="BK68" s="82">
        <f t="shared" si="25"/>
        <v>-340</v>
      </c>
      <c r="BL68" s="82">
        <f t="shared" si="25"/>
        <v>-344</v>
      </c>
      <c r="BM68" s="82">
        <f t="shared" si="25"/>
        <v>-216.3</v>
      </c>
      <c r="BN68" s="82">
        <f t="shared" si="25"/>
        <v>-314.8</v>
      </c>
      <c r="BO68" s="82">
        <f t="shared" si="25"/>
        <v>-297.10000000000002</v>
      </c>
      <c r="BP68" s="82">
        <f t="shared" si="25"/>
        <v>-266.7</v>
      </c>
      <c r="BQ68" s="82">
        <f>X86</f>
        <v>-393.1</v>
      </c>
      <c r="BR68" s="82">
        <f>Z86</f>
        <v>-166.1</v>
      </c>
      <c r="BS68" s="81">
        <f>AB86</f>
        <v>-197</v>
      </c>
      <c r="BT68" s="81">
        <f t="shared" si="26"/>
        <v>-172.1</v>
      </c>
      <c r="BU68" s="81">
        <f t="shared" si="26"/>
        <v>-204.1</v>
      </c>
      <c r="BV68" s="81">
        <f t="shared" si="26"/>
        <v>-245</v>
      </c>
      <c r="BW68" s="81">
        <f>B86</f>
        <v>-251</v>
      </c>
    </row>
    <row r="69" spans="1:75" s="83" customFormat="1" x14ac:dyDescent="0.25">
      <c r="A69" s="65" t="s">
        <v>83</v>
      </c>
      <c r="B69" s="76">
        <v>57.4</v>
      </c>
      <c r="C69" s="76">
        <v>57.4</v>
      </c>
      <c r="D69" s="76">
        <v>57.4</v>
      </c>
      <c r="E69" s="76">
        <v>57.4</v>
      </c>
      <c r="F69" s="76">
        <v>57.4</v>
      </c>
      <c r="G69" s="76">
        <v>57.4</v>
      </c>
      <c r="H69" s="76">
        <v>57.4</v>
      </c>
      <c r="I69" s="76">
        <v>57.4</v>
      </c>
      <c r="J69" s="76">
        <v>57.4</v>
      </c>
      <c r="K69" s="76">
        <v>57.4</v>
      </c>
      <c r="L69" s="76">
        <v>57.4</v>
      </c>
      <c r="M69" s="76">
        <v>57.4</v>
      </c>
      <c r="N69" s="76">
        <v>57.4</v>
      </c>
      <c r="O69" s="76">
        <v>57.4</v>
      </c>
      <c r="P69" s="76">
        <v>57.4</v>
      </c>
      <c r="Q69" s="76">
        <v>57.4</v>
      </c>
      <c r="R69" s="76">
        <v>57.4</v>
      </c>
      <c r="S69" s="76">
        <v>57.4</v>
      </c>
      <c r="T69" s="76">
        <v>57.4</v>
      </c>
      <c r="U69" s="76">
        <v>57.4</v>
      </c>
      <c r="V69" s="76">
        <v>57.4</v>
      </c>
      <c r="W69" s="76">
        <v>57.4</v>
      </c>
      <c r="X69" s="76">
        <v>57.4</v>
      </c>
      <c r="Y69" s="76">
        <v>57.4</v>
      </c>
      <c r="Z69" s="76">
        <v>57.4</v>
      </c>
      <c r="AA69" s="46">
        <v>57.4</v>
      </c>
      <c r="AB69" s="46">
        <v>57.4</v>
      </c>
      <c r="AC69" s="46">
        <v>57.4</v>
      </c>
      <c r="AD69" s="46">
        <v>57.4</v>
      </c>
      <c r="AE69" s="46">
        <v>57.4</v>
      </c>
      <c r="AF69" s="46">
        <v>57.4</v>
      </c>
      <c r="AG69" s="66">
        <v>60</v>
      </c>
      <c r="AH69" s="48">
        <f t="shared" si="2"/>
        <v>57.4</v>
      </c>
      <c r="AI69" s="49">
        <f t="shared" si="3"/>
        <v>57.4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30</v>
      </c>
      <c r="BH69" s="82">
        <f t="shared" si="25"/>
        <v>30</v>
      </c>
      <c r="BI69" s="82">
        <f t="shared" si="25"/>
        <v>31.4</v>
      </c>
      <c r="BJ69" s="82">
        <f t="shared" si="25"/>
        <v>31</v>
      </c>
      <c r="BK69" s="82">
        <f t="shared" si="25"/>
        <v>29.5</v>
      </c>
      <c r="BL69" s="82">
        <f t="shared" si="25"/>
        <v>41.4</v>
      </c>
      <c r="BM69" s="82">
        <f t="shared" si="25"/>
        <v>47.9</v>
      </c>
      <c r="BN69" s="82">
        <f t="shared" si="25"/>
        <v>40.799999999999997</v>
      </c>
      <c r="BO69" s="82">
        <f t="shared" si="25"/>
        <v>41.2</v>
      </c>
      <c r="BP69" s="82">
        <f t="shared" si="25"/>
        <v>39</v>
      </c>
      <c r="BQ69" s="82">
        <f>X87</f>
        <v>39.6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14.4</v>
      </c>
      <c r="C70" s="46">
        <v>14.4</v>
      </c>
      <c r="D70" s="46">
        <v>14.4</v>
      </c>
      <c r="E70" s="46">
        <v>14.4</v>
      </c>
      <c r="F70" s="46">
        <v>10</v>
      </c>
      <c r="G70" s="46">
        <v>10</v>
      </c>
      <c r="H70" s="46">
        <v>10</v>
      </c>
      <c r="I70" s="46">
        <v>10</v>
      </c>
      <c r="J70" s="46">
        <v>10</v>
      </c>
      <c r="K70" s="46">
        <v>10</v>
      </c>
      <c r="L70" s="46">
        <v>10</v>
      </c>
      <c r="M70" s="46">
        <v>10</v>
      </c>
      <c r="N70" s="46">
        <v>10</v>
      </c>
      <c r="O70" s="46">
        <v>28</v>
      </c>
      <c r="P70" s="46">
        <v>28</v>
      </c>
      <c r="Q70" s="46">
        <v>28</v>
      </c>
      <c r="R70" s="46">
        <v>28</v>
      </c>
      <c r="S70" s="46">
        <v>9.8000000000000007</v>
      </c>
      <c r="T70" s="46">
        <v>9.8000000000000007</v>
      </c>
      <c r="U70" s="46">
        <v>9.8000000000000007</v>
      </c>
      <c r="V70" s="46">
        <v>9.8000000000000007</v>
      </c>
      <c r="W70" s="46">
        <v>26.4</v>
      </c>
      <c r="X70" s="46">
        <v>26.4</v>
      </c>
      <c r="Y70" s="46">
        <v>10.1</v>
      </c>
      <c r="Z70" s="46">
        <v>10.1</v>
      </c>
      <c r="AA70" s="46">
        <v>10.1</v>
      </c>
      <c r="AB70" s="46">
        <v>22.1</v>
      </c>
      <c r="AC70" s="46">
        <v>22.1</v>
      </c>
      <c r="AD70" s="46">
        <v>10.6</v>
      </c>
      <c r="AE70" s="46">
        <v>10.6</v>
      </c>
      <c r="AF70" s="46">
        <v>10.6</v>
      </c>
      <c r="AG70" s="66">
        <v>30</v>
      </c>
      <c r="AH70" s="48">
        <f t="shared" si="2"/>
        <v>28</v>
      </c>
      <c r="AI70" s="49">
        <f t="shared" si="3"/>
        <v>9.8000000000000007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102</v>
      </c>
      <c r="BG70" s="82">
        <f t="shared" si="25"/>
        <v>96.4</v>
      </c>
      <c r="BH70" s="82">
        <f t="shared" si="25"/>
        <v>111</v>
      </c>
      <c r="BI70" s="82">
        <f t="shared" si="25"/>
        <v>131</v>
      </c>
      <c r="BJ70" s="82">
        <f t="shared" si="25"/>
        <v>132</v>
      </c>
      <c r="BK70" s="82">
        <f t="shared" si="25"/>
        <v>134.4</v>
      </c>
      <c r="BL70" s="82">
        <f t="shared" si="25"/>
        <v>135.5</v>
      </c>
      <c r="BM70" s="82">
        <f t="shared" si="25"/>
        <v>131.1</v>
      </c>
      <c r="BN70" s="82">
        <f t="shared" si="25"/>
        <v>120.3</v>
      </c>
      <c r="BO70" s="82">
        <f t="shared" si="25"/>
        <v>131.19999999999999</v>
      </c>
      <c r="BP70" s="82">
        <f t="shared" si="25"/>
        <v>125.3</v>
      </c>
      <c r="BQ70" s="82">
        <f>X88</f>
        <v>104.1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1.2</v>
      </c>
      <c r="K71" s="46">
        <v>1.2</v>
      </c>
      <c r="L71" s="46">
        <v>1.2</v>
      </c>
      <c r="M71" s="46">
        <v>1.2</v>
      </c>
      <c r="N71" s="46">
        <v>1.2</v>
      </c>
      <c r="O71" s="46">
        <v>1.2</v>
      </c>
      <c r="P71" s="46">
        <v>1.2</v>
      </c>
      <c r="Q71" s="46">
        <v>1.2</v>
      </c>
      <c r="R71" s="46">
        <v>1.2</v>
      </c>
      <c r="S71" s="46">
        <v>13.2</v>
      </c>
      <c r="T71" s="46">
        <v>9.9</v>
      </c>
      <c r="U71" s="46">
        <v>7.1</v>
      </c>
      <c r="V71" s="46">
        <v>6.1</v>
      </c>
      <c r="W71" s="46">
        <v>2.5</v>
      </c>
      <c r="X71" s="46">
        <v>1</v>
      </c>
      <c r="Y71" s="46">
        <v>0.3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13.2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12.9</v>
      </c>
      <c r="C72" s="76">
        <v>12.9</v>
      </c>
      <c r="D72" s="76">
        <v>12.9</v>
      </c>
      <c r="E72" s="76">
        <v>12.9</v>
      </c>
      <c r="F72" s="76">
        <v>12.9</v>
      </c>
      <c r="G72" s="76">
        <v>12.9</v>
      </c>
      <c r="H72" s="76">
        <v>12.9</v>
      </c>
      <c r="I72" s="76">
        <v>12.9</v>
      </c>
      <c r="J72" s="76">
        <v>12.9</v>
      </c>
      <c r="K72" s="76">
        <v>12.9</v>
      </c>
      <c r="L72" s="76">
        <v>12.9</v>
      </c>
      <c r="M72" s="76">
        <v>12.9</v>
      </c>
      <c r="N72" s="76">
        <v>12.9</v>
      </c>
      <c r="O72" s="76">
        <v>12.9</v>
      </c>
      <c r="P72" s="76">
        <v>12.9</v>
      </c>
      <c r="Q72" s="76">
        <v>12.9</v>
      </c>
      <c r="R72" s="76">
        <v>12.9</v>
      </c>
      <c r="S72" s="76">
        <v>12.9</v>
      </c>
      <c r="T72" s="76">
        <v>12.9</v>
      </c>
      <c r="U72" s="76">
        <v>12.9</v>
      </c>
      <c r="V72" s="76">
        <v>12.9</v>
      </c>
      <c r="W72" s="76">
        <v>12.9</v>
      </c>
      <c r="X72" s="76">
        <v>12.9</v>
      </c>
      <c r="Y72" s="76">
        <v>12.9</v>
      </c>
      <c r="Z72" s="76">
        <v>12.9</v>
      </c>
      <c r="AA72" s="76">
        <v>12.9</v>
      </c>
      <c r="AB72" s="76">
        <v>12.9</v>
      </c>
      <c r="AC72" s="76">
        <v>12.9</v>
      </c>
      <c r="AD72" s="76">
        <v>12.9</v>
      </c>
      <c r="AE72" s="76">
        <v>12.9</v>
      </c>
      <c r="AF72" s="76">
        <v>12.9</v>
      </c>
      <c r="AG72" s="66">
        <v>24</v>
      </c>
      <c r="AH72" s="48">
        <f t="shared" si="2"/>
        <v>12.9</v>
      </c>
      <c r="AI72" s="49">
        <f t="shared" si="3"/>
        <v>12.9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8">VALUE(AZ66)</f>
        <v>28</v>
      </c>
      <c r="BA73" s="82">
        <f t="shared" si="28"/>
        <v>27</v>
      </c>
      <c r="BB73" s="82">
        <f t="shared" si="28"/>
        <v>28</v>
      </c>
      <c r="BC73" s="82">
        <f t="shared" si="28"/>
        <v>20.9</v>
      </c>
      <c r="BD73" s="82">
        <f t="shared" si="28"/>
        <v>16.3</v>
      </c>
      <c r="BE73" s="82">
        <f t="shared" si="28"/>
        <v>39</v>
      </c>
      <c r="BF73" s="82">
        <f t="shared" si="28"/>
        <v>39</v>
      </c>
      <c r="BG73" s="82">
        <f t="shared" si="28"/>
        <v>71.5</v>
      </c>
      <c r="BH73" s="82">
        <f t="shared" si="28"/>
        <v>61</v>
      </c>
      <c r="BI73" s="82">
        <f t="shared" si="28"/>
        <v>58.9</v>
      </c>
      <c r="BJ73" s="82">
        <f t="shared" si="28"/>
        <v>49</v>
      </c>
      <c r="BK73" s="82">
        <f t="shared" si="28"/>
        <v>55.3</v>
      </c>
      <c r="BL73" s="82">
        <f t="shared" si="28"/>
        <v>60.1</v>
      </c>
      <c r="BM73" s="82">
        <f t="shared" si="28"/>
        <v>64.7</v>
      </c>
      <c r="BN73" s="82">
        <f t="shared" si="28"/>
        <v>64</v>
      </c>
      <c r="BO73" s="82">
        <f t="shared" si="28"/>
        <v>60.7</v>
      </c>
      <c r="BP73" s="82">
        <f t="shared" si="28"/>
        <v>69.900000000000006</v>
      </c>
      <c r="BQ73" s="82">
        <f t="shared" si="28"/>
        <v>32.9</v>
      </c>
      <c r="BR73" s="82">
        <f t="shared" si="28"/>
        <v>20.7</v>
      </c>
      <c r="BS73" s="82">
        <f t="shared" si="28"/>
        <v>2.9</v>
      </c>
      <c r="BT73" s="82">
        <f t="shared" si="28"/>
        <v>26.8</v>
      </c>
      <c r="BU73" s="82">
        <f t="shared" si="28"/>
        <v>28.4</v>
      </c>
      <c r="BV73" s="82">
        <f t="shared" si="28"/>
        <v>20</v>
      </c>
      <c r="BW73" s="82">
        <f t="shared" si="28"/>
        <v>28</v>
      </c>
    </row>
    <row r="74" spans="1:75" x14ac:dyDescent="0.25">
      <c r="A74" s="65" t="s">
        <v>91</v>
      </c>
      <c r="B74" s="76">
        <v>11.1</v>
      </c>
      <c r="C74" s="76">
        <v>11.1</v>
      </c>
      <c r="D74" s="76">
        <v>11.1</v>
      </c>
      <c r="E74" s="76">
        <v>11.1</v>
      </c>
      <c r="F74" s="76">
        <v>11.1</v>
      </c>
      <c r="G74" s="76">
        <v>11.1</v>
      </c>
      <c r="H74" s="76">
        <v>11.1</v>
      </c>
      <c r="I74" s="76">
        <v>11.1</v>
      </c>
      <c r="J74" s="76">
        <v>11.1</v>
      </c>
      <c r="K74" s="76">
        <v>11.1</v>
      </c>
      <c r="L74" s="76">
        <v>11.1</v>
      </c>
      <c r="M74" s="76">
        <v>11.1</v>
      </c>
      <c r="N74" s="76">
        <v>11.1</v>
      </c>
      <c r="O74" s="76">
        <v>11.1</v>
      </c>
      <c r="P74" s="76">
        <v>11.1</v>
      </c>
      <c r="Q74" s="76">
        <v>11.1</v>
      </c>
      <c r="R74" s="76">
        <v>11.1</v>
      </c>
      <c r="S74" s="76">
        <v>11.1</v>
      </c>
      <c r="T74" s="76">
        <v>11.1</v>
      </c>
      <c r="U74" s="76">
        <v>11.1</v>
      </c>
      <c r="V74" s="76">
        <v>11.1</v>
      </c>
      <c r="W74" s="76">
        <v>11.1</v>
      </c>
      <c r="X74" s="76">
        <v>11.1</v>
      </c>
      <c r="Y74" s="76">
        <v>11.1</v>
      </c>
      <c r="Z74" s="76">
        <v>11.1</v>
      </c>
      <c r="AA74" s="76">
        <v>11.1</v>
      </c>
      <c r="AB74" s="76">
        <v>11.1</v>
      </c>
      <c r="AC74" s="76">
        <v>11.1</v>
      </c>
      <c r="AD74" s="76">
        <v>11.1</v>
      </c>
      <c r="AE74" s="76">
        <v>11.1</v>
      </c>
      <c r="AF74" s="76">
        <v>11.1</v>
      </c>
      <c r="AG74" s="66">
        <v>14.1</v>
      </c>
      <c r="AH74" s="48">
        <f t="shared" si="2"/>
        <v>11.1</v>
      </c>
      <c r="AI74" s="49">
        <f t="shared" si="3"/>
        <v>11.1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9.6999999999999993</v>
      </c>
      <c r="C75" s="76">
        <v>9.6999999999999993</v>
      </c>
      <c r="D75" s="76">
        <v>9.6999999999999993</v>
      </c>
      <c r="E75" s="76">
        <v>9.6999999999999993</v>
      </c>
      <c r="F75" s="76">
        <v>9.6999999999999993</v>
      </c>
      <c r="G75" s="76">
        <v>9.6999999999999993</v>
      </c>
      <c r="H75" s="76">
        <v>9.6999999999999993</v>
      </c>
      <c r="I75" s="76">
        <v>9.6999999999999993</v>
      </c>
      <c r="J75" s="76">
        <v>9.6999999999999993</v>
      </c>
      <c r="K75" s="76">
        <v>9.6999999999999993</v>
      </c>
      <c r="L75" s="76">
        <v>9.6999999999999993</v>
      </c>
      <c r="M75" s="76">
        <v>9.6999999999999993</v>
      </c>
      <c r="N75" s="76">
        <v>9.6999999999999993</v>
      </c>
      <c r="O75" s="76">
        <v>9.6999999999999993</v>
      </c>
      <c r="P75" s="76">
        <v>9.6999999999999993</v>
      </c>
      <c r="Q75" s="76">
        <v>9.6999999999999993</v>
      </c>
      <c r="R75" s="76">
        <v>9.6999999999999993</v>
      </c>
      <c r="S75" s="76">
        <v>9.6999999999999993</v>
      </c>
      <c r="T75" s="76">
        <v>9.6999999999999993</v>
      </c>
      <c r="U75" s="76">
        <v>9.6999999999999993</v>
      </c>
      <c r="V75" s="76">
        <v>9.6999999999999993</v>
      </c>
      <c r="W75" s="76">
        <v>9.6999999999999993</v>
      </c>
      <c r="X75" s="76">
        <v>9.6999999999999993</v>
      </c>
      <c r="Y75" s="76">
        <v>9.6999999999999993</v>
      </c>
      <c r="Z75" s="76">
        <v>9.6999999999999993</v>
      </c>
      <c r="AA75" s="76">
        <v>9.6999999999999993</v>
      </c>
      <c r="AB75" s="76">
        <v>9.6999999999999993</v>
      </c>
      <c r="AC75" s="76">
        <v>9.6999999999999993</v>
      </c>
      <c r="AD75" s="76">
        <v>9.6999999999999993</v>
      </c>
      <c r="AE75" s="76">
        <v>9.6999999999999993</v>
      </c>
      <c r="AF75" s="76">
        <v>9.6999999999999993</v>
      </c>
      <c r="AG75" s="66">
        <v>14</v>
      </c>
      <c r="AH75" s="48">
        <f t="shared" ref="AH75:AH126" si="29">MAX(B75:AF75)</f>
        <v>9.6999999999999993</v>
      </c>
      <c r="AI75" s="49">
        <f t="shared" ref="AI75:AI126" si="30">MIN(B75:AF75)</f>
        <v>9.6999999999999993</v>
      </c>
      <c r="AK75" s="51"/>
      <c r="AZ75" s="82">
        <f t="shared" si="28"/>
        <v>-240</v>
      </c>
      <c r="BA75" s="82">
        <f t="shared" si="28"/>
        <v>-286</v>
      </c>
      <c r="BB75" s="82">
        <f t="shared" si="28"/>
        <v>-318</v>
      </c>
      <c r="BC75" s="82">
        <f t="shared" si="28"/>
        <v>-360</v>
      </c>
      <c r="BD75" s="82">
        <f t="shared" si="28"/>
        <v>-420</v>
      </c>
      <c r="BE75" s="82">
        <f t="shared" si="28"/>
        <v>-350</v>
      </c>
      <c r="BF75" s="82">
        <f t="shared" si="28"/>
        <v>-390</v>
      </c>
      <c r="BG75" s="82">
        <f t="shared" si="28"/>
        <v>-360</v>
      </c>
      <c r="BH75" s="82">
        <f t="shared" si="28"/>
        <v>-340</v>
      </c>
      <c r="BI75" s="82">
        <f t="shared" si="28"/>
        <v>-340</v>
      </c>
      <c r="BJ75" s="82">
        <f t="shared" si="28"/>
        <v>-325</v>
      </c>
      <c r="BK75" s="82">
        <f t="shared" si="28"/>
        <v>-340</v>
      </c>
      <c r="BL75" s="82">
        <f t="shared" si="28"/>
        <v>-344</v>
      </c>
      <c r="BM75" s="82">
        <f t="shared" si="28"/>
        <v>-216.3</v>
      </c>
      <c r="BN75" s="82">
        <f t="shared" si="28"/>
        <v>-314.8</v>
      </c>
      <c r="BO75" s="82">
        <f t="shared" si="28"/>
        <v>-297.10000000000002</v>
      </c>
      <c r="BP75" s="82">
        <f t="shared" si="28"/>
        <v>-266.7</v>
      </c>
      <c r="BQ75" s="82">
        <f t="shared" si="28"/>
        <v>-393.1</v>
      </c>
      <c r="BR75" s="82">
        <f t="shared" si="28"/>
        <v>-166.1</v>
      </c>
      <c r="BS75" s="82">
        <f t="shared" si="28"/>
        <v>-197</v>
      </c>
      <c r="BT75" s="82">
        <f t="shared" si="28"/>
        <v>-172.1</v>
      </c>
      <c r="BU75" s="82">
        <f t="shared" si="28"/>
        <v>-204.1</v>
      </c>
      <c r="BV75" s="82">
        <f t="shared" si="28"/>
        <v>-245</v>
      </c>
      <c r="BW75" s="82">
        <f t="shared" si="28"/>
        <v>-251</v>
      </c>
    </row>
    <row r="76" spans="1:75" x14ac:dyDescent="0.25">
      <c r="A76" s="65" t="s">
        <v>95</v>
      </c>
      <c r="B76" s="76">
        <v>6.2</v>
      </c>
      <c r="C76" s="76">
        <v>6.2</v>
      </c>
      <c r="D76" s="76">
        <v>6.2</v>
      </c>
      <c r="E76" s="76">
        <v>6.2</v>
      </c>
      <c r="F76" s="76">
        <v>6.2</v>
      </c>
      <c r="G76" s="76">
        <v>6.2</v>
      </c>
      <c r="H76" s="76">
        <v>6.2</v>
      </c>
      <c r="I76" s="76">
        <v>6.2</v>
      </c>
      <c r="J76" s="76">
        <v>6.2</v>
      </c>
      <c r="K76" s="76">
        <v>6.2</v>
      </c>
      <c r="L76" s="76">
        <v>6.2</v>
      </c>
      <c r="M76" s="76">
        <v>6.2</v>
      </c>
      <c r="N76" s="76">
        <v>6.2</v>
      </c>
      <c r="O76" s="76">
        <v>6.2</v>
      </c>
      <c r="P76" s="76">
        <v>6.2</v>
      </c>
      <c r="Q76" s="76">
        <v>6.2</v>
      </c>
      <c r="R76" s="76">
        <v>6.2</v>
      </c>
      <c r="S76" s="76">
        <v>6.2</v>
      </c>
      <c r="T76" s="76">
        <v>6.2</v>
      </c>
      <c r="U76" s="76">
        <v>6.2</v>
      </c>
      <c r="V76" s="76">
        <v>6.2</v>
      </c>
      <c r="W76" s="76">
        <v>6.2</v>
      </c>
      <c r="X76" s="76">
        <v>6.2</v>
      </c>
      <c r="Y76" s="76">
        <v>6.2</v>
      </c>
      <c r="Z76" s="76">
        <v>6.2</v>
      </c>
      <c r="AA76" s="76">
        <v>6.2</v>
      </c>
      <c r="AB76" s="76">
        <v>6.2</v>
      </c>
      <c r="AC76" s="76">
        <v>6.2</v>
      </c>
      <c r="AD76" s="76">
        <v>6.2</v>
      </c>
      <c r="AE76" s="76">
        <v>6.2</v>
      </c>
      <c r="AF76" s="76">
        <v>6.2</v>
      </c>
      <c r="AG76" s="66">
        <v>10.050000000000001</v>
      </c>
      <c r="AH76" s="48">
        <f t="shared" si="29"/>
        <v>6.2</v>
      </c>
      <c r="AI76" s="49">
        <f t="shared" si="30"/>
        <v>6.2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30</v>
      </c>
      <c r="BH76" s="82">
        <f t="shared" si="28"/>
        <v>30</v>
      </c>
      <c r="BI76" s="82">
        <f t="shared" si="28"/>
        <v>31.4</v>
      </c>
      <c r="BJ76" s="82">
        <f t="shared" si="28"/>
        <v>31</v>
      </c>
      <c r="BK76" s="82">
        <f t="shared" si="28"/>
        <v>29.5</v>
      </c>
      <c r="BL76" s="82">
        <f t="shared" si="28"/>
        <v>41.4</v>
      </c>
      <c r="BM76" s="82">
        <f t="shared" si="28"/>
        <v>47.9</v>
      </c>
      <c r="BN76" s="82">
        <f t="shared" si="28"/>
        <v>40.799999999999997</v>
      </c>
      <c r="BO76" s="82">
        <f t="shared" si="28"/>
        <v>41.2</v>
      </c>
      <c r="BP76" s="82">
        <f t="shared" si="28"/>
        <v>39</v>
      </c>
      <c r="BQ76" s="82">
        <f t="shared" si="28"/>
        <v>39.6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29"/>
        <v>3</v>
      </c>
      <c r="AI77" s="49">
        <f t="shared" si="30"/>
        <v>3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102</v>
      </c>
      <c r="BG77" s="82">
        <f t="shared" si="28"/>
        <v>96.4</v>
      </c>
      <c r="BH77" s="82">
        <f t="shared" si="28"/>
        <v>111</v>
      </c>
      <c r="BI77" s="82">
        <f t="shared" si="28"/>
        <v>131</v>
      </c>
      <c r="BJ77" s="82">
        <f t="shared" si="28"/>
        <v>132</v>
      </c>
      <c r="BK77" s="82">
        <f t="shared" si="28"/>
        <v>134.4</v>
      </c>
      <c r="BL77" s="82">
        <f t="shared" si="28"/>
        <v>135.5</v>
      </c>
      <c r="BM77" s="82">
        <f t="shared" si="28"/>
        <v>131.1</v>
      </c>
      <c r="BN77" s="82">
        <f t="shared" si="28"/>
        <v>120.3</v>
      </c>
      <c r="BO77" s="82">
        <f t="shared" si="28"/>
        <v>131.19999999999999</v>
      </c>
      <c r="BP77" s="82">
        <f t="shared" si="28"/>
        <v>125.3</v>
      </c>
      <c r="BQ77" s="82">
        <f t="shared" si="28"/>
        <v>104.1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9"/>
        <v>3.54</v>
      </c>
      <c r="AI78" s="49">
        <f t="shared" si="30"/>
        <v>3.54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f>SUM(B66:B78)</f>
        <v>404.64</v>
      </c>
      <c r="C79" s="71">
        <f>SUM(C66:C78)</f>
        <v>404.64</v>
      </c>
      <c r="D79" s="71">
        <f>SUM(D66:D78)</f>
        <v>404.64</v>
      </c>
      <c r="E79" s="71">
        <f t="shared" ref="E79:AG79" si="31">SUM(E66:E78)</f>
        <v>404.64</v>
      </c>
      <c r="F79" s="71">
        <f t="shared" si="31"/>
        <v>400.24</v>
      </c>
      <c r="G79" s="71">
        <f>SUM(G66:G78)</f>
        <v>400.24</v>
      </c>
      <c r="H79" s="71">
        <f t="shared" si="31"/>
        <v>400.24</v>
      </c>
      <c r="I79" s="71">
        <f t="shared" si="31"/>
        <v>400.24</v>
      </c>
      <c r="J79" s="71">
        <f t="shared" si="31"/>
        <v>401.44</v>
      </c>
      <c r="K79" s="71">
        <f t="shared" si="31"/>
        <v>401.44</v>
      </c>
      <c r="L79" s="71">
        <f t="shared" si="31"/>
        <v>401.44</v>
      </c>
      <c r="M79" s="71">
        <f t="shared" si="31"/>
        <v>401.44</v>
      </c>
      <c r="N79" s="71">
        <f t="shared" si="31"/>
        <v>401.44</v>
      </c>
      <c r="O79" s="71">
        <f t="shared" si="31"/>
        <v>419.44</v>
      </c>
      <c r="P79" s="71">
        <f t="shared" si="31"/>
        <v>419.44</v>
      </c>
      <c r="Q79" s="71">
        <f t="shared" si="31"/>
        <v>419.44</v>
      </c>
      <c r="R79" s="71">
        <f t="shared" si="31"/>
        <v>419.44</v>
      </c>
      <c r="S79" s="71">
        <f t="shared" ref="S79:AA79" si="32">SUM(S66:S78)</f>
        <v>413.24</v>
      </c>
      <c r="T79" s="71">
        <f t="shared" si="32"/>
        <v>409.94</v>
      </c>
      <c r="U79" s="71">
        <f t="shared" si="32"/>
        <v>407.14000000000004</v>
      </c>
      <c r="V79" s="71">
        <f t="shared" si="32"/>
        <v>406.14000000000004</v>
      </c>
      <c r="W79" s="71">
        <f t="shared" si="32"/>
        <v>419.14</v>
      </c>
      <c r="X79" s="71">
        <f t="shared" si="32"/>
        <v>417.64</v>
      </c>
      <c r="Y79" s="71">
        <f t="shared" si="32"/>
        <v>400.64000000000004</v>
      </c>
      <c r="Z79" s="71">
        <f t="shared" si="32"/>
        <v>400.34000000000003</v>
      </c>
      <c r="AA79" s="71">
        <f t="shared" si="32"/>
        <v>400.34000000000003</v>
      </c>
      <c r="AB79" s="71">
        <f t="shared" si="31"/>
        <v>412.34000000000003</v>
      </c>
      <c r="AC79" s="71">
        <f t="shared" si="31"/>
        <v>412.34000000000003</v>
      </c>
      <c r="AD79" s="71">
        <f t="shared" si="31"/>
        <v>400.84000000000003</v>
      </c>
      <c r="AE79" s="71">
        <f t="shared" si="31"/>
        <v>400.84000000000003</v>
      </c>
      <c r="AF79" s="71">
        <f t="shared" si="31"/>
        <v>400.84000000000003</v>
      </c>
      <c r="AG79" s="72">
        <f t="shared" si="31"/>
        <v>489.91</v>
      </c>
      <c r="AH79" s="48">
        <f t="shared" si="29"/>
        <v>419.44</v>
      </c>
      <c r="AI79" s="49">
        <f t="shared" si="30"/>
        <v>400.24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/>
      <c r="L80" s="46"/>
      <c r="M80" s="46"/>
      <c r="N80" s="46"/>
      <c r="O80" s="46"/>
      <c r="P80" s="46"/>
      <c r="Q80" s="46"/>
      <c r="R80" s="46"/>
      <c r="S80" s="46">
        <v>29.8</v>
      </c>
      <c r="T80" s="46">
        <v>9.8000000000000007</v>
      </c>
      <c r="U80" s="46">
        <v>0</v>
      </c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29</v>
      </c>
      <c r="AB80" s="46">
        <v>29.3</v>
      </c>
      <c r="AC80" s="46">
        <v>29.3</v>
      </c>
      <c r="AD80" s="46">
        <v>29.3</v>
      </c>
      <c r="AE80" s="46">
        <v>0</v>
      </c>
      <c r="AF80" s="46">
        <v>0</v>
      </c>
      <c r="AG80" s="61">
        <v>60</v>
      </c>
      <c r="AH80" s="48">
        <f t="shared" si="29"/>
        <v>29.8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/>
      <c r="L81" s="76"/>
      <c r="M81" s="76"/>
      <c r="N81" s="76"/>
      <c r="O81" s="76"/>
      <c r="P81" s="76"/>
      <c r="Q81" s="76"/>
      <c r="R81" s="76"/>
      <c r="S81" s="76">
        <v>4.8</v>
      </c>
      <c r="T81" s="76">
        <v>5.9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5</v>
      </c>
      <c r="AB81" s="76">
        <v>14.4</v>
      </c>
      <c r="AC81" s="76">
        <v>15.7</v>
      </c>
      <c r="AD81" s="76">
        <v>15.5</v>
      </c>
      <c r="AE81" s="76">
        <v>0</v>
      </c>
      <c r="AF81" s="76">
        <v>0</v>
      </c>
      <c r="AG81" s="66">
        <v>32</v>
      </c>
      <c r="AH81" s="48">
        <f t="shared" si="29"/>
        <v>15.7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/>
      <c r="L82" s="78"/>
      <c r="M82" s="78"/>
      <c r="N82" s="78"/>
      <c r="O82" s="78"/>
      <c r="P82" s="78"/>
      <c r="Q82" s="78"/>
      <c r="R82" s="78"/>
      <c r="S82" s="78">
        <v>1.8</v>
      </c>
      <c r="T82" s="78">
        <v>2.2000000000000002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1.8</v>
      </c>
      <c r="AB82" s="78">
        <v>5.3</v>
      </c>
      <c r="AC82" s="78">
        <v>5.7</v>
      </c>
      <c r="AD82" s="78">
        <v>5.7</v>
      </c>
      <c r="AE82" s="78">
        <v>0</v>
      </c>
      <c r="AF82" s="78">
        <v>0</v>
      </c>
      <c r="AG82" s="79">
        <v>14</v>
      </c>
      <c r="AH82" s="48">
        <f t="shared" si="29"/>
        <v>5.7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28</v>
      </c>
      <c r="BH82" s="82">
        <v>0</v>
      </c>
      <c r="BI82" s="82">
        <v>-240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0</v>
      </c>
      <c r="C83" s="71">
        <f>C80+C81+C82</f>
        <v>0</v>
      </c>
      <c r="D83" s="71">
        <f>D80+D81+D82</f>
        <v>0</v>
      </c>
      <c r="E83" s="71">
        <f t="shared" ref="E83:AF83" si="33">E80+E81+E82</f>
        <v>0</v>
      </c>
      <c r="F83" s="71">
        <f t="shared" si="33"/>
        <v>0</v>
      </c>
      <c r="G83" s="71">
        <f>G80+G81+G82</f>
        <v>0</v>
      </c>
      <c r="H83" s="71">
        <f t="shared" si="33"/>
        <v>0</v>
      </c>
      <c r="I83" s="71">
        <f t="shared" si="33"/>
        <v>0</v>
      </c>
      <c r="J83" s="71">
        <f t="shared" si="33"/>
        <v>0</v>
      </c>
      <c r="K83" s="71">
        <f t="shared" si="33"/>
        <v>0</v>
      </c>
      <c r="L83" s="71">
        <f t="shared" si="33"/>
        <v>0</v>
      </c>
      <c r="M83" s="71">
        <f t="shared" si="33"/>
        <v>0</v>
      </c>
      <c r="N83" s="71">
        <f t="shared" si="33"/>
        <v>0</v>
      </c>
      <c r="O83" s="71">
        <f t="shared" si="33"/>
        <v>0</v>
      </c>
      <c r="P83" s="71">
        <f t="shared" si="33"/>
        <v>0</v>
      </c>
      <c r="Q83" s="71">
        <f t="shared" si="33"/>
        <v>0</v>
      </c>
      <c r="R83" s="71">
        <f t="shared" si="33"/>
        <v>0</v>
      </c>
      <c r="S83" s="71">
        <f t="shared" ref="S83:AA83" si="34">S80+S81+S82</f>
        <v>36.4</v>
      </c>
      <c r="T83" s="71">
        <f t="shared" si="34"/>
        <v>17.900000000000002</v>
      </c>
      <c r="U83" s="71">
        <f t="shared" si="34"/>
        <v>0</v>
      </c>
      <c r="V83" s="71">
        <f t="shared" si="34"/>
        <v>0</v>
      </c>
      <c r="W83" s="71">
        <f t="shared" si="34"/>
        <v>0</v>
      </c>
      <c r="X83" s="71">
        <f t="shared" si="34"/>
        <v>0</v>
      </c>
      <c r="Y83" s="71">
        <f t="shared" si="34"/>
        <v>0</v>
      </c>
      <c r="Z83" s="71">
        <f t="shared" si="34"/>
        <v>0</v>
      </c>
      <c r="AA83" s="71">
        <f t="shared" si="34"/>
        <v>35.799999999999997</v>
      </c>
      <c r="AB83" s="71">
        <f t="shared" si="33"/>
        <v>49</v>
      </c>
      <c r="AC83" s="71">
        <f t="shared" si="33"/>
        <v>50.7</v>
      </c>
      <c r="AD83" s="71">
        <f t="shared" si="33"/>
        <v>50.5</v>
      </c>
      <c r="AE83" s="71">
        <f t="shared" si="33"/>
        <v>0</v>
      </c>
      <c r="AF83" s="71">
        <f t="shared" si="33"/>
        <v>0</v>
      </c>
      <c r="AG83" s="72">
        <f>SUM(AG80:AG82)</f>
        <v>106</v>
      </c>
      <c r="AH83" s="48">
        <f t="shared" si="29"/>
        <v>50.7</v>
      </c>
      <c r="AI83" s="49">
        <f t="shared" si="30"/>
        <v>0</v>
      </c>
      <c r="AK83" s="51"/>
      <c r="AY83" s="82"/>
      <c r="BF83" s="81"/>
      <c r="BG83" s="82">
        <v>27</v>
      </c>
      <c r="BH83" s="82">
        <v>0</v>
      </c>
      <c r="BI83" s="82">
        <v>-286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28</v>
      </c>
      <c r="C84" s="46">
        <v>28</v>
      </c>
      <c r="D84" s="46">
        <v>27</v>
      </c>
      <c r="E84" s="46">
        <v>28</v>
      </c>
      <c r="F84" s="46">
        <v>20.9</v>
      </c>
      <c r="G84" s="46">
        <v>16.3</v>
      </c>
      <c r="H84" s="46">
        <v>14</v>
      </c>
      <c r="I84" s="46">
        <v>39</v>
      </c>
      <c r="J84" s="46">
        <v>39</v>
      </c>
      <c r="K84" s="46">
        <v>39</v>
      </c>
      <c r="L84" s="46">
        <v>39</v>
      </c>
      <c r="M84" s="46">
        <v>71.5</v>
      </c>
      <c r="N84" s="46">
        <v>61</v>
      </c>
      <c r="O84" s="46">
        <v>58.9</v>
      </c>
      <c r="P84" s="46">
        <v>49</v>
      </c>
      <c r="Q84" s="46">
        <v>55.3</v>
      </c>
      <c r="R84" s="46">
        <v>60.1</v>
      </c>
      <c r="S84" s="46">
        <v>64.7</v>
      </c>
      <c r="T84" s="46">
        <v>64</v>
      </c>
      <c r="U84" s="46">
        <v>60.7</v>
      </c>
      <c r="V84" s="46">
        <v>69.900000000000006</v>
      </c>
      <c r="W84" s="46">
        <v>69.3</v>
      </c>
      <c r="X84" s="46">
        <v>32.9</v>
      </c>
      <c r="Y84" s="46">
        <v>19.8</v>
      </c>
      <c r="Z84" s="46">
        <v>20.7</v>
      </c>
      <c r="AA84" s="46">
        <v>16.399999999999999</v>
      </c>
      <c r="AB84" s="46">
        <v>2.9</v>
      </c>
      <c r="AC84" s="46">
        <v>21.5</v>
      </c>
      <c r="AD84" s="46">
        <v>26.8</v>
      </c>
      <c r="AE84" s="46">
        <v>28.4</v>
      </c>
      <c r="AF84" s="46">
        <v>20</v>
      </c>
      <c r="AG84" s="61"/>
      <c r="AH84" s="48">
        <f t="shared" si="29"/>
        <v>71.5</v>
      </c>
      <c r="AI84" s="49">
        <f t="shared" si="30"/>
        <v>2.9</v>
      </c>
      <c r="AK84" s="51"/>
      <c r="AY84" s="82"/>
      <c r="BF84" s="81"/>
      <c r="BG84" s="82">
        <v>28</v>
      </c>
      <c r="BH84" s="82">
        <v>0</v>
      </c>
      <c r="BI84" s="82">
        <v>-318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20.9</v>
      </c>
      <c r="BH85" s="82">
        <v>0</v>
      </c>
      <c r="BI85" s="82">
        <v>-360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-251</v>
      </c>
      <c r="C86" s="76">
        <v>-240</v>
      </c>
      <c r="D86" s="76">
        <v>-286</v>
      </c>
      <c r="E86" s="76">
        <v>-318</v>
      </c>
      <c r="F86" s="76">
        <v>-360</v>
      </c>
      <c r="G86" s="76">
        <v>-420</v>
      </c>
      <c r="H86" s="76">
        <v>-410</v>
      </c>
      <c r="I86" s="76">
        <v>-350</v>
      </c>
      <c r="J86" s="76">
        <v>-390</v>
      </c>
      <c r="K86" s="76">
        <v>-390</v>
      </c>
      <c r="L86" s="76">
        <v>-390</v>
      </c>
      <c r="M86" s="76">
        <v>-360</v>
      </c>
      <c r="N86" s="76">
        <v>-340</v>
      </c>
      <c r="O86" s="76">
        <v>-340</v>
      </c>
      <c r="P86" s="76">
        <v>-325</v>
      </c>
      <c r="Q86" s="76">
        <v>-340</v>
      </c>
      <c r="R86" s="76">
        <v>-344</v>
      </c>
      <c r="S86" s="76">
        <v>-216.3</v>
      </c>
      <c r="T86" s="76">
        <v>-314.8</v>
      </c>
      <c r="U86" s="76">
        <v>-297.10000000000002</v>
      </c>
      <c r="V86" s="76">
        <v>-266.7</v>
      </c>
      <c r="W86" s="76">
        <v>-326.7</v>
      </c>
      <c r="X86" s="76">
        <v>-393.1</v>
      </c>
      <c r="Y86" s="76">
        <v>-362.8</v>
      </c>
      <c r="Z86" s="76">
        <v>-166.1</v>
      </c>
      <c r="AA86" s="76">
        <v>-177.4</v>
      </c>
      <c r="AB86" s="76">
        <v>-197</v>
      </c>
      <c r="AC86" s="76">
        <v>-205.1</v>
      </c>
      <c r="AD86" s="76">
        <v>-172.1</v>
      </c>
      <c r="AE86" s="76">
        <v>-204.1</v>
      </c>
      <c r="AF86" s="76">
        <v>-245</v>
      </c>
      <c r="AG86" s="88"/>
      <c r="AH86" s="48">
        <f t="shared" si="29"/>
        <v>-166.1</v>
      </c>
      <c r="AI86" s="49">
        <f t="shared" si="30"/>
        <v>-420</v>
      </c>
      <c r="AK86" s="92"/>
      <c r="AL86" s="93"/>
      <c r="AM86" s="93"/>
      <c r="AN86" s="94"/>
      <c r="AY86" s="82"/>
      <c r="BF86" s="82"/>
      <c r="BG86" s="82">
        <v>16.3</v>
      </c>
      <c r="BH86" s="82">
        <v>0</v>
      </c>
      <c r="BI86" s="82">
        <v>-420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>
        <v>30</v>
      </c>
      <c r="N87" s="89">
        <v>30</v>
      </c>
      <c r="O87" s="89">
        <v>31.4</v>
      </c>
      <c r="P87" s="89">
        <v>31</v>
      </c>
      <c r="Q87" s="89">
        <v>29.5</v>
      </c>
      <c r="R87" s="89">
        <v>41.4</v>
      </c>
      <c r="S87" s="89">
        <v>47.9</v>
      </c>
      <c r="T87" s="89">
        <v>40.799999999999997</v>
      </c>
      <c r="U87" s="89">
        <v>41.2</v>
      </c>
      <c r="V87" s="89">
        <v>39</v>
      </c>
      <c r="W87" s="89">
        <v>43.1</v>
      </c>
      <c r="X87" s="89">
        <v>39.6</v>
      </c>
      <c r="Y87" s="89">
        <v>35.1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29"/>
        <v>47.9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39</v>
      </c>
      <c r="BH87" s="82">
        <v>0</v>
      </c>
      <c r="BI87" s="82">
        <v>-350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>
        <v>102</v>
      </c>
      <c r="K88" s="46">
        <v>102</v>
      </c>
      <c r="L88" s="46">
        <v>102</v>
      </c>
      <c r="M88" s="46">
        <v>96.4</v>
      </c>
      <c r="N88" s="46">
        <v>111</v>
      </c>
      <c r="O88" s="46">
        <v>131</v>
      </c>
      <c r="P88" s="46">
        <v>132</v>
      </c>
      <c r="Q88" s="46">
        <v>134.4</v>
      </c>
      <c r="R88" s="46">
        <v>135.5</v>
      </c>
      <c r="S88" s="46">
        <v>131.1</v>
      </c>
      <c r="T88" s="46">
        <v>120.3</v>
      </c>
      <c r="U88" s="46">
        <v>131.19999999999999</v>
      </c>
      <c r="V88" s="46">
        <v>125.3</v>
      </c>
      <c r="W88" s="46">
        <v>113.7</v>
      </c>
      <c r="X88" s="46">
        <v>104.1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29"/>
        <v>135.5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39</v>
      </c>
      <c r="BH88" s="82">
        <v>0</v>
      </c>
      <c r="BI88" s="82">
        <v>-390</v>
      </c>
      <c r="BJ88" s="82">
        <v>0</v>
      </c>
      <c r="BK88" s="82">
        <v>102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71.5</v>
      </c>
      <c r="BH89" s="82">
        <v>0</v>
      </c>
      <c r="BI89" s="82">
        <v>-360</v>
      </c>
      <c r="BJ89" s="82">
        <v>30</v>
      </c>
      <c r="BK89" s="82">
        <v>96.4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4"/>
      <c r="AY90" s="82"/>
      <c r="BF90" s="82"/>
      <c r="BG90" s="82">
        <v>61</v>
      </c>
      <c r="BH90" s="82">
        <v>0</v>
      </c>
      <c r="BI90" s="82">
        <v>-340</v>
      </c>
      <c r="BJ90" s="82">
        <v>30</v>
      </c>
      <c r="BK90" s="82">
        <v>111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5"/>
      <c r="BF91" s="82"/>
      <c r="BG91" s="82">
        <v>58.9</v>
      </c>
      <c r="BH91" s="82">
        <v>0</v>
      </c>
      <c r="BI91" s="82">
        <v>-340</v>
      </c>
      <c r="BJ91" s="82">
        <v>31.4</v>
      </c>
      <c r="BK91" s="82">
        <v>131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49</v>
      </c>
      <c r="BH92" s="82">
        <v>0</v>
      </c>
      <c r="BI92" s="82">
        <v>-325</v>
      </c>
      <c r="BJ92" s="82">
        <v>31</v>
      </c>
      <c r="BK92" s="82">
        <v>132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55.3</v>
      </c>
      <c r="BH93" s="82">
        <v>0</v>
      </c>
      <c r="BI93" s="82">
        <v>-340</v>
      </c>
      <c r="BJ93" s="82">
        <v>29.5</v>
      </c>
      <c r="BK93" s="82">
        <v>134.4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60.1</v>
      </c>
      <c r="BH94" s="82">
        <v>0</v>
      </c>
      <c r="BI94" s="82">
        <v>-344</v>
      </c>
      <c r="BJ94" s="82">
        <v>41.4</v>
      </c>
      <c r="BK94" s="82">
        <v>135.5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28</v>
      </c>
      <c r="C95" s="71">
        <f>SUMIF(C84:C94,"&gt;0")</f>
        <v>28</v>
      </c>
      <c r="D95" s="71">
        <f>SUMIF(D84:D94,"&gt;0")</f>
        <v>27</v>
      </c>
      <c r="E95" s="71">
        <f t="shared" ref="E95:AF95" si="35">SUMIF(E84:E94,"&gt;0")</f>
        <v>28</v>
      </c>
      <c r="F95" s="71">
        <f t="shared" si="35"/>
        <v>20.9</v>
      </c>
      <c r="G95" s="71">
        <f t="shared" si="35"/>
        <v>16.3</v>
      </c>
      <c r="H95" s="71">
        <f t="shared" si="35"/>
        <v>14</v>
      </c>
      <c r="I95" s="71">
        <f t="shared" si="35"/>
        <v>39</v>
      </c>
      <c r="J95" s="71">
        <f t="shared" si="35"/>
        <v>141</v>
      </c>
      <c r="K95" s="71">
        <f t="shared" si="35"/>
        <v>141</v>
      </c>
      <c r="L95" s="71">
        <f t="shared" si="35"/>
        <v>141</v>
      </c>
      <c r="M95" s="71">
        <f t="shared" si="35"/>
        <v>197.9</v>
      </c>
      <c r="N95" s="71">
        <f t="shared" si="35"/>
        <v>202</v>
      </c>
      <c r="O95" s="71">
        <f t="shared" si="35"/>
        <v>221.3</v>
      </c>
      <c r="P95" s="71">
        <f t="shared" si="35"/>
        <v>212</v>
      </c>
      <c r="Q95" s="71">
        <f t="shared" si="35"/>
        <v>219.2</v>
      </c>
      <c r="R95" s="71">
        <f t="shared" si="35"/>
        <v>237</v>
      </c>
      <c r="S95" s="71">
        <f t="shared" ref="S95:AA95" si="36">SUMIF(S84:S94,"&gt;0")</f>
        <v>243.7</v>
      </c>
      <c r="T95" s="71">
        <f t="shared" si="36"/>
        <v>225.1</v>
      </c>
      <c r="U95" s="71">
        <f t="shared" si="36"/>
        <v>233.1</v>
      </c>
      <c r="V95" s="71">
        <f t="shared" si="36"/>
        <v>234.2</v>
      </c>
      <c r="W95" s="71">
        <f t="shared" si="36"/>
        <v>226.10000000000002</v>
      </c>
      <c r="X95" s="71">
        <f t="shared" si="36"/>
        <v>176.6</v>
      </c>
      <c r="Y95" s="71">
        <f t="shared" si="36"/>
        <v>54.900000000000006</v>
      </c>
      <c r="Z95" s="71">
        <f t="shared" si="36"/>
        <v>20.7</v>
      </c>
      <c r="AA95" s="71">
        <f t="shared" si="36"/>
        <v>16.399999999999999</v>
      </c>
      <c r="AB95" s="71">
        <f t="shared" si="35"/>
        <v>2.9</v>
      </c>
      <c r="AC95" s="71">
        <f t="shared" si="35"/>
        <v>21.5</v>
      </c>
      <c r="AD95" s="71">
        <f t="shared" si="35"/>
        <v>26.8</v>
      </c>
      <c r="AE95" s="71">
        <f t="shared" si="35"/>
        <v>28.4</v>
      </c>
      <c r="AF95" s="71">
        <f t="shared" si="35"/>
        <v>20</v>
      </c>
      <c r="AG95" s="101">
        <f>SUM(AG84:AG94)</f>
        <v>0</v>
      </c>
      <c r="AH95" s="48">
        <f t="shared" si="29"/>
        <v>243.7</v>
      </c>
      <c r="AI95" s="49">
        <f t="shared" si="30"/>
        <v>2.9</v>
      </c>
      <c r="BF95" s="82"/>
      <c r="BG95" s="82">
        <v>64.7</v>
      </c>
      <c r="BH95" s="82">
        <v>0</v>
      </c>
      <c r="BI95" s="82">
        <v>-216.3</v>
      </c>
      <c r="BJ95" s="82">
        <v>47.9</v>
      </c>
      <c r="BK95" s="82">
        <v>131.1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64</v>
      </c>
      <c r="BH96" s="82">
        <v>0</v>
      </c>
      <c r="BI96" s="82">
        <v>-314.8</v>
      </c>
      <c r="BJ96" s="82">
        <v>40.799999999999997</v>
      </c>
      <c r="BK96" s="82">
        <v>120.3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60.7</v>
      </c>
      <c r="BH97" s="82">
        <v>0</v>
      </c>
      <c r="BI97" s="82">
        <v>-297.10000000000002</v>
      </c>
      <c r="BJ97" s="82">
        <v>41.2</v>
      </c>
      <c r="BK97" s="82">
        <v>131.19999999999999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69.900000000000006</v>
      </c>
      <c r="BH98" s="82">
        <v>0</v>
      </c>
      <c r="BI98" s="82">
        <v>-266.7</v>
      </c>
      <c r="BJ98" s="82">
        <v>39</v>
      </c>
      <c r="BK98" s="82">
        <v>125.3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32.9</v>
      </c>
      <c r="BH99" s="82">
        <v>0</v>
      </c>
      <c r="BI99" s="82">
        <v>-393.1</v>
      </c>
      <c r="BJ99" s="82">
        <v>39.6</v>
      </c>
      <c r="BK99" s="82">
        <v>104.1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1793.04</v>
      </c>
      <c r="C100" s="108">
        <f>C61+C65+C83+C79+C95+C99</f>
        <v>1793.04</v>
      </c>
      <c r="D100" s="108">
        <f>D61+D65+D83+D79+D95+D99</f>
        <v>1792.04</v>
      </c>
      <c r="E100" s="108">
        <f t="shared" ref="E100:AG100" si="37">E61+E65+E83+E79+E95+E99</f>
        <v>1748.04</v>
      </c>
      <c r="F100" s="108">
        <f t="shared" si="37"/>
        <v>1781.5400000000002</v>
      </c>
      <c r="G100" s="108">
        <f t="shared" si="37"/>
        <v>1776.94</v>
      </c>
      <c r="H100" s="108">
        <f t="shared" si="37"/>
        <v>1761.34</v>
      </c>
      <c r="I100" s="108">
        <f t="shared" si="37"/>
        <v>1786.34</v>
      </c>
      <c r="J100" s="108">
        <f t="shared" si="37"/>
        <v>1889.54</v>
      </c>
      <c r="K100" s="108">
        <f t="shared" si="37"/>
        <v>1889.54</v>
      </c>
      <c r="L100" s="108">
        <f t="shared" si="37"/>
        <v>1889.54</v>
      </c>
      <c r="M100" s="108">
        <f t="shared" si="37"/>
        <v>1946.44</v>
      </c>
      <c r="N100" s="108">
        <f t="shared" si="37"/>
        <v>1950.54</v>
      </c>
      <c r="O100" s="108">
        <f t="shared" si="37"/>
        <v>1987.84</v>
      </c>
      <c r="P100" s="108">
        <f t="shared" si="37"/>
        <v>1978.54</v>
      </c>
      <c r="Q100" s="108">
        <f t="shared" si="37"/>
        <v>1994.0400000000002</v>
      </c>
      <c r="R100" s="108">
        <f t="shared" si="37"/>
        <v>2011.8400000000001</v>
      </c>
      <c r="S100" s="108">
        <f t="shared" ref="S100:AA100" si="38">S61+S65+S83+S79+S95+S99</f>
        <v>2048.7400000000002</v>
      </c>
      <c r="T100" s="108">
        <f t="shared" si="38"/>
        <v>2008.3400000000001</v>
      </c>
      <c r="U100" s="108">
        <f t="shared" si="38"/>
        <v>1995.64</v>
      </c>
      <c r="V100" s="108">
        <f t="shared" si="38"/>
        <v>1995.7400000000002</v>
      </c>
      <c r="W100" s="108">
        <f t="shared" si="38"/>
        <v>2000.6399999999999</v>
      </c>
      <c r="X100" s="108">
        <f t="shared" si="38"/>
        <v>1949.6399999999999</v>
      </c>
      <c r="Y100" s="108">
        <f t="shared" si="38"/>
        <v>1810.9400000000003</v>
      </c>
      <c r="Z100" s="108">
        <f t="shared" si="38"/>
        <v>1796.4400000000003</v>
      </c>
      <c r="AA100" s="108">
        <f t="shared" si="38"/>
        <v>1876.94</v>
      </c>
      <c r="AB100" s="108">
        <f t="shared" si="37"/>
        <v>1908.4400000000005</v>
      </c>
      <c r="AC100" s="108">
        <f t="shared" si="37"/>
        <v>1928.94</v>
      </c>
      <c r="AD100" s="108">
        <f t="shared" si="37"/>
        <v>1922.74</v>
      </c>
      <c r="AE100" s="108">
        <f t="shared" si="37"/>
        <v>1873.8400000000001</v>
      </c>
      <c r="AF100" s="108">
        <f t="shared" si="37"/>
        <v>1865.44</v>
      </c>
      <c r="AG100" s="72">
        <f t="shared" si="37"/>
        <v>2655.44</v>
      </c>
      <c r="AH100" s="48">
        <f t="shared" si="29"/>
        <v>2048.7400000000002</v>
      </c>
      <c r="AI100" s="49">
        <f t="shared" si="30"/>
        <v>1748.04</v>
      </c>
      <c r="BF100" s="81"/>
      <c r="BG100" s="82">
        <v>20.7</v>
      </c>
      <c r="BH100" s="82">
        <v>0</v>
      </c>
      <c r="BI100" s="82">
        <v>-166.1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150</v>
      </c>
      <c r="C101" s="110">
        <v>150</v>
      </c>
      <c r="D101" s="110">
        <v>150</v>
      </c>
      <c r="E101" s="110">
        <v>150</v>
      </c>
      <c r="F101" s="110">
        <v>150</v>
      </c>
      <c r="G101" s="110">
        <v>100</v>
      </c>
      <c r="H101" s="110">
        <v>100</v>
      </c>
      <c r="I101" s="110">
        <v>100</v>
      </c>
      <c r="J101" s="110">
        <v>100</v>
      </c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>
        <v>150</v>
      </c>
      <c r="AB101" s="110">
        <v>125</v>
      </c>
      <c r="AC101" s="110">
        <v>125</v>
      </c>
      <c r="AD101" s="110">
        <v>125</v>
      </c>
      <c r="AE101" s="110">
        <v>100</v>
      </c>
      <c r="AF101" s="110">
        <v>100</v>
      </c>
      <c r="AG101" s="101"/>
      <c r="AH101" s="48">
        <f t="shared" si="29"/>
        <v>150</v>
      </c>
      <c r="AI101" s="49">
        <f t="shared" si="30"/>
        <v>100</v>
      </c>
      <c r="BF101" s="81"/>
      <c r="BG101" s="82">
        <v>2.9</v>
      </c>
      <c r="BH101" s="82">
        <v>0</v>
      </c>
      <c r="BI101" s="82">
        <v>-197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1943.04</v>
      </c>
      <c r="C102" s="108">
        <f>C100+C101</f>
        <v>1943.04</v>
      </c>
      <c r="D102" s="108">
        <f>D100+D101</f>
        <v>1942.04</v>
      </c>
      <c r="E102" s="108">
        <f t="shared" ref="E102:AF102" si="39">E100+E101</f>
        <v>1898.04</v>
      </c>
      <c r="F102" s="108">
        <f t="shared" si="39"/>
        <v>1931.5400000000002</v>
      </c>
      <c r="G102" s="108">
        <f t="shared" si="39"/>
        <v>1876.94</v>
      </c>
      <c r="H102" s="108">
        <f t="shared" si="39"/>
        <v>1861.34</v>
      </c>
      <c r="I102" s="108">
        <f t="shared" si="39"/>
        <v>1886.34</v>
      </c>
      <c r="J102" s="108">
        <f t="shared" si="39"/>
        <v>1989.54</v>
      </c>
      <c r="K102" s="108">
        <f t="shared" si="39"/>
        <v>1889.54</v>
      </c>
      <c r="L102" s="108">
        <f t="shared" si="39"/>
        <v>1889.54</v>
      </c>
      <c r="M102" s="108">
        <f t="shared" si="39"/>
        <v>1946.44</v>
      </c>
      <c r="N102" s="108">
        <f t="shared" si="39"/>
        <v>1950.54</v>
      </c>
      <c r="O102" s="108">
        <f t="shared" si="39"/>
        <v>1987.84</v>
      </c>
      <c r="P102" s="108">
        <f t="shared" si="39"/>
        <v>1978.54</v>
      </c>
      <c r="Q102" s="108">
        <f t="shared" si="39"/>
        <v>1994.0400000000002</v>
      </c>
      <c r="R102" s="108">
        <f t="shared" si="39"/>
        <v>2011.8400000000001</v>
      </c>
      <c r="S102" s="108">
        <f t="shared" ref="S102:AA102" si="40">S100+S101</f>
        <v>2048.7400000000002</v>
      </c>
      <c r="T102" s="108">
        <f t="shared" si="40"/>
        <v>2008.3400000000001</v>
      </c>
      <c r="U102" s="108">
        <f t="shared" si="40"/>
        <v>1995.64</v>
      </c>
      <c r="V102" s="108">
        <f t="shared" si="40"/>
        <v>1995.7400000000002</v>
      </c>
      <c r="W102" s="108">
        <f t="shared" si="40"/>
        <v>2000.6399999999999</v>
      </c>
      <c r="X102" s="108">
        <f t="shared" si="40"/>
        <v>1949.6399999999999</v>
      </c>
      <c r="Y102" s="108">
        <f t="shared" si="40"/>
        <v>1810.9400000000003</v>
      </c>
      <c r="Z102" s="108">
        <f t="shared" si="40"/>
        <v>1796.4400000000003</v>
      </c>
      <c r="AA102" s="108">
        <f t="shared" si="40"/>
        <v>2026.94</v>
      </c>
      <c r="AB102" s="108">
        <f t="shared" si="39"/>
        <v>2033.4400000000005</v>
      </c>
      <c r="AC102" s="108">
        <f t="shared" si="39"/>
        <v>2053.94</v>
      </c>
      <c r="AD102" s="108">
        <f t="shared" si="39"/>
        <v>2047.74</v>
      </c>
      <c r="AE102" s="108">
        <f t="shared" si="39"/>
        <v>1973.8400000000001</v>
      </c>
      <c r="AF102" s="108">
        <f t="shared" si="39"/>
        <v>1965.44</v>
      </c>
      <c r="AG102" s="101">
        <f>AG99+AG95+AG83+AG79+AG61+AG101</f>
        <v>2117.34</v>
      </c>
      <c r="AH102" s="48">
        <f t="shared" si="29"/>
        <v>2053.94</v>
      </c>
      <c r="AI102" s="49">
        <f t="shared" si="30"/>
        <v>1796.4400000000003</v>
      </c>
      <c r="BF102" s="81"/>
      <c r="BG102" s="82">
        <v>26.8</v>
      </c>
      <c r="BH102" s="82">
        <v>0</v>
      </c>
      <c r="BI102" s="82">
        <v>-172.1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1692.04</v>
      </c>
      <c r="C103" s="108">
        <f>C102-(C110)</f>
        <v>1703.04</v>
      </c>
      <c r="D103" s="108">
        <f>D102-(D110)</f>
        <v>1656.04</v>
      </c>
      <c r="E103" s="108">
        <f t="shared" ref="E103:AF103" si="41">E102-(E110)</f>
        <v>1580.04</v>
      </c>
      <c r="F103" s="108">
        <f t="shared" si="41"/>
        <v>1571.5400000000002</v>
      </c>
      <c r="G103" s="108">
        <f t="shared" si="41"/>
        <v>1456.94</v>
      </c>
      <c r="H103" s="108">
        <f t="shared" si="41"/>
        <v>1451.34</v>
      </c>
      <c r="I103" s="108">
        <f t="shared" si="41"/>
        <v>1536.34</v>
      </c>
      <c r="J103" s="108">
        <f t="shared" si="41"/>
        <v>1599.54</v>
      </c>
      <c r="K103" s="108">
        <f t="shared" si="41"/>
        <v>1499.54</v>
      </c>
      <c r="L103" s="108">
        <f t="shared" si="41"/>
        <v>1499.54</v>
      </c>
      <c r="M103" s="108">
        <f t="shared" si="41"/>
        <v>1586.44</v>
      </c>
      <c r="N103" s="108">
        <f t="shared" si="41"/>
        <v>1610.54</v>
      </c>
      <c r="O103" s="108">
        <f t="shared" si="41"/>
        <v>1647.84</v>
      </c>
      <c r="P103" s="108">
        <f t="shared" si="41"/>
        <v>1653.54</v>
      </c>
      <c r="Q103" s="108">
        <f t="shared" si="41"/>
        <v>1654.0400000000002</v>
      </c>
      <c r="R103" s="108">
        <f t="shared" si="41"/>
        <v>1667.8400000000001</v>
      </c>
      <c r="S103" s="108">
        <f t="shared" ref="S103:AA103" si="42">S102-(S110)</f>
        <v>1832.4400000000003</v>
      </c>
      <c r="T103" s="108">
        <f t="shared" si="42"/>
        <v>1693.5400000000002</v>
      </c>
      <c r="U103" s="108">
        <f t="shared" si="42"/>
        <v>1698.54</v>
      </c>
      <c r="V103" s="108">
        <f t="shared" si="42"/>
        <v>1729.0400000000002</v>
      </c>
      <c r="W103" s="108">
        <f t="shared" si="42"/>
        <v>1673.9399999999998</v>
      </c>
      <c r="X103" s="108">
        <f t="shared" si="42"/>
        <v>1556.54</v>
      </c>
      <c r="Y103" s="108">
        <f t="shared" si="42"/>
        <v>1448.1400000000003</v>
      </c>
      <c r="Z103" s="108">
        <f t="shared" si="42"/>
        <v>1630.3400000000004</v>
      </c>
      <c r="AA103" s="108">
        <f t="shared" si="42"/>
        <v>1849.54</v>
      </c>
      <c r="AB103" s="108">
        <f t="shared" si="41"/>
        <v>1836.4400000000005</v>
      </c>
      <c r="AC103" s="108">
        <f t="shared" si="41"/>
        <v>1848.8400000000001</v>
      </c>
      <c r="AD103" s="108">
        <f t="shared" si="41"/>
        <v>1875.64</v>
      </c>
      <c r="AE103" s="108">
        <f t="shared" si="41"/>
        <v>1769.7400000000002</v>
      </c>
      <c r="AF103" s="108">
        <f t="shared" si="41"/>
        <v>1720.44</v>
      </c>
      <c r="AG103" s="101"/>
      <c r="AH103" s="48">
        <f t="shared" si="29"/>
        <v>1875.64</v>
      </c>
      <c r="AI103" s="49">
        <f t="shared" si="30"/>
        <v>1448.1400000000003</v>
      </c>
      <c r="BF103" s="81"/>
      <c r="BG103" s="82">
        <v>28.4</v>
      </c>
      <c r="BH103" s="82">
        <v>0</v>
      </c>
      <c r="BI103" s="82">
        <v>-204.1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D109" si="43">IF(B84&lt;0,B84*-1,0)</f>
        <v>0</v>
      </c>
      <c r="C104" s="89">
        <f t="shared" si="43"/>
        <v>0</v>
      </c>
      <c r="D104" s="89">
        <f t="shared" si="43"/>
        <v>0</v>
      </c>
      <c r="E104" s="89">
        <f t="shared" ref="E104:AF109" si="44">IF(E84&lt;0,E84*-1,0)</f>
        <v>0</v>
      </c>
      <c r="F104" s="89">
        <f t="shared" si="44"/>
        <v>0</v>
      </c>
      <c r="G104" s="89">
        <f t="shared" si="44"/>
        <v>0</v>
      </c>
      <c r="H104" s="89">
        <f t="shared" si="44"/>
        <v>0</v>
      </c>
      <c r="I104" s="89">
        <f t="shared" si="44"/>
        <v>0</v>
      </c>
      <c r="J104" s="89">
        <f t="shared" si="44"/>
        <v>0</v>
      </c>
      <c r="K104" s="89">
        <f t="shared" si="44"/>
        <v>0</v>
      </c>
      <c r="L104" s="89">
        <f t="shared" si="44"/>
        <v>0</v>
      </c>
      <c r="M104" s="89">
        <f t="shared" si="44"/>
        <v>0</v>
      </c>
      <c r="N104" s="89">
        <f t="shared" si="44"/>
        <v>0</v>
      </c>
      <c r="O104" s="89">
        <f t="shared" si="44"/>
        <v>0</v>
      </c>
      <c r="P104" s="89">
        <f t="shared" si="44"/>
        <v>0</v>
      </c>
      <c r="Q104" s="89">
        <f t="shared" si="44"/>
        <v>0</v>
      </c>
      <c r="R104" s="89">
        <f t="shared" si="44"/>
        <v>0</v>
      </c>
      <c r="S104" s="89">
        <f t="shared" ref="S104:AA104" si="45">IF(S84&lt;0,S84*-1,0)</f>
        <v>0</v>
      </c>
      <c r="T104" s="89">
        <f t="shared" si="45"/>
        <v>0</v>
      </c>
      <c r="U104" s="89">
        <f t="shared" si="45"/>
        <v>0</v>
      </c>
      <c r="V104" s="89">
        <f t="shared" si="45"/>
        <v>0</v>
      </c>
      <c r="W104" s="89">
        <f t="shared" si="45"/>
        <v>0</v>
      </c>
      <c r="X104" s="89">
        <f t="shared" si="45"/>
        <v>0</v>
      </c>
      <c r="Y104" s="89">
        <f t="shared" si="45"/>
        <v>0</v>
      </c>
      <c r="Z104" s="89">
        <f t="shared" si="45"/>
        <v>0</v>
      </c>
      <c r="AA104" s="89">
        <f t="shared" si="45"/>
        <v>0</v>
      </c>
      <c r="AB104" s="89">
        <f t="shared" si="44"/>
        <v>0</v>
      </c>
      <c r="AC104" s="89">
        <f t="shared" si="44"/>
        <v>0</v>
      </c>
      <c r="AD104" s="89">
        <f t="shared" si="44"/>
        <v>0</v>
      </c>
      <c r="AE104" s="89">
        <f t="shared" si="44"/>
        <v>0</v>
      </c>
      <c r="AF104" s="89">
        <f t="shared" si="44"/>
        <v>0</v>
      </c>
      <c r="AG104" s="61"/>
      <c r="AH104" s="48">
        <f t="shared" si="29"/>
        <v>0</v>
      </c>
      <c r="AI104" s="49">
        <f t="shared" si="30"/>
        <v>0</v>
      </c>
      <c r="BG104" s="82">
        <v>20</v>
      </c>
      <c r="BH104" s="82">
        <v>0</v>
      </c>
      <c r="BI104" s="82">
        <v>-245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3"/>
        <v>0</v>
      </c>
      <c r="C105" s="89">
        <f t="shared" si="43"/>
        <v>0</v>
      </c>
      <c r="D105" s="89">
        <f t="shared" si="43"/>
        <v>0</v>
      </c>
      <c r="E105" s="89">
        <f t="shared" ref="E105:Q105" si="46">IF(E85&lt;0,E85*-1,0)</f>
        <v>0</v>
      </c>
      <c r="F105" s="89">
        <f t="shared" si="46"/>
        <v>0</v>
      </c>
      <c r="G105" s="89">
        <f t="shared" si="46"/>
        <v>0</v>
      </c>
      <c r="H105" s="89">
        <f t="shared" si="46"/>
        <v>0</v>
      </c>
      <c r="I105" s="89">
        <f t="shared" si="46"/>
        <v>0</v>
      </c>
      <c r="J105" s="89">
        <f t="shared" si="46"/>
        <v>0</v>
      </c>
      <c r="K105" s="89">
        <f t="shared" si="46"/>
        <v>0</v>
      </c>
      <c r="L105" s="89">
        <f t="shared" si="46"/>
        <v>0</v>
      </c>
      <c r="M105" s="89">
        <f t="shared" si="46"/>
        <v>0</v>
      </c>
      <c r="N105" s="89">
        <f t="shared" si="46"/>
        <v>0</v>
      </c>
      <c r="O105" s="89">
        <f t="shared" si="46"/>
        <v>0</v>
      </c>
      <c r="P105" s="89">
        <f t="shared" si="46"/>
        <v>0</v>
      </c>
      <c r="Q105" s="89">
        <f t="shared" si="46"/>
        <v>0</v>
      </c>
      <c r="R105" s="89">
        <f t="shared" si="44"/>
        <v>0</v>
      </c>
      <c r="S105" s="89">
        <f t="shared" si="44"/>
        <v>0</v>
      </c>
      <c r="T105" s="89">
        <f t="shared" si="44"/>
        <v>0</v>
      </c>
      <c r="U105" s="89">
        <f t="shared" si="44"/>
        <v>0</v>
      </c>
      <c r="V105" s="89">
        <f t="shared" si="44"/>
        <v>0</v>
      </c>
      <c r="W105" s="89">
        <f t="shared" si="44"/>
        <v>0</v>
      </c>
      <c r="X105" s="89">
        <f t="shared" si="44"/>
        <v>0</v>
      </c>
      <c r="Y105" s="89">
        <f t="shared" si="44"/>
        <v>0</v>
      </c>
      <c r="Z105" s="89">
        <f t="shared" si="44"/>
        <v>0</v>
      </c>
      <c r="AA105" s="89">
        <f t="shared" si="44"/>
        <v>0</v>
      </c>
      <c r="AB105" s="89">
        <f t="shared" si="44"/>
        <v>0</v>
      </c>
      <c r="AC105" s="89">
        <f t="shared" si="44"/>
        <v>0</v>
      </c>
      <c r="AD105" s="89">
        <f t="shared" si="44"/>
        <v>0</v>
      </c>
      <c r="AE105" s="89">
        <f t="shared" si="44"/>
        <v>0</v>
      </c>
      <c r="AF105" s="89">
        <f t="shared" si="44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28</v>
      </c>
      <c r="BH105" s="82">
        <v>0</v>
      </c>
      <c r="BI105" s="82">
        <v>-251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3"/>
        <v>251</v>
      </c>
      <c r="C106" s="89">
        <f t="shared" si="43"/>
        <v>240</v>
      </c>
      <c r="D106" s="89">
        <f t="shared" si="43"/>
        <v>286</v>
      </c>
      <c r="E106" s="89">
        <f t="shared" si="44"/>
        <v>318</v>
      </c>
      <c r="F106" s="89">
        <f t="shared" si="44"/>
        <v>360</v>
      </c>
      <c r="G106" s="89">
        <f t="shared" si="44"/>
        <v>420</v>
      </c>
      <c r="H106" s="89">
        <f t="shared" si="44"/>
        <v>410</v>
      </c>
      <c r="I106" s="89">
        <f t="shared" si="44"/>
        <v>350</v>
      </c>
      <c r="J106" s="89">
        <f t="shared" si="44"/>
        <v>390</v>
      </c>
      <c r="K106" s="89">
        <f t="shared" si="44"/>
        <v>390</v>
      </c>
      <c r="L106" s="89">
        <f t="shared" si="44"/>
        <v>390</v>
      </c>
      <c r="M106" s="89">
        <f t="shared" si="44"/>
        <v>360</v>
      </c>
      <c r="N106" s="89">
        <f t="shared" si="44"/>
        <v>340</v>
      </c>
      <c r="O106" s="89">
        <f t="shared" si="44"/>
        <v>340</v>
      </c>
      <c r="P106" s="89">
        <f t="shared" si="44"/>
        <v>325</v>
      </c>
      <c r="Q106" s="89">
        <f t="shared" si="44"/>
        <v>340</v>
      </c>
      <c r="R106" s="89">
        <f t="shared" si="44"/>
        <v>344</v>
      </c>
      <c r="S106" s="89">
        <f t="shared" si="44"/>
        <v>216.3</v>
      </c>
      <c r="T106" s="89">
        <f t="shared" si="44"/>
        <v>314.8</v>
      </c>
      <c r="U106" s="89">
        <f t="shared" si="44"/>
        <v>297.10000000000002</v>
      </c>
      <c r="V106" s="89">
        <f t="shared" si="44"/>
        <v>266.7</v>
      </c>
      <c r="W106" s="89">
        <f t="shared" si="44"/>
        <v>326.7</v>
      </c>
      <c r="X106" s="89">
        <f t="shared" si="44"/>
        <v>393.1</v>
      </c>
      <c r="Y106" s="89">
        <f t="shared" si="44"/>
        <v>362.8</v>
      </c>
      <c r="Z106" s="89">
        <f t="shared" si="44"/>
        <v>166.1</v>
      </c>
      <c r="AA106" s="89">
        <f t="shared" si="44"/>
        <v>177.4</v>
      </c>
      <c r="AB106" s="89">
        <f t="shared" si="44"/>
        <v>197</v>
      </c>
      <c r="AC106" s="89">
        <f t="shared" si="44"/>
        <v>205.1</v>
      </c>
      <c r="AD106" s="89">
        <f t="shared" si="44"/>
        <v>172.1</v>
      </c>
      <c r="AE106" s="89">
        <f t="shared" si="44"/>
        <v>204.1</v>
      </c>
      <c r="AF106" s="89">
        <f t="shared" si="44"/>
        <v>245</v>
      </c>
      <c r="AG106" s="111"/>
      <c r="AH106" s="48">
        <f t="shared" si="29"/>
        <v>420</v>
      </c>
      <c r="AI106" s="49">
        <f t="shared" si="30"/>
        <v>166.1</v>
      </c>
    </row>
    <row r="107" spans="1:64" x14ac:dyDescent="0.25">
      <c r="A107" s="97" t="s">
        <v>107</v>
      </c>
      <c r="B107" s="89">
        <f t="shared" si="43"/>
        <v>0</v>
      </c>
      <c r="C107" s="89">
        <f t="shared" si="43"/>
        <v>0</v>
      </c>
      <c r="D107" s="89">
        <f t="shared" si="43"/>
        <v>0</v>
      </c>
      <c r="E107" s="89">
        <f t="shared" si="44"/>
        <v>0</v>
      </c>
      <c r="F107" s="89">
        <f t="shared" si="44"/>
        <v>0</v>
      </c>
      <c r="G107" s="89">
        <f t="shared" si="44"/>
        <v>0</v>
      </c>
      <c r="H107" s="89">
        <f t="shared" si="44"/>
        <v>0</v>
      </c>
      <c r="I107" s="89">
        <f t="shared" si="44"/>
        <v>0</v>
      </c>
      <c r="J107" s="89">
        <f t="shared" si="44"/>
        <v>0</v>
      </c>
      <c r="K107" s="89">
        <f t="shared" si="44"/>
        <v>0</v>
      </c>
      <c r="L107" s="89">
        <f t="shared" si="44"/>
        <v>0</v>
      </c>
      <c r="M107" s="89">
        <f t="shared" si="44"/>
        <v>0</v>
      </c>
      <c r="N107" s="89">
        <f t="shared" si="44"/>
        <v>0</v>
      </c>
      <c r="O107" s="89">
        <f t="shared" si="44"/>
        <v>0</v>
      </c>
      <c r="P107" s="89">
        <f t="shared" si="44"/>
        <v>0</v>
      </c>
      <c r="Q107" s="89">
        <f t="shared" si="44"/>
        <v>0</v>
      </c>
      <c r="R107" s="89">
        <f t="shared" si="44"/>
        <v>0</v>
      </c>
      <c r="S107" s="89">
        <f t="shared" si="44"/>
        <v>0</v>
      </c>
      <c r="T107" s="89">
        <f t="shared" si="44"/>
        <v>0</v>
      </c>
      <c r="U107" s="89">
        <f t="shared" si="44"/>
        <v>0</v>
      </c>
      <c r="V107" s="89">
        <f t="shared" si="44"/>
        <v>0</v>
      </c>
      <c r="W107" s="89">
        <f t="shared" si="44"/>
        <v>0</v>
      </c>
      <c r="X107" s="89">
        <f t="shared" si="44"/>
        <v>0</v>
      </c>
      <c r="Y107" s="89">
        <f t="shared" si="44"/>
        <v>0</v>
      </c>
      <c r="Z107" s="89">
        <f t="shared" si="44"/>
        <v>0</v>
      </c>
      <c r="AA107" s="89">
        <f t="shared" si="44"/>
        <v>0</v>
      </c>
      <c r="AB107" s="89">
        <f t="shared" si="44"/>
        <v>0</v>
      </c>
      <c r="AC107" s="89">
        <f t="shared" si="44"/>
        <v>0</v>
      </c>
      <c r="AD107" s="89">
        <f t="shared" si="44"/>
        <v>0</v>
      </c>
      <c r="AE107" s="89">
        <f t="shared" si="44"/>
        <v>0</v>
      </c>
      <c r="AF107" s="89">
        <f t="shared" si="44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43"/>
        <v>0</v>
      </c>
      <c r="C108" s="89">
        <f t="shared" si="43"/>
        <v>0</v>
      </c>
      <c r="D108" s="89">
        <f t="shared" si="43"/>
        <v>0</v>
      </c>
      <c r="E108" s="89">
        <f t="shared" si="44"/>
        <v>0</v>
      </c>
      <c r="F108" s="89">
        <f t="shared" si="44"/>
        <v>0</v>
      </c>
      <c r="G108" s="89">
        <f t="shared" si="44"/>
        <v>0</v>
      </c>
      <c r="H108" s="89">
        <f t="shared" si="44"/>
        <v>0</v>
      </c>
      <c r="I108" s="89">
        <f t="shared" si="44"/>
        <v>0</v>
      </c>
      <c r="J108" s="89">
        <f t="shared" si="44"/>
        <v>0</v>
      </c>
      <c r="K108" s="89">
        <f t="shared" si="44"/>
        <v>0</v>
      </c>
      <c r="L108" s="89">
        <f t="shared" si="44"/>
        <v>0</v>
      </c>
      <c r="M108" s="89">
        <f t="shared" si="44"/>
        <v>0</v>
      </c>
      <c r="N108" s="89">
        <f t="shared" si="44"/>
        <v>0</v>
      </c>
      <c r="O108" s="89">
        <f t="shared" si="44"/>
        <v>0</v>
      </c>
      <c r="P108" s="89">
        <f t="shared" si="44"/>
        <v>0</v>
      </c>
      <c r="Q108" s="89">
        <f t="shared" si="44"/>
        <v>0</v>
      </c>
      <c r="R108" s="89">
        <f t="shared" si="44"/>
        <v>0</v>
      </c>
      <c r="S108" s="89">
        <f t="shared" si="44"/>
        <v>0</v>
      </c>
      <c r="T108" s="89">
        <f t="shared" si="44"/>
        <v>0</v>
      </c>
      <c r="U108" s="89">
        <f t="shared" si="44"/>
        <v>0</v>
      </c>
      <c r="V108" s="89">
        <f t="shared" si="44"/>
        <v>0</v>
      </c>
      <c r="W108" s="89">
        <f t="shared" si="44"/>
        <v>0</v>
      </c>
      <c r="X108" s="89">
        <f t="shared" si="44"/>
        <v>0</v>
      </c>
      <c r="Y108" s="89">
        <f t="shared" si="44"/>
        <v>0</v>
      </c>
      <c r="Z108" s="89">
        <f t="shared" si="44"/>
        <v>0</v>
      </c>
      <c r="AA108" s="89">
        <f t="shared" si="44"/>
        <v>0</v>
      </c>
      <c r="AB108" s="89">
        <f t="shared" si="44"/>
        <v>0</v>
      </c>
      <c r="AC108" s="89">
        <f t="shared" si="44"/>
        <v>0</v>
      </c>
      <c r="AD108" s="89">
        <f t="shared" si="44"/>
        <v>0</v>
      </c>
      <c r="AE108" s="89">
        <f t="shared" si="44"/>
        <v>0</v>
      </c>
      <c r="AF108" s="89">
        <f t="shared" si="44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43"/>
        <v>0</v>
      </c>
      <c r="C109" s="89">
        <f t="shared" si="43"/>
        <v>0</v>
      </c>
      <c r="D109" s="89">
        <f t="shared" si="43"/>
        <v>0</v>
      </c>
      <c r="E109" s="89">
        <f t="shared" si="44"/>
        <v>0</v>
      </c>
      <c r="F109" s="89">
        <f t="shared" si="44"/>
        <v>0</v>
      </c>
      <c r="G109" s="89">
        <f t="shared" si="44"/>
        <v>0</v>
      </c>
      <c r="H109" s="89">
        <f t="shared" si="44"/>
        <v>0</v>
      </c>
      <c r="I109" s="89">
        <f t="shared" si="44"/>
        <v>0</v>
      </c>
      <c r="J109" s="89">
        <f t="shared" si="44"/>
        <v>0</v>
      </c>
      <c r="K109" s="89">
        <f t="shared" si="44"/>
        <v>0</v>
      </c>
      <c r="L109" s="89">
        <f t="shared" si="44"/>
        <v>0</v>
      </c>
      <c r="M109" s="89">
        <f t="shared" si="44"/>
        <v>0</v>
      </c>
      <c r="N109" s="89">
        <f t="shared" si="44"/>
        <v>0</v>
      </c>
      <c r="O109" s="89">
        <f t="shared" si="44"/>
        <v>0</v>
      </c>
      <c r="P109" s="89">
        <f t="shared" si="44"/>
        <v>0</v>
      </c>
      <c r="Q109" s="89">
        <f t="shared" si="44"/>
        <v>0</v>
      </c>
      <c r="R109" s="89">
        <f t="shared" si="44"/>
        <v>0</v>
      </c>
      <c r="S109" s="89">
        <f t="shared" si="44"/>
        <v>0</v>
      </c>
      <c r="T109" s="89">
        <f t="shared" si="44"/>
        <v>0</v>
      </c>
      <c r="U109" s="89">
        <f t="shared" si="44"/>
        <v>0</v>
      </c>
      <c r="V109" s="89">
        <f t="shared" si="44"/>
        <v>0</v>
      </c>
      <c r="W109" s="89">
        <f t="shared" si="44"/>
        <v>0</v>
      </c>
      <c r="X109" s="89">
        <f t="shared" si="44"/>
        <v>0</v>
      </c>
      <c r="Y109" s="89">
        <f t="shared" si="44"/>
        <v>0</v>
      </c>
      <c r="Z109" s="89">
        <f t="shared" si="44"/>
        <v>0</v>
      </c>
      <c r="AA109" s="89">
        <f t="shared" si="44"/>
        <v>0</v>
      </c>
      <c r="AB109" s="89">
        <f t="shared" si="44"/>
        <v>0</v>
      </c>
      <c r="AC109" s="89">
        <f t="shared" si="44"/>
        <v>0</v>
      </c>
      <c r="AD109" s="89">
        <f t="shared" si="44"/>
        <v>0</v>
      </c>
      <c r="AE109" s="89">
        <f t="shared" si="44"/>
        <v>0</v>
      </c>
      <c r="AF109" s="89">
        <f t="shared" si="44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251</v>
      </c>
      <c r="C110" s="71">
        <f>SUM(C104:C109)</f>
        <v>240</v>
      </c>
      <c r="D110" s="71">
        <f>SUM(D104:D109)</f>
        <v>286</v>
      </c>
      <c r="E110" s="71">
        <f t="shared" ref="E110:AF110" si="47">SUM(E104:E109)</f>
        <v>318</v>
      </c>
      <c r="F110" s="71">
        <f t="shared" si="47"/>
        <v>360</v>
      </c>
      <c r="G110" s="71">
        <f t="shared" si="47"/>
        <v>420</v>
      </c>
      <c r="H110" s="71">
        <f t="shared" si="47"/>
        <v>410</v>
      </c>
      <c r="I110" s="71">
        <f t="shared" si="47"/>
        <v>350</v>
      </c>
      <c r="J110" s="71">
        <f t="shared" si="47"/>
        <v>390</v>
      </c>
      <c r="K110" s="71">
        <f t="shared" si="47"/>
        <v>390</v>
      </c>
      <c r="L110" s="71">
        <f t="shared" si="47"/>
        <v>390</v>
      </c>
      <c r="M110" s="71">
        <f t="shared" si="47"/>
        <v>360</v>
      </c>
      <c r="N110" s="71">
        <f t="shared" si="47"/>
        <v>340</v>
      </c>
      <c r="O110" s="71">
        <f t="shared" si="47"/>
        <v>340</v>
      </c>
      <c r="P110" s="71">
        <f t="shared" si="47"/>
        <v>325</v>
      </c>
      <c r="Q110" s="71">
        <f t="shared" si="47"/>
        <v>340</v>
      </c>
      <c r="R110" s="71">
        <f t="shared" si="47"/>
        <v>344</v>
      </c>
      <c r="S110" s="71">
        <f t="shared" ref="S110:AA110" si="48">SUM(S104:S109)</f>
        <v>216.3</v>
      </c>
      <c r="T110" s="71">
        <f t="shared" si="48"/>
        <v>314.8</v>
      </c>
      <c r="U110" s="71">
        <f t="shared" si="48"/>
        <v>297.10000000000002</v>
      </c>
      <c r="V110" s="71">
        <f t="shared" si="48"/>
        <v>266.7</v>
      </c>
      <c r="W110" s="71">
        <f t="shared" si="48"/>
        <v>326.7</v>
      </c>
      <c r="X110" s="71">
        <f t="shared" si="48"/>
        <v>393.1</v>
      </c>
      <c r="Y110" s="71">
        <f t="shared" si="48"/>
        <v>362.8</v>
      </c>
      <c r="Z110" s="71">
        <f t="shared" si="48"/>
        <v>166.1</v>
      </c>
      <c r="AA110" s="71">
        <f t="shared" si="48"/>
        <v>177.4</v>
      </c>
      <c r="AB110" s="71">
        <f t="shared" si="47"/>
        <v>197</v>
      </c>
      <c r="AC110" s="71">
        <f t="shared" si="47"/>
        <v>205.1</v>
      </c>
      <c r="AD110" s="71">
        <f t="shared" si="47"/>
        <v>172.1</v>
      </c>
      <c r="AE110" s="71">
        <f t="shared" si="47"/>
        <v>204.1</v>
      </c>
      <c r="AF110" s="71">
        <f t="shared" si="47"/>
        <v>245</v>
      </c>
      <c r="AG110" s="101"/>
      <c r="AH110" s="48">
        <f t="shared" si="29"/>
        <v>420</v>
      </c>
      <c r="AI110" s="49">
        <f t="shared" si="30"/>
        <v>166.1</v>
      </c>
    </row>
    <row r="111" spans="1:64" ht="15.75" thickBot="1" x14ac:dyDescent="0.3">
      <c r="A111" s="87" t="s">
        <v>131</v>
      </c>
      <c r="B111" s="71">
        <f>B95-B110</f>
        <v>-223</v>
      </c>
      <c r="C111" s="71">
        <f>C95-C110</f>
        <v>-212</v>
      </c>
      <c r="D111" s="71">
        <f>D95-D110</f>
        <v>-259</v>
      </c>
      <c r="E111" s="71">
        <f t="shared" ref="E111:AF111" si="49">E95-E110</f>
        <v>-290</v>
      </c>
      <c r="F111" s="71">
        <f t="shared" si="49"/>
        <v>-339.1</v>
      </c>
      <c r="G111" s="71">
        <f t="shared" si="49"/>
        <v>-403.7</v>
      </c>
      <c r="H111" s="71">
        <f t="shared" si="49"/>
        <v>-396</v>
      </c>
      <c r="I111" s="71">
        <f t="shared" si="49"/>
        <v>-311</v>
      </c>
      <c r="J111" s="71">
        <f t="shared" si="49"/>
        <v>-249</v>
      </c>
      <c r="K111" s="71">
        <f t="shared" si="49"/>
        <v>-249</v>
      </c>
      <c r="L111" s="71">
        <f t="shared" si="49"/>
        <v>-249</v>
      </c>
      <c r="M111" s="71">
        <f t="shared" si="49"/>
        <v>-162.1</v>
      </c>
      <c r="N111" s="71">
        <f t="shared" si="49"/>
        <v>-138</v>
      </c>
      <c r="O111" s="71">
        <f t="shared" si="49"/>
        <v>-118.69999999999999</v>
      </c>
      <c r="P111" s="71">
        <f t="shared" si="49"/>
        <v>-113</v>
      </c>
      <c r="Q111" s="71">
        <f t="shared" si="49"/>
        <v>-120.80000000000001</v>
      </c>
      <c r="R111" s="71">
        <f t="shared" si="49"/>
        <v>-107</v>
      </c>
      <c r="S111" s="71">
        <f t="shared" ref="S111:AA111" si="50">S95-S110</f>
        <v>27.399999999999977</v>
      </c>
      <c r="T111" s="71">
        <f t="shared" si="50"/>
        <v>-89.700000000000017</v>
      </c>
      <c r="U111" s="71">
        <f t="shared" si="50"/>
        <v>-64.000000000000028</v>
      </c>
      <c r="V111" s="71">
        <f t="shared" si="50"/>
        <v>-32.5</v>
      </c>
      <c r="W111" s="71">
        <f t="shared" si="50"/>
        <v>-100.59999999999997</v>
      </c>
      <c r="X111" s="71">
        <f t="shared" si="50"/>
        <v>-216.50000000000003</v>
      </c>
      <c r="Y111" s="71">
        <f t="shared" si="50"/>
        <v>-307.89999999999998</v>
      </c>
      <c r="Z111" s="71">
        <f t="shared" si="50"/>
        <v>-145.4</v>
      </c>
      <c r="AA111" s="71">
        <f t="shared" si="50"/>
        <v>-161</v>
      </c>
      <c r="AB111" s="71">
        <f t="shared" si="49"/>
        <v>-194.1</v>
      </c>
      <c r="AC111" s="71">
        <f t="shared" si="49"/>
        <v>-183.6</v>
      </c>
      <c r="AD111" s="71">
        <f t="shared" si="49"/>
        <v>-145.29999999999998</v>
      </c>
      <c r="AE111" s="71">
        <f t="shared" si="49"/>
        <v>-175.7</v>
      </c>
      <c r="AF111" s="71">
        <f t="shared" si="49"/>
        <v>-225</v>
      </c>
      <c r="AG111" s="101"/>
      <c r="AH111" s="48">
        <f t="shared" si="29"/>
        <v>27.399999999999977</v>
      </c>
      <c r="AI111" s="49">
        <f t="shared" si="30"/>
        <v>-403.7</v>
      </c>
    </row>
    <row r="112" spans="1:64" x14ac:dyDescent="0.25">
      <c r="A112" s="113" t="s">
        <v>132</v>
      </c>
      <c r="B112" s="114">
        <v>50.02</v>
      </c>
      <c r="C112" s="114">
        <v>50.02</v>
      </c>
      <c r="D112" s="114">
        <v>50.026000000000003</v>
      </c>
      <c r="E112" s="114">
        <v>49.993000000000002</v>
      </c>
      <c r="F112" s="114">
        <v>49.929000000000002</v>
      </c>
      <c r="G112" s="114"/>
      <c r="H112" s="114"/>
      <c r="I112" s="114">
        <v>49.938000000000002</v>
      </c>
      <c r="J112" s="114"/>
      <c r="K112" s="114"/>
      <c r="L112" s="114"/>
      <c r="M112" s="114">
        <v>50.05</v>
      </c>
      <c r="N112" s="114">
        <v>50.000999999999998</v>
      </c>
      <c r="O112" s="114">
        <v>49.99</v>
      </c>
      <c r="P112" s="114">
        <v>50.003999999999998</v>
      </c>
      <c r="Q112" s="114">
        <v>49.881999999999998</v>
      </c>
      <c r="R112" s="114">
        <v>49.822000000000003</v>
      </c>
      <c r="S112" s="114">
        <v>49.88</v>
      </c>
      <c r="T112" s="114">
        <v>49.97</v>
      </c>
      <c r="U112" s="114">
        <v>49.99</v>
      </c>
      <c r="V112" s="114">
        <v>50.04</v>
      </c>
      <c r="W112" s="114">
        <v>50</v>
      </c>
      <c r="X112" s="114">
        <v>50.04</v>
      </c>
      <c r="Y112" s="114">
        <v>50.08</v>
      </c>
      <c r="Z112" s="114">
        <v>50.03</v>
      </c>
      <c r="AA112" s="114">
        <v>50.01</v>
      </c>
      <c r="AB112" s="114">
        <v>50.085999999999999</v>
      </c>
      <c r="AC112" s="114">
        <v>50.033999999999999</v>
      </c>
      <c r="AD112" s="114">
        <v>49.996000000000002</v>
      </c>
      <c r="AE112" s="114">
        <v>49.991</v>
      </c>
      <c r="AF112" s="114">
        <v>49.86</v>
      </c>
      <c r="AG112" s="115"/>
      <c r="AH112" s="48">
        <f t="shared" si="29"/>
        <v>50.085999999999999</v>
      </c>
      <c r="AI112" s="49">
        <f t="shared" si="30"/>
        <v>49.822000000000003</v>
      </c>
    </row>
    <row r="113" spans="1:35" x14ac:dyDescent="0.25">
      <c r="A113" s="116" t="s">
        <v>133</v>
      </c>
      <c r="B113" s="76">
        <v>121</v>
      </c>
      <c r="C113" s="76">
        <v>121</v>
      </c>
      <c r="D113" s="76">
        <v>121</v>
      </c>
      <c r="E113" s="76">
        <v>121.1</v>
      </c>
      <c r="F113" s="76">
        <v>120.7</v>
      </c>
      <c r="G113" s="76"/>
      <c r="H113" s="76"/>
      <c r="I113" s="76">
        <v>122.4</v>
      </c>
      <c r="J113" s="76"/>
      <c r="K113" s="76"/>
      <c r="L113" s="76"/>
      <c r="M113" s="76">
        <v>124.5</v>
      </c>
      <c r="N113" s="76">
        <v>124.4</v>
      </c>
      <c r="O113" s="76">
        <v>124.5</v>
      </c>
      <c r="P113" s="76">
        <v>125.1</v>
      </c>
      <c r="Q113" s="76">
        <v>125.3</v>
      </c>
      <c r="R113" s="76">
        <v>125.6</v>
      </c>
      <c r="S113" s="76">
        <v>126.4</v>
      </c>
      <c r="T113" s="76">
        <v>127.6</v>
      </c>
      <c r="U113" s="76">
        <v>126.3</v>
      </c>
      <c r="V113" s="76">
        <v>126.1</v>
      </c>
      <c r="W113" s="76">
        <v>127</v>
      </c>
      <c r="X113" s="76">
        <v>126.5</v>
      </c>
      <c r="Y113" s="76">
        <v>126.5</v>
      </c>
      <c r="Z113" s="76">
        <v>123</v>
      </c>
      <c r="AA113" s="76">
        <v>123</v>
      </c>
      <c r="AB113" s="76">
        <v>123.2</v>
      </c>
      <c r="AC113" s="76">
        <v>123.2</v>
      </c>
      <c r="AD113" s="76">
        <v>123.2</v>
      </c>
      <c r="AE113" s="76">
        <v>122.2</v>
      </c>
      <c r="AF113" s="76">
        <v>121</v>
      </c>
      <c r="AG113" s="117"/>
      <c r="AH113" s="48">
        <f t="shared" si="29"/>
        <v>127.6</v>
      </c>
      <c r="AI113" s="49">
        <f t="shared" si="30"/>
        <v>120.7</v>
      </c>
    </row>
    <row r="114" spans="1:35" x14ac:dyDescent="0.25">
      <c r="A114" s="116" t="s">
        <v>134</v>
      </c>
      <c r="B114" s="76">
        <v>126.6</v>
      </c>
      <c r="C114" s="76">
        <v>126.6</v>
      </c>
      <c r="D114" s="76">
        <v>126.6</v>
      </c>
      <c r="E114" s="76">
        <v>126.1</v>
      </c>
      <c r="F114" s="76">
        <v>125.9</v>
      </c>
      <c r="G114" s="76"/>
      <c r="H114" s="76"/>
      <c r="I114" s="76">
        <v>127.2</v>
      </c>
      <c r="J114" s="76"/>
      <c r="K114" s="76"/>
      <c r="L114" s="76"/>
      <c r="M114" s="76">
        <v>126.5</v>
      </c>
      <c r="N114" s="76">
        <v>126.7</v>
      </c>
      <c r="O114" s="76">
        <v>127.1</v>
      </c>
      <c r="P114" s="76">
        <v>127.8</v>
      </c>
      <c r="Q114" s="76">
        <v>128.19999999999999</v>
      </c>
      <c r="R114" s="76">
        <v>128.5</v>
      </c>
      <c r="S114" s="76">
        <v>129.1</v>
      </c>
      <c r="T114" s="76">
        <v>129.9</v>
      </c>
      <c r="U114" s="76">
        <v>129</v>
      </c>
      <c r="V114" s="76">
        <v>128.19999999999999</v>
      </c>
      <c r="W114" s="76">
        <v>129</v>
      </c>
      <c r="X114" s="76">
        <v>128.80000000000001</v>
      </c>
      <c r="Y114" s="76">
        <v>128.80000000000001</v>
      </c>
      <c r="Z114" s="76">
        <v>126.1</v>
      </c>
      <c r="AA114" s="76">
        <v>125.8</v>
      </c>
      <c r="AB114" s="76">
        <v>127</v>
      </c>
      <c r="AC114" s="76">
        <v>126.6</v>
      </c>
      <c r="AD114" s="76">
        <v>127.2</v>
      </c>
      <c r="AE114" s="76">
        <v>127.1</v>
      </c>
      <c r="AF114" s="76">
        <v>126.9</v>
      </c>
      <c r="AG114" s="117"/>
      <c r="AH114" s="48">
        <f t="shared" si="29"/>
        <v>129.9</v>
      </c>
      <c r="AI114" s="49">
        <f t="shared" si="30"/>
        <v>125.8</v>
      </c>
    </row>
    <row r="115" spans="1:35" x14ac:dyDescent="0.25">
      <c r="A115" s="116" t="s">
        <v>135</v>
      </c>
      <c r="B115" s="76">
        <v>131</v>
      </c>
      <c r="C115" s="76">
        <v>131</v>
      </c>
      <c r="D115" s="76">
        <v>131</v>
      </c>
      <c r="E115" s="76">
        <v>130.6</v>
      </c>
      <c r="F115" s="76">
        <v>129.69999999999999</v>
      </c>
      <c r="G115" s="76"/>
      <c r="H115" s="76"/>
      <c r="I115" s="76">
        <v>129.69999999999999</v>
      </c>
      <c r="J115" s="76"/>
      <c r="K115" s="76"/>
      <c r="L115" s="76"/>
      <c r="M115" s="76">
        <v>128.1</v>
      </c>
      <c r="N115" s="76">
        <v>129.9</v>
      </c>
      <c r="O115" s="76">
        <v>128.6</v>
      </c>
      <c r="P115" s="76">
        <v>128.19999999999999</v>
      </c>
      <c r="Q115" s="76">
        <v>128.36000000000001</v>
      </c>
      <c r="R115" s="76">
        <v>126.3</v>
      </c>
      <c r="S115" s="76">
        <v>126</v>
      </c>
      <c r="T115" s="76">
        <v>130.30000000000001</v>
      </c>
      <c r="U115" s="76">
        <v>129.19999999999999</v>
      </c>
      <c r="V115" s="76">
        <v>130.1</v>
      </c>
      <c r="W115" s="76">
        <v>130</v>
      </c>
      <c r="X115" s="76">
        <v>132</v>
      </c>
      <c r="Y115" s="76">
        <v>132</v>
      </c>
      <c r="Z115" s="76">
        <v>131.1</v>
      </c>
      <c r="AA115" s="76">
        <v>131.80000000000001</v>
      </c>
      <c r="AB115" s="76">
        <v>132.30000000000001</v>
      </c>
      <c r="AC115" s="76">
        <v>132.1</v>
      </c>
      <c r="AD115" s="76">
        <v>129.9</v>
      </c>
      <c r="AE115" s="76">
        <v>130.80000000000001</v>
      </c>
      <c r="AF115" s="76">
        <v>131.19999999999999</v>
      </c>
      <c r="AG115" s="117"/>
      <c r="AH115" s="48">
        <f t="shared" si="29"/>
        <v>132.30000000000001</v>
      </c>
      <c r="AI115" s="49">
        <f t="shared" si="30"/>
        <v>126</v>
      </c>
    </row>
    <row r="116" spans="1:35" x14ac:dyDescent="0.25">
      <c r="A116" s="118" t="s">
        <v>136</v>
      </c>
      <c r="B116" s="76">
        <v>133</v>
      </c>
      <c r="C116" s="76">
        <v>133</v>
      </c>
      <c r="D116" s="76">
        <v>133</v>
      </c>
      <c r="E116" s="76">
        <v>130.69999999999999</v>
      </c>
      <c r="F116" s="76">
        <v>130.9</v>
      </c>
      <c r="G116" s="76"/>
      <c r="H116" s="76"/>
      <c r="I116" s="76">
        <v>130</v>
      </c>
      <c r="J116" s="76"/>
      <c r="K116" s="76"/>
      <c r="L116" s="76"/>
      <c r="M116" s="76">
        <v>129.1</v>
      </c>
      <c r="N116" s="76">
        <v>131.4</v>
      </c>
      <c r="O116" s="76">
        <v>130</v>
      </c>
      <c r="P116" s="76">
        <v>130.6</v>
      </c>
      <c r="Q116" s="76">
        <v>132</v>
      </c>
      <c r="R116" s="76">
        <v>127.2</v>
      </c>
      <c r="S116" s="76">
        <v>125.4</v>
      </c>
      <c r="T116" s="76">
        <v>133.1</v>
      </c>
      <c r="U116" s="76">
        <v>129.69999999999999</v>
      </c>
      <c r="V116" s="76">
        <v>131.9</v>
      </c>
      <c r="W116" s="76">
        <v>132.19999999999999</v>
      </c>
      <c r="X116" s="76">
        <v>132.80000000000001</v>
      </c>
      <c r="Y116" s="76">
        <v>132.80000000000001</v>
      </c>
      <c r="Z116" s="76">
        <v>133.19999999999999</v>
      </c>
      <c r="AA116" s="76">
        <v>134.19999999999999</v>
      </c>
      <c r="AB116" s="76">
        <v>134.5</v>
      </c>
      <c r="AC116" s="76">
        <v>134.19999999999999</v>
      </c>
      <c r="AD116" s="76">
        <v>130</v>
      </c>
      <c r="AE116" s="76">
        <v>130.80000000000001</v>
      </c>
      <c r="AF116" s="76">
        <v>132.1</v>
      </c>
      <c r="AG116" s="117"/>
      <c r="AH116" s="48">
        <f t="shared" si="29"/>
        <v>134.5</v>
      </c>
      <c r="AI116" s="49">
        <f t="shared" si="30"/>
        <v>125.4</v>
      </c>
    </row>
    <row r="117" spans="1:35" x14ac:dyDescent="0.25">
      <c r="A117" s="118" t="s">
        <v>137</v>
      </c>
      <c r="B117" s="119">
        <v>135</v>
      </c>
      <c r="C117" s="119">
        <v>135</v>
      </c>
      <c r="D117" s="119">
        <v>135</v>
      </c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9"/>
        <v>135</v>
      </c>
      <c r="AI117" s="49">
        <f t="shared" si="30"/>
        <v>135</v>
      </c>
    </row>
    <row r="118" spans="1:35" x14ac:dyDescent="0.25">
      <c r="A118" s="116" t="s">
        <v>138</v>
      </c>
      <c r="B118" s="76">
        <v>129</v>
      </c>
      <c r="C118" s="76">
        <v>129</v>
      </c>
      <c r="D118" s="76">
        <v>129</v>
      </c>
      <c r="E118" s="76">
        <v>124.5</v>
      </c>
      <c r="F118" s="76">
        <v>127.1</v>
      </c>
      <c r="G118" s="76"/>
      <c r="H118" s="76"/>
      <c r="I118" s="76">
        <v>131.80000000000001</v>
      </c>
      <c r="J118" s="76"/>
      <c r="K118" s="76"/>
      <c r="L118" s="76"/>
      <c r="M118" s="76">
        <v>124.6</v>
      </c>
      <c r="N118" s="76">
        <v>124.2</v>
      </c>
      <c r="O118" s="76">
        <v>131</v>
      </c>
      <c r="P118" s="76">
        <v>133.4</v>
      </c>
      <c r="Q118" s="76">
        <v>129.19999999999999</v>
      </c>
      <c r="R118" s="76">
        <v>129.69999999999999</v>
      </c>
      <c r="S118" s="76">
        <v>128.1</v>
      </c>
      <c r="T118" s="76">
        <v>132</v>
      </c>
      <c r="U118" s="76">
        <v>128.80000000000001</v>
      </c>
      <c r="V118" s="76">
        <v>126.2</v>
      </c>
      <c r="W118" s="76">
        <v>126.2</v>
      </c>
      <c r="X118" s="76">
        <v>120.2</v>
      </c>
      <c r="Y118" s="76">
        <v>120.2</v>
      </c>
      <c r="Z118" s="76">
        <v>127.4</v>
      </c>
      <c r="AA118" s="76">
        <v>125.1</v>
      </c>
      <c r="AB118" s="76">
        <v>124.4</v>
      </c>
      <c r="AC118" s="76">
        <v>119.6</v>
      </c>
      <c r="AD118" s="76">
        <v>123.5</v>
      </c>
      <c r="AE118" s="76">
        <v>126.7</v>
      </c>
      <c r="AF118" s="76">
        <v>123.4</v>
      </c>
      <c r="AG118" s="117"/>
      <c r="AH118" s="48">
        <f t="shared" si="29"/>
        <v>133.4</v>
      </c>
      <c r="AI118" s="49">
        <f t="shared" si="30"/>
        <v>119.6</v>
      </c>
    </row>
    <row r="119" spans="1:35" ht="15.75" thickBot="1" x14ac:dyDescent="0.3">
      <c r="A119" s="116" t="s">
        <v>139</v>
      </c>
      <c r="B119" s="105">
        <v>63.7</v>
      </c>
      <c r="C119" s="105">
        <v>63.7</v>
      </c>
      <c r="D119" s="105">
        <v>63.7</v>
      </c>
      <c r="E119" s="105">
        <v>63.8</v>
      </c>
      <c r="F119" s="105">
        <v>63.6</v>
      </c>
      <c r="G119" s="105"/>
      <c r="H119" s="105"/>
      <c r="I119" s="105">
        <v>63.9</v>
      </c>
      <c r="J119" s="105"/>
      <c r="K119" s="105"/>
      <c r="L119" s="105"/>
      <c r="M119" s="105">
        <v>63.4</v>
      </c>
      <c r="N119" s="105">
        <v>63.3</v>
      </c>
      <c r="O119" s="105">
        <v>63.7</v>
      </c>
      <c r="P119" s="105">
        <v>63.9</v>
      </c>
      <c r="Q119" s="105">
        <v>64.099999999999994</v>
      </c>
      <c r="R119" s="105">
        <v>64.3</v>
      </c>
      <c r="S119" s="105">
        <v>64.599999999999994</v>
      </c>
      <c r="T119" s="105">
        <v>65.099999999999994</v>
      </c>
      <c r="U119" s="105">
        <v>64.599999999999994</v>
      </c>
      <c r="V119" s="105">
        <v>64.400000000000006</v>
      </c>
      <c r="W119" s="105">
        <v>64.8</v>
      </c>
      <c r="X119" s="105">
        <v>64.5</v>
      </c>
      <c r="Y119" s="105">
        <v>64.5</v>
      </c>
      <c r="Z119" s="105">
        <v>63.4</v>
      </c>
      <c r="AA119" s="105">
        <v>63.2</v>
      </c>
      <c r="AB119" s="105">
        <v>63.9</v>
      </c>
      <c r="AC119" s="105">
        <v>63.8</v>
      </c>
      <c r="AD119" s="105">
        <v>64.2</v>
      </c>
      <c r="AE119" s="105">
        <v>64</v>
      </c>
      <c r="AF119" s="105">
        <v>64.099999999999994</v>
      </c>
      <c r="AG119" s="121"/>
      <c r="AH119" s="48">
        <f t="shared" si="29"/>
        <v>65.099999999999994</v>
      </c>
      <c r="AI119" s="49">
        <f t="shared" si="30"/>
        <v>63.2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104.54000000000002</v>
      </c>
      <c r="C121" s="124">
        <f>SUM(C25,C31,C34:C35,C69,C71:C72,C74,C76,C122:C126,C158,C164,C170,C179,C181,C193,C200,C203:C204,C211,C213,C215,C219:C221,C223:C225,C230,C236:C237,C239:C241,C249,C254)</f>
        <v>104.54000000000002</v>
      </c>
      <c r="D121" s="124">
        <f>SUM(D25,D31,D34:D35,D69,D71:D72,D74,D76,D122:D126,D158,D164,D170,D179,D181,D193,D200,D203:D204,D211,D213,D215,D219:D221,D223:D225,D230,D236:D237,D239:D241,D249,D254)</f>
        <v>71.04000000000002</v>
      </c>
      <c r="E121" s="124">
        <f t="shared" ref="E121:O121" si="51">SUM(E25,E31,E34:E35,E69,E71:E72,E74,E76,E122:E126,E158,E164,E170,E179,E181,E193,E200,E203:E204,E211,E213,E215,E219:E221,E223:E225,E230,E236:E237,E239:E241,E249,E254)</f>
        <v>141.44000000000003</v>
      </c>
      <c r="F121" s="124">
        <f t="shared" si="51"/>
        <v>135.34</v>
      </c>
      <c r="G121" s="124">
        <f t="shared" si="51"/>
        <v>122.54</v>
      </c>
      <c r="H121" s="124">
        <f t="shared" si="51"/>
        <v>122.54</v>
      </c>
      <c r="I121" s="124">
        <f t="shared" si="51"/>
        <v>154.14000000000001</v>
      </c>
      <c r="J121" s="124">
        <f t="shared" si="51"/>
        <v>123.74000000000001</v>
      </c>
      <c r="K121" s="124">
        <f t="shared" si="51"/>
        <v>123.74000000000001</v>
      </c>
      <c r="L121" s="124">
        <f t="shared" si="51"/>
        <v>123.74000000000001</v>
      </c>
      <c r="M121" s="124">
        <f t="shared" si="51"/>
        <v>148.04</v>
      </c>
      <c r="N121" s="124">
        <f t="shared" si="51"/>
        <v>161.34</v>
      </c>
      <c r="O121" s="124">
        <f t="shared" si="51"/>
        <v>157.34</v>
      </c>
      <c r="P121" s="124">
        <v>42</v>
      </c>
      <c r="Q121" s="124">
        <f t="shared" ref="Q121:AF121" si="52">SUM(Q25,Q31,Q34:Q35,Q69,Q71:Q72,Q74,Q76,Q122:Q126,Q158,Q164,Q170,Q179,Q181,Q193,Q200,Q203:Q204,Q211,Q213,Q215,Q219:Q221,Q223:Q225,Q230,Q236:Q237,Q239:Q241,Q249,Q254)</f>
        <v>138.04</v>
      </c>
      <c r="R121" s="124">
        <f t="shared" si="52"/>
        <v>140.94</v>
      </c>
      <c r="S121" s="124">
        <f t="shared" si="52"/>
        <v>139.84</v>
      </c>
      <c r="T121" s="124">
        <f t="shared" si="52"/>
        <v>178.24</v>
      </c>
      <c r="U121" s="124">
        <f t="shared" si="52"/>
        <v>147.04000000000002</v>
      </c>
      <c r="V121" s="124">
        <f t="shared" si="52"/>
        <v>180.24</v>
      </c>
      <c r="W121" s="124">
        <f t="shared" si="52"/>
        <v>175.74</v>
      </c>
      <c r="X121" s="124">
        <f t="shared" si="52"/>
        <v>182.44000000000003</v>
      </c>
      <c r="Y121" s="124">
        <f t="shared" si="52"/>
        <v>165.54000000000005</v>
      </c>
      <c r="Z121" s="124">
        <f t="shared" si="52"/>
        <v>156.34000000000003</v>
      </c>
      <c r="AA121" s="124">
        <f t="shared" si="52"/>
        <v>178.14000000000001</v>
      </c>
      <c r="AB121" s="124">
        <f t="shared" si="52"/>
        <v>170.04000000000002</v>
      </c>
      <c r="AC121" s="124">
        <f t="shared" si="52"/>
        <v>159.14000000000001</v>
      </c>
      <c r="AD121" s="124">
        <f t="shared" si="52"/>
        <v>130.83999999999997</v>
      </c>
      <c r="AE121" s="124">
        <f t="shared" si="52"/>
        <v>107.44</v>
      </c>
      <c r="AF121" s="124">
        <f t="shared" si="52"/>
        <v>91.240000000000023</v>
      </c>
      <c r="AG121" s="125"/>
      <c r="AH121" s="48">
        <f t="shared" si="29"/>
        <v>182.44000000000003</v>
      </c>
      <c r="AI121" s="49">
        <f t="shared" si="30"/>
        <v>42</v>
      </c>
    </row>
    <row r="122" spans="1:35" x14ac:dyDescent="0.25">
      <c r="A122" s="126" t="s">
        <v>142</v>
      </c>
      <c r="B122" s="127">
        <v>95</v>
      </c>
      <c r="C122" s="127">
        <v>95</v>
      </c>
      <c r="D122" s="127">
        <v>84</v>
      </c>
      <c r="E122" s="127">
        <v>56</v>
      </c>
      <c r="F122" s="127">
        <v>61.8</v>
      </c>
      <c r="G122" s="127"/>
      <c r="H122" s="127"/>
      <c r="I122" s="127">
        <v>45</v>
      </c>
      <c r="J122" s="127"/>
      <c r="K122" s="127"/>
      <c r="L122" s="127"/>
      <c r="M122" s="127">
        <v>36.6</v>
      </c>
      <c r="N122" s="127">
        <v>44</v>
      </c>
      <c r="O122" s="127">
        <v>44</v>
      </c>
      <c r="P122" s="127">
        <v>38.799999999999997</v>
      </c>
      <c r="Q122" s="127">
        <v>31.7</v>
      </c>
      <c r="R122" s="127">
        <v>42.2</v>
      </c>
      <c r="S122" s="127">
        <v>9.8000000000000007</v>
      </c>
      <c r="T122" s="127">
        <v>47.7</v>
      </c>
      <c r="U122" s="127">
        <v>35.9</v>
      </c>
      <c r="V122" s="127">
        <v>36.5</v>
      </c>
      <c r="W122" s="127">
        <v>40</v>
      </c>
      <c r="X122" s="127">
        <v>47.7</v>
      </c>
      <c r="Y122" s="127">
        <v>53.7</v>
      </c>
      <c r="Z122" s="127">
        <v>26.5</v>
      </c>
      <c r="AA122" s="127">
        <v>31.3</v>
      </c>
      <c r="AB122" s="127">
        <v>39.5</v>
      </c>
      <c r="AC122" s="127">
        <v>38.799999999999997</v>
      </c>
      <c r="AD122" s="127">
        <v>36.799999999999997</v>
      </c>
      <c r="AE122" s="127">
        <v>40.799999999999997</v>
      </c>
      <c r="AF122" s="127">
        <v>47</v>
      </c>
      <c r="AG122" s="128">
        <v>75</v>
      </c>
      <c r="AH122" s="48">
        <f t="shared" si="29"/>
        <v>95</v>
      </c>
      <c r="AI122" s="49">
        <f t="shared" si="30"/>
        <v>9.8000000000000007</v>
      </c>
    </row>
    <row r="123" spans="1:35" x14ac:dyDescent="0.25">
      <c r="A123" s="129" t="s">
        <v>143</v>
      </c>
      <c r="B123" s="130">
        <v>66</v>
      </c>
      <c r="C123" s="130">
        <v>66</v>
      </c>
      <c r="D123" s="130">
        <v>57</v>
      </c>
      <c r="E123" s="130">
        <v>81</v>
      </c>
      <c r="F123" s="130">
        <v>89.1</v>
      </c>
      <c r="G123" s="130"/>
      <c r="H123" s="130"/>
      <c r="I123" s="130">
        <v>69.099999999999994</v>
      </c>
      <c r="J123" s="130"/>
      <c r="K123" s="130"/>
      <c r="L123" s="130"/>
      <c r="M123" s="130">
        <v>58</v>
      </c>
      <c r="N123" s="130">
        <v>65.5</v>
      </c>
      <c r="O123" s="130">
        <v>65.2</v>
      </c>
      <c r="P123" s="130">
        <v>60.4</v>
      </c>
      <c r="Q123" s="130">
        <v>55.2</v>
      </c>
      <c r="R123" s="130">
        <v>68</v>
      </c>
      <c r="S123" s="130">
        <v>21.7</v>
      </c>
      <c r="T123" s="130">
        <v>70.3</v>
      </c>
      <c r="U123" s="130">
        <v>62.7</v>
      </c>
      <c r="V123" s="130">
        <v>62.6</v>
      </c>
      <c r="W123" s="130">
        <v>67.2</v>
      </c>
      <c r="X123" s="130">
        <v>77.400000000000006</v>
      </c>
      <c r="Y123" s="130">
        <v>84.1</v>
      </c>
      <c r="Z123" s="130">
        <v>44</v>
      </c>
      <c r="AA123" s="130">
        <v>50.5</v>
      </c>
      <c r="AB123" s="130">
        <v>61.6</v>
      </c>
      <c r="AC123" s="130">
        <v>63.2</v>
      </c>
      <c r="AD123" s="130">
        <v>59.8</v>
      </c>
      <c r="AE123" s="130">
        <v>66</v>
      </c>
      <c r="AF123" s="130">
        <v>72.5</v>
      </c>
      <c r="AG123" s="128">
        <v>240</v>
      </c>
      <c r="AH123" s="48">
        <f t="shared" si="29"/>
        <v>89.1</v>
      </c>
      <c r="AI123" s="49">
        <f t="shared" si="30"/>
        <v>21.7</v>
      </c>
    </row>
    <row r="124" spans="1:35" x14ac:dyDescent="0.25">
      <c r="A124" s="129" t="s">
        <v>144</v>
      </c>
      <c r="B124" s="130">
        <v>-168</v>
      </c>
      <c r="C124" s="130">
        <v>-168</v>
      </c>
      <c r="D124" s="130">
        <v>-180</v>
      </c>
      <c r="E124" s="130">
        <v>-115</v>
      </c>
      <c r="F124" s="130">
        <v>-132</v>
      </c>
      <c r="G124" s="130"/>
      <c r="H124" s="130"/>
      <c r="I124" s="130">
        <v>-85</v>
      </c>
      <c r="J124" s="130"/>
      <c r="K124" s="130"/>
      <c r="L124" s="130"/>
      <c r="M124" s="130">
        <v>-78</v>
      </c>
      <c r="N124" s="130">
        <v>-80</v>
      </c>
      <c r="O124" s="130">
        <v>-83</v>
      </c>
      <c r="P124" s="130">
        <v>-80</v>
      </c>
      <c r="Q124" s="130">
        <v>-81.5</v>
      </c>
      <c r="R124" s="130">
        <v>-97</v>
      </c>
      <c r="S124" s="130">
        <v>-50.1</v>
      </c>
      <c r="T124" s="130">
        <v>-83.1</v>
      </c>
      <c r="U124" s="130">
        <v>-86</v>
      </c>
      <c r="V124" s="130">
        <v>-57.8</v>
      </c>
      <c r="W124" s="130">
        <v>-66</v>
      </c>
      <c r="X124" s="130">
        <v>-73</v>
      </c>
      <c r="Y124" s="130">
        <v>-100.5</v>
      </c>
      <c r="Z124" s="130">
        <v>-51</v>
      </c>
      <c r="AA124" s="130">
        <v>-56</v>
      </c>
      <c r="AB124" s="130">
        <v>-80</v>
      </c>
      <c r="AC124" s="130">
        <v>-90</v>
      </c>
      <c r="AD124" s="130">
        <v>-109</v>
      </c>
      <c r="AE124" s="130">
        <v>-123</v>
      </c>
      <c r="AF124" s="130">
        <v>-145</v>
      </c>
      <c r="AG124" s="128">
        <v>240</v>
      </c>
      <c r="AH124" s="48">
        <f t="shared" si="29"/>
        <v>-50.1</v>
      </c>
      <c r="AI124" s="49">
        <f t="shared" si="30"/>
        <v>-180</v>
      </c>
    </row>
    <row r="125" spans="1:35" ht="15.75" thickBot="1" x14ac:dyDescent="0.3">
      <c r="A125" s="129" t="s">
        <v>145</v>
      </c>
      <c r="B125" s="130">
        <v>-11</v>
      </c>
      <c r="C125" s="130">
        <v>-11</v>
      </c>
      <c r="D125" s="130">
        <v>-12.5</v>
      </c>
      <c r="E125" s="130">
        <v>-3.1</v>
      </c>
      <c r="F125" s="130">
        <v>-6.1</v>
      </c>
      <c r="G125" s="130"/>
      <c r="H125" s="130"/>
      <c r="I125" s="130">
        <v>2.5</v>
      </c>
      <c r="J125" s="130"/>
      <c r="K125" s="130"/>
      <c r="L125" s="130"/>
      <c r="M125" s="130">
        <v>7.7</v>
      </c>
      <c r="N125" s="130">
        <v>8.1</v>
      </c>
      <c r="O125" s="130">
        <v>7.4</v>
      </c>
      <c r="P125" s="130">
        <v>7.4</v>
      </c>
      <c r="Q125" s="130">
        <v>8.9</v>
      </c>
      <c r="R125" s="130">
        <v>4</v>
      </c>
      <c r="S125" s="130">
        <v>22.7</v>
      </c>
      <c r="T125" s="130">
        <v>10.9</v>
      </c>
      <c r="U125" s="130">
        <v>4.8</v>
      </c>
      <c r="V125" s="130">
        <v>10.3</v>
      </c>
      <c r="W125" s="130">
        <v>9.5</v>
      </c>
      <c r="X125" s="130">
        <v>6.8</v>
      </c>
      <c r="Y125" s="130">
        <v>5.4</v>
      </c>
      <c r="Z125" s="130">
        <v>14.3</v>
      </c>
      <c r="AA125" s="130">
        <v>29.8</v>
      </c>
      <c r="AB125" s="130">
        <v>26.4</v>
      </c>
      <c r="AC125" s="130">
        <v>24.6</v>
      </c>
      <c r="AD125" s="130">
        <v>20.7</v>
      </c>
      <c r="AE125" s="130">
        <v>1.1000000000000001</v>
      </c>
      <c r="AF125" s="130">
        <v>-5.8</v>
      </c>
      <c r="AG125" s="128">
        <v>60</v>
      </c>
      <c r="AH125" s="48">
        <f t="shared" si="29"/>
        <v>29.8</v>
      </c>
      <c r="AI125" s="49">
        <f t="shared" si="30"/>
        <v>-12.5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0"/>
      <c r="T126" s="130"/>
      <c r="U126" s="130"/>
      <c r="V126" s="130"/>
      <c r="W126" s="130"/>
      <c r="X126" s="130"/>
      <c r="Y126" s="130"/>
      <c r="Z126" s="130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9"/>
        <v>0</v>
      </c>
      <c r="AI126" s="49">
        <f t="shared" si="30"/>
        <v>0</v>
      </c>
    </row>
    <row r="127" spans="1:35" x14ac:dyDescent="0.25">
      <c r="A127" s="129" t="s">
        <v>147</v>
      </c>
      <c r="B127" s="131">
        <v>71</v>
      </c>
      <c r="C127" s="131">
        <v>71</v>
      </c>
      <c r="D127" s="131">
        <v>76</v>
      </c>
      <c r="E127" s="131">
        <v>37</v>
      </c>
      <c r="F127" s="131">
        <v>36.5</v>
      </c>
      <c r="G127" s="131"/>
      <c r="H127" s="131"/>
      <c r="I127" s="131">
        <v>51</v>
      </c>
      <c r="J127" s="131"/>
      <c r="K127" s="131"/>
      <c r="L127" s="131"/>
      <c r="M127" s="131">
        <v>89.6</v>
      </c>
      <c r="N127" s="131">
        <v>88</v>
      </c>
      <c r="O127" s="131">
        <v>85.6</v>
      </c>
      <c r="P127" s="131">
        <v>86.5</v>
      </c>
      <c r="Q127" s="131">
        <v>84.4</v>
      </c>
      <c r="R127" s="131">
        <v>74</v>
      </c>
      <c r="S127" s="131">
        <v>81.8</v>
      </c>
      <c r="T127" s="131">
        <v>65.099999999999994</v>
      </c>
      <c r="U127" s="131">
        <v>73.8</v>
      </c>
      <c r="V127" s="131">
        <v>83.3</v>
      </c>
      <c r="W127" s="131">
        <v>78.3</v>
      </c>
      <c r="X127" s="131">
        <v>73.599999999999994</v>
      </c>
      <c r="Y127" s="131">
        <v>75.599999999999994</v>
      </c>
      <c r="Z127" s="131">
        <v>101.1</v>
      </c>
      <c r="AA127" s="131">
        <v>102.3</v>
      </c>
      <c r="AB127" s="131">
        <v>99.8</v>
      </c>
      <c r="AC127" s="131">
        <v>98.8</v>
      </c>
      <c r="AD127" s="131">
        <v>96.9</v>
      </c>
      <c r="AE127" s="131">
        <v>89.3</v>
      </c>
      <c r="AF127" s="131">
        <v>79.099999999999994</v>
      </c>
      <c r="AG127" s="132"/>
      <c r="AH127" s="48"/>
      <c r="AI127" s="49"/>
    </row>
    <row r="128" spans="1:35" x14ac:dyDescent="0.25">
      <c r="A128" s="129" t="s">
        <v>148</v>
      </c>
      <c r="B128" s="131">
        <v>23</v>
      </c>
      <c r="C128" s="131">
        <v>23</v>
      </c>
      <c r="D128" s="131">
        <v>50</v>
      </c>
      <c r="E128" s="131">
        <v>-15</v>
      </c>
      <c r="F128" s="131">
        <v>-12.4</v>
      </c>
      <c r="G128" s="131"/>
      <c r="H128" s="131"/>
      <c r="I128" s="131">
        <v>-15.3</v>
      </c>
      <c r="J128" s="131"/>
      <c r="K128" s="131"/>
      <c r="L128" s="131"/>
      <c r="M128" s="131">
        <v>23.5</v>
      </c>
      <c r="N128" s="131">
        <v>12</v>
      </c>
      <c r="O128" s="131">
        <v>16.3</v>
      </c>
      <c r="P128" s="131">
        <v>17</v>
      </c>
      <c r="Q128" s="131">
        <v>23.5</v>
      </c>
      <c r="R128" s="131">
        <v>21</v>
      </c>
      <c r="S128" s="131">
        <v>37.700000000000003</v>
      </c>
      <c r="T128" s="131">
        <v>-6.8</v>
      </c>
      <c r="U128" s="131">
        <v>12.8</v>
      </c>
      <c r="V128" s="131">
        <v>19.600000000000001</v>
      </c>
      <c r="W128" s="131">
        <v>11.7</v>
      </c>
      <c r="X128" s="131">
        <v>-2</v>
      </c>
      <c r="Y128" s="131">
        <v>-6</v>
      </c>
      <c r="Z128" s="131">
        <v>19.8</v>
      </c>
      <c r="AA128" s="131">
        <v>6.2</v>
      </c>
      <c r="AB128" s="131">
        <v>-2.1</v>
      </c>
      <c r="AC128" s="131">
        <v>2.8</v>
      </c>
      <c r="AD128" s="131">
        <v>19.399999999999999</v>
      </c>
      <c r="AE128" s="131">
        <v>32.4</v>
      </c>
      <c r="AF128" s="131">
        <v>38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52</v>
      </c>
      <c r="C129" s="131">
        <v>52</v>
      </c>
      <c r="D129" s="131">
        <v>49</v>
      </c>
      <c r="E129" s="131">
        <v>84</v>
      </c>
      <c r="F129" s="131">
        <v>68</v>
      </c>
      <c r="G129" s="131"/>
      <c r="H129" s="131"/>
      <c r="I129" s="131">
        <v>85</v>
      </c>
      <c r="J129" s="131"/>
      <c r="K129" s="131"/>
      <c r="L129" s="131"/>
      <c r="M129" s="131">
        <v>33.299999999999997</v>
      </c>
      <c r="N129" s="131">
        <v>37</v>
      </c>
      <c r="O129" s="131">
        <v>32.6</v>
      </c>
      <c r="P129" s="131">
        <v>35</v>
      </c>
      <c r="Q129" s="131">
        <v>37.700000000000003</v>
      </c>
      <c r="R129" s="131">
        <v>27</v>
      </c>
      <c r="S129" s="131">
        <v>45.3</v>
      </c>
      <c r="T129" s="131">
        <v>15.5</v>
      </c>
      <c r="U129" s="131">
        <v>32.1</v>
      </c>
      <c r="V129" s="131">
        <v>40.4</v>
      </c>
      <c r="W129" s="131">
        <v>34.200000000000003</v>
      </c>
      <c r="X129" s="131">
        <v>28.1</v>
      </c>
      <c r="Y129" s="131">
        <v>45.3</v>
      </c>
      <c r="Z129" s="131">
        <v>75.8</v>
      </c>
      <c r="AA129" s="131">
        <v>80</v>
      </c>
      <c r="AB129" s="131">
        <v>72.7</v>
      </c>
      <c r="AC129" s="131">
        <v>72.2</v>
      </c>
      <c r="AD129" s="131">
        <v>80.2</v>
      </c>
      <c r="AE129" s="131">
        <v>69.8</v>
      </c>
      <c r="AF129" s="131">
        <v>61</v>
      </c>
      <c r="AG129" s="128"/>
      <c r="AH129" s="48">
        <f>MAX(B129:AF129)</f>
        <v>85</v>
      </c>
      <c r="AI129" s="49">
        <f>MIN(B129:AF129)</f>
        <v>15.5</v>
      </c>
    </row>
    <row r="130" spans="1:37" x14ac:dyDescent="0.25">
      <c r="A130" s="126" t="s">
        <v>150</v>
      </c>
      <c r="B130" s="131">
        <v>-286</v>
      </c>
      <c r="C130" s="131">
        <v>-286</v>
      </c>
      <c r="D130" s="131">
        <v>-269</v>
      </c>
      <c r="E130" s="131">
        <v>-330</v>
      </c>
      <c r="F130" s="131">
        <v>-350</v>
      </c>
      <c r="G130" s="131"/>
      <c r="H130" s="131"/>
      <c r="I130" s="131">
        <v>-337</v>
      </c>
      <c r="J130" s="131"/>
      <c r="K130" s="131"/>
      <c r="L130" s="131"/>
      <c r="M130" s="131">
        <v>-292</v>
      </c>
      <c r="N130" s="131">
        <v>-282</v>
      </c>
      <c r="O130" s="131">
        <v>-278</v>
      </c>
      <c r="P130" s="131">
        <v>-276</v>
      </c>
      <c r="Q130" s="131">
        <v>-278.89999999999998</v>
      </c>
      <c r="R130" s="131">
        <v>-280</v>
      </c>
      <c r="S130" s="131">
        <v>-256.60000000000002</v>
      </c>
      <c r="T130" s="131">
        <v>-279.60000000000002</v>
      </c>
      <c r="U130" s="131">
        <v>-273.3</v>
      </c>
      <c r="V130" s="131">
        <v>-263.2</v>
      </c>
      <c r="W130" s="131">
        <v>-267</v>
      </c>
      <c r="X130" s="131">
        <v>-272.7</v>
      </c>
      <c r="Y130" s="131">
        <v>-270.2</v>
      </c>
      <c r="Z130" s="131">
        <v>-242.8</v>
      </c>
      <c r="AA130" s="131">
        <v>-240.1</v>
      </c>
      <c r="AB130" s="131">
        <v>-249</v>
      </c>
      <c r="AC130" s="131">
        <v>-251</v>
      </c>
      <c r="AD130" s="131">
        <v>-255</v>
      </c>
      <c r="AE130" s="131">
        <v>-264.5</v>
      </c>
      <c r="AF130" s="131">
        <v>-274.2</v>
      </c>
      <c r="AG130" s="128"/>
      <c r="AH130" s="48">
        <f>MAX(B130:AF130)</f>
        <v>-240.1</v>
      </c>
      <c r="AI130" s="49">
        <f>MIN(B130:AF130)</f>
        <v>-350</v>
      </c>
    </row>
    <row r="131" spans="1:37" x14ac:dyDescent="0.25">
      <c r="A131" s="129" t="s">
        <v>151</v>
      </c>
      <c r="B131" s="119"/>
      <c r="C131" s="119"/>
      <c r="D131" s="119"/>
      <c r="E131" s="119"/>
      <c r="F131" s="119"/>
      <c r="G131" s="119"/>
      <c r="H131" s="119"/>
      <c r="I131" s="119">
        <v>35</v>
      </c>
      <c r="J131" s="119"/>
      <c r="K131" s="119"/>
      <c r="L131" s="119"/>
      <c r="M131" s="119">
        <v>35.6</v>
      </c>
      <c r="N131" s="119">
        <v>37</v>
      </c>
      <c r="O131" s="119">
        <v>37</v>
      </c>
      <c r="P131" s="119">
        <v>43</v>
      </c>
      <c r="Q131" s="119">
        <v>55</v>
      </c>
      <c r="R131" s="119">
        <v>22</v>
      </c>
      <c r="S131" s="119">
        <v>8.6</v>
      </c>
      <c r="T131" s="119">
        <v>26.2</v>
      </c>
      <c r="U131" s="119">
        <v>26.6</v>
      </c>
      <c r="V131" s="119">
        <v>25.4</v>
      </c>
      <c r="W131" s="119">
        <v>33.799999999999997</v>
      </c>
      <c r="X131" s="119">
        <v>28.3</v>
      </c>
      <c r="Y131" s="119">
        <v>18.3</v>
      </c>
      <c r="Z131" s="119">
        <v>20.100000000000001</v>
      </c>
      <c r="AA131" s="119">
        <v>16.100000000000001</v>
      </c>
      <c r="AB131" s="119">
        <v>13.9</v>
      </c>
      <c r="AC131" s="119">
        <v>18.600000000000001</v>
      </c>
      <c r="AD131" s="119">
        <v>9</v>
      </c>
      <c r="AE131" s="119">
        <v>15.2</v>
      </c>
      <c r="AF131" s="119">
        <v>34</v>
      </c>
      <c r="AG131" s="128"/>
      <c r="AH131" s="48">
        <f>MAX(B131:AF131)</f>
        <v>55</v>
      </c>
      <c r="AI131" s="49">
        <f>MIN(B131:AF131)</f>
        <v>8.6</v>
      </c>
    </row>
    <row r="132" spans="1:37" x14ac:dyDescent="0.25">
      <c r="A132" s="129" t="s">
        <v>152</v>
      </c>
      <c r="B132" s="119">
        <v>64</v>
      </c>
      <c r="C132" s="119">
        <v>64</v>
      </c>
      <c r="D132" s="119">
        <v>60</v>
      </c>
      <c r="E132" s="119">
        <v>26.4</v>
      </c>
      <c r="F132" s="119">
        <v>41.6</v>
      </c>
      <c r="G132" s="119"/>
      <c r="H132" s="119"/>
      <c r="I132" s="119">
        <v>44</v>
      </c>
      <c r="J132" s="119"/>
      <c r="K132" s="119"/>
      <c r="L132" s="119"/>
      <c r="M132" s="119">
        <v>50</v>
      </c>
      <c r="N132" s="119">
        <v>34</v>
      </c>
      <c r="O132" s="119">
        <v>44</v>
      </c>
      <c r="P132" s="119">
        <v>44</v>
      </c>
      <c r="Q132" s="119">
        <v>41.8</v>
      </c>
      <c r="R132" s="119">
        <v>45</v>
      </c>
      <c r="S132" s="119">
        <v>74.599999999999994</v>
      </c>
      <c r="T132" s="119">
        <v>60.7</v>
      </c>
      <c r="U132" s="119">
        <v>65.2</v>
      </c>
      <c r="V132" s="119">
        <v>58.4</v>
      </c>
      <c r="W132" s="119">
        <v>47.7</v>
      </c>
      <c r="X132" s="119">
        <v>19.5</v>
      </c>
      <c r="Y132" s="119">
        <v>15.6</v>
      </c>
      <c r="Z132" s="119">
        <v>46.6</v>
      </c>
      <c r="AA132" s="119">
        <v>34.6</v>
      </c>
      <c r="AB132" s="119">
        <v>33.200000000000003</v>
      </c>
      <c r="AC132" s="119">
        <v>33.700000000000003</v>
      </c>
      <c r="AD132" s="119">
        <v>44.2</v>
      </c>
      <c r="AE132" s="119">
        <v>43.3</v>
      </c>
      <c r="AF132" s="119">
        <v>52.7</v>
      </c>
      <c r="AG132" s="128"/>
      <c r="AH132" s="48">
        <f>MAX(B132:AF132)</f>
        <v>74.599999999999994</v>
      </c>
      <c r="AI132" s="49">
        <f>MIN(B132:AF132)</f>
        <v>15.6</v>
      </c>
    </row>
    <row r="133" spans="1:37" ht="15.75" thickBot="1" x14ac:dyDescent="0.3">
      <c r="A133" s="129" t="s">
        <v>153</v>
      </c>
      <c r="B133" s="119">
        <v>76</v>
      </c>
      <c r="C133" s="119"/>
      <c r="D133" s="119">
        <v>76</v>
      </c>
      <c r="E133" s="119">
        <v>44</v>
      </c>
      <c r="F133" s="119">
        <v>52.2</v>
      </c>
      <c r="G133" s="119"/>
      <c r="H133" s="119"/>
      <c r="I133" s="119">
        <v>59</v>
      </c>
      <c r="J133" s="119"/>
      <c r="K133" s="119"/>
      <c r="L133" s="119"/>
      <c r="M133" s="119">
        <v>63.6</v>
      </c>
      <c r="N133" s="119">
        <v>61</v>
      </c>
      <c r="O133" s="119">
        <v>65</v>
      </c>
      <c r="P133" s="119">
        <v>67</v>
      </c>
      <c r="Q133" s="119">
        <v>62.8</v>
      </c>
      <c r="R133" s="119">
        <v>69</v>
      </c>
      <c r="S133" s="119">
        <v>94.8</v>
      </c>
      <c r="T133" s="119">
        <v>73.400000000000006</v>
      </c>
      <c r="U133" s="119">
        <v>78.900000000000006</v>
      </c>
      <c r="V133" s="119">
        <v>74.7</v>
      </c>
      <c r="W133" s="119">
        <v>64.8</v>
      </c>
      <c r="X133" s="119">
        <v>34.6</v>
      </c>
      <c r="Y133" s="119">
        <v>30.3</v>
      </c>
      <c r="Z133" s="119">
        <v>59.4</v>
      </c>
      <c r="AA133" s="119">
        <v>50.8</v>
      </c>
      <c r="AB133" s="119">
        <v>53.8</v>
      </c>
      <c r="AC133" s="119">
        <v>52</v>
      </c>
      <c r="AD133" s="119">
        <v>59.7</v>
      </c>
      <c r="AE133" s="119">
        <v>56.5</v>
      </c>
      <c r="AF133" s="119">
        <v>63.6</v>
      </c>
      <c r="AG133" s="128"/>
      <c r="AH133" s="48">
        <f>MAX(B133:AF133)</f>
        <v>94.8</v>
      </c>
      <c r="AI133" s="49">
        <f>MIN(B133:AF133)</f>
        <v>30.3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1986.7</v>
      </c>
      <c r="C135" s="137"/>
      <c r="D135" s="137"/>
      <c r="E135" s="137">
        <v>1986.61</v>
      </c>
      <c r="F135" s="137">
        <v>1986.8</v>
      </c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>
        <v>1986.35</v>
      </c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>
        <v>883.4</v>
      </c>
      <c r="D139" s="140">
        <v>883.7</v>
      </c>
      <c r="E139" s="140">
        <v>883.9</v>
      </c>
      <c r="F139" s="140">
        <v>884.4</v>
      </c>
      <c r="G139" s="140"/>
      <c r="H139" s="140"/>
      <c r="I139" s="140">
        <v>885.2</v>
      </c>
      <c r="J139" s="140"/>
      <c r="K139" s="140"/>
      <c r="L139" s="140"/>
      <c r="M139" s="140"/>
      <c r="N139" s="140"/>
      <c r="O139" s="140"/>
      <c r="P139" s="140"/>
      <c r="Q139" s="140"/>
      <c r="R139" s="140"/>
      <c r="S139" s="140">
        <v>884.2</v>
      </c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1485.25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>
        <v>1985.3</v>
      </c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3">SUM(B142:B246)</f>
        <v>0</v>
      </c>
      <c r="C247" s="161">
        <f t="shared" si="53"/>
        <v>0</v>
      </c>
      <c r="D247" s="161">
        <f t="shared" si="53"/>
        <v>0</v>
      </c>
      <c r="E247" s="161">
        <f t="shared" si="53"/>
        <v>0</v>
      </c>
      <c r="F247" s="161">
        <f t="shared" si="53"/>
        <v>0</v>
      </c>
      <c r="G247" s="161">
        <f t="shared" si="53"/>
        <v>0</v>
      </c>
      <c r="H247" s="161">
        <f t="shared" si="53"/>
        <v>0</v>
      </c>
      <c r="I247" s="161">
        <f t="shared" si="53"/>
        <v>0</v>
      </c>
      <c r="J247" s="161">
        <f t="shared" si="53"/>
        <v>0</v>
      </c>
      <c r="K247" s="161">
        <f t="shared" si="53"/>
        <v>0</v>
      </c>
      <c r="L247" s="161">
        <f t="shared" si="53"/>
        <v>0</v>
      </c>
      <c r="M247" s="161">
        <f t="shared" si="53"/>
        <v>0</v>
      </c>
      <c r="N247" s="161">
        <f t="shared" si="53"/>
        <v>0</v>
      </c>
      <c r="O247" s="161">
        <f t="shared" si="53"/>
        <v>0</v>
      </c>
      <c r="P247" s="161">
        <f t="shared" si="53"/>
        <v>0</v>
      </c>
      <c r="Q247" s="161">
        <f t="shared" si="53"/>
        <v>0</v>
      </c>
      <c r="R247" s="161">
        <f t="shared" si="53"/>
        <v>0</v>
      </c>
      <c r="S247" s="161">
        <f t="shared" si="53"/>
        <v>0</v>
      </c>
      <c r="T247" s="161">
        <f t="shared" si="53"/>
        <v>0</v>
      </c>
      <c r="U247" s="161">
        <f t="shared" si="53"/>
        <v>0</v>
      </c>
      <c r="V247" s="161">
        <f t="shared" si="53"/>
        <v>0</v>
      </c>
      <c r="W247" s="161">
        <f t="shared" si="53"/>
        <v>0</v>
      </c>
      <c r="X247" s="161">
        <f t="shared" si="53"/>
        <v>0</v>
      </c>
      <c r="Y247" s="161">
        <f t="shared" si="53"/>
        <v>0</v>
      </c>
      <c r="Z247" s="161">
        <f t="shared" si="53"/>
        <v>0</v>
      </c>
      <c r="AA247" s="161">
        <f t="shared" si="53"/>
        <v>0</v>
      </c>
      <c r="AB247" s="161">
        <f t="shared" si="53"/>
        <v>0</v>
      </c>
      <c r="AC247" s="161">
        <f t="shared" si="53"/>
        <v>0</v>
      </c>
      <c r="AD247" s="161">
        <f t="shared" si="53"/>
        <v>0</v>
      </c>
      <c r="AE247" s="161">
        <f t="shared" si="53"/>
        <v>0</v>
      </c>
      <c r="AF247" s="162">
        <f t="shared" si="53"/>
        <v>0</v>
      </c>
      <c r="AG247" s="163">
        <f t="shared" si="53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4">AF249</f>
        <v>0.3</v>
      </c>
      <c r="C249" s="166">
        <v>0.3</v>
      </c>
      <c r="D249" s="166">
        <f t="shared" ref="D249:S254" si="55">C249</f>
        <v>0.3</v>
      </c>
      <c r="E249" s="166">
        <f t="shared" si="55"/>
        <v>0.3</v>
      </c>
      <c r="F249" s="166">
        <f t="shared" si="55"/>
        <v>0.3</v>
      </c>
      <c r="G249" s="166">
        <f t="shared" si="55"/>
        <v>0.3</v>
      </c>
      <c r="H249" s="166">
        <f t="shared" si="55"/>
        <v>0.3</v>
      </c>
      <c r="I249" s="166">
        <f t="shared" si="55"/>
        <v>0.3</v>
      </c>
      <c r="J249" s="166">
        <f t="shared" si="55"/>
        <v>0.3</v>
      </c>
      <c r="K249" s="166">
        <f t="shared" si="55"/>
        <v>0.3</v>
      </c>
      <c r="L249" s="166">
        <f t="shared" si="55"/>
        <v>0.3</v>
      </c>
      <c r="M249" s="166">
        <f t="shared" si="55"/>
        <v>0.3</v>
      </c>
      <c r="N249" s="166">
        <f t="shared" si="55"/>
        <v>0.3</v>
      </c>
      <c r="O249" s="166">
        <f t="shared" si="55"/>
        <v>0.3</v>
      </c>
      <c r="P249" s="166">
        <f t="shared" si="55"/>
        <v>0.3</v>
      </c>
      <c r="Q249" s="166">
        <f t="shared" si="55"/>
        <v>0.3</v>
      </c>
      <c r="R249" s="166">
        <f t="shared" si="55"/>
        <v>0.3</v>
      </c>
      <c r="S249" s="166">
        <f t="shared" si="55"/>
        <v>0.3</v>
      </c>
      <c r="T249" s="166">
        <f t="shared" ref="T249:AF254" si="56">S249</f>
        <v>0.3</v>
      </c>
      <c r="U249" s="166">
        <f t="shared" si="56"/>
        <v>0.3</v>
      </c>
      <c r="V249" s="166">
        <f t="shared" si="56"/>
        <v>0.3</v>
      </c>
      <c r="W249" s="166">
        <f t="shared" si="56"/>
        <v>0.3</v>
      </c>
      <c r="X249" s="166">
        <f t="shared" si="56"/>
        <v>0.3</v>
      </c>
      <c r="Y249" s="166">
        <f t="shared" si="56"/>
        <v>0.3</v>
      </c>
      <c r="Z249" s="166">
        <f t="shared" si="56"/>
        <v>0.3</v>
      </c>
      <c r="AA249" s="166">
        <f t="shared" si="56"/>
        <v>0.3</v>
      </c>
      <c r="AB249" s="166">
        <f t="shared" si="56"/>
        <v>0.3</v>
      </c>
      <c r="AC249" s="166">
        <f t="shared" si="56"/>
        <v>0.3</v>
      </c>
      <c r="AD249" s="166">
        <f t="shared" si="56"/>
        <v>0.3</v>
      </c>
      <c r="AE249" s="166">
        <f t="shared" si="56"/>
        <v>0.3</v>
      </c>
      <c r="AF249" s="166">
        <f t="shared" si="56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4"/>
        <v>0.4</v>
      </c>
      <c r="C250" s="152">
        <v>0.4</v>
      </c>
      <c r="D250" s="152">
        <f t="shared" si="55"/>
        <v>0.4</v>
      </c>
      <c r="E250" s="152">
        <f t="shared" si="55"/>
        <v>0.4</v>
      </c>
      <c r="F250" s="152">
        <f t="shared" si="55"/>
        <v>0.4</v>
      </c>
      <c r="G250" s="152">
        <f t="shared" si="55"/>
        <v>0.4</v>
      </c>
      <c r="H250" s="152">
        <f t="shared" si="55"/>
        <v>0.4</v>
      </c>
      <c r="I250" s="152">
        <f t="shared" si="55"/>
        <v>0.4</v>
      </c>
      <c r="J250" s="152">
        <f t="shared" si="55"/>
        <v>0.4</v>
      </c>
      <c r="K250" s="152">
        <f t="shared" si="55"/>
        <v>0.4</v>
      </c>
      <c r="L250" s="152">
        <f t="shared" si="55"/>
        <v>0.4</v>
      </c>
      <c r="M250" s="152">
        <f t="shared" si="55"/>
        <v>0.4</v>
      </c>
      <c r="N250" s="152">
        <f t="shared" si="55"/>
        <v>0.4</v>
      </c>
      <c r="O250" s="152">
        <f t="shared" si="55"/>
        <v>0.4</v>
      </c>
      <c r="P250" s="152">
        <f t="shared" si="55"/>
        <v>0.4</v>
      </c>
      <c r="Q250" s="152">
        <f t="shared" si="55"/>
        <v>0.4</v>
      </c>
      <c r="R250" s="152">
        <f t="shared" si="55"/>
        <v>0.4</v>
      </c>
      <c r="S250" s="152">
        <f t="shared" si="55"/>
        <v>0.4</v>
      </c>
      <c r="T250" s="152">
        <f t="shared" si="56"/>
        <v>0.4</v>
      </c>
      <c r="U250" s="152">
        <f t="shared" si="56"/>
        <v>0.4</v>
      </c>
      <c r="V250" s="152">
        <f t="shared" si="56"/>
        <v>0.4</v>
      </c>
      <c r="W250" s="152">
        <f t="shared" si="56"/>
        <v>0.4</v>
      </c>
      <c r="X250" s="152">
        <f t="shared" si="56"/>
        <v>0.4</v>
      </c>
      <c r="Y250" s="152">
        <f t="shared" si="56"/>
        <v>0.4</v>
      </c>
      <c r="Z250" s="152">
        <f t="shared" si="56"/>
        <v>0.4</v>
      </c>
      <c r="AA250" s="152">
        <f t="shared" si="56"/>
        <v>0.4</v>
      </c>
      <c r="AB250" s="152">
        <f t="shared" si="56"/>
        <v>0.4</v>
      </c>
      <c r="AC250" s="152">
        <f t="shared" si="56"/>
        <v>0.4</v>
      </c>
      <c r="AD250" s="152">
        <f t="shared" si="56"/>
        <v>0.4</v>
      </c>
      <c r="AE250" s="152">
        <f t="shared" si="56"/>
        <v>0.4</v>
      </c>
      <c r="AF250" s="152">
        <f t="shared" si="56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4"/>
        <v>1.5</v>
      </c>
      <c r="C251" s="152">
        <v>1.5</v>
      </c>
      <c r="D251" s="152">
        <f t="shared" si="55"/>
        <v>1.5</v>
      </c>
      <c r="E251" s="152">
        <f t="shared" si="55"/>
        <v>1.5</v>
      </c>
      <c r="F251" s="152">
        <f t="shared" si="55"/>
        <v>1.5</v>
      </c>
      <c r="G251" s="152">
        <f t="shared" si="55"/>
        <v>1.5</v>
      </c>
      <c r="H251" s="152">
        <f t="shared" si="55"/>
        <v>1.5</v>
      </c>
      <c r="I251" s="152">
        <f t="shared" si="55"/>
        <v>1.5</v>
      </c>
      <c r="J251" s="152">
        <f t="shared" si="55"/>
        <v>1.5</v>
      </c>
      <c r="K251" s="152">
        <f t="shared" si="55"/>
        <v>1.5</v>
      </c>
      <c r="L251" s="152">
        <f t="shared" si="55"/>
        <v>1.5</v>
      </c>
      <c r="M251" s="152">
        <f t="shared" si="55"/>
        <v>1.5</v>
      </c>
      <c r="N251" s="152">
        <f t="shared" si="55"/>
        <v>1.5</v>
      </c>
      <c r="O251" s="152">
        <f t="shared" si="55"/>
        <v>1.5</v>
      </c>
      <c r="P251" s="152">
        <f t="shared" si="55"/>
        <v>1.5</v>
      </c>
      <c r="Q251" s="152">
        <f t="shared" si="55"/>
        <v>1.5</v>
      </c>
      <c r="R251" s="152">
        <f t="shared" si="55"/>
        <v>1.5</v>
      </c>
      <c r="S251" s="152">
        <f t="shared" si="55"/>
        <v>1.5</v>
      </c>
      <c r="T251" s="152">
        <f t="shared" si="56"/>
        <v>1.5</v>
      </c>
      <c r="U251" s="152">
        <f t="shared" si="56"/>
        <v>1.5</v>
      </c>
      <c r="V251" s="152">
        <f t="shared" si="56"/>
        <v>1.5</v>
      </c>
      <c r="W251" s="152">
        <f t="shared" si="56"/>
        <v>1.5</v>
      </c>
      <c r="X251" s="152">
        <f t="shared" si="56"/>
        <v>1.5</v>
      </c>
      <c r="Y251" s="152">
        <f t="shared" si="56"/>
        <v>1.5</v>
      </c>
      <c r="Z251" s="152">
        <f t="shared" si="56"/>
        <v>1.5</v>
      </c>
      <c r="AA251" s="152">
        <f t="shared" si="56"/>
        <v>1.5</v>
      </c>
      <c r="AB251" s="152">
        <f t="shared" si="56"/>
        <v>1.5</v>
      </c>
      <c r="AC251" s="152">
        <f t="shared" si="56"/>
        <v>1.5</v>
      </c>
      <c r="AD251" s="152">
        <f t="shared" si="56"/>
        <v>1.5</v>
      </c>
      <c r="AE251" s="152">
        <f t="shared" si="56"/>
        <v>1.5</v>
      </c>
      <c r="AF251" s="152">
        <f t="shared" si="56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4"/>
        <v>0.3</v>
      </c>
      <c r="C252" s="152">
        <v>0.3</v>
      </c>
      <c r="D252" s="152">
        <f t="shared" si="55"/>
        <v>0.3</v>
      </c>
      <c r="E252" s="152">
        <f t="shared" si="55"/>
        <v>0.3</v>
      </c>
      <c r="F252" s="152">
        <f t="shared" si="55"/>
        <v>0.3</v>
      </c>
      <c r="G252" s="152">
        <f t="shared" si="55"/>
        <v>0.3</v>
      </c>
      <c r="H252" s="152">
        <f t="shared" si="55"/>
        <v>0.3</v>
      </c>
      <c r="I252" s="152">
        <f t="shared" si="55"/>
        <v>0.3</v>
      </c>
      <c r="J252" s="152">
        <f t="shared" si="55"/>
        <v>0.3</v>
      </c>
      <c r="K252" s="152">
        <f t="shared" si="55"/>
        <v>0.3</v>
      </c>
      <c r="L252" s="152">
        <f t="shared" si="55"/>
        <v>0.3</v>
      </c>
      <c r="M252" s="152">
        <f t="shared" si="55"/>
        <v>0.3</v>
      </c>
      <c r="N252" s="152">
        <f t="shared" si="55"/>
        <v>0.3</v>
      </c>
      <c r="O252" s="152">
        <f t="shared" si="55"/>
        <v>0.3</v>
      </c>
      <c r="P252" s="152">
        <f t="shared" si="55"/>
        <v>0.3</v>
      </c>
      <c r="Q252" s="152">
        <f t="shared" si="55"/>
        <v>0.3</v>
      </c>
      <c r="R252" s="152">
        <f t="shared" si="55"/>
        <v>0.3</v>
      </c>
      <c r="S252" s="152">
        <f t="shared" si="55"/>
        <v>0.3</v>
      </c>
      <c r="T252" s="152">
        <f t="shared" si="56"/>
        <v>0.3</v>
      </c>
      <c r="U252" s="152">
        <f t="shared" si="56"/>
        <v>0.3</v>
      </c>
      <c r="V252" s="152">
        <f t="shared" si="56"/>
        <v>0.3</v>
      </c>
      <c r="W252" s="152">
        <f t="shared" si="56"/>
        <v>0.3</v>
      </c>
      <c r="X252" s="152">
        <f t="shared" si="56"/>
        <v>0.3</v>
      </c>
      <c r="Y252" s="152">
        <f t="shared" si="56"/>
        <v>0.3</v>
      </c>
      <c r="Z252" s="152">
        <f t="shared" si="56"/>
        <v>0.3</v>
      </c>
      <c r="AA252" s="152">
        <f t="shared" si="56"/>
        <v>0.3</v>
      </c>
      <c r="AB252" s="152">
        <f t="shared" si="56"/>
        <v>0.3</v>
      </c>
      <c r="AC252" s="152">
        <f t="shared" si="56"/>
        <v>0.3</v>
      </c>
      <c r="AD252" s="152">
        <f t="shared" si="56"/>
        <v>0.3</v>
      </c>
      <c r="AE252" s="152">
        <f t="shared" si="56"/>
        <v>0.3</v>
      </c>
      <c r="AF252" s="152">
        <f t="shared" si="56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4"/>
        <v>0.4</v>
      </c>
      <c r="C253" s="152">
        <v>0.4</v>
      </c>
      <c r="D253" s="152">
        <f t="shared" si="55"/>
        <v>0.4</v>
      </c>
      <c r="E253" s="152">
        <f t="shared" si="55"/>
        <v>0.4</v>
      </c>
      <c r="F253" s="152">
        <f t="shared" si="55"/>
        <v>0.4</v>
      </c>
      <c r="G253" s="152">
        <f t="shared" si="55"/>
        <v>0.4</v>
      </c>
      <c r="H253" s="152">
        <f t="shared" si="55"/>
        <v>0.4</v>
      </c>
      <c r="I253" s="152">
        <f t="shared" si="55"/>
        <v>0.4</v>
      </c>
      <c r="J253" s="152">
        <f t="shared" si="55"/>
        <v>0.4</v>
      </c>
      <c r="K253" s="152">
        <f t="shared" si="55"/>
        <v>0.4</v>
      </c>
      <c r="L253" s="152">
        <f t="shared" si="55"/>
        <v>0.4</v>
      </c>
      <c r="M253" s="152">
        <f t="shared" si="55"/>
        <v>0.4</v>
      </c>
      <c r="N253" s="152">
        <f t="shared" si="55"/>
        <v>0.4</v>
      </c>
      <c r="O253" s="152">
        <f t="shared" si="55"/>
        <v>0.4</v>
      </c>
      <c r="P253" s="152">
        <f t="shared" si="55"/>
        <v>0.4</v>
      </c>
      <c r="Q253" s="152">
        <f t="shared" si="55"/>
        <v>0.4</v>
      </c>
      <c r="R253" s="152">
        <f t="shared" si="55"/>
        <v>0.4</v>
      </c>
      <c r="S253" s="152">
        <f t="shared" si="55"/>
        <v>0.4</v>
      </c>
      <c r="T253" s="152">
        <f t="shared" si="56"/>
        <v>0.4</v>
      </c>
      <c r="U253" s="152">
        <f t="shared" si="56"/>
        <v>0.4</v>
      </c>
      <c r="V253" s="152">
        <f t="shared" si="56"/>
        <v>0.4</v>
      </c>
      <c r="W253" s="152">
        <f t="shared" si="56"/>
        <v>0.4</v>
      </c>
      <c r="X253" s="152">
        <f t="shared" si="56"/>
        <v>0.4</v>
      </c>
      <c r="Y253" s="152">
        <f t="shared" si="56"/>
        <v>0.4</v>
      </c>
      <c r="Z253" s="152">
        <f t="shared" si="56"/>
        <v>0.4</v>
      </c>
      <c r="AA253" s="152">
        <f t="shared" si="56"/>
        <v>0.4</v>
      </c>
      <c r="AB253" s="152">
        <f t="shared" si="56"/>
        <v>0.4</v>
      </c>
      <c r="AC253" s="152">
        <f t="shared" si="56"/>
        <v>0.4</v>
      </c>
      <c r="AD253" s="152">
        <f t="shared" si="56"/>
        <v>0.4</v>
      </c>
      <c r="AE253" s="152">
        <f t="shared" si="56"/>
        <v>0.4</v>
      </c>
      <c r="AF253" s="152">
        <f t="shared" si="56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4"/>
        <v>0.64</v>
      </c>
      <c r="C254" s="157">
        <v>0.64</v>
      </c>
      <c r="D254" s="157">
        <f t="shared" si="55"/>
        <v>0.64</v>
      </c>
      <c r="E254" s="157">
        <f t="shared" si="55"/>
        <v>0.64</v>
      </c>
      <c r="F254" s="157">
        <f t="shared" si="55"/>
        <v>0.64</v>
      </c>
      <c r="G254" s="157">
        <f t="shared" si="55"/>
        <v>0.64</v>
      </c>
      <c r="H254" s="157">
        <f t="shared" si="55"/>
        <v>0.64</v>
      </c>
      <c r="I254" s="157">
        <f t="shared" si="55"/>
        <v>0.64</v>
      </c>
      <c r="J254" s="157">
        <f t="shared" si="55"/>
        <v>0.64</v>
      </c>
      <c r="K254" s="157">
        <f t="shared" si="55"/>
        <v>0.64</v>
      </c>
      <c r="L254" s="157">
        <f t="shared" si="55"/>
        <v>0.64</v>
      </c>
      <c r="M254" s="157">
        <f t="shared" si="55"/>
        <v>0.64</v>
      </c>
      <c r="N254" s="157">
        <f t="shared" si="55"/>
        <v>0.64</v>
      </c>
      <c r="O254" s="157">
        <f t="shared" si="55"/>
        <v>0.64</v>
      </c>
      <c r="P254" s="157">
        <f t="shared" si="55"/>
        <v>0.64</v>
      </c>
      <c r="Q254" s="157">
        <f t="shared" si="55"/>
        <v>0.64</v>
      </c>
      <c r="R254" s="157">
        <f t="shared" si="55"/>
        <v>0.64</v>
      </c>
      <c r="S254" s="157">
        <f t="shared" si="55"/>
        <v>0.64</v>
      </c>
      <c r="T254" s="157">
        <f t="shared" si="56"/>
        <v>0.64</v>
      </c>
      <c r="U254" s="157">
        <f t="shared" si="56"/>
        <v>0.64</v>
      </c>
      <c r="V254" s="157">
        <f t="shared" si="56"/>
        <v>0.64</v>
      </c>
      <c r="W254" s="157">
        <f t="shared" si="56"/>
        <v>0.64</v>
      </c>
      <c r="X254" s="157">
        <f t="shared" si="56"/>
        <v>0.64</v>
      </c>
      <c r="Y254" s="157">
        <f t="shared" si="56"/>
        <v>0.64</v>
      </c>
      <c r="Z254" s="157">
        <f t="shared" si="56"/>
        <v>0.64</v>
      </c>
      <c r="AA254" s="157">
        <f t="shared" si="56"/>
        <v>0.64</v>
      </c>
      <c r="AB254" s="157">
        <f t="shared" si="56"/>
        <v>0.64</v>
      </c>
      <c r="AC254" s="157">
        <f t="shared" si="56"/>
        <v>0.64</v>
      </c>
      <c r="AD254" s="157">
        <f t="shared" si="56"/>
        <v>0.64</v>
      </c>
      <c r="AE254" s="157">
        <f t="shared" si="56"/>
        <v>0.64</v>
      </c>
      <c r="AF254" s="157">
        <f t="shared" si="56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7">SUM(B249:B254)</f>
        <v>3.54</v>
      </c>
      <c r="C255" s="161">
        <f t="shared" si="57"/>
        <v>3.54</v>
      </c>
      <c r="D255" s="161">
        <f t="shared" si="57"/>
        <v>3.54</v>
      </c>
      <c r="E255" s="161">
        <f t="shared" si="57"/>
        <v>3.54</v>
      </c>
      <c r="F255" s="161">
        <f t="shared" si="57"/>
        <v>3.54</v>
      </c>
      <c r="G255" s="161">
        <f t="shared" si="57"/>
        <v>3.54</v>
      </c>
      <c r="H255" s="161">
        <f t="shared" si="57"/>
        <v>3.54</v>
      </c>
      <c r="I255" s="161">
        <f t="shared" si="57"/>
        <v>3.54</v>
      </c>
      <c r="J255" s="161">
        <f t="shared" si="57"/>
        <v>3.54</v>
      </c>
      <c r="K255" s="161">
        <f t="shared" si="57"/>
        <v>3.54</v>
      </c>
      <c r="L255" s="161">
        <f t="shared" si="57"/>
        <v>3.54</v>
      </c>
      <c r="M255" s="161">
        <f t="shared" si="57"/>
        <v>3.54</v>
      </c>
      <c r="N255" s="161">
        <f t="shared" si="57"/>
        <v>3.54</v>
      </c>
      <c r="O255" s="161">
        <f t="shared" si="57"/>
        <v>3.54</v>
      </c>
      <c r="P255" s="161">
        <f t="shared" si="57"/>
        <v>3.54</v>
      </c>
      <c r="Q255" s="161">
        <f t="shared" si="57"/>
        <v>3.54</v>
      </c>
      <c r="R255" s="161">
        <f t="shared" si="57"/>
        <v>3.54</v>
      </c>
      <c r="S255" s="161">
        <f t="shared" si="57"/>
        <v>3.54</v>
      </c>
      <c r="T255" s="161">
        <f t="shared" si="57"/>
        <v>3.54</v>
      </c>
      <c r="U255" s="161">
        <f t="shared" si="57"/>
        <v>3.54</v>
      </c>
      <c r="V255" s="161">
        <f t="shared" si="57"/>
        <v>3.54</v>
      </c>
      <c r="W255" s="161">
        <f t="shared" si="57"/>
        <v>3.54</v>
      </c>
      <c r="X255" s="161">
        <f t="shared" si="57"/>
        <v>3.54</v>
      </c>
      <c r="Y255" s="161">
        <f t="shared" si="57"/>
        <v>3.54</v>
      </c>
      <c r="Z255" s="161">
        <f t="shared" si="57"/>
        <v>3.54</v>
      </c>
      <c r="AA255" s="161">
        <f t="shared" si="57"/>
        <v>3.54</v>
      </c>
      <c r="AB255" s="161">
        <f t="shared" si="57"/>
        <v>3.54</v>
      </c>
      <c r="AC255" s="161">
        <f t="shared" si="57"/>
        <v>3.54</v>
      </c>
      <c r="AD255" s="161">
        <f t="shared" si="57"/>
        <v>3.54</v>
      </c>
      <c r="AE255" s="161">
        <f t="shared" si="57"/>
        <v>3.54</v>
      </c>
      <c r="AF255" s="161">
        <f t="shared" si="57"/>
        <v>3.54</v>
      </c>
      <c r="AG255" s="171">
        <f t="shared" si="57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1989.54</v>
      </c>
      <c r="C259" s="174">
        <f>INDEX(G9:N9,1,MATCH(MAX(G102:N102),G102:N102,0))</f>
        <v>0.27083333333333331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4200" priority="80">
      <formula>$AH11=0</formula>
    </cfRule>
  </conditionalFormatting>
  <conditionalFormatting sqref="A89">
    <cfRule type="expression" dxfId="4199" priority="138">
      <formula>$AH94=0</formula>
    </cfRule>
  </conditionalFormatting>
  <conditionalFormatting sqref="A90:A94">
    <cfRule type="expression" dxfId="4198" priority="81">
      <formula>$AH89=0</formula>
    </cfRule>
  </conditionalFormatting>
  <conditionalFormatting sqref="B8">
    <cfRule type="expression" dxfId="4197" priority="134">
      <formula>AND(C$9&gt;=14/24,C$9&lt;20/24)</formula>
    </cfRule>
    <cfRule type="expression" dxfId="4196" priority="135">
      <formula>AND(C$9&gt;=8/24,C$9&lt;14/24)</formula>
    </cfRule>
    <cfRule type="expression" dxfId="4195" priority="136">
      <formula>C$9&lt;8/24</formula>
    </cfRule>
    <cfRule type="expression" dxfId="4194" priority="137">
      <formula>C$9&gt;=20/24</formula>
    </cfRule>
  </conditionalFormatting>
  <conditionalFormatting sqref="B11:P57 Q13:Z57 E62:P64 C62:D71 B62:B77 E66:Z77 C72:F77 AA72:AF77 B80:AF102 B9:AF10 B104:AF120 B122:AF140 B247:AF247 B249:B255">
    <cfRule type="expression" dxfId="4193" priority="41">
      <formula>B$9&gt;=20/24</formula>
    </cfRule>
  </conditionalFormatting>
  <conditionalFormatting sqref="B9:AF10 B11:P57 Q13:Z57 E62:P64 C62:D71 B62:B77 E66:Z77 C72:F77 AA72:AF77 B80:AF102 B104:AF120 B122:AF140 B247:AF247 B249:B255">
    <cfRule type="expression" dxfId="4192" priority="42">
      <formula>AND(B$9&gt;=14/24,B$9&lt;20/24)</formula>
    </cfRule>
    <cfRule type="expression" dxfId="4191" priority="43">
      <formula>AND(B$9&gt;=8/24,B$9&lt;14/24)</formula>
    </cfRule>
    <cfRule type="expression" dxfId="4190" priority="44">
      <formula>B$9&lt;8/24</formula>
    </cfRule>
  </conditionalFormatting>
  <conditionalFormatting sqref="B58:AF60">
    <cfRule type="expression" dxfId="4189" priority="37">
      <formula>B$9&gt;=20/24</formula>
    </cfRule>
    <cfRule type="expression" dxfId="4188" priority="38">
      <formula>AND(B$9&gt;=14/24,B$9&lt;20/24)</formula>
    </cfRule>
    <cfRule type="expression" dxfId="4187" priority="39">
      <formula>AND(B$9&gt;=8/24,B$9&lt;14/24)</formula>
    </cfRule>
    <cfRule type="expression" dxfId="4186" priority="49">
      <formula>B$9&lt;8/24</formula>
    </cfRule>
  </conditionalFormatting>
  <conditionalFormatting sqref="D249:AF255">
    <cfRule type="expression" dxfId="4185" priority="119">
      <formula>D$9&gt;=20/24</formula>
    </cfRule>
    <cfRule type="expression" dxfId="4184" priority="120">
      <formula>AND(D$9&gt;=14/24,D$9&lt;20/24)</formula>
    </cfRule>
    <cfRule type="expression" dxfId="4183" priority="121">
      <formula>AND(D$9&gt;=8/24,D$9&lt;14/24)</formula>
    </cfRule>
    <cfRule type="expression" dxfId="4182" priority="122">
      <formula>D$9&lt;8/24</formula>
    </cfRule>
  </conditionalFormatting>
  <conditionalFormatting sqref="E62:AF71">
    <cfRule type="expression" dxfId="4181" priority="45">
      <formula>E$9&gt;=20/24</formula>
    </cfRule>
    <cfRule type="expression" dxfId="4180" priority="46">
      <formula>AND(E$9&gt;=14/24,E$9&lt;20/24)</formula>
    </cfRule>
    <cfRule type="expression" dxfId="4179" priority="47">
      <formula>AND(E$9&gt;=8/24,E$9&lt;14/24)</formula>
    </cfRule>
    <cfRule type="expression" dxfId="4178" priority="48">
      <formula>E$9&lt;8/24</formula>
    </cfRule>
  </conditionalFormatting>
  <conditionalFormatting sqref="F66:Z68">
    <cfRule type="expression" dxfId="4177" priority="72">
      <formula>F$9&gt;=20/24</formula>
    </cfRule>
    <cfRule type="expression" dxfId="4176" priority="73">
      <formula>AND(F$9&gt;=14/24,F$9&lt;20/24)</formula>
    </cfRule>
    <cfRule type="expression" dxfId="4175" priority="74">
      <formula>AND(F$9&gt;=8/24,F$9&lt;14/24)</formula>
    </cfRule>
    <cfRule type="expression" dxfId="4174" priority="75">
      <formula>F$9&lt;8/24</formula>
    </cfRule>
  </conditionalFormatting>
  <conditionalFormatting sqref="H11:P60 AA11:AF60 B11:G83 Q13:R60 S13:Z83 AA61:AG61 H61:R83 AA62:AF64 AA65:AG65 AA66:AF83 AG83">
    <cfRule type="expression" dxfId="4173" priority="40">
      <formula>B11&gt;$AG11</formula>
    </cfRule>
  </conditionalFormatting>
  <conditionalFormatting sqref="L71:Z71">
    <cfRule type="expression" dxfId="4172" priority="68">
      <formula>L$9&gt;=20/24</formula>
    </cfRule>
    <cfRule type="expression" dxfId="4171" priority="69">
      <formula>AND(L$9&gt;=14/24,L$9&lt;20/24)</formula>
    </cfRule>
    <cfRule type="expression" dxfId="4170" priority="70">
      <formula>AND(L$9&gt;=8/24,L$9&lt;14/24)</formula>
    </cfRule>
    <cfRule type="expression" dxfId="4169" priority="71">
      <formula>L$9&lt;8/24</formula>
    </cfRule>
  </conditionalFormatting>
  <conditionalFormatting sqref="M8 S8 AB8">
    <cfRule type="expression" dxfId="4168" priority="126">
      <formula>AND(N$9&gt;=14/24,N$9&lt;20/24)</formula>
    </cfRule>
    <cfRule type="expression" dxfId="4167" priority="127">
      <formula>AND(N$9&gt;=8/24,N$9&lt;14/24)</formula>
    </cfRule>
    <cfRule type="expression" dxfId="4166" priority="128">
      <formula>N$9&lt;8/24</formula>
    </cfRule>
  </conditionalFormatting>
  <conditionalFormatting sqref="M66:Z70">
    <cfRule type="expression" dxfId="4165" priority="76">
      <formula>M$9&gt;=20/24</formula>
    </cfRule>
    <cfRule type="expression" dxfId="4164" priority="77">
      <formula>AND(M$9&gt;=14/24,M$9&lt;20/24)</formula>
    </cfRule>
    <cfRule type="expression" dxfId="4163" priority="78">
      <formula>AND(M$9&gt;=8/24,M$9&lt;14/24)</formula>
    </cfRule>
    <cfRule type="expression" dxfId="4162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Q11:Z12 AA11:AF57">
    <cfRule type="expression" dxfId="4161" priority="55">
      <formula>Q$9&gt;=20/24</formula>
    </cfRule>
    <cfRule type="expression" dxfId="4160" priority="56">
      <formula>AND(Q$9&gt;=14/24,Q$9&lt;20/24)</formula>
    </cfRule>
    <cfRule type="expression" dxfId="4159" priority="57">
      <formula>AND(Q$9&gt;=8/24,Q$9&lt;14/24)</formula>
    </cfRule>
    <cfRule type="expression" dxfId="4158" priority="58">
      <formula>Q$9&lt;8/24</formula>
    </cfRule>
  </conditionalFormatting>
  <conditionalFormatting sqref="Q11:Z12">
    <cfRule type="expression" dxfId="4157" priority="54">
      <formula>Q11&gt;$AG11</formula>
    </cfRule>
  </conditionalFormatting>
  <conditionalFormatting sqref="S8 AB8 M8">
    <cfRule type="expression" dxfId="4156" priority="125">
      <formula>N$9&gt;=20/24</formula>
    </cfRule>
  </conditionalFormatting>
  <conditionalFormatting sqref="S8">
    <cfRule type="expression" dxfId="4155" priority="112">
      <formula>U$9&gt;=20/24</formula>
    </cfRule>
    <cfRule type="expression" dxfId="4154" priority="113">
      <formula>AND(U$9&gt;=14/24,U$9&lt;20/24)</formula>
    </cfRule>
    <cfRule type="expression" dxfId="4153" priority="114">
      <formula>AND(U$9&gt;=8/24,U$9&lt;14/24)</formula>
    </cfRule>
    <cfRule type="expression" dxfId="4152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151" priority="108">
      <formula>AD$9&gt;=20/24</formula>
    </cfRule>
    <cfRule type="expression" dxfId="4150" priority="109">
      <formula>AND(AD$9&gt;=14/24,AD$9&lt;20/24)</formula>
    </cfRule>
    <cfRule type="expression" dxfId="4149" priority="110">
      <formula>AND(AD$9&gt;=8/24,AD$9&lt;14/24)</formula>
    </cfRule>
    <cfRule type="expression" dxfId="4148" priority="111">
      <formula>AD$9&lt;8/24</formula>
    </cfRule>
  </conditionalFormatting>
  <conditionalFormatting sqref="AG65">
    <cfRule type="expression" dxfId="4147" priority="87">
      <formula>AG$9&gt;=20/24</formula>
    </cfRule>
    <cfRule type="expression" dxfId="4146" priority="88">
      <formula>AND(AG$9&gt;=14/24,AG$9&lt;20/24)</formula>
    </cfRule>
    <cfRule type="expression" dxfId="4145" priority="89">
      <formula>AND(AG$9&gt;=8/24,AG$9&lt;14/24)</formula>
    </cfRule>
    <cfRule type="expression" dxfId="4144" priority="90">
      <formula>AG$9&lt;8/24</formula>
    </cfRule>
  </conditionalFormatting>
  <conditionalFormatting sqref="AG78:AG79">
    <cfRule type="expression" dxfId="4143" priority="82">
      <formula>AG78&gt;$AG78</formula>
    </cfRule>
  </conditionalFormatting>
  <conditionalFormatting sqref="AG83">
    <cfRule type="expression" dxfId="4142" priority="83">
      <formula>AG$9&gt;=20/24</formula>
    </cfRule>
    <cfRule type="expression" dxfId="4141" priority="84">
      <formula>AND(AG$9&gt;=14/24,AG$9&lt;20/24)</formula>
    </cfRule>
    <cfRule type="expression" dxfId="4140" priority="85">
      <formula>AND(AG$9&gt;=8/24,AG$9&lt;14/24)</formula>
    </cfRule>
    <cfRule type="expression" dxfId="4139" priority="86">
      <formula>AG$9&lt;8/24</formula>
    </cfRule>
  </conditionalFormatting>
  <conditionalFormatting sqref="AG100">
    <cfRule type="expression" dxfId="4138" priority="104">
      <formula>AG$9&gt;=20/24</formula>
    </cfRule>
    <cfRule type="expression" dxfId="4137" priority="105">
      <formula>AND(AG$9&gt;=14/24,AG$9&lt;20/24)</formula>
    </cfRule>
    <cfRule type="expression" dxfId="4136" priority="106">
      <formula>AND(AG$9&gt;=8/24,AG$9&lt;14/24)</formula>
    </cfRule>
    <cfRule type="expression" dxfId="4135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4134" priority="129">
      <formula>AJ$9&gt;=20/24</formula>
    </cfRule>
    <cfRule type="expression" dxfId="4133" priority="130">
      <formula>AND(AJ$9&gt;=14/24,AJ$9&lt;20/24)</formula>
    </cfRule>
    <cfRule type="expression" dxfId="4132" priority="131">
      <formula>AND(AJ$9&gt;=8/24,AJ$9&lt;14/24)</formula>
    </cfRule>
    <cfRule type="expression" dxfId="4131" priority="132">
      <formula>AJ$9&lt;8/24</formula>
    </cfRule>
  </conditionalFormatting>
  <conditionalFormatting sqref="AL86:AN86 AL92:AN92">
    <cfRule type="expression" dxfId="4130" priority="97">
      <formula>AL$9&gt;=20/24</formula>
    </cfRule>
    <cfRule type="expression" dxfId="4129" priority="98">
      <formula>AND(AL$9&gt;=14/24,AL$9&lt;20/24)</formula>
    </cfRule>
    <cfRule type="expression" dxfId="4128" priority="99">
      <formula>AND(AL$9&gt;=8/24,AL$9&lt;14/24)</formula>
    </cfRule>
    <cfRule type="expression" dxfId="4127" priority="100">
      <formula>AL$9&lt;8/24</formula>
    </cfRule>
  </conditionalFormatting>
  <conditionalFormatting sqref="AM15:AM21 AN16:AR21">
    <cfRule type="expression" dxfId="4126" priority="13">
      <formula>AX$9&gt;=20/24</formula>
    </cfRule>
    <cfRule type="expression" dxfId="4125" priority="14">
      <formula>AND(AX$9&gt;=14/24,AX$9&lt;20/24)</formula>
    </cfRule>
    <cfRule type="expression" dxfId="4124" priority="15">
      <formula>AND(AX$9&gt;=8/24,AX$9&lt;14/24)</formula>
    </cfRule>
    <cfRule type="expression" dxfId="4123" priority="16">
      <formula>AX$9&lt;8/24</formula>
    </cfRule>
  </conditionalFormatting>
  <conditionalFormatting sqref="AN87:AN90">
    <cfRule type="expression" dxfId="4122" priority="93">
      <formula>AN$9&gt;=20/24</formula>
    </cfRule>
    <cfRule type="expression" dxfId="4121" priority="94">
      <formula>AND(AN$9&gt;=14/24,AN$9&lt;20/24)</formula>
    </cfRule>
    <cfRule type="expression" dxfId="4120" priority="95">
      <formula>AND(AN$9&gt;=8/24,AN$9&lt;14/24)</formula>
    </cfRule>
    <cfRule type="expression" dxfId="4119" priority="96">
      <formula>AN$9&lt;8/24</formula>
    </cfRule>
  </conditionalFormatting>
  <conditionalFormatting sqref="AN15:AR15">
    <cfRule type="expression" dxfId="4118" priority="1">
      <formula>U$9&gt;=20/24</formula>
    </cfRule>
    <cfRule type="expression" dxfId="4117" priority="2">
      <formula>AND(U$9&gt;=14/24,U$9&lt;20/24)</formula>
    </cfRule>
    <cfRule type="expression" dxfId="4116" priority="3">
      <formula>AND(U$9&gt;=8/24,U$9&lt;14/24)</formula>
    </cfRule>
    <cfRule type="expression" dxfId="4115" priority="4">
      <formula>U$9&lt;8/24</formula>
    </cfRule>
  </conditionalFormatting>
  <conditionalFormatting sqref="AS15">
    <cfRule type="expression" dxfId="4114" priority="9">
      <formula>AA$9&gt;=20/24</formula>
    </cfRule>
    <cfRule type="expression" dxfId="4113" priority="10">
      <formula>AND(AA$9&gt;=14/24,AA$9&lt;20/24)</formula>
    </cfRule>
    <cfRule type="expression" dxfId="4112" priority="11">
      <formula>AND(AA$9&gt;=8/24,AA$9&lt;14/24)</formula>
    </cfRule>
    <cfRule type="expression" dxfId="4111" priority="12">
      <formula>AA$9&lt;8/24</formula>
    </cfRule>
  </conditionalFormatting>
  <conditionalFormatting sqref="AS16:AS21">
    <cfRule type="expression" dxfId="4110" priority="17">
      <formula>BE$9&gt;=20/24</formula>
    </cfRule>
    <cfRule type="expression" dxfId="4109" priority="18">
      <formula>AND(BE$9&gt;=14/24,BE$9&lt;20/24)</formula>
    </cfRule>
    <cfRule type="expression" dxfId="4108" priority="19">
      <formula>AND(BE$9&gt;=8/24,BE$9&lt;14/24)</formula>
    </cfRule>
    <cfRule type="expression" dxfId="4107" priority="20">
      <formula>BE$9&lt;8/24</formula>
    </cfRule>
  </conditionalFormatting>
  <conditionalFormatting sqref="AT15 AX15:BJ15">
    <cfRule type="expression" dxfId="4106" priority="21">
      <formula>AC$9&gt;=20/24</formula>
    </cfRule>
    <cfRule type="expression" dxfId="4105" priority="22">
      <formula>AND(AC$9&gt;=14/24,AC$9&lt;20/24)</formula>
    </cfRule>
    <cfRule type="expression" dxfId="4104" priority="23">
      <formula>AND(AC$9&gt;=8/24,AC$9&lt;14/24)</formula>
    </cfRule>
    <cfRule type="expression" dxfId="4103" priority="24">
      <formula>AC$9&lt;8/24</formula>
    </cfRule>
  </conditionalFormatting>
  <conditionalFormatting sqref="AT16:AT21">
    <cfRule type="expression" dxfId="4102" priority="25">
      <formula>BG$9&gt;=20/24</formula>
    </cfRule>
    <cfRule type="expression" dxfId="4101" priority="26">
      <formula>AND(BG$9&gt;=14/24,BG$9&lt;20/24)</formula>
    </cfRule>
    <cfRule type="expression" dxfId="4100" priority="27">
      <formula>AND(BG$9&gt;=8/24,BG$9&lt;14/24)</formula>
    </cfRule>
    <cfRule type="expression" dxfId="4099" priority="28">
      <formula>BG$9&lt;8/24</formula>
    </cfRule>
  </conditionalFormatting>
  <conditionalFormatting sqref="AU15:AV15">
    <cfRule type="expression" dxfId="4098" priority="29">
      <formula>AE$9&gt;=20/24</formula>
    </cfRule>
    <cfRule type="expression" dxfId="4097" priority="30">
      <formula>AND(AE$9&gt;=14/24,AE$9&lt;20/24)</formula>
    </cfRule>
    <cfRule type="expression" dxfId="4096" priority="31">
      <formula>AND(AE$9&gt;=8/24,AE$9&lt;14/24)</formula>
    </cfRule>
    <cfRule type="expression" dxfId="4095" priority="32">
      <formula>AE$9&lt;8/24</formula>
    </cfRule>
  </conditionalFormatting>
  <conditionalFormatting sqref="AU16:BJ21">
    <cfRule type="expression" dxfId="4094" priority="33">
      <formula>BI$9&gt;=20/24</formula>
    </cfRule>
    <cfRule type="expression" dxfId="4093" priority="34">
      <formula>AND(BI$9&gt;=14/24,BI$9&lt;20/24)</formula>
    </cfRule>
    <cfRule type="expression" dxfId="4092" priority="35">
      <formula>AND(BI$9&gt;=8/24,BI$9&lt;14/24)</formula>
    </cfRule>
    <cfRule type="expression" dxfId="4091" priority="36">
      <formula>BI$9&lt;8/24</formula>
    </cfRule>
  </conditionalFormatting>
  <conditionalFormatting sqref="AW15">
    <cfRule type="expression" dxfId="4090" priority="5">
      <formula>B$9&gt;=20/24</formula>
    </cfRule>
    <cfRule type="expression" dxfId="4089" priority="6">
      <formula>AND(B$9&gt;=14/24,B$9&lt;20/24)</formula>
    </cfRule>
    <cfRule type="expression" dxfId="4088" priority="7">
      <formula>AND(B$9&gt;=8/24,B$9&lt;14/24)</formula>
    </cfRule>
    <cfRule type="expression" dxfId="408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FA9A-BEC7-467E-BE69-FAA80601C89A}">
  <dimension ref="A1:CJ297"/>
  <sheetViews>
    <sheetView zoomScale="106" workbookViewId="0">
      <pane xSplit="1" ySplit="10" topLeftCell="B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100" sqref="A100:AF10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</v>
      </c>
      <c r="C4" s="189"/>
      <c r="D4" s="189"/>
      <c r="E4" s="190" t="str">
        <f ca="1">"2080/"&amp;"10/"&amp;INT(MID(CELL("filename",G6),FIND("]",CELL("filename",G6))+1,200))</f>
        <v>2080/10/2</v>
      </c>
      <c r="F4" s="190"/>
      <c r="G4" s="190"/>
      <c r="H4" s="190" t="str">
        <f ca="1">TEXT(E4,"dddd")</f>
        <v>Wednesday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23.9</v>
      </c>
      <c r="C5" s="30">
        <f t="shared" si="0"/>
        <v>23.6</v>
      </c>
      <c r="D5" s="30">
        <f t="shared" si="0"/>
        <v>18.100000000000001</v>
      </c>
      <c r="E5" s="30">
        <f t="shared" si="0"/>
        <v>18.100000000000001</v>
      </c>
      <c r="F5" s="30">
        <f t="shared" si="0"/>
        <v>23.1</v>
      </c>
      <c r="G5" s="30">
        <f t="shared" si="0"/>
        <v>11</v>
      </c>
      <c r="H5" s="30">
        <f t="shared" si="0"/>
        <v>15</v>
      </c>
      <c r="I5" s="30">
        <f t="shared" si="0"/>
        <v>15</v>
      </c>
      <c r="J5" s="30">
        <f t="shared" si="0"/>
        <v>58.2</v>
      </c>
      <c r="K5" s="30">
        <f t="shared" si="0"/>
        <v>56.4</v>
      </c>
      <c r="L5" s="30">
        <f t="shared" si="0"/>
        <v>42.9</v>
      </c>
      <c r="M5" s="30">
        <f t="shared" si="0"/>
        <v>48.6</v>
      </c>
      <c r="N5" s="30">
        <f t="shared" si="0"/>
        <v>55.9</v>
      </c>
      <c r="O5" s="30">
        <f t="shared" si="0"/>
        <v>64.7</v>
      </c>
      <c r="P5" s="30">
        <f t="shared" si="0"/>
        <v>70</v>
      </c>
      <c r="Q5" s="30">
        <f t="shared" si="0"/>
        <v>71.5</v>
      </c>
      <c r="R5" s="30">
        <f t="shared" si="0"/>
        <v>71.900000000000006</v>
      </c>
      <c r="S5" s="30">
        <f t="shared" si="0"/>
        <v>68.400000000000006</v>
      </c>
      <c r="T5" s="30">
        <f t="shared" si="0"/>
        <v>72.8</v>
      </c>
      <c r="U5" s="30">
        <f t="shared" si="0"/>
        <v>54.6</v>
      </c>
      <c r="V5" s="30">
        <f t="shared" si="0"/>
        <v>51</v>
      </c>
      <c r="W5" s="30">
        <f t="shared" si="0"/>
        <v>47.5</v>
      </c>
      <c r="X5" s="30">
        <f t="shared" si="0"/>
        <v>21</v>
      </c>
      <c r="Y5" s="30">
        <f t="shared" si="0"/>
        <v>11.8</v>
      </c>
      <c r="Z5" s="30">
        <f t="shared" si="0"/>
        <v>13.3</v>
      </c>
      <c r="AA5" s="30">
        <f t="shared" si="0"/>
        <v>22.5</v>
      </c>
      <c r="AB5" s="30">
        <f t="shared" si="0"/>
        <v>22.6</v>
      </c>
      <c r="AC5" s="30">
        <f t="shared" si="0"/>
        <v>21.1</v>
      </c>
      <c r="AD5" s="30">
        <f t="shared" si="0"/>
        <v>24.1</v>
      </c>
      <c r="AE5" s="30">
        <f t="shared" si="0"/>
        <v>20.100000000000001</v>
      </c>
      <c r="AF5" s="30">
        <f>B95</f>
        <v>19.5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2131MW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Load=1585</v>
      </c>
      <c r="B7" s="35">
        <f t="shared" ref="B7:AF7" si="1">B103</f>
        <v>1814.94</v>
      </c>
      <c r="C7" s="35">
        <f t="shared" si="1"/>
        <v>1784.8400000000004</v>
      </c>
      <c r="D7" s="35">
        <f t="shared" si="1"/>
        <v>1699.4399999999996</v>
      </c>
      <c r="E7" s="35">
        <f t="shared" si="1"/>
        <v>1585.1400000000003</v>
      </c>
      <c r="F7" s="35">
        <f t="shared" si="1"/>
        <v>1589.1400000000003</v>
      </c>
      <c r="G7" s="35">
        <f t="shared" si="1"/>
        <v>1709.3399999999997</v>
      </c>
      <c r="H7" s="35">
        <f t="shared" si="1"/>
        <v>1691.6399999999999</v>
      </c>
      <c r="I7" s="35">
        <f t="shared" si="1"/>
        <v>1672.1399999999999</v>
      </c>
      <c r="J7" s="35">
        <f t="shared" si="1"/>
        <v>1607.1399999999999</v>
      </c>
      <c r="K7" s="35">
        <f t="shared" si="1"/>
        <v>1643.34</v>
      </c>
      <c r="L7" s="35">
        <f t="shared" si="1"/>
        <v>1727.8400000000001</v>
      </c>
      <c r="M7" s="35">
        <f t="shared" si="1"/>
        <v>1699.34</v>
      </c>
      <c r="N7" s="35">
        <f t="shared" si="1"/>
        <v>1829.1399999999996</v>
      </c>
      <c r="O7" s="35">
        <f t="shared" si="1"/>
        <v>1847.94</v>
      </c>
      <c r="P7" s="35">
        <f t="shared" si="1"/>
        <v>1913.8399999999997</v>
      </c>
      <c r="Q7" s="35">
        <f t="shared" si="1"/>
        <v>1912.1399999999999</v>
      </c>
      <c r="R7" s="35">
        <f t="shared" si="1"/>
        <v>1856.1399999999999</v>
      </c>
      <c r="S7" s="35">
        <f t="shared" si="1"/>
        <v>1928.6400000000003</v>
      </c>
      <c r="T7" s="35">
        <f t="shared" si="1"/>
        <v>1867.04</v>
      </c>
      <c r="U7" s="35">
        <f t="shared" si="1"/>
        <v>1888.6399999999999</v>
      </c>
      <c r="V7" s="35">
        <f t="shared" si="1"/>
        <v>1716.2399999999998</v>
      </c>
      <c r="W7" s="35">
        <f t="shared" si="1"/>
        <v>1701.34</v>
      </c>
      <c r="X7" s="35">
        <f t="shared" si="1"/>
        <v>1617.2399999999998</v>
      </c>
      <c r="Y7" s="35">
        <f t="shared" si="1"/>
        <v>1622.3</v>
      </c>
      <c r="Z7" s="35">
        <f t="shared" si="1"/>
        <v>1713.6999999999998</v>
      </c>
      <c r="AA7" s="35">
        <f t="shared" si="1"/>
        <v>1845.6999999999998</v>
      </c>
      <c r="AB7" s="35">
        <f t="shared" si="1"/>
        <v>1724.4399999999998</v>
      </c>
      <c r="AC7" s="35">
        <f t="shared" si="1"/>
        <v>1752.3399999999997</v>
      </c>
      <c r="AD7" s="35">
        <f t="shared" si="1"/>
        <v>1709.0399999999995</v>
      </c>
      <c r="AE7" s="35">
        <f t="shared" si="1"/>
        <v>1695.6399999999999</v>
      </c>
      <c r="AF7" s="35">
        <f t="shared" si="1"/>
        <v>1659.2399999999998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2131.34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1928.64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31</v>
      </c>
      <c r="C11" s="46">
        <v>30.1</v>
      </c>
      <c r="D11" s="46">
        <v>30.1</v>
      </c>
      <c r="E11" s="46">
        <v>30.4</v>
      </c>
      <c r="F11" s="46">
        <v>30.4</v>
      </c>
      <c r="G11" s="46">
        <v>31.4</v>
      </c>
      <c r="H11" s="46">
        <v>31.4</v>
      </c>
      <c r="I11" s="46">
        <v>31.4</v>
      </c>
      <c r="J11" s="46">
        <v>31.4</v>
      </c>
      <c r="K11" s="46">
        <v>31.4</v>
      </c>
      <c r="L11" s="46">
        <v>46.8</v>
      </c>
      <c r="M11" s="46">
        <v>34.9</v>
      </c>
      <c r="N11" s="46">
        <v>53</v>
      </c>
      <c r="O11" s="46">
        <v>53</v>
      </c>
      <c r="P11" s="46">
        <v>48.2</v>
      </c>
      <c r="Q11" s="46">
        <v>34.5</v>
      </c>
      <c r="R11" s="46">
        <v>42.5</v>
      </c>
      <c r="S11" s="46">
        <v>42.5</v>
      </c>
      <c r="T11" s="46">
        <v>42.5</v>
      </c>
      <c r="U11" s="46">
        <v>42.5</v>
      </c>
      <c r="V11" s="46">
        <v>42.5</v>
      </c>
      <c r="W11" s="46">
        <v>42.5</v>
      </c>
      <c r="X11" s="46">
        <v>42.5</v>
      </c>
      <c r="Y11" s="46">
        <v>42.5</v>
      </c>
      <c r="Z11" s="46">
        <v>42.5</v>
      </c>
      <c r="AA11" s="46">
        <v>28</v>
      </c>
      <c r="AB11" s="46">
        <v>38.9</v>
      </c>
      <c r="AC11" s="46">
        <v>36.700000000000003</v>
      </c>
      <c r="AD11" s="46">
        <v>34.700000000000003</v>
      </c>
      <c r="AE11" s="46">
        <v>31.3</v>
      </c>
      <c r="AF11" s="46">
        <v>30.9</v>
      </c>
      <c r="AG11" s="47">
        <v>86</v>
      </c>
      <c r="AH11" s="48">
        <f t="shared" ref="AH11:AH74" si="2">MAX(B11:AF11)</f>
        <v>53</v>
      </c>
      <c r="AI11" s="49">
        <f t="shared" ref="AI11:AI74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39</v>
      </c>
      <c r="C12" s="46">
        <v>37.1</v>
      </c>
      <c r="D12" s="46">
        <v>37.1</v>
      </c>
      <c r="E12" s="46">
        <v>34</v>
      </c>
      <c r="F12" s="46">
        <v>34</v>
      </c>
      <c r="G12" s="46">
        <v>34</v>
      </c>
      <c r="H12" s="46">
        <v>34</v>
      </c>
      <c r="I12" s="46">
        <v>34</v>
      </c>
      <c r="J12" s="46">
        <v>34</v>
      </c>
      <c r="K12" s="46">
        <v>34</v>
      </c>
      <c r="L12" s="46">
        <v>34.5</v>
      </c>
      <c r="M12" s="46">
        <v>30.7</v>
      </c>
      <c r="N12" s="46">
        <v>30.7</v>
      </c>
      <c r="O12" s="46">
        <v>30.7</v>
      </c>
      <c r="P12" s="46">
        <v>30.7</v>
      </c>
      <c r="Q12" s="46">
        <v>30.7</v>
      </c>
      <c r="R12" s="46">
        <v>27.1</v>
      </c>
      <c r="S12" s="46">
        <v>27.1</v>
      </c>
      <c r="T12" s="46">
        <v>27.1</v>
      </c>
      <c r="U12" s="46">
        <v>27.1</v>
      </c>
      <c r="V12" s="46">
        <v>27.1</v>
      </c>
      <c r="W12" s="46">
        <v>27.1</v>
      </c>
      <c r="X12" s="46">
        <v>27.1</v>
      </c>
      <c r="Y12" s="46">
        <v>27.1</v>
      </c>
      <c r="Z12" s="46">
        <v>27.1</v>
      </c>
      <c r="AA12" s="46">
        <v>40</v>
      </c>
      <c r="AB12" s="46">
        <v>40</v>
      </c>
      <c r="AC12" s="46">
        <v>43</v>
      </c>
      <c r="AD12" s="46">
        <v>43</v>
      </c>
      <c r="AE12" s="46">
        <v>43</v>
      </c>
      <c r="AF12" s="46">
        <v>43</v>
      </c>
      <c r="AG12" s="50">
        <v>77</v>
      </c>
      <c r="AH12" s="48">
        <f t="shared" si="2"/>
        <v>43</v>
      </c>
      <c r="AI12" s="49">
        <f t="shared" si="3"/>
        <v>27.1</v>
      </c>
      <c r="AK12" s="51"/>
      <c r="AL12" s="52" t="str">
        <f ca="1">MID(CELL("filename",C7),FIND("]",CELL("filename",C7))+1,600)</f>
        <v>02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22</v>
      </c>
      <c r="C13" s="46">
        <v>0</v>
      </c>
      <c r="D13" s="46">
        <v>0</v>
      </c>
      <c r="E13" s="46">
        <v>0</v>
      </c>
      <c r="F13" s="46">
        <v>0</v>
      </c>
      <c r="G13" s="46">
        <v>69</v>
      </c>
      <c r="H13" s="46">
        <v>70.400000000000006</v>
      </c>
      <c r="I13" s="46">
        <v>70.400000000000006</v>
      </c>
      <c r="J13" s="46">
        <v>70.400000000000006</v>
      </c>
      <c r="K13" s="46">
        <v>70.400000000000006</v>
      </c>
      <c r="L13" s="46">
        <v>70.400000000000006</v>
      </c>
      <c r="M13" s="46">
        <v>47.1</v>
      </c>
      <c r="N13" s="46">
        <v>0</v>
      </c>
      <c r="O13" s="46">
        <v>0</v>
      </c>
      <c r="P13" s="46">
        <v>0</v>
      </c>
      <c r="Q13" s="46">
        <v>0</v>
      </c>
      <c r="R13" s="46">
        <v>71.8</v>
      </c>
      <c r="S13" s="46">
        <v>71.8</v>
      </c>
      <c r="T13" s="46">
        <v>71.8</v>
      </c>
      <c r="U13" s="46">
        <v>71.8</v>
      </c>
      <c r="V13" s="46">
        <v>53.7</v>
      </c>
      <c r="W13" s="46">
        <v>53.7</v>
      </c>
      <c r="X13" s="46">
        <v>53.7</v>
      </c>
      <c r="Y13" s="46">
        <v>53.7</v>
      </c>
      <c r="Z13" s="46">
        <v>53.7</v>
      </c>
      <c r="AA13" s="46">
        <v>53.7</v>
      </c>
      <c r="AB13" s="46">
        <v>53.7</v>
      </c>
      <c r="AC13" s="46">
        <v>53.7</v>
      </c>
      <c r="AD13" s="46">
        <v>53</v>
      </c>
      <c r="AE13" s="46">
        <v>53</v>
      </c>
      <c r="AF13" s="46">
        <v>53</v>
      </c>
      <c r="AG13" s="50">
        <v>73</v>
      </c>
      <c r="AH13" s="48">
        <f t="shared" si="2"/>
        <v>71.8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41</v>
      </c>
      <c r="C14" s="46">
        <v>41</v>
      </c>
      <c r="D14" s="46">
        <v>41</v>
      </c>
      <c r="E14" s="46">
        <v>41</v>
      </c>
      <c r="F14" s="46">
        <v>41</v>
      </c>
      <c r="G14" s="46">
        <v>41.2</v>
      </c>
      <c r="H14" s="46">
        <v>41.2</v>
      </c>
      <c r="I14" s="46">
        <v>41.2</v>
      </c>
      <c r="J14" s="46">
        <v>41.2</v>
      </c>
      <c r="K14" s="46">
        <v>41.2</v>
      </c>
      <c r="L14" s="46">
        <v>42.5</v>
      </c>
      <c r="M14" s="46">
        <v>40.200000000000003</v>
      </c>
      <c r="N14" s="46">
        <v>40.200000000000003</v>
      </c>
      <c r="O14" s="46">
        <v>40.200000000000003</v>
      </c>
      <c r="P14" s="46">
        <v>40.200000000000003</v>
      </c>
      <c r="Q14" s="46">
        <v>40.200000000000003</v>
      </c>
      <c r="R14" s="46">
        <v>40.799999999999997</v>
      </c>
      <c r="S14" s="46">
        <v>40.799999999999997</v>
      </c>
      <c r="T14" s="46">
        <v>40.799999999999997</v>
      </c>
      <c r="U14" s="46">
        <v>40.799999999999997</v>
      </c>
      <c r="V14" s="46">
        <v>40.799999999999997</v>
      </c>
      <c r="W14" s="46">
        <v>40.799999999999997</v>
      </c>
      <c r="X14" s="46">
        <v>40.799999999999997</v>
      </c>
      <c r="Y14" s="46">
        <v>40.799999999999997</v>
      </c>
      <c r="Z14" s="46">
        <v>40.799999999999997</v>
      </c>
      <c r="AA14" s="46">
        <v>40.799999999999997</v>
      </c>
      <c r="AB14" s="46">
        <v>40.799999999999997</v>
      </c>
      <c r="AC14" s="46">
        <v>40.799999999999997</v>
      </c>
      <c r="AD14" s="46">
        <v>40.799999999999997</v>
      </c>
      <c r="AE14" s="46">
        <v>40.799999999999997</v>
      </c>
      <c r="AF14" s="46">
        <v>40.799999999999997</v>
      </c>
      <c r="AG14" s="50">
        <v>71</v>
      </c>
      <c r="AH14" s="48">
        <f t="shared" si="2"/>
        <v>42.5</v>
      </c>
      <c r="AI14" s="49">
        <f t="shared" si="3"/>
        <v>40.200000000000003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27.8</v>
      </c>
      <c r="C15" s="46">
        <v>27.8</v>
      </c>
      <c r="D15" s="46">
        <v>27.8</v>
      </c>
      <c r="E15" s="46">
        <v>27.8</v>
      </c>
      <c r="F15" s="46">
        <v>27.8</v>
      </c>
      <c r="G15" s="46">
        <v>27.8</v>
      </c>
      <c r="H15" s="46">
        <v>27.8</v>
      </c>
      <c r="I15" s="46">
        <v>27.8</v>
      </c>
      <c r="J15" s="46">
        <v>27.8</v>
      </c>
      <c r="K15" s="46">
        <v>27.8</v>
      </c>
      <c r="L15" s="46">
        <v>28</v>
      </c>
      <c r="M15" s="46">
        <v>24.6</v>
      </c>
      <c r="N15" s="46">
        <v>24.6</v>
      </c>
      <c r="O15" s="46">
        <v>24.6</v>
      </c>
      <c r="P15" s="46">
        <v>24.6</v>
      </c>
      <c r="Q15" s="46">
        <v>24.6</v>
      </c>
      <c r="R15" s="46">
        <v>21.2</v>
      </c>
      <c r="S15" s="46">
        <v>21.2</v>
      </c>
      <c r="T15" s="46">
        <v>21.2</v>
      </c>
      <c r="U15" s="46">
        <v>21.2</v>
      </c>
      <c r="V15" s="46">
        <v>21.2</v>
      </c>
      <c r="W15" s="46">
        <v>21.2</v>
      </c>
      <c r="X15" s="46">
        <v>21.2</v>
      </c>
      <c r="Y15" s="46">
        <v>21.2</v>
      </c>
      <c r="Z15" s="46">
        <v>21.2</v>
      </c>
      <c r="AA15" s="46">
        <v>25</v>
      </c>
      <c r="AB15" s="46">
        <v>25</v>
      </c>
      <c r="AC15" s="46">
        <v>25</v>
      </c>
      <c r="AD15" s="46">
        <v>25</v>
      </c>
      <c r="AE15" s="46">
        <v>25</v>
      </c>
      <c r="AF15" s="46">
        <v>25</v>
      </c>
      <c r="AG15" s="50">
        <v>54</v>
      </c>
      <c r="AH15" s="48">
        <f t="shared" si="2"/>
        <v>28</v>
      </c>
      <c r="AI15" s="49">
        <f t="shared" si="3"/>
        <v>21.2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27.2</v>
      </c>
      <c r="C16" s="46">
        <v>27.2</v>
      </c>
      <c r="D16" s="46">
        <v>27.2</v>
      </c>
      <c r="E16" s="46">
        <v>27.2</v>
      </c>
      <c r="F16" s="46">
        <v>27.2</v>
      </c>
      <c r="G16" s="46">
        <v>27.2</v>
      </c>
      <c r="H16" s="46">
        <v>27.2</v>
      </c>
      <c r="I16" s="46">
        <v>27.2</v>
      </c>
      <c r="J16" s="46">
        <v>27.2</v>
      </c>
      <c r="K16" s="46">
        <v>27.2</v>
      </c>
      <c r="L16" s="46">
        <v>27.2</v>
      </c>
      <c r="M16" s="46">
        <v>27.2</v>
      </c>
      <c r="N16" s="46">
        <v>27.2</v>
      </c>
      <c r="O16" s="46">
        <v>27.2</v>
      </c>
      <c r="P16" s="46">
        <v>27.2</v>
      </c>
      <c r="Q16" s="46">
        <v>27.2</v>
      </c>
      <c r="R16" s="46">
        <v>27.2</v>
      </c>
      <c r="S16" s="46">
        <v>27.2</v>
      </c>
      <c r="T16" s="46">
        <v>27.2</v>
      </c>
      <c r="U16" s="46">
        <v>27.2</v>
      </c>
      <c r="V16" s="46">
        <v>27.2</v>
      </c>
      <c r="W16" s="46">
        <v>27.2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27.2</v>
      </c>
      <c r="AK16" s="51"/>
      <c r="AL16" s="54" t="s">
        <v>7</v>
      </c>
      <c r="AM16" s="59">
        <f t="shared" ref="AM16:AR16" si="4">B61</f>
        <v>883.7</v>
      </c>
      <c r="AN16" s="59">
        <f t="shared" si="4"/>
        <v>858.9</v>
      </c>
      <c r="AO16" s="59">
        <f t="shared" si="4"/>
        <v>858.9</v>
      </c>
      <c r="AP16" s="59">
        <f t="shared" si="4"/>
        <v>856.1</v>
      </c>
      <c r="AQ16" s="59">
        <f t="shared" si="4"/>
        <v>856.1</v>
      </c>
      <c r="AR16" s="59">
        <f t="shared" si="4"/>
        <v>926.30000000000007</v>
      </c>
      <c r="AS16" s="59">
        <f>I61</f>
        <v>915.2</v>
      </c>
      <c r="AT16" s="59">
        <f>K61</f>
        <v>915.2</v>
      </c>
      <c r="AU16" s="59">
        <f t="shared" ref="AU16:BD16" si="5">M61</f>
        <v>887.9</v>
      </c>
      <c r="AV16" s="59">
        <f t="shared" si="5"/>
        <v>858.9</v>
      </c>
      <c r="AW16" s="59">
        <f t="shared" si="5"/>
        <v>858.9</v>
      </c>
      <c r="AX16" s="59">
        <f t="shared" si="5"/>
        <v>854.1</v>
      </c>
      <c r="AY16" s="59">
        <f t="shared" si="5"/>
        <v>840.4</v>
      </c>
      <c r="AZ16" s="59">
        <f t="shared" si="5"/>
        <v>848.9</v>
      </c>
      <c r="BA16" s="59">
        <f t="shared" si="5"/>
        <v>848.9</v>
      </c>
      <c r="BB16" s="59">
        <f t="shared" si="5"/>
        <v>848.9</v>
      </c>
      <c r="BC16" s="59">
        <f t="shared" si="5"/>
        <v>848.9</v>
      </c>
      <c r="BD16" s="59">
        <f t="shared" si="5"/>
        <v>830.8</v>
      </c>
      <c r="BE16" s="60">
        <f>X61</f>
        <v>830.8</v>
      </c>
      <c r="BF16" s="60">
        <f>Z61</f>
        <v>830.8</v>
      </c>
      <c r="BG16" s="60">
        <f>AB61</f>
        <v>883.0999999999998</v>
      </c>
      <c r="BH16" s="60">
        <f>AD61</f>
        <v>892.0999999999998</v>
      </c>
      <c r="BI16" s="60">
        <f>AE61</f>
        <v>888.69999999999982</v>
      </c>
      <c r="BJ16" s="60">
        <f>AF61</f>
        <v>888.29999999999984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54.5</v>
      </c>
      <c r="C17" s="46">
        <v>54.5</v>
      </c>
      <c r="D17" s="46">
        <v>54.5</v>
      </c>
      <c r="E17" s="46">
        <v>54.5</v>
      </c>
      <c r="F17" s="46">
        <v>54.5</v>
      </c>
      <c r="G17" s="46">
        <v>54.5</v>
      </c>
      <c r="H17" s="46">
        <v>54.5</v>
      </c>
      <c r="I17" s="46">
        <v>42</v>
      </c>
      <c r="J17" s="46">
        <v>42</v>
      </c>
      <c r="K17" s="46">
        <v>42</v>
      </c>
      <c r="L17" s="46">
        <v>42</v>
      </c>
      <c r="M17" s="46">
        <v>42</v>
      </c>
      <c r="N17" s="46">
        <v>42</v>
      </c>
      <c r="O17" s="46">
        <v>42</v>
      </c>
      <c r="P17" s="46">
        <v>42</v>
      </c>
      <c r="Q17" s="46">
        <v>42</v>
      </c>
      <c r="R17" s="46">
        <v>38</v>
      </c>
      <c r="S17" s="46">
        <v>38</v>
      </c>
      <c r="T17" s="46">
        <v>38</v>
      </c>
      <c r="U17" s="46">
        <v>38</v>
      </c>
      <c r="V17" s="46">
        <v>38</v>
      </c>
      <c r="W17" s="46">
        <v>38</v>
      </c>
      <c r="X17" s="46">
        <v>38</v>
      </c>
      <c r="Y17" s="46">
        <v>38</v>
      </c>
      <c r="Z17" s="46">
        <v>38</v>
      </c>
      <c r="AA17" s="46">
        <v>38</v>
      </c>
      <c r="AB17" s="46">
        <v>38</v>
      </c>
      <c r="AC17" s="46">
        <v>38</v>
      </c>
      <c r="AD17" s="46">
        <v>38</v>
      </c>
      <c r="AE17" s="46">
        <v>38</v>
      </c>
      <c r="AF17" s="46">
        <v>38</v>
      </c>
      <c r="AG17" s="47">
        <v>52.4</v>
      </c>
      <c r="AH17" s="48">
        <f t="shared" si="2"/>
        <v>54.5</v>
      </c>
      <c r="AI17" s="49">
        <f t="shared" si="3"/>
        <v>38</v>
      </c>
      <c r="AK17" s="51"/>
      <c r="AL17" s="54" t="s">
        <v>27</v>
      </c>
      <c r="AM17" s="59">
        <f t="shared" ref="AM17:AR17" si="6">B65</f>
        <v>512.79999999999995</v>
      </c>
      <c r="AN17" s="59">
        <f t="shared" si="6"/>
        <v>512.79999999999995</v>
      </c>
      <c r="AO17" s="59">
        <f t="shared" si="6"/>
        <v>512.79999999999995</v>
      </c>
      <c r="AP17" s="59">
        <f t="shared" si="6"/>
        <v>512.79999999999995</v>
      </c>
      <c r="AQ17" s="59">
        <f t="shared" si="6"/>
        <v>512.79999999999995</v>
      </c>
      <c r="AR17" s="59">
        <f t="shared" si="6"/>
        <v>512.79999999999995</v>
      </c>
      <c r="AS17" s="59">
        <f>I65</f>
        <v>512.79999999999995</v>
      </c>
      <c r="AT17" s="59">
        <f>K65</f>
        <v>512.79999999999995</v>
      </c>
      <c r="AU17" s="59">
        <f t="shared" ref="AU17:BD17" si="7">M65</f>
        <v>514.70000000000005</v>
      </c>
      <c r="AV17" s="59">
        <f t="shared" si="7"/>
        <v>514.70000000000005</v>
      </c>
      <c r="AW17" s="59">
        <f t="shared" si="7"/>
        <v>514.70000000000005</v>
      </c>
      <c r="AX17" s="59">
        <f t="shared" si="7"/>
        <v>514.70000000000005</v>
      </c>
      <c r="AY17" s="59">
        <f t="shared" si="7"/>
        <v>514.70000000000005</v>
      </c>
      <c r="AZ17" s="59">
        <f t="shared" si="7"/>
        <v>514.70000000000005</v>
      </c>
      <c r="BA17" s="59">
        <f t="shared" si="7"/>
        <v>514.70000000000005</v>
      </c>
      <c r="BB17" s="59">
        <f t="shared" si="7"/>
        <v>514.70000000000005</v>
      </c>
      <c r="BC17" s="59">
        <f t="shared" si="7"/>
        <v>507.8</v>
      </c>
      <c r="BD17" s="59">
        <f t="shared" si="7"/>
        <v>507.8</v>
      </c>
      <c r="BE17" s="60">
        <f>X65</f>
        <v>507.8</v>
      </c>
      <c r="BF17" s="60">
        <f>Z65</f>
        <v>507.8</v>
      </c>
      <c r="BG17" s="60">
        <f>AB65</f>
        <v>507.8</v>
      </c>
      <c r="BH17" s="60">
        <f>AD65</f>
        <v>520.70000000000005</v>
      </c>
      <c r="BI17" s="60">
        <f>AE65</f>
        <v>520.70000000000005</v>
      </c>
      <c r="BJ17" s="60">
        <f>AF65</f>
        <v>520.70000000000005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53">
        <v>50.7</v>
      </c>
      <c r="C18" s="53">
        <v>50.7</v>
      </c>
      <c r="D18" s="53">
        <v>50.7</v>
      </c>
      <c r="E18" s="53">
        <v>50.7</v>
      </c>
      <c r="F18" s="53">
        <v>50.7</v>
      </c>
      <c r="G18" s="53">
        <v>50.7</v>
      </c>
      <c r="H18" s="53">
        <v>50.7</v>
      </c>
      <c r="I18" s="53">
        <v>50.7</v>
      </c>
      <c r="J18" s="53">
        <v>50.7</v>
      </c>
      <c r="K18" s="53">
        <v>50.7</v>
      </c>
      <c r="L18" s="53">
        <v>50.7</v>
      </c>
      <c r="M18" s="53">
        <v>50.7</v>
      </c>
      <c r="N18" s="53">
        <v>50.7</v>
      </c>
      <c r="O18" s="53">
        <v>50.7</v>
      </c>
      <c r="P18" s="53">
        <v>50.7</v>
      </c>
      <c r="Q18" s="53">
        <v>50.7</v>
      </c>
      <c r="R18" s="53">
        <v>50.5</v>
      </c>
      <c r="S18" s="53">
        <v>50.5</v>
      </c>
      <c r="T18" s="53">
        <v>50.5</v>
      </c>
      <c r="U18" s="53">
        <v>50.5</v>
      </c>
      <c r="V18" s="53">
        <v>50.5</v>
      </c>
      <c r="W18" s="53">
        <v>50.5</v>
      </c>
      <c r="X18" s="53">
        <v>50.5</v>
      </c>
      <c r="Y18" s="53">
        <v>50.5</v>
      </c>
      <c r="Z18" s="53">
        <v>50.5</v>
      </c>
      <c r="AA18" s="53">
        <v>50.5</v>
      </c>
      <c r="AB18" s="53">
        <v>50.5</v>
      </c>
      <c r="AC18" s="53">
        <v>50.5</v>
      </c>
      <c r="AD18" s="53">
        <v>50.5</v>
      </c>
      <c r="AE18" s="53">
        <v>50.5</v>
      </c>
      <c r="AF18" s="53">
        <v>50.5</v>
      </c>
      <c r="AG18" s="50">
        <v>50</v>
      </c>
      <c r="AH18" s="48">
        <f t="shared" si="2"/>
        <v>50.7</v>
      </c>
      <c r="AI18" s="49">
        <f t="shared" si="3"/>
        <v>50.5</v>
      </c>
      <c r="AK18" s="51"/>
      <c r="AL18" s="54" t="s">
        <v>29</v>
      </c>
      <c r="AM18" s="59">
        <f t="shared" ref="AM18:AR18" si="8">B79</f>
        <v>391.84</v>
      </c>
      <c r="AN18" s="59">
        <f t="shared" si="8"/>
        <v>418.14000000000004</v>
      </c>
      <c r="AO18" s="59">
        <f t="shared" si="8"/>
        <v>418.14000000000004</v>
      </c>
      <c r="AP18" s="59">
        <f t="shared" si="8"/>
        <v>418.14000000000004</v>
      </c>
      <c r="AQ18" s="59">
        <f t="shared" si="8"/>
        <v>422.14000000000004</v>
      </c>
      <c r="AR18" s="59">
        <f t="shared" si="8"/>
        <v>419.14</v>
      </c>
      <c r="AS18" s="59">
        <f>I79</f>
        <v>419.14</v>
      </c>
      <c r="AT18" s="59">
        <f>K79</f>
        <v>419.14</v>
      </c>
      <c r="AU18" s="59">
        <f t="shared" ref="AU18:BD18" si="9">M79</f>
        <v>434.23999999999995</v>
      </c>
      <c r="AV18" s="59">
        <f t="shared" si="9"/>
        <v>435.53999999999996</v>
      </c>
      <c r="AW18" s="59">
        <f t="shared" si="9"/>
        <v>438.23999999999995</v>
      </c>
      <c r="AX18" s="59">
        <f t="shared" si="9"/>
        <v>442.14</v>
      </c>
      <c r="AY18" s="59">
        <f t="shared" si="9"/>
        <v>439.93999999999994</v>
      </c>
      <c r="AZ18" s="59">
        <f t="shared" si="9"/>
        <v>438.14</v>
      </c>
      <c r="BA18" s="59">
        <f t="shared" si="9"/>
        <v>431.44</v>
      </c>
      <c r="BB18" s="59">
        <f t="shared" si="9"/>
        <v>431.34000000000003</v>
      </c>
      <c r="BC18" s="59">
        <f t="shared" si="9"/>
        <v>434.84</v>
      </c>
      <c r="BD18" s="59">
        <f t="shared" si="9"/>
        <v>403.64</v>
      </c>
      <c r="BE18" s="60">
        <f>X79</f>
        <v>402.14</v>
      </c>
      <c r="BF18" s="60">
        <f>Z79</f>
        <v>417.7</v>
      </c>
      <c r="BG18" s="60">
        <f>AB79</f>
        <v>428.14</v>
      </c>
      <c r="BH18" s="60">
        <f>AD79</f>
        <v>424.14</v>
      </c>
      <c r="BI18" s="60">
        <f>AE79</f>
        <v>424.14</v>
      </c>
      <c r="BJ18" s="60">
        <f>AF79</f>
        <v>424.14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19.5</v>
      </c>
      <c r="AN19" s="59">
        <f t="shared" si="10"/>
        <v>23.9</v>
      </c>
      <c r="AO19" s="59">
        <f t="shared" si="10"/>
        <v>23.6</v>
      </c>
      <c r="AP19" s="59">
        <f t="shared" si="10"/>
        <v>18.100000000000001</v>
      </c>
      <c r="AQ19" s="59">
        <f t="shared" si="10"/>
        <v>18.100000000000001</v>
      </c>
      <c r="AR19" s="59">
        <f t="shared" si="10"/>
        <v>23.1</v>
      </c>
      <c r="AS19" s="59">
        <f>I95</f>
        <v>15</v>
      </c>
      <c r="AT19" s="59">
        <f>K95</f>
        <v>58.2</v>
      </c>
      <c r="AU19" s="59">
        <f t="shared" ref="AU19:BD19" si="11">M95</f>
        <v>42.9</v>
      </c>
      <c r="AV19" s="59">
        <f t="shared" si="11"/>
        <v>48.6</v>
      </c>
      <c r="AW19" s="59">
        <f t="shared" si="11"/>
        <v>55.9</v>
      </c>
      <c r="AX19" s="59">
        <f t="shared" si="11"/>
        <v>64.7</v>
      </c>
      <c r="AY19" s="59">
        <f t="shared" si="11"/>
        <v>70</v>
      </c>
      <c r="AZ19" s="59">
        <f t="shared" si="11"/>
        <v>71.5</v>
      </c>
      <c r="BA19" s="59">
        <f t="shared" si="11"/>
        <v>71.900000000000006</v>
      </c>
      <c r="BB19" s="59">
        <f t="shared" si="11"/>
        <v>68.400000000000006</v>
      </c>
      <c r="BC19" s="59">
        <f t="shared" si="11"/>
        <v>72.8</v>
      </c>
      <c r="BD19" s="59">
        <f t="shared" si="11"/>
        <v>54.6</v>
      </c>
      <c r="BE19" s="60">
        <f>X95</f>
        <v>47.5</v>
      </c>
      <c r="BF19" s="60">
        <f>Z95</f>
        <v>11.8</v>
      </c>
      <c r="BG19" s="60">
        <f>AB95</f>
        <v>22.5</v>
      </c>
      <c r="BH19" s="60">
        <f>AD95</f>
        <v>21.1</v>
      </c>
      <c r="BI19" s="60">
        <f>AE95</f>
        <v>24.1</v>
      </c>
      <c r="BJ19" s="60">
        <f>AF95</f>
        <v>20.100000000000001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46</v>
      </c>
      <c r="C20" s="46">
        <v>46</v>
      </c>
      <c r="D20" s="46">
        <v>46</v>
      </c>
      <c r="E20" s="46">
        <v>46</v>
      </c>
      <c r="F20" s="46">
        <v>46</v>
      </c>
      <c r="G20" s="46">
        <v>46</v>
      </c>
      <c r="H20" s="46">
        <v>46</v>
      </c>
      <c r="I20" s="46">
        <v>46</v>
      </c>
      <c r="J20" s="46">
        <v>46</v>
      </c>
      <c r="K20" s="46">
        <v>46</v>
      </c>
      <c r="L20" s="46">
        <v>46</v>
      </c>
      <c r="M20" s="46">
        <v>46</v>
      </c>
      <c r="N20" s="46">
        <v>46</v>
      </c>
      <c r="O20" s="46">
        <v>46</v>
      </c>
      <c r="P20" s="46">
        <v>46</v>
      </c>
      <c r="Q20" s="46">
        <v>46</v>
      </c>
      <c r="R20" s="46">
        <v>32.5</v>
      </c>
      <c r="S20" s="46">
        <v>32.5</v>
      </c>
      <c r="T20" s="46">
        <v>32.5</v>
      </c>
      <c r="U20" s="46">
        <v>32.5</v>
      </c>
      <c r="V20" s="46">
        <v>32.5</v>
      </c>
      <c r="W20" s="46">
        <v>32.5</v>
      </c>
      <c r="X20" s="46">
        <v>32.5</v>
      </c>
      <c r="Y20" s="46">
        <v>32.5</v>
      </c>
      <c r="Z20" s="46">
        <v>32.5</v>
      </c>
      <c r="AA20" s="46">
        <v>40.4</v>
      </c>
      <c r="AB20" s="46">
        <v>40.4</v>
      </c>
      <c r="AC20" s="46">
        <v>40.4</v>
      </c>
      <c r="AD20" s="46">
        <v>40.4</v>
      </c>
      <c r="AE20" s="46">
        <v>40.4</v>
      </c>
      <c r="AF20" s="46">
        <v>40.4</v>
      </c>
      <c r="AG20" s="50">
        <v>44</v>
      </c>
      <c r="AH20" s="48">
        <f t="shared" si="2"/>
        <v>46</v>
      </c>
      <c r="AI20" s="49">
        <f t="shared" si="3"/>
        <v>32.5</v>
      </c>
      <c r="AK20" s="51"/>
      <c r="AL20" s="54" t="s">
        <v>33</v>
      </c>
      <c r="AM20" s="59">
        <f t="shared" ref="AM20:AR20" si="12">B83</f>
        <v>12.5</v>
      </c>
      <c r="AN20" s="59">
        <f t="shared" si="12"/>
        <v>19.399999999999999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21.599999999999998</v>
      </c>
      <c r="AV20" s="59">
        <f t="shared" si="13"/>
        <v>49.7</v>
      </c>
      <c r="AW20" s="59">
        <f t="shared" si="13"/>
        <v>49.1</v>
      </c>
      <c r="AX20" s="59">
        <f t="shared" si="13"/>
        <v>51.1</v>
      </c>
      <c r="AY20" s="59">
        <f t="shared" si="13"/>
        <v>51.1</v>
      </c>
      <c r="AZ20" s="59">
        <f t="shared" si="13"/>
        <v>32.9</v>
      </c>
      <c r="BA20" s="59">
        <f t="shared" si="13"/>
        <v>33.700000000000003</v>
      </c>
      <c r="BB20" s="59">
        <f t="shared" si="13"/>
        <v>33.700000000000003</v>
      </c>
      <c r="BC20" s="59">
        <f t="shared" si="13"/>
        <v>32.699999999999996</v>
      </c>
      <c r="BD20" s="59">
        <f t="shared" si="13"/>
        <v>17.399999999999999</v>
      </c>
      <c r="BE20" s="60">
        <f>X83</f>
        <v>0</v>
      </c>
      <c r="BF20" s="60">
        <f>Z83</f>
        <v>19.600000000000001</v>
      </c>
      <c r="BG20" s="60">
        <f>AB83</f>
        <v>32.1</v>
      </c>
      <c r="BH20" s="60">
        <f>AD83</f>
        <v>15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250</v>
      </c>
      <c r="AN21" s="59">
        <f t="shared" si="14"/>
        <v>250</v>
      </c>
      <c r="AO21" s="59">
        <f t="shared" si="14"/>
        <v>250</v>
      </c>
      <c r="AP21" s="59">
        <f t="shared" si="14"/>
        <v>250</v>
      </c>
      <c r="AQ21" s="59">
        <f t="shared" si="14"/>
        <v>250</v>
      </c>
      <c r="AR21" s="59">
        <f t="shared" si="14"/>
        <v>250</v>
      </c>
      <c r="AS21" s="59">
        <f>I101</f>
        <v>250</v>
      </c>
      <c r="AT21" s="59">
        <f>K101</f>
        <v>100</v>
      </c>
      <c r="AU21" s="59">
        <f t="shared" ref="AU21:BD21" si="15">M101</f>
        <v>100</v>
      </c>
      <c r="AV21" s="59">
        <f t="shared" si="15"/>
        <v>150</v>
      </c>
      <c r="AW21" s="59">
        <f t="shared" si="15"/>
        <v>150</v>
      </c>
      <c r="AX21" s="59">
        <f t="shared" si="15"/>
        <v>150</v>
      </c>
      <c r="AY21" s="59">
        <f t="shared" si="15"/>
        <v>150</v>
      </c>
      <c r="AZ21" s="59">
        <f t="shared" si="15"/>
        <v>150</v>
      </c>
      <c r="BA21" s="59">
        <f t="shared" si="15"/>
        <v>150</v>
      </c>
      <c r="BB21" s="59">
        <f t="shared" si="15"/>
        <v>150</v>
      </c>
      <c r="BC21" s="59">
        <f t="shared" si="15"/>
        <v>150</v>
      </c>
      <c r="BD21" s="59">
        <f t="shared" si="15"/>
        <v>150</v>
      </c>
      <c r="BE21" s="60">
        <f>X101</f>
        <v>150</v>
      </c>
      <c r="BF21" s="60">
        <f>Z101</f>
        <v>150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35.299999999999997</v>
      </c>
      <c r="C22" s="46">
        <v>35.299999999999997</v>
      </c>
      <c r="D22" s="46">
        <v>35.299999999999997</v>
      </c>
      <c r="E22" s="46">
        <v>35.299999999999997</v>
      </c>
      <c r="F22" s="46">
        <v>35.299999999999997</v>
      </c>
      <c r="G22" s="46">
        <v>35.299999999999997</v>
      </c>
      <c r="H22" s="46">
        <v>35.299999999999997</v>
      </c>
      <c r="I22" s="46">
        <v>35.299999999999997</v>
      </c>
      <c r="J22" s="46">
        <v>35.299999999999997</v>
      </c>
      <c r="K22" s="46">
        <v>35.299999999999997</v>
      </c>
      <c r="L22" s="46">
        <v>35.299999999999997</v>
      </c>
      <c r="M22" s="46">
        <v>35.299999999999997</v>
      </c>
      <c r="N22" s="46">
        <v>35.299999999999997</v>
      </c>
      <c r="O22" s="46">
        <v>35.299999999999997</v>
      </c>
      <c r="P22" s="46">
        <v>35.299999999999997</v>
      </c>
      <c r="Q22" s="46">
        <v>35.299999999999997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>
        <v>27</v>
      </c>
      <c r="X22" s="46">
        <v>27</v>
      </c>
      <c r="Y22" s="46">
        <v>27</v>
      </c>
      <c r="Z22" s="46">
        <v>27</v>
      </c>
      <c r="AA22" s="46">
        <v>27</v>
      </c>
      <c r="AB22" s="46">
        <v>27</v>
      </c>
      <c r="AC22" s="46">
        <v>27</v>
      </c>
      <c r="AD22" s="46">
        <v>27</v>
      </c>
      <c r="AE22" s="46">
        <v>27</v>
      </c>
      <c r="AF22" s="46">
        <v>27</v>
      </c>
      <c r="AG22" s="50">
        <v>38.46</v>
      </c>
      <c r="AH22" s="48">
        <f t="shared" si="2"/>
        <v>35.299999999999997</v>
      </c>
      <c r="AI22" s="49">
        <f t="shared" si="3"/>
        <v>27</v>
      </c>
      <c r="AK22" s="51"/>
      <c r="AL22" s="62" t="s">
        <v>37</v>
      </c>
      <c r="AM22" s="63">
        <f t="shared" ref="AM22:BJ22" si="16">SUM(AM16:AM21)</f>
        <v>2070.34</v>
      </c>
      <c r="AN22" s="63">
        <f t="shared" si="16"/>
        <v>2083.1400000000003</v>
      </c>
      <c r="AO22" s="63">
        <f t="shared" si="16"/>
        <v>2063.4399999999996</v>
      </c>
      <c r="AP22" s="63">
        <f t="shared" si="16"/>
        <v>2055.1400000000003</v>
      </c>
      <c r="AQ22" s="63">
        <f t="shared" si="16"/>
        <v>2059.1400000000003</v>
      </c>
      <c r="AR22" s="63">
        <f t="shared" si="16"/>
        <v>2131.3399999999997</v>
      </c>
      <c r="AS22" s="63">
        <f t="shared" si="16"/>
        <v>2112.14</v>
      </c>
      <c r="AT22" s="63">
        <f t="shared" si="16"/>
        <v>2005.34</v>
      </c>
      <c r="AU22" s="63">
        <f t="shared" si="16"/>
        <v>2001.34</v>
      </c>
      <c r="AV22" s="63">
        <f t="shared" si="16"/>
        <v>2057.4399999999996</v>
      </c>
      <c r="AW22" s="63">
        <f t="shared" si="16"/>
        <v>2066.84</v>
      </c>
      <c r="AX22" s="63">
        <f t="shared" si="16"/>
        <v>2076.7399999999998</v>
      </c>
      <c r="AY22" s="63">
        <f t="shared" si="16"/>
        <v>2066.14</v>
      </c>
      <c r="AZ22" s="63">
        <f t="shared" si="16"/>
        <v>2056.14</v>
      </c>
      <c r="BA22" s="63">
        <f t="shared" si="16"/>
        <v>2050.6400000000003</v>
      </c>
      <c r="BB22" s="63">
        <f t="shared" si="16"/>
        <v>2047.0400000000002</v>
      </c>
      <c r="BC22" s="63">
        <f t="shared" si="16"/>
        <v>2047.04</v>
      </c>
      <c r="BD22" s="63">
        <f t="shared" si="16"/>
        <v>1964.2399999999998</v>
      </c>
      <c r="BE22" s="63">
        <f t="shared" si="16"/>
        <v>1938.2399999999998</v>
      </c>
      <c r="BF22" s="63">
        <f t="shared" si="16"/>
        <v>1937.6999999999998</v>
      </c>
      <c r="BG22" s="63">
        <f t="shared" si="16"/>
        <v>1873.6399999999999</v>
      </c>
      <c r="BH22" s="63">
        <f t="shared" si="16"/>
        <v>1873.0399999999995</v>
      </c>
      <c r="BI22" s="63">
        <f t="shared" si="16"/>
        <v>1857.6399999999999</v>
      </c>
      <c r="BJ22" s="63">
        <f t="shared" si="16"/>
        <v>1853.2399999999998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>
        <v>22</v>
      </c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>
        <v>22</v>
      </c>
      <c r="AF23" s="46">
        <v>22</v>
      </c>
      <c r="AG23" s="50">
        <v>38.46</v>
      </c>
      <c r="AH23" s="48">
        <f t="shared" si="2"/>
        <v>22</v>
      </c>
      <c r="AI23" s="49">
        <f t="shared" si="3"/>
        <v>22</v>
      </c>
      <c r="AK23" s="51"/>
      <c r="AL23" s="62" t="s">
        <v>39</v>
      </c>
      <c r="AM23" s="63">
        <f t="shared" ref="AM23:AR23" si="17">B110*-1</f>
        <v>-255.4</v>
      </c>
      <c r="AN23" s="63">
        <f t="shared" si="17"/>
        <v>-298.3</v>
      </c>
      <c r="AO23" s="63">
        <f t="shared" si="17"/>
        <v>-364</v>
      </c>
      <c r="AP23" s="63">
        <f t="shared" si="17"/>
        <v>-470</v>
      </c>
      <c r="AQ23" s="63">
        <f t="shared" si="17"/>
        <v>-470</v>
      </c>
      <c r="AR23" s="63">
        <f t="shared" si="17"/>
        <v>-422</v>
      </c>
      <c r="AS23" s="63">
        <f>I110*-1</f>
        <v>-440</v>
      </c>
      <c r="AT23" s="63">
        <f>K110*-1</f>
        <v>-362</v>
      </c>
      <c r="AU23" s="63">
        <f t="shared" ref="AU23:BD23" si="18">M110*-1</f>
        <v>-302</v>
      </c>
      <c r="AV23" s="63">
        <f t="shared" si="18"/>
        <v>-228.3</v>
      </c>
      <c r="AW23" s="63">
        <f t="shared" si="18"/>
        <v>-218.9</v>
      </c>
      <c r="AX23" s="63">
        <f t="shared" si="18"/>
        <v>-162.9</v>
      </c>
      <c r="AY23" s="63">
        <f t="shared" si="18"/>
        <v>-154</v>
      </c>
      <c r="AZ23" s="63">
        <f t="shared" si="18"/>
        <v>-200</v>
      </c>
      <c r="BA23" s="63">
        <f t="shared" si="18"/>
        <v>-122</v>
      </c>
      <c r="BB23" s="63">
        <f t="shared" si="18"/>
        <v>-180</v>
      </c>
      <c r="BC23" s="63">
        <f t="shared" si="18"/>
        <v>-158.4</v>
      </c>
      <c r="BD23" s="63">
        <f t="shared" si="18"/>
        <v>-248</v>
      </c>
      <c r="BE23" s="63">
        <f>X110*-1</f>
        <v>-321</v>
      </c>
      <c r="BF23" s="63">
        <f>Z110*-1</f>
        <v>-224</v>
      </c>
      <c r="BG23" s="63">
        <f>AB110*-1</f>
        <v>-149.19999999999999</v>
      </c>
      <c r="BH23" s="63">
        <f>AD110*-1</f>
        <v>-164</v>
      </c>
      <c r="BI23" s="63">
        <f>AE110*-1</f>
        <v>-162</v>
      </c>
      <c r="BJ23" s="63">
        <f>AF110*-1</f>
        <v>-194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31</v>
      </c>
      <c r="AB24" s="46">
        <v>31</v>
      </c>
      <c r="AC24" s="46">
        <v>31</v>
      </c>
      <c r="AD24" s="46">
        <v>31</v>
      </c>
      <c r="AE24" s="46">
        <v>31</v>
      </c>
      <c r="AF24" s="46">
        <v>31</v>
      </c>
      <c r="AG24" s="50">
        <v>36</v>
      </c>
      <c r="AH24" s="48">
        <f t="shared" si="2"/>
        <v>31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1814.94</v>
      </c>
      <c r="AN24" s="63">
        <f t="shared" si="19"/>
        <v>1784.8400000000004</v>
      </c>
      <c r="AO24" s="63">
        <f t="shared" si="19"/>
        <v>1699.4399999999996</v>
      </c>
      <c r="AP24" s="63">
        <f t="shared" si="19"/>
        <v>1585.1400000000003</v>
      </c>
      <c r="AQ24" s="63">
        <f t="shared" si="19"/>
        <v>1589.1400000000003</v>
      </c>
      <c r="AR24" s="63">
        <f t="shared" si="19"/>
        <v>1709.3399999999997</v>
      </c>
      <c r="AS24" s="63">
        <f t="shared" si="19"/>
        <v>1672.1399999999999</v>
      </c>
      <c r="AT24" s="63">
        <f t="shared" si="19"/>
        <v>1643.34</v>
      </c>
      <c r="AU24" s="63">
        <f t="shared" si="19"/>
        <v>1699.34</v>
      </c>
      <c r="AV24" s="63">
        <f t="shared" si="19"/>
        <v>1829.1399999999996</v>
      </c>
      <c r="AW24" s="63">
        <f t="shared" si="19"/>
        <v>1847.94</v>
      </c>
      <c r="AX24" s="63">
        <f t="shared" si="19"/>
        <v>1913.8399999999997</v>
      </c>
      <c r="AY24" s="63">
        <f t="shared" si="19"/>
        <v>1912.1399999999999</v>
      </c>
      <c r="AZ24" s="63">
        <f t="shared" si="19"/>
        <v>1856.1399999999999</v>
      </c>
      <c r="BA24" s="63">
        <f t="shared" si="19"/>
        <v>1928.6400000000003</v>
      </c>
      <c r="BB24" s="63">
        <f t="shared" si="19"/>
        <v>1867.0400000000002</v>
      </c>
      <c r="BC24" s="63">
        <f t="shared" si="19"/>
        <v>1888.6399999999999</v>
      </c>
      <c r="BD24" s="63">
        <f t="shared" si="19"/>
        <v>1716.2399999999998</v>
      </c>
      <c r="BE24" s="63">
        <f t="shared" si="19"/>
        <v>1617.2399999999998</v>
      </c>
      <c r="BF24" s="63">
        <f t="shared" si="19"/>
        <v>1713.6999999999998</v>
      </c>
      <c r="BG24" s="63">
        <f t="shared" si="19"/>
        <v>1724.4399999999998</v>
      </c>
      <c r="BH24" s="63">
        <f t="shared" si="19"/>
        <v>1709.0399999999995</v>
      </c>
      <c r="BI24" s="63">
        <f t="shared" si="19"/>
        <v>1695.6399999999999</v>
      </c>
      <c r="BJ24" s="63">
        <f t="shared" si="19"/>
        <v>1659.2399999999998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18</v>
      </c>
      <c r="C25" s="46">
        <v>18</v>
      </c>
      <c r="D25" s="46">
        <v>18</v>
      </c>
      <c r="E25" s="46">
        <v>18</v>
      </c>
      <c r="F25" s="46">
        <v>18</v>
      </c>
      <c r="G25" s="46">
        <v>18</v>
      </c>
      <c r="H25" s="46">
        <v>18</v>
      </c>
      <c r="I25" s="46">
        <v>18</v>
      </c>
      <c r="J25" s="46">
        <v>18</v>
      </c>
      <c r="K25" s="46">
        <v>18</v>
      </c>
      <c r="L25" s="46">
        <v>18</v>
      </c>
      <c r="M25" s="46">
        <v>18</v>
      </c>
      <c r="N25" s="46">
        <v>18</v>
      </c>
      <c r="O25" s="46">
        <v>18</v>
      </c>
      <c r="P25" s="46">
        <v>18</v>
      </c>
      <c r="Q25" s="46">
        <v>18</v>
      </c>
      <c r="R25" s="46">
        <v>13.6</v>
      </c>
      <c r="S25" s="46">
        <v>13.6</v>
      </c>
      <c r="T25" s="46">
        <v>13.6</v>
      </c>
      <c r="U25" s="46">
        <v>13.6</v>
      </c>
      <c r="V25" s="46">
        <v>13.6</v>
      </c>
      <c r="W25" s="46">
        <v>13.6</v>
      </c>
      <c r="X25" s="46">
        <v>13.6</v>
      </c>
      <c r="Y25" s="46">
        <v>13.6</v>
      </c>
      <c r="Z25" s="46">
        <v>13.6</v>
      </c>
      <c r="AA25" s="46">
        <v>19</v>
      </c>
      <c r="AB25" s="46">
        <v>19</v>
      </c>
      <c r="AC25" s="46">
        <v>19</v>
      </c>
      <c r="AD25" s="46">
        <v>19</v>
      </c>
      <c r="AE25" s="46">
        <v>19</v>
      </c>
      <c r="AF25" s="46">
        <v>19</v>
      </c>
      <c r="AG25" s="61">
        <v>30</v>
      </c>
      <c r="AH25" s="48">
        <f t="shared" si="2"/>
        <v>19</v>
      </c>
      <c r="AI25" s="49">
        <f t="shared" si="3"/>
        <v>13.6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16.7</v>
      </c>
      <c r="C26" s="46">
        <v>16.7</v>
      </c>
      <c r="D26" s="46">
        <v>16.7</v>
      </c>
      <c r="E26" s="46">
        <v>16.7</v>
      </c>
      <c r="F26" s="46">
        <v>16.7</v>
      </c>
      <c r="G26" s="46">
        <v>16.7</v>
      </c>
      <c r="H26" s="46">
        <v>16.7</v>
      </c>
      <c r="I26" s="46">
        <v>16.7</v>
      </c>
      <c r="J26" s="46">
        <v>16.7</v>
      </c>
      <c r="K26" s="46">
        <v>16.7</v>
      </c>
      <c r="L26" s="46">
        <v>16.7</v>
      </c>
      <c r="M26" s="46">
        <v>16.7</v>
      </c>
      <c r="N26" s="46">
        <v>16.7</v>
      </c>
      <c r="O26" s="46">
        <v>16.7</v>
      </c>
      <c r="P26" s="46">
        <v>16.7</v>
      </c>
      <c r="Q26" s="46">
        <v>16.7</v>
      </c>
      <c r="R26" s="46">
        <v>15.2</v>
      </c>
      <c r="S26" s="46">
        <v>15.2</v>
      </c>
      <c r="T26" s="46">
        <v>15.2</v>
      </c>
      <c r="U26" s="46">
        <v>15.2</v>
      </c>
      <c r="V26" s="46">
        <v>15.2</v>
      </c>
      <c r="W26" s="46">
        <v>15.2</v>
      </c>
      <c r="X26" s="46">
        <v>15.2</v>
      </c>
      <c r="Y26" s="46">
        <v>15.2</v>
      </c>
      <c r="Z26" s="46">
        <v>15.2</v>
      </c>
      <c r="AA26" s="46">
        <v>15.2</v>
      </c>
      <c r="AB26" s="46">
        <v>15.2</v>
      </c>
      <c r="AC26" s="46">
        <v>15.2</v>
      </c>
      <c r="AD26" s="46">
        <v>15.2</v>
      </c>
      <c r="AE26" s="46">
        <v>15.2</v>
      </c>
      <c r="AF26" s="46">
        <v>15.2</v>
      </c>
      <c r="AG26" s="50">
        <v>24.2</v>
      </c>
      <c r="AH26" s="48">
        <f t="shared" si="2"/>
        <v>16.7</v>
      </c>
      <c r="AI26" s="49">
        <f t="shared" si="3"/>
        <v>15.2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14.5</v>
      </c>
      <c r="C27" s="46">
        <v>14.5</v>
      </c>
      <c r="D27" s="46">
        <v>14.5</v>
      </c>
      <c r="E27" s="46">
        <v>14.5</v>
      </c>
      <c r="F27" s="46">
        <v>14.5</v>
      </c>
      <c r="G27" s="46">
        <v>14.5</v>
      </c>
      <c r="H27" s="46">
        <v>14.5</v>
      </c>
      <c r="I27" s="46">
        <v>14.5</v>
      </c>
      <c r="J27" s="46">
        <v>14.5</v>
      </c>
      <c r="K27" s="46">
        <v>14.5</v>
      </c>
      <c r="L27" s="46">
        <v>14.5</v>
      </c>
      <c r="M27" s="46">
        <v>14.5</v>
      </c>
      <c r="N27" s="46">
        <v>14.5</v>
      </c>
      <c r="O27" s="46">
        <v>14.5</v>
      </c>
      <c r="P27" s="46">
        <v>14.5</v>
      </c>
      <c r="Q27" s="46">
        <v>14.5</v>
      </c>
      <c r="R27" s="46">
        <v>14.8</v>
      </c>
      <c r="S27" s="46">
        <v>14.8</v>
      </c>
      <c r="T27" s="46">
        <v>14.8</v>
      </c>
      <c r="U27" s="46">
        <v>14.8</v>
      </c>
      <c r="V27" s="46">
        <v>14.8</v>
      </c>
      <c r="W27" s="46">
        <v>14.8</v>
      </c>
      <c r="X27" s="46">
        <v>14.8</v>
      </c>
      <c r="Y27" s="46">
        <v>14.8</v>
      </c>
      <c r="Z27" s="46">
        <v>14.8</v>
      </c>
      <c r="AA27" s="46">
        <v>14.8</v>
      </c>
      <c r="AB27" s="46">
        <v>14.8</v>
      </c>
      <c r="AC27" s="46">
        <v>14.8</v>
      </c>
      <c r="AD27" s="46">
        <v>14.8</v>
      </c>
      <c r="AE27" s="46">
        <v>14.8</v>
      </c>
      <c r="AF27" s="46">
        <v>14.8</v>
      </c>
      <c r="AG27" s="50">
        <v>28</v>
      </c>
      <c r="AH27" s="48">
        <f t="shared" si="2"/>
        <v>14.8</v>
      </c>
      <c r="AI27" s="49">
        <f t="shared" si="3"/>
        <v>14.5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27</v>
      </c>
      <c r="C28" s="46">
        <v>27</v>
      </c>
      <c r="D28" s="46">
        <v>27</v>
      </c>
      <c r="E28" s="46">
        <v>27</v>
      </c>
      <c r="F28" s="46">
        <v>27</v>
      </c>
      <c r="G28" s="46">
        <v>27</v>
      </c>
      <c r="H28" s="46">
        <v>27</v>
      </c>
      <c r="I28" s="46">
        <v>27</v>
      </c>
      <c r="J28" s="46">
        <v>27</v>
      </c>
      <c r="K28" s="46">
        <v>27</v>
      </c>
      <c r="L28" s="46">
        <v>27</v>
      </c>
      <c r="M28" s="46">
        <v>27</v>
      </c>
      <c r="N28" s="46">
        <v>27</v>
      </c>
      <c r="O28" s="46">
        <v>27</v>
      </c>
      <c r="P28" s="46">
        <v>27</v>
      </c>
      <c r="Q28" s="46">
        <v>27</v>
      </c>
      <c r="R28" s="46">
        <v>16.399999999999999</v>
      </c>
      <c r="S28" s="46">
        <v>16.399999999999999</v>
      </c>
      <c r="T28" s="46">
        <v>16.399999999999999</v>
      </c>
      <c r="U28" s="46">
        <v>16.399999999999999</v>
      </c>
      <c r="V28" s="46">
        <v>16.399999999999999</v>
      </c>
      <c r="W28" s="46">
        <v>16.399999999999999</v>
      </c>
      <c r="X28" s="46">
        <v>16.399999999999999</v>
      </c>
      <c r="Y28" s="46">
        <v>16.399999999999999</v>
      </c>
      <c r="Z28" s="46">
        <v>16.399999999999999</v>
      </c>
      <c r="AA28" s="46">
        <v>20</v>
      </c>
      <c r="AB28" s="46">
        <v>20</v>
      </c>
      <c r="AC28" s="46">
        <v>20</v>
      </c>
      <c r="AD28" s="46">
        <v>20</v>
      </c>
      <c r="AE28" s="46">
        <v>20</v>
      </c>
      <c r="AF28" s="46">
        <v>20</v>
      </c>
      <c r="AG28" s="61">
        <v>30</v>
      </c>
      <c r="AH28" s="48">
        <f t="shared" si="2"/>
        <v>27</v>
      </c>
      <c r="AI28" s="49">
        <f t="shared" si="3"/>
        <v>16.399999999999999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26.1</v>
      </c>
      <c r="C29" s="46">
        <v>26.1</v>
      </c>
      <c r="D29" s="46">
        <v>26.1</v>
      </c>
      <c r="E29" s="46">
        <v>26.1</v>
      </c>
      <c r="F29" s="46">
        <v>26.1</v>
      </c>
      <c r="G29" s="46">
        <v>26.1</v>
      </c>
      <c r="H29" s="46">
        <v>26.1</v>
      </c>
      <c r="I29" s="46">
        <v>26.1</v>
      </c>
      <c r="J29" s="46">
        <v>26.1</v>
      </c>
      <c r="K29" s="46">
        <v>26.1</v>
      </c>
      <c r="L29" s="46">
        <v>26.1</v>
      </c>
      <c r="M29" s="46">
        <v>26.1</v>
      </c>
      <c r="N29" s="46">
        <v>26.1</v>
      </c>
      <c r="O29" s="46">
        <v>26.1</v>
      </c>
      <c r="P29" s="46">
        <v>26.1</v>
      </c>
      <c r="Q29" s="46">
        <v>26.1</v>
      </c>
      <c r="R29" s="46">
        <v>26.1</v>
      </c>
      <c r="S29" s="46">
        <v>26.1</v>
      </c>
      <c r="T29" s="46">
        <v>26.1</v>
      </c>
      <c r="U29" s="46">
        <v>26.1</v>
      </c>
      <c r="V29" s="46">
        <v>26.1</v>
      </c>
      <c r="W29" s="46">
        <v>26.1</v>
      </c>
      <c r="X29" s="46">
        <v>26.1</v>
      </c>
      <c r="Y29" s="46">
        <v>26.1</v>
      </c>
      <c r="Z29" s="46">
        <v>26.1</v>
      </c>
      <c r="AA29" s="46">
        <v>26.1</v>
      </c>
      <c r="AB29" s="46">
        <v>26.1</v>
      </c>
      <c r="AC29" s="46">
        <v>26.1</v>
      </c>
      <c r="AD29" s="46">
        <v>26.1</v>
      </c>
      <c r="AE29" s="46">
        <v>26.1</v>
      </c>
      <c r="AF29" s="46">
        <v>26.1</v>
      </c>
      <c r="AG29" s="50">
        <v>25</v>
      </c>
      <c r="AH29" s="48">
        <f t="shared" si="2"/>
        <v>26.1</v>
      </c>
      <c r="AI29" s="49">
        <f t="shared" si="3"/>
        <v>26.1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25.2</v>
      </c>
      <c r="C32" s="46">
        <v>25.2</v>
      </c>
      <c r="D32" s="46">
        <v>25.2</v>
      </c>
      <c r="E32" s="46">
        <v>25.2</v>
      </c>
      <c r="F32" s="46">
        <v>25.2</v>
      </c>
      <c r="G32" s="46">
        <v>25.2</v>
      </c>
      <c r="H32" s="46">
        <v>25.2</v>
      </c>
      <c r="I32" s="46">
        <v>25.2</v>
      </c>
      <c r="J32" s="46">
        <v>25.2</v>
      </c>
      <c r="K32" s="46">
        <v>25.2</v>
      </c>
      <c r="L32" s="46">
        <v>25.2</v>
      </c>
      <c r="M32" s="46">
        <v>25.2</v>
      </c>
      <c r="N32" s="46">
        <v>25.2</v>
      </c>
      <c r="O32" s="46">
        <v>25.2</v>
      </c>
      <c r="P32" s="46">
        <v>25.2</v>
      </c>
      <c r="Q32" s="46">
        <v>25.2</v>
      </c>
      <c r="R32" s="46">
        <v>18.7</v>
      </c>
      <c r="S32" s="46">
        <v>18.7</v>
      </c>
      <c r="T32" s="46">
        <v>18.7</v>
      </c>
      <c r="U32" s="46">
        <v>18.7</v>
      </c>
      <c r="V32" s="46">
        <v>18.7</v>
      </c>
      <c r="W32" s="46">
        <v>18.7</v>
      </c>
      <c r="X32" s="46">
        <v>18.7</v>
      </c>
      <c r="Y32" s="46">
        <v>18.7</v>
      </c>
      <c r="Z32" s="46">
        <v>18.7</v>
      </c>
      <c r="AA32" s="46">
        <v>25.6</v>
      </c>
      <c r="AB32" s="46">
        <v>25.6</v>
      </c>
      <c r="AC32" s="46">
        <v>25.6</v>
      </c>
      <c r="AD32" s="46">
        <v>25.6</v>
      </c>
      <c r="AE32" s="46">
        <v>25.6</v>
      </c>
      <c r="AF32" s="46">
        <v>25.6</v>
      </c>
      <c r="AG32" s="50">
        <v>25</v>
      </c>
      <c r="AH32" s="48">
        <f t="shared" si="2"/>
        <v>25.6</v>
      </c>
      <c r="AI32" s="49">
        <f t="shared" si="3"/>
        <v>18.7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24.5</v>
      </c>
      <c r="C33" s="46">
        <v>24.5</v>
      </c>
      <c r="D33" s="46">
        <v>24.5</v>
      </c>
      <c r="E33" s="46">
        <v>24.5</v>
      </c>
      <c r="F33" s="46">
        <v>24.5</v>
      </c>
      <c r="G33" s="46">
        <v>24.5</v>
      </c>
      <c r="H33" s="46">
        <v>24.5</v>
      </c>
      <c r="I33" s="46">
        <v>24.5</v>
      </c>
      <c r="J33" s="46">
        <v>24.5</v>
      </c>
      <c r="K33" s="46">
        <v>24.5</v>
      </c>
      <c r="L33" s="46">
        <v>24.5</v>
      </c>
      <c r="M33" s="46">
        <v>24.5</v>
      </c>
      <c r="N33" s="46">
        <v>24.5</v>
      </c>
      <c r="O33" s="46">
        <v>24.5</v>
      </c>
      <c r="P33" s="46">
        <v>24.5</v>
      </c>
      <c r="Q33" s="46">
        <v>24.5</v>
      </c>
      <c r="R33" s="46">
        <v>12.4</v>
      </c>
      <c r="S33" s="46">
        <v>12.4</v>
      </c>
      <c r="T33" s="46">
        <v>12.4</v>
      </c>
      <c r="U33" s="46">
        <v>12.4</v>
      </c>
      <c r="V33" s="46">
        <v>12.4</v>
      </c>
      <c r="W33" s="46">
        <v>12.4</v>
      </c>
      <c r="X33" s="46">
        <v>12.4</v>
      </c>
      <c r="Y33" s="46">
        <v>12.4</v>
      </c>
      <c r="Z33" s="46">
        <v>12.4</v>
      </c>
      <c r="AA33" s="46">
        <v>12.4</v>
      </c>
      <c r="AB33" s="46">
        <v>12.4</v>
      </c>
      <c r="AC33" s="46">
        <v>12.4</v>
      </c>
      <c r="AD33" s="46">
        <v>12.4</v>
      </c>
      <c r="AE33" s="46">
        <v>12.4</v>
      </c>
      <c r="AF33" s="46">
        <v>12.4</v>
      </c>
      <c r="AG33" s="50">
        <v>23.5</v>
      </c>
      <c r="AH33" s="48">
        <f t="shared" si="2"/>
        <v>24.5</v>
      </c>
      <c r="AI33" s="49">
        <f t="shared" si="3"/>
        <v>12.4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8</v>
      </c>
      <c r="C36" s="46">
        <v>8</v>
      </c>
      <c r="D36" s="46">
        <v>8</v>
      </c>
      <c r="E36" s="46">
        <v>8</v>
      </c>
      <c r="F36" s="46">
        <v>8</v>
      </c>
      <c r="G36" s="46">
        <v>8</v>
      </c>
      <c r="H36" s="46">
        <v>8</v>
      </c>
      <c r="I36" s="46">
        <v>8</v>
      </c>
      <c r="J36" s="46">
        <v>8</v>
      </c>
      <c r="K36" s="46">
        <v>8</v>
      </c>
      <c r="L36" s="46">
        <v>8</v>
      </c>
      <c r="M36" s="46">
        <v>8</v>
      </c>
      <c r="N36" s="46">
        <v>8</v>
      </c>
      <c r="O36" s="46">
        <v>8</v>
      </c>
      <c r="P36" s="46">
        <v>8</v>
      </c>
      <c r="Q36" s="46">
        <v>8</v>
      </c>
      <c r="R36" s="46">
        <v>8</v>
      </c>
      <c r="S36" s="46">
        <v>8</v>
      </c>
      <c r="T36" s="46">
        <v>8</v>
      </c>
      <c r="U36" s="46">
        <v>8</v>
      </c>
      <c r="V36" s="46">
        <v>8</v>
      </c>
      <c r="W36" s="46">
        <v>8</v>
      </c>
      <c r="X36" s="46">
        <v>8</v>
      </c>
      <c r="Y36" s="46">
        <v>8</v>
      </c>
      <c r="Z36" s="46">
        <v>8</v>
      </c>
      <c r="AA36" s="46">
        <v>8</v>
      </c>
      <c r="AB36" s="46">
        <v>8</v>
      </c>
      <c r="AC36" s="46">
        <v>8</v>
      </c>
      <c r="AD36" s="46">
        <v>8</v>
      </c>
      <c r="AE36" s="46">
        <v>8</v>
      </c>
      <c r="AF36" s="46">
        <v>8</v>
      </c>
      <c r="AG36" s="50">
        <v>22</v>
      </c>
      <c r="AH36" s="48">
        <f t="shared" si="2"/>
        <v>8</v>
      </c>
      <c r="AI36" s="49">
        <f t="shared" si="3"/>
        <v>8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8.1999999999999993</v>
      </c>
      <c r="C37" s="46">
        <v>8.1999999999999993</v>
      </c>
      <c r="D37" s="46">
        <v>8.1999999999999993</v>
      </c>
      <c r="E37" s="46">
        <v>8.1999999999999993</v>
      </c>
      <c r="F37" s="46">
        <v>8.1999999999999993</v>
      </c>
      <c r="G37" s="46">
        <v>8.1999999999999993</v>
      </c>
      <c r="H37" s="46">
        <v>8.1999999999999993</v>
      </c>
      <c r="I37" s="46">
        <v>8.1999999999999993</v>
      </c>
      <c r="J37" s="46">
        <v>8.1999999999999993</v>
      </c>
      <c r="K37" s="46">
        <v>8.1999999999999993</v>
      </c>
      <c r="L37" s="46">
        <v>8.1999999999999993</v>
      </c>
      <c r="M37" s="46">
        <v>8.1999999999999993</v>
      </c>
      <c r="N37" s="46">
        <v>8.1999999999999993</v>
      </c>
      <c r="O37" s="46">
        <v>8.1999999999999993</v>
      </c>
      <c r="P37" s="46">
        <v>8.1999999999999993</v>
      </c>
      <c r="Q37" s="46">
        <v>8.1999999999999993</v>
      </c>
      <c r="R37" s="46">
        <v>10.8</v>
      </c>
      <c r="S37" s="46">
        <v>10.8</v>
      </c>
      <c r="T37" s="46">
        <v>10.8</v>
      </c>
      <c r="U37" s="46">
        <v>10.8</v>
      </c>
      <c r="V37" s="46">
        <v>10.8</v>
      </c>
      <c r="W37" s="46">
        <v>10.8</v>
      </c>
      <c r="X37" s="46">
        <v>10.8</v>
      </c>
      <c r="Y37" s="46">
        <v>10.8</v>
      </c>
      <c r="Z37" s="46">
        <v>10.8</v>
      </c>
      <c r="AA37" s="46">
        <v>10.8</v>
      </c>
      <c r="AB37" s="46">
        <v>10.8</v>
      </c>
      <c r="AC37" s="46">
        <v>10.8</v>
      </c>
      <c r="AD37" s="46">
        <v>10.8</v>
      </c>
      <c r="AE37" s="46">
        <v>10.8</v>
      </c>
      <c r="AF37" s="46">
        <v>10.8</v>
      </c>
      <c r="AG37" s="50">
        <v>22</v>
      </c>
      <c r="AH37" s="48">
        <f t="shared" si="2"/>
        <v>10.8</v>
      </c>
      <c r="AI37" s="49">
        <f t="shared" si="3"/>
        <v>8.1999999999999993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</v>
      </c>
      <c r="C38" s="46">
        <v>20.3</v>
      </c>
      <c r="D38" s="46">
        <v>20.3</v>
      </c>
      <c r="E38" s="46">
        <v>20.3</v>
      </c>
      <c r="F38" s="46">
        <v>20.3</v>
      </c>
      <c r="G38" s="46">
        <v>20.3</v>
      </c>
      <c r="H38" s="46">
        <v>20.3</v>
      </c>
      <c r="I38" s="46">
        <v>20.3</v>
      </c>
      <c r="J38" s="46">
        <v>20.3</v>
      </c>
      <c r="K38" s="46">
        <v>20.3</v>
      </c>
      <c r="L38" s="46">
        <v>20.3</v>
      </c>
      <c r="M38" s="46">
        <v>20.3</v>
      </c>
      <c r="N38" s="46">
        <v>20.3</v>
      </c>
      <c r="O38" s="46">
        <v>20.3</v>
      </c>
      <c r="P38" s="46">
        <v>20.3</v>
      </c>
      <c r="Q38" s="46">
        <v>20.3</v>
      </c>
      <c r="R38" s="46">
        <v>16.5</v>
      </c>
      <c r="S38" s="46">
        <v>16.5</v>
      </c>
      <c r="T38" s="46">
        <v>16.5</v>
      </c>
      <c r="U38" s="46">
        <v>16.5</v>
      </c>
      <c r="V38" s="46">
        <v>16.5</v>
      </c>
      <c r="W38" s="46">
        <v>16.5</v>
      </c>
      <c r="X38" s="46">
        <v>16.5</v>
      </c>
      <c r="Y38" s="46">
        <v>16.5</v>
      </c>
      <c r="Z38" s="46">
        <v>16.5</v>
      </c>
      <c r="AA38" s="46">
        <v>20.3</v>
      </c>
      <c r="AB38" s="46">
        <v>20.3</v>
      </c>
      <c r="AC38" s="46">
        <v>20.3</v>
      </c>
      <c r="AD38" s="46">
        <v>20.3</v>
      </c>
      <c r="AE38" s="46">
        <v>20.3</v>
      </c>
      <c r="AF38" s="46">
        <v>20.3</v>
      </c>
      <c r="AG38" s="50">
        <v>20</v>
      </c>
      <c r="AH38" s="48">
        <f t="shared" si="2"/>
        <v>20.3</v>
      </c>
      <c r="AI38" s="49">
        <f t="shared" si="3"/>
        <v>16.5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15.3</v>
      </c>
      <c r="C40" s="46">
        <v>15.3</v>
      </c>
      <c r="D40" s="46">
        <v>15.3</v>
      </c>
      <c r="E40" s="46">
        <v>15.3</v>
      </c>
      <c r="F40" s="46">
        <v>15.3</v>
      </c>
      <c r="G40" s="46">
        <v>15.3</v>
      </c>
      <c r="H40" s="46">
        <v>15.3</v>
      </c>
      <c r="I40" s="46">
        <v>15.3</v>
      </c>
      <c r="J40" s="46">
        <v>15.3</v>
      </c>
      <c r="K40" s="46">
        <v>15.3</v>
      </c>
      <c r="L40" s="46">
        <v>15.3</v>
      </c>
      <c r="M40" s="46">
        <v>15.3</v>
      </c>
      <c r="N40" s="46">
        <v>15.3</v>
      </c>
      <c r="O40" s="46">
        <v>15.3</v>
      </c>
      <c r="P40" s="46">
        <v>15.3</v>
      </c>
      <c r="Q40" s="46">
        <v>15.3</v>
      </c>
      <c r="R40" s="46">
        <v>12.4</v>
      </c>
      <c r="S40" s="46">
        <v>12.4</v>
      </c>
      <c r="T40" s="46">
        <v>12.4</v>
      </c>
      <c r="U40" s="46">
        <v>12.4</v>
      </c>
      <c r="V40" s="46">
        <v>12.4</v>
      </c>
      <c r="W40" s="46">
        <v>12.4</v>
      </c>
      <c r="X40" s="46">
        <v>12.4</v>
      </c>
      <c r="Y40" s="46">
        <v>12.4</v>
      </c>
      <c r="Z40" s="46">
        <v>12.4</v>
      </c>
      <c r="AA40" s="46">
        <v>12.4</v>
      </c>
      <c r="AB40" s="46">
        <v>12.4</v>
      </c>
      <c r="AC40" s="46">
        <v>12.4</v>
      </c>
      <c r="AD40" s="46">
        <v>12.4</v>
      </c>
      <c r="AE40" s="46">
        <v>12.4</v>
      </c>
      <c r="AF40" s="46">
        <v>12.4</v>
      </c>
      <c r="AG40" s="50">
        <v>18</v>
      </c>
      <c r="AH40" s="48">
        <f t="shared" si="2"/>
        <v>15.3</v>
      </c>
      <c r="AI40" s="49">
        <f t="shared" si="3"/>
        <v>12.4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3.5</v>
      </c>
      <c r="AB58" s="46">
        <v>3.5</v>
      </c>
      <c r="AC58" s="46">
        <v>3.5</v>
      </c>
      <c r="AD58" s="46">
        <v>3.5</v>
      </c>
      <c r="AE58" s="46">
        <v>3.5</v>
      </c>
      <c r="AF58" s="46">
        <v>3.5</v>
      </c>
      <c r="AG58" s="66">
        <v>10</v>
      </c>
      <c r="AH58" s="48">
        <f t="shared" si="2"/>
        <v>3.5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94</v>
      </c>
      <c r="C60" s="68">
        <f>67+27.9</f>
        <v>94.9</v>
      </c>
      <c r="D60" s="68">
        <f>33+75.2</f>
        <v>108.2</v>
      </c>
      <c r="E60" s="68">
        <f>33+75.2</f>
        <v>108.2</v>
      </c>
      <c r="F60" s="68">
        <f>33+75.2</f>
        <v>108.2</v>
      </c>
      <c r="G60" s="68">
        <v>74</v>
      </c>
      <c r="H60" s="68">
        <v>74</v>
      </c>
      <c r="I60" s="68">
        <v>74</v>
      </c>
      <c r="J60" s="68">
        <v>98</v>
      </c>
      <c r="K60" s="68">
        <v>100.6</v>
      </c>
      <c r="L60" s="68">
        <v>99.3</v>
      </c>
      <c r="M60" s="53">
        <f>76+26.6</f>
        <v>102.6</v>
      </c>
      <c r="N60" s="53">
        <f>77.8+26.3</f>
        <v>104.1</v>
      </c>
      <c r="O60" s="53">
        <f>79.5+26.8</f>
        <v>106.3</v>
      </c>
      <c r="P60" s="53">
        <f>71.9+26.6</f>
        <v>98.5</v>
      </c>
      <c r="Q60" s="53">
        <f>78.7+27.9</f>
        <v>106.6</v>
      </c>
      <c r="R60" s="53">
        <f>28.9+83</f>
        <v>111.9</v>
      </c>
      <c r="S60" s="53">
        <f>34.3+85.1</f>
        <v>119.39999999999999</v>
      </c>
      <c r="T60" s="53">
        <f>34.1+85.3</f>
        <v>119.4</v>
      </c>
      <c r="U60" s="53">
        <f>29.8+79.3</f>
        <v>109.1</v>
      </c>
      <c r="V60" s="53">
        <f>29.8+79.3</f>
        <v>109.1</v>
      </c>
      <c r="W60" s="53">
        <v>102</v>
      </c>
      <c r="X60" s="53">
        <f>28.3+75.7</f>
        <v>104</v>
      </c>
      <c r="Y60" s="53">
        <f>29.4+79.7</f>
        <v>109.1</v>
      </c>
      <c r="Z60" s="53">
        <f>29.4+79.7</f>
        <v>109.1</v>
      </c>
      <c r="AA60" s="68">
        <v>109.1</v>
      </c>
      <c r="AB60" s="68">
        <v>109.1</v>
      </c>
      <c r="AC60" s="68">
        <v>106.9</v>
      </c>
      <c r="AD60" s="68">
        <v>106.9</v>
      </c>
      <c r="AE60" s="68">
        <v>106.9</v>
      </c>
      <c r="AF60" s="68">
        <v>89.9</v>
      </c>
      <c r="AG60" s="66">
        <v>240</v>
      </c>
      <c r="AH60" s="48">
        <f t="shared" si="2"/>
        <v>119.4</v>
      </c>
      <c r="AI60" s="49">
        <f t="shared" si="3"/>
        <v>74</v>
      </c>
      <c r="AK60" s="51"/>
    </row>
    <row r="61" spans="1:88" ht="15.75" thickBot="1" x14ac:dyDescent="0.3">
      <c r="A61" s="70" t="s">
        <v>75</v>
      </c>
      <c r="B61" s="71">
        <f>SUM(B11:B59)</f>
        <v>883.7</v>
      </c>
      <c r="C61" s="71">
        <f t="shared" ref="C61:AG61" si="20">SUM(C11:C59)</f>
        <v>858.9</v>
      </c>
      <c r="D61" s="71">
        <f t="shared" si="20"/>
        <v>858.9</v>
      </c>
      <c r="E61" s="71">
        <f t="shared" ref="E61:K61" si="21">SUM(E11:E59)</f>
        <v>856.1</v>
      </c>
      <c r="F61" s="71">
        <f t="shared" si="21"/>
        <v>856.1</v>
      </c>
      <c r="G61" s="71">
        <f t="shared" si="21"/>
        <v>926.30000000000007</v>
      </c>
      <c r="H61" s="71">
        <f t="shared" si="21"/>
        <v>927.7</v>
      </c>
      <c r="I61" s="71">
        <f t="shared" si="21"/>
        <v>915.2</v>
      </c>
      <c r="J61" s="71">
        <f t="shared" si="21"/>
        <v>915.2</v>
      </c>
      <c r="K61" s="71">
        <f t="shared" si="21"/>
        <v>915.2</v>
      </c>
      <c r="L61" s="71">
        <f t="shared" si="20"/>
        <v>932.6</v>
      </c>
      <c r="M61" s="71">
        <f t="shared" si="20"/>
        <v>887.9</v>
      </c>
      <c r="N61" s="71">
        <f t="shared" si="20"/>
        <v>858.9</v>
      </c>
      <c r="O61" s="71">
        <f t="shared" si="20"/>
        <v>858.9</v>
      </c>
      <c r="P61" s="71">
        <f>SUM(P11:P59)</f>
        <v>854.1</v>
      </c>
      <c r="Q61" s="71">
        <f t="shared" si="20"/>
        <v>840.4</v>
      </c>
      <c r="R61" s="71">
        <f>SUM(R11:R59)</f>
        <v>848.9</v>
      </c>
      <c r="S61" s="71">
        <f t="shared" si="20"/>
        <v>848.9</v>
      </c>
      <c r="T61" s="71">
        <f t="shared" si="20"/>
        <v>848.9</v>
      </c>
      <c r="U61" s="71">
        <f t="shared" si="20"/>
        <v>848.9</v>
      </c>
      <c r="V61" s="71">
        <f t="shared" si="20"/>
        <v>830.8</v>
      </c>
      <c r="W61" s="71">
        <f t="shared" si="20"/>
        <v>830.8</v>
      </c>
      <c r="X61" s="71">
        <f t="shared" si="20"/>
        <v>830.8</v>
      </c>
      <c r="Y61" s="71">
        <f t="shared" si="20"/>
        <v>830.8</v>
      </c>
      <c r="Z61" s="71">
        <f t="shared" si="20"/>
        <v>830.8</v>
      </c>
      <c r="AA61" s="71">
        <v>883.0999999999998</v>
      </c>
      <c r="AB61" s="71">
        <v>883.0999999999998</v>
      </c>
      <c r="AC61" s="71">
        <f t="shared" si="20"/>
        <v>894.79999999999984</v>
      </c>
      <c r="AD61" s="71">
        <f>SUM(AD11:AD59)</f>
        <v>892.0999999999998</v>
      </c>
      <c r="AE61" s="71">
        <f>SUM(AE11:AE59)</f>
        <v>888.69999999999982</v>
      </c>
      <c r="AF61" s="71">
        <f>SUM(AF11:AF59)</f>
        <v>888.29999999999984</v>
      </c>
      <c r="AG61" s="71">
        <f t="shared" si="20"/>
        <v>1466.0300000000002</v>
      </c>
      <c r="AH61" s="48">
        <f t="shared" si="2"/>
        <v>932.6</v>
      </c>
      <c r="AI61" s="49">
        <f t="shared" si="3"/>
        <v>830.8</v>
      </c>
      <c r="AK61" s="51"/>
    </row>
    <row r="62" spans="1:88" x14ac:dyDescent="0.25">
      <c r="A62" s="73" t="s">
        <v>76</v>
      </c>
      <c r="B62" s="46">
        <v>458.2</v>
      </c>
      <c r="C62" s="46">
        <v>458.2</v>
      </c>
      <c r="D62" s="46">
        <v>458.2</v>
      </c>
      <c r="E62" s="46">
        <v>458.2</v>
      </c>
      <c r="F62" s="46">
        <v>458.2</v>
      </c>
      <c r="G62" s="46">
        <v>458.2</v>
      </c>
      <c r="H62" s="46">
        <v>458.2</v>
      </c>
      <c r="I62" s="46">
        <v>458.2</v>
      </c>
      <c r="J62" s="46">
        <v>458.2</v>
      </c>
      <c r="K62" s="46">
        <v>458.2</v>
      </c>
      <c r="L62" s="46">
        <v>460.2</v>
      </c>
      <c r="M62" s="46">
        <v>460.2</v>
      </c>
      <c r="N62" s="46">
        <v>460.2</v>
      </c>
      <c r="O62" s="46">
        <v>460.2</v>
      </c>
      <c r="P62" s="46">
        <v>460.2</v>
      </c>
      <c r="Q62" s="46">
        <v>460.2</v>
      </c>
      <c r="R62" s="46">
        <v>460.2</v>
      </c>
      <c r="S62" s="46">
        <v>460.2</v>
      </c>
      <c r="T62" s="46">
        <v>460.2</v>
      </c>
      <c r="U62" s="74">
        <v>458.2</v>
      </c>
      <c r="V62" s="74">
        <v>458.2</v>
      </c>
      <c r="W62" s="74">
        <v>458.2</v>
      </c>
      <c r="X62" s="74">
        <v>458.2</v>
      </c>
      <c r="Y62" s="74">
        <v>458.2</v>
      </c>
      <c r="Z62" s="74">
        <v>458.2</v>
      </c>
      <c r="AA62" s="46">
        <v>458.2</v>
      </c>
      <c r="AB62" s="46">
        <v>458.2</v>
      </c>
      <c r="AC62" s="46">
        <v>458.2</v>
      </c>
      <c r="AD62" s="46">
        <v>458.2</v>
      </c>
      <c r="AE62" s="46">
        <v>458.2</v>
      </c>
      <c r="AF62" s="46">
        <v>458.2</v>
      </c>
      <c r="AG62" s="61">
        <v>456</v>
      </c>
      <c r="AH62" s="48">
        <f t="shared" si="2"/>
        <v>460.2</v>
      </c>
      <c r="AI62" s="49">
        <f t="shared" si="3"/>
        <v>458.2</v>
      </c>
      <c r="AK62" s="51"/>
    </row>
    <row r="63" spans="1:88" x14ac:dyDescent="0.25">
      <c r="A63" s="75" t="s">
        <v>77</v>
      </c>
      <c r="B63" s="76">
        <v>32</v>
      </c>
      <c r="C63" s="76">
        <v>32</v>
      </c>
      <c r="D63" s="76">
        <v>32</v>
      </c>
      <c r="E63" s="76">
        <v>32</v>
      </c>
      <c r="F63" s="76">
        <v>32</v>
      </c>
      <c r="G63" s="76">
        <v>32</v>
      </c>
      <c r="H63" s="76">
        <v>32</v>
      </c>
      <c r="I63" s="76">
        <v>32</v>
      </c>
      <c r="J63" s="76">
        <v>32</v>
      </c>
      <c r="K63" s="76">
        <v>32</v>
      </c>
      <c r="L63" s="76">
        <v>32</v>
      </c>
      <c r="M63" s="76">
        <v>32</v>
      </c>
      <c r="N63" s="76">
        <v>32</v>
      </c>
      <c r="O63" s="76">
        <v>32</v>
      </c>
      <c r="P63" s="76">
        <v>32</v>
      </c>
      <c r="Q63" s="76">
        <v>32</v>
      </c>
      <c r="R63" s="76">
        <v>32</v>
      </c>
      <c r="S63" s="76">
        <v>32</v>
      </c>
      <c r="T63" s="76">
        <v>32</v>
      </c>
      <c r="U63" s="76">
        <v>27.1</v>
      </c>
      <c r="V63" s="76">
        <v>27.1</v>
      </c>
      <c r="W63" s="76">
        <v>27.1</v>
      </c>
      <c r="X63" s="76">
        <v>27.1</v>
      </c>
      <c r="Y63" s="76">
        <v>27.1</v>
      </c>
      <c r="Z63" s="76">
        <v>27.1</v>
      </c>
      <c r="AA63" s="76">
        <v>27.1</v>
      </c>
      <c r="AB63" s="76">
        <v>40</v>
      </c>
      <c r="AC63" s="76">
        <v>40</v>
      </c>
      <c r="AD63" s="76">
        <v>40</v>
      </c>
      <c r="AE63" s="76">
        <v>40</v>
      </c>
      <c r="AF63" s="76">
        <v>40</v>
      </c>
      <c r="AG63" s="66">
        <v>60</v>
      </c>
      <c r="AH63" s="48">
        <f t="shared" si="2"/>
        <v>40</v>
      </c>
      <c r="AI63" s="49">
        <f t="shared" si="3"/>
        <v>27.1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2">SUM(B62:B64)</f>
        <v>512.79999999999995</v>
      </c>
      <c r="C65" s="71">
        <f t="shared" si="22"/>
        <v>512.79999999999995</v>
      </c>
      <c r="D65" s="71">
        <f t="shared" si="22"/>
        <v>512.79999999999995</v>
      </c>
      <c r="E65" s="71">
        <f t="shared" ref="E65:K65" si="23">SUM(E62:E64)</f>
        <v>512.79999999999995</v>
      </c>
      <c r="F65" s="71">
        <f t="shared" si="23"/>
        <v>512.79999999999995</v>
      </c>
      <c r="G65" s="71">
        <f t="shared" si="23"/>
        <v>512.79999999999995</v>
      </c>
      <c r="H65" s="71">
        <f t="shared" si="23"/>
        <v>512.79999999999995</v>
      </c>
      <c r="I65" s="71">
        <f t="shared" si="23"/>
        <v>512.79999999999995</v>
      </c>
      <c r="J65" s="71">
        <f t="shared" si="23"/>
        <v>512.79999999999995</v>
      </c>
      <c r="K65" s="71">
        <f t="shared" si="23"/>
        <v>512.79999999999995</v>
      </c>
      <c r="L65" s="71">
        <f t="shared" si="22"/>
        <v>514.70000000000005</v>
      </c>
      <c r="M65" s="71">
        <f t="shared" si="22"/>
        <v>514.70000000000005</v>
      </c>
      <c r="N65" s="71">
        <f t="shared" si="22"/>
        <v>514.70000000000005</v>
      </c>
      <c r="O65" s="71">
        <f t="shared" si="22"/>
        <v>514.70000000000005</v>
      </c>
      <c r="P65" s="71">
        <f>SUM(P62:P64)</f>
        <v>514.70000000000005</v>
      </c>
      <c r="Q65" s="71">
        <f>SUM(Q62:Q64)</f>
        <v>514.70000000000005</v>
      </c>
      <c r="R65" s="71">
        <f>SUM(R62:R64)</f>
        <v>514.70000000000005</v>
      </c>
      <c r="S65" s="71">
        <f t="shared" si="22"/>
        <v>514.70000000000005</v>
      </c>
      <c r="T65" s="71">
        <f t="shared" si="22"/>
        <v>514.70000000000005</v>
      </c>
      <c r="U65" s="71">
        <f>SUM(U62:U64)</f>
        <v>507.8</v>
      </c>
      <c r="V65" s="71">
        <f t="shared" si="22"/>
        <v>507.8</v>
      </c>
      <c r="W65" s="71">
        <f t="shared" si="22"/>
        <v>507.8</v>
      </c>
      <c r="X65" s="71">
        <f t="shared" si="22"/>
        <v>507.8</v>
      </c>
      <c r="Y65" s="71">
        <f t="shared" si="22"/>
        <v>507.8</v>
      </c>
      <c r="Z65" s="71">
        <f t="shared" si="22"/>
        <v>507.8</v>
      </c>
      <c r="AA65" s="71">
        <v>507.8</v>
      </c>
      <c r="AB65" s="71">
        <v>507.8</v>
      </c>
      <c r="AC65" s="71">
        <f t="shared" si="22"/>
        <v>520.70000000000005</v>
      </c>
      <c r="AD65" s="71">
        <f>SUM(AD62:AD64)</f>
        <v>520.70000000000005</v>
      </c>
      <c r="AE65" s="71">
        <f>SUM(AE62:AE64)</f>
        <v>520.70000000000005</v>
      </c>
      <c r="AF65" s="71">
        <f>SUM(AF62:AF64)</f>
        <v>520.70000000000005</v>
      </c>
      <c r="AG65" s="72">
        <f t="shared" si="22"/>
        <v>538.1</v>
      </c>
      <c r="AH65" s="48">
        <f t="shared" si="2"/>
        <v>520.70000000000005</v>
      </c>
      <c r="AI65" s="49">
        <f t="shared" si="3"/>
        <v>507.8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</v>
      </c>
      <c r="C66" s="46">
        <v>145</v>
      </c>
      <c r="D66" s="46">
        <v>145</v>
      </c>
      <c r="E66" s="46">
        <v>145</v>
      </c>
      <c r="F66" s="46">
        <v>145</v>
      </c>
      <c r="G66" s="46">
        <v>145</v>
      </c>
      <c r="H66" s="46">
        <v>145</v>
      </c>
      <c r="I66" s="46">
        <v>145</v>
      </c>
      <c r="J66" s="46">
        <v>145</v>
      </c>
      <c r="K66" s="46">
        <v>145</v>
      </c>
      <c r="L66" s="46">
        <v>145</v>
      </c>
      <c r="M66" s="46">
        <v>145</v>
      </c>
      <c r="N66" s="46">
        <v>145</v>
      </c>
      <c r="O66" s="46">
        <v>145</v>
      </c>
      <c r="P66" s="46">
        <v>145</v>
      </c>
      <c r="Q66" s="46">
        <v>145</v>
      </c>
      <c r="R66" s="46">
        <v>145</v>
      </c>
      <c r="S66" s="46">
        <v>145</v>
      </c>
      <c r="T66" s="46">
        <v>145</v>
      </c>
      <c r="U66" s="46">
        <v>145.30000000000001</v>
      </c>
      <c r="V66" s="46">
        <v>145.30000000000001</v>
      </c>
      <c r="W66" s="46">
        <v>145.30000000000001</v>
      </c>
      <c r="X66" s="46">
        <v>145.30000000000001</v>
      </c>
      <c r="Y66" s="46">
        <v>145.30000000000001</v>
      </c>
      <c r="Z66" s="46">
        <v>145.30000000000001</v>
      </c>
      <c r="AA66" s="46">
        <v>145.30000000000001</v>
      </c>
      <c r="AB66" s="46">
        <v>145.30000000000001</v>
      </c>
      <c r="AC66" s="46">
        <v>145.30000000000001</v>
      </c>
      <c r="AD66" s="46">
        <v>145.30000000000001</v>
      </c>
      <c r="AE66" s="46">
        <v>145.30000000000001</v>
      </c>
      <c r="AF66" s="46">
        <v>145.30000000000001</v>
      </c>
      <c r="AG66" s="61">
        <v>144</v>
      </c>
      <c r="AH66" s="48">
        <f t="shared" si="2"/>
        <v>145.30000000000001</v>
      </c>
      <c r="AI66" s="49">
        <f t="shared" si="3"/>
        <v>145</v>
      </c>
      <c r="AK66" s="51"/>
      <c r="AY66" s="1" t="s">
        <v>86</v>
      </c>
      <c r="AZ66" s="82">
        <f>ROUND(C84,0)</f>
        <v>24</v>
      </c>
      <c r="BA66" s="81">
        <f t="shared" ref="BA66:BD70" si="24">D84</f>
        <v>23.6</v>
      </c>
      <c r="BB66" s="81">
        <f t="shared" si="24"/>
        <v>18.100000000000001</v>
      </c>
      <c r="BC66" s="81">
        <f t="shared" si="24"/>
        <v>18.100000000000001</v>
      </c>
      <c r="BD66" s="81">
        <f t="shared" si="24"/>
        <v>23.1</v>
      </c>
      <c r="BE66" s="82">
        <f>I84</f>
        <v>15</v>
      </c>
      <c r="BF66" s="82">
        <f>K84</f>
        <v>58.2</v>
      </c>
      <c r="BG66" s="82">
        <f t="shared" ref="BG66:BP70" si="25">M84</f>
        <v>42.9</v>
      </c>
      <c r="BH66" s="82">
        <f t="shared" si="25"/>
        <v>48.6</v>
      </c>
      <c r="BI66" s="82">
        <f t="shared" si="25"/>
        <v>55.9</v>
      </c>
      <c r="BJ66" s="82">
        <f t="shared" si="25"/>
        <v>64.7</v>
      </c>
      <c r="BK66" s="82">
        <f t="shared" si="25"/>
        <v>70</v>
      </c>
      <c r="BL66" s="82">
        <f t="shared" si="25"/>
        <v>71.5</v>
      </c>
      <c r="BM66" s="82">
        <f t="shared" si="25"/>
        <v>71.900000000000006</v>
      </c>
      <c r="BN66" s="82">
        <f t="shared" si="25"/>
        <v>68.400000000000006</v>
      </c>
      <c r="BO66" s="82">
        <f t="shared" si="25"/>
        <v>72.8</v>
      </c>
      <c r="BP66" s="82">
        <f t="shared" si="25"/>
        <v>54.6</v>
      </c>
      <c r="BQ66" s="82">
        <f>X84</f>
        <v>47.5</v>
      </c>
      <c r="BR66" s="82">
        <f>Z84</f>
        <v>11.8</v>
      </c>
      <c r="BS66" s="81">
        <f>AB84</f>
        <v>22.5</v>
      </c>
      <c r="BT66" s="81">
        <f t="shared" ref="BT66:BV70" si="26">AD84</f>
        <v>21.1</v>
      </c>
      <c r="BU66" s="81">
        <f t="shared" si="26"/>
        <v>24.1</v>
      </c>
      <c r="BV66" s="81">
        <f t="shared" si="26"/>
        <v>20.100000000000001</v>
      </c>
      <c r="BW66" s="81">
        <f>B84</f>
        <v>19.5</v>
      </c>
    </row>
    <row r="67" spans="1:75" x14ac:dyDescent="0.25">
      <c r="A67" s="65" t="s">
        <v>81</v>
      </c>
      <c r="B67" s="76">
        <v>69.900000000000006</v>
      </c>
      <c r="C67" s="76">
        <v>69.900000000000006</v>
      </c>
      <c r="D67" s="76">
        <v>69.900000000000006</v>
      </c>
      <c r="E67" s="76">
        <v>69.900000000000006</v>
      </c>
      <c r="F67" s="76">
        <v>69.900000000000006</v>
      </c>
      <c r="G67" s="76">
        <v>69.900000000000006</v>
      </c>
      <c r="H67" s="76">
        <v>69.900000000000006</v>
      </c>
      <c r="I67" s="76">
        <v>69.900000000000006</v>
      </c>
      <c r="J67" s="76">
        <v>69.900000000000006</v>
      </c>
      <c r="K67" s="76">
        <v>69.900000000000006</v>
      </c>
      <c r="L67" s="76">
        <v>69.900000000000006</v>
      </c>
      <c r="M67" s="76">
        <v>69.900000000000006</v>
      </c>
      <c r="N67" s="76">
        <v>69.900000000000006</v>
      </c>
      <c r="O67" s="76">
        <v>69.900000000000006</v>
      </c>
      <c r="P67" s="76">
        <v>69.900000000000006</v>
      </c>
      <c r="Q67" s="76">
        <v>69.900000000000006</v>
      </c>
      <c r="R67" s="76">
        <v>70.099999999999994</v>
      </c>
      <c r="S67" s="76">
        <v>70.099999999999994</v>
      </c>
      <c r="T67" s="76">
        <v>70.099999999999994</v>
      </c>
      <c r="U67" s="76">
        <v>69.7</v>
      </c>
      <c r="V67" s="76">
        <v>69.7</v>
      </c>
      <c r="W67" s="76">
        <v>69.7</v>
      </c>
      <c r="X67" s="76">
        <v>69.7</v>
      </c>
      <c r="Y67" s="76">
        <v>69.7</v>
      </c>
      <c r="Z67" s="76">
        <v>69.7</v>
      </c>
      <c r="AA67" s="46">
        <v>69.7</v>
      </c>
      <c r="AB67" s="46">
        <v>69.7</v>
      </c>
      <c r="AC67" s="46">
        <v>69.7</v>
      </c>
      <c r="AD67" s="46">
        <v>69.7</v>
      </c>
      <c r="AE67" s="46">
        <v>69.7</v>
      </c>
      <c r="AF67" s="46">
        <v>69.7</v>
      </c>
      <c r="AG67" s="66">
        <v>70</v>
      </c>
      <c r="AH67" s="48">
        <f t="shared" si="2"/>
        <v>70.099999999999994</v>
      </c>
      <c r="AI67" s="49">
        <f t="shared" si="3"/>
        <v>69.7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57</v>
      </c>
      <c r="C68" s="76">
        <v>68.900000000000006</v>
      </c>
      <c r="D68" s="76">
        <v>68.900000000000006</v>
      </c>
      <c r="E68" s="76">
        <v>68.900000000000006</v>
      </c>
      <c r="F68" s="76">
        <v>68.900000000000006</v>
      </c>
      <c r="G68" s="76">
        <v>68.900000000000006</v>
      </c>
      <c r="H68" s="76">
        <v>68.900000000000006</v>
      </c>
      <c r="I68" s="76">
        <v>68.900000000000006</v>
      </c>
      <c r="J68" s="76">
        <v>68.900000000000006</v>
      </c>
      <c r="K68" s="76">
        <v>68.900000000000006</v>
      </c>
      <c r="L68" s="76">
        <v>68.900000000000006</v>
      </c>
      <c r="M68" s="76">
        <v>68.900000000000006</v>
      </c>
      <c r="N68" s="76">
        <v>68.900000000000006</v>
      </c>
      <c r="O68" s="76">
        <v>68.900000000000006</v>
      </c>
      <c r="P68" s="76">
        <v>68.900000000000006</v>
      </c>
      <c r="Q68" s="76">
        <v>68.900000000000006</v>
      </c>
      <c r="R68" s="76">
        <v>69.5</v>
      </c>
      <c r="S68" s="76">
        <v>69.5</v>
      </c>
      <c r="T68" s="76">
        <v>69.5</v>
      </c>
      <c r="U68" s="76">
        <v>70.2</v>
      </c>
      <c r="V68" s="76">
        <v>70.2</v>
      </c>
      <c r="W68" s="76">
        <v>70.2</v>
      </c>
      <c r="X68" s="76">
        <v>70.2</v>
      </c>
      <c r="Y68" s="76">
        <v>70.2</v>
      </c>
      <c r="Z68" s="76">
        <v>70.2</v>
      </c>
      <c r="AA68" s="46">
        <v>70.2</v>
      </c>
      <c r="AB68" s="46">
        <v>70.2</v>
      </c>
      <c r="AC68" s="46">
        <v>70.2</v>
      </c>
      <c r="AD68" s="46">
        <v>70.2</v>
      </c>
      <c r="AE68" s="46">
        <v>70.2</v>
      </c>
      <c r="AF68" s="46">
        <v>70.2</v>
      </c>
      <c r="AG68" s="66">
        <v>69</v>
      </c>
      <c r="AH68" s="48">
        <f t="shared" si="2"/>
        <v>70.2</v>
      </c>
      <c r="AI68" s="49">
        <f t="shared" si="3"/>
        <v>57</v>
      </c>
      <c r="AK68" s="51"/>
      <c r="AL68" s="83"/>
      <c r="AO68" s="83"/>
      <c r="AY68" s="1" t="s">
        <v>90</v>
      </c>
      <c r="AZ68" s="82">
        <f>ROUND(C86,0)</f>
        <v>-298</v>
      </c>
      <c r="BA68" s="81">
        <f t="shared" si="24"/>
        <v>-364</v>
      </c>
      <c r="BB68" s="81">
        <f t="shared" si="24"/>
        <v>-470</v>
      </c>
      <c r="BC68" s="81">
        <f t="shared" si="24"/>
        <v>-470</v>
      </c>
      <c r="BD68" s="81">
        <f t="shared" si="24"/>
        <v>-422</v>
      </c>
      <c r="BE68" s="82">
        <f>I86</f>
        <v>-440</v>
      </c>
      <c r="BF68" s="82">
        <f>K86</f>
        <v>-362</v>
      </c>
      <c r="BG68" s="82">
        <f t="shared" si="25"/>
        <v>-302</v>
      </c>
      <c r="BH68" s="82">
        <f t="shared" si="25"/>
        <v>-228.3</v>
      </c>
      <c r="BI68" s="82">
        <f t="shared" si="25"/>
        <v>-218.9</v>
      </c>
      <c r="BJ68" s="82">
        <f t="shared" si="25"/>
        <v>-162.9</v>
      </c>
      <c r="BK68" s="82">
        <f t="shared" si="25"/>
        <v>-154</v>
      </c>
      <c r="BL68" s="82">
        <f t="shared" si="25"/>
        <v>-200</v>
      </c>
      <c r="BM68" s="82">
        <f t="shared" si="25"/>
        <v>-122</v>
      </c>
      <c r="BN68" s="82">
        <f t="shared" si="25"/>
        <v>-180</v>
      </c>
      <c r="BO68" s="82">
        <f t="shared" si="25"/>
        <v>-158.4</v>
      </c>
      <c r="BP68" s="82">
        <f t="shared" si="25"/>
        <v>-248</v>
      </c>
      <c r="BQ68" s="82">
        <f>X86</f>
        <v>-321</v>
      </c>
      <c r="BR68" s="82">
        <f>Z86</f>
        <v>-224</v>
      </c>
      <c r="BS68" s="81">
        <f>AB86</f>
        <v>-149.19999999999999</v>
      </c>
      <c r="BT68" s="81">
        <f t="shared" si="26"/>
        <v>-164</v>
      </c>
      <c r="BU68" s="81">
        <f t="shared" si="26"/>
        <v>-162</v>
      </c>
      <c r="BV68" s="81">
        <f t="shared" si="26"/>
        <v>-194</v>
      </c>
      <c r="BW68" s="81">
        <f>B86</f>
        <v>-255.4</v>
      </c>
    </row>
    <row r="69" spans="1:75" s="83" customFormat="1" x14ac:dyDescent="0.25">
      <c r="A69" s="65" t="s">
        <v>83</v>
      </c>
      <c r="B69" s="76">
        <v>61.2</v>
      </c>
      <c r="C69" s="76">
        <v>61.2</v>
      </c>
      <c r="D69" s="76">
        <v>61.2</v>
      </c>
      <c r="E69" s="76">
        <v>61.2</v>
      </c>
      <c r="F69" s="76">
        <v>61.2</v>
      </c>
      <c r="G69" s="76">
        <v>61.2</v>
      </c>
      <c r="H69" s="76">
        <v>61.2</v>
      </c>
      <c r="I69" s="76">
        <v>61.2</v>
      </c>
      <c r="J69" s="76">
        <v>61.2</v>
      </c>
      <c r="K69" s="76">
        <v>61.2</v>
      </c>
      <c r="L69" s="76">
        <v>61.2</v>
      </c>
      <c r="M69" s="76">
        <v>61.2</v>
      </c>
      <c r="N69" s="76">
        <v>61.2</v>
      </c>
      <c r="O69" s="76">
        <v>61.2</v>
      </c>
      <c r="P69" s="76">
        <v>61.2</v>
      </c>
      <c r="Q69" s="76">
        <v>61.2</v>
      </c>
      <c r="R69" s="76">
        <v>58.5</v>
      </c>
      <c r="S69" s="76">
        <v>58.5</v>
      </c>
      <c r="T69" s="76">
        <v>58.5</v>
      </c>
      <c r="U69" s="76">
        <v>58.7</v>
      </c>
      <c r="V69" s="76">
        <v>58.7</v>
      </c>
      <c r="W69" s="76">
        <v>58.7</v>
      </c>
      <c r="X69" s="76">
        <v>58.7</v>
      </c>
      <c r="Y69" s="76">
        <v>58.7</v>
      </c>
      <c r="Z69" s="76">
        <v>58.7</v>
      </c>
      <c r="AA69" s="46">
        <v>58.7</v>
      </c>
      <c r="AB69" s="46">
        <v>58.7</v>
      </c>
      <c r="AC69" s="46">
        <v>58.7</v>
      </c>
      <c r="AD69" s="46">
        <v>58.7</v>
      </c>
      <c r="AE69" s="46">
        <v>58.7</v>
      </c>
      <c r="AF69" s="46">
        <v>58.7</v>
      </c>
      <c r="AG69" s="66">
        <v>60</v>
      </c>
      <c r="AH69" s="48">
        <f t="shared" si="2"/>
        <v>61.2</v>
      </c>
      <c r="AI69" s="49">
        <f t="shared" si="3"/>
        <v>58.5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10.9</v>
      </c>
      <c r="C70" s="46">
        <v>11</v>
      </c>
      <c r="D70" s="46">
        <v>11</v>
      </c>
      <c r="E70" s="46">
        <v>11</v>
      </c>
      <c r="F70" s="46">
        <v>15</v>
      </c>
      <c r="G70" s="46">
        <v>15</v>
      </c>
      <c r="H70" s="46">
        <v>15</v>
      </c>
      <c r="I70" s="46">
        <v>15</v>
      </c>
      <c r="J70" s="46">
        <v>15</v>
      </c>
      <c r="K70" s="46">
        <v>15</v>
      </c>
      <c r="L70" s="46">
        <v>15</v>
      </c>
      <c r="M70" s="46">
        <v>23.4</v>
      </c>
      <c r="N70" s="46">
        <v>23.4</v>
      </c>
      <c r="O70" s="46">
        <v>23.4</v>
      </c>
      <c r="P70" s="46">
        <v>23.4</v>
      </c>
      <c r="Q70" s="46">
        <v>23.4</v>
      </c>
      <c r="R70" s="46">
        <v>23.4</v>
      </c>
      <c r="S70" s="46">
        <v>26</v>
      </c>
      <c r="T70" s="46">
        <v>26</v>
      </c>
      <c r="U70" s="76">
        <v>26.9</v>
      </c>
      <c r="V70" s="76">
        <v>0</v>
      </c>
      <c r="W70" s="76">
        <v>0</v>
      </c>
      <c r="X70" s="76">
        <v>0</v>
      </c>
      <c r="Y70" s="76">
        <v>14.6</v>
      </c>
      <c r="Z70" s="76">
        <v>14.6</v>
      </c>
      <c r="AA70" s="46">
        <v>14.6</v>
      </c>
      <c r="AB70" s="46">
        <v>27</v>
      </c>
      <c r="AC70" s="46">
        <v>23</v>
      </c>
      <c r="AD70" s="46">
        <v>23</v>
      </c>
      <c r="AE70" s="46">
        <v>23</v>
      </c>
      <c r="AF70" s="46">
        <v>23</v>
      </c>
      <c r="AG70" s="66">
        <v>30</v>
      </c>
      <c r="AH70" s="48">
        <f t="shared" si="2"/>
        <v>27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6.7</v>
      </c>
      <c r="N71" s="46">
        <v>8</v>
      </c>
      <c r="O71" s="46">
        <v>10.7</v>
      </c>
      <c r="P71" s="46">
        <v>14.6</v>
      </c>
      <c r="Q71" s="46">
        <v>12.4</v>
      </c>
      <c r="R71" s="46">
        <v>14.2</v>
      </c>
      <c r="S71" s="46">
        <v>4.9000000000000004</v>
      </c>
      <c r="T71" s="46">
        <v>4.8</v>
      </c>
      <c r="U71" s="76">
        <v>6.8</v>
      </c>
      <c r="V71" s="76">
        <v>2.5</v>
      </c>
      <c r="W71" s="76">
        <v>2.6</v>
      </c>
      <c r="X71" s="76">
        <v>1</v>
      </c>
      <c r="Y71" s="76">
        <v>0</v>
      </c>
      <c r="Z71" s="7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14.6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13.5</v>
      </c>
      <c r="C72" s="76">
        <v>13.5</v>
      </c>
      <c r="D72" s="76">
        <v>13.5</v>
      </c>
      <c r="E72" s="76">
        <v>13.5</v>
      </c>
      <c r="F72" s="76">
        <v>13.5</v>
      </c>
      <c r="G72" s="76">
        <v>13</v>
      </c>
      <c r="H72" s="76">
        <v>13</v>
      </c>
      <c r="I72" s="76">
        <v>13</v>
      </c>
      <c r="J72" s="76">
        <v>13</v>
      </c>
      <c r="K72" s="76">
        <v>13</v>
      </c>
      <c r="L72" s="76">
        <v>13</v>
      </c>
      <c r="M72" s="76">
        <v>13</v>
      </c>
      <c r="N72" s="76">
        <v>13</v>
      </c>
      <c r="O72" s="76">
        <v>13</v>
      </c>
      <c r="P72" s="76">
        <v>13</v>
      </c>
      <c r="Q72" s="76">
        <v>13</v>
      </c>
      <c r="R72" s="76">
        <v>14.3</v>
      </c>
      <c r="S72" s="76">
        <v>14.3</v>
      </c>
      <c r="T72" s="76">
        <v>14.3</v>
      </c>
      <c r="U72" s="76">
        <v>14.1</v>
      </c>
      <c r="V72" s="76">
        <v>14.1</v>
      </c>
      <c r="W72" s="76">
        <v>14.1</v>
      </c>
      <c r="X72" s="76">
        <v>14.1</v>
      </c>
      <c r="Y72" s="76">
        <v>14.1</v>
      </c>
      <c r="Z72" s="76">
        <v>14.1</v>
      </c>
      <c r="AA72" s="76">
        <v>14.1</v>
      </c>
      <c r="AB72" s="76">
        <v>14.1</v>
      </c>
      <c r="AC72" s="76">
        <v>14.1</v>
      </c>
      <c r="AD72" s="76">
        <v>14.1</v>
      </c>
      <c r="AE72" s="76">
        <v>14.1</v>
      </c>
      <c r="AF72" s="76">
        <v>14.1</v>
      </c>
      <c r="AG72" s="66">
        <v>24</v>
      </c>
      <c r="AH72" s="48">
        <f t="shared" si="2"/>
        <v>14.3</v>
      </c>
      <c r="AI72" s="49">
        <f t="shared" si="3"/>
        <v>13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8">VALUE(AZ66)</f>
        <v>24</v>
      </c>
      <c r="BA73" s="82">
        <f t="shared" si="28"/>
        <v>23.6</v>
      </c>
      <c r="BB73" s="82">
        <f t="shared" si="28"/>
        <v>18.100000000000001</v>
      </c>
      <c r="BC73" s="82">
        <f t="shared" si="28"/>
        <v>18.100000000000001</v>
      </c>
      <c r="BD73" s="82">
        <f t="shared" si="28"/>
        <v>23.1</v>
      </c>
      <c r="BE73" s="82">
        <f t="shared" si="28"/>
        <v>15</v>
      </c>
      <c r="BF73" s="82">
        <f t="shared" si="28"/>
        <v>58.2</v>
      </c>
      <c r="BG73" s="82">
        <f t="shared" si="28"/>
        <v>42.9</v>
      </c>
      <c r="BH73" s="82">
        <f t="shared" si="28"/>
        <v>48.6</v>
      </c>
      <c r="BI73" s="82">
        <f t="shared" si="28"/>
        <v>55.9</v>
      </c>
      <c r="BJ73" s="82">
        <f t="shared" si="28"/>
        <v>64.7</v>
      </c>
      <c r="BK73" s="82">
        <f t="shared" si="28"/>
        <v>70</v>
      </c>
      <c r="BL73" s="82">
        <f t="shared" si="28"/>
        <v>71.5</v>
      </c>
      <c r="BM73" s="82">
        <f t="shared" si="28"/>
        <v>71.900000000000006</v>
      </c>
      <c r="BN73" s="82">
        <f t="shared" si="28"/>
        <v>68.400000000000006</v>
      </c>
      <c r="BO73" s="82">
        <f t="shared" si="28"/>
        <v>72.8</v>
      </c>
      <c r="BP73" s="82">
        <f t="shared" si="28"/>
        <v>54.6</v>
      </c>
      <c r="BQ73" s="82">
        <f t="shared" si="28"/>
        <v>47.5</v>
      </c>
      <c r="BR73" s="82">
        <f t="shared" si="28"/>
        <v>11.8</v>
      </c>
      <c r="BS73" s="82">
        <f t="shared" si="28"/>
        <v>22.5</v>
      </c>
      <c r="BT73" s="82">
        <f t="shared" si="28"/>
        <v>21.1</v>
      </c>
      <c r="BU73" s="82">
        <f t="shared" si="28"/>
        <v>24.1</v>
      </c>
      <c r="BV73" s="82">
        <f t="shared" si="28"/>
        <v>20.100000000000001</v>
      </c>
      <c r="BW73" s="82">
        <f t="shared" si="28"/>
        <v>19.5</v>
      </c>
    </row>
    <row r="74" spans="1:75" x14ac:dyDescent="0.25">
      <c r="A74" s="65" t="s">
        <v>91</v>
      </c>
      <c r="B74" s="76">
        <v>12</v>
      </c>
      <c r="C74" s="76">
        <v>12</v>
      </c>
      <c r="D74" s="76">
        <v>12</v>
      </c>
      <c r="E74" s="76">
        <v>12</v>
      </c>
      <c r="F74" s="76">
        <v>12</v>
      </c>
      <c r="G74" s="76">
        <v>9.4</v>
      </c>
      <c r="H74" s="76">
        <v>9.4</v>
      </c>
      <c r="I74" s="76">
        <v>9.4</v>
      </c>
      <c r="J74" s="76">
        <v>9.4</v>
      </c>
      <c r="K74" s="76">
        <v>9.4</v>
      </c>
      <c r="L74" s="76">
        <v>9.4</v>
      </c>
      <c r="M74" s="76">
        <v>9.4</v>
      </c>
      <c r="N74" s="76">
        <v>9.4</v>
      </c>
      <c r="O74" s="76">
        <v>9.4</v>
      </c>
      <c r="P74" s="76">
        <v>9.4</v>
      </c>
      <c r="Q74" s="76">
        <v>9.4</v>
      </c>
      <c r="R74" s="76">
        <v>8.9</v>
      </c>
      <c r="S74" s="76">
        <v>8.9</v>
      </c>
      <c r="T74" s="76">
        <v>8.9</v>
      </c>
      <c r="U74" s="76">
        <v>8.9</v>
      </c>
      <c r="V74" s="76">
        <v>8.9</v>
      </c>
      <c r="W74" s="76">
        <v>8.9</v>
      </c>
      <c r="X74" s="76">
        <v>8.9</v>
      </c>
      <c r="Y74" s="76">
        <v>8.9</v>
      </c>
      <c r="Z74" s="76">
        <v>8.9</v>
      </c>
      <c r="AA74" s="76">
        <v>8.9</v>
      </c>
      <c r="AB74" s="76">
        <v>8.9</v>
      </c>
      <c r="AC74" s="76">
        <v>8.9</v>
      </c>
      <c r="AD74" s="76">
        <v>8.9</v>
      </c>
      <c r="AE74" s="76">
        <v>8.9</v>
      </c>
      <c r="AF74" s="76">
        <v>8.9</v>
      </c>
      <c r="AG74" s="66">
        <v>14.1</v>
      </c>
      <c r="AH74" s="48">
        <f t="shared" si="2"/>
        <v>12</v>
      </c>
      <c r="AI74" s="49">
        <f t="shared" si="3"/>
        <v>8.9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0</v>
      </c>
      <c r="C75" s="76">
        <v>14.3</v>
      </c>
      <c r="D75" s="76">
        <v>14.3</v>
      </c>
      <c r="E75" s="76">
        <v>14.3</v>
      </c>
      <c r="F75" s="76">
        <v>14.3</v>
      </c>
      <c r="G75" s="76">
        <v>14.4</v>
      </c>
      <c r="H75" s="76">
        <v>14.4</v>
      </c>
      <c r="I75" s="76">
        <v>14.4</v>
      </c>
      <c r="J75" s="76">
        <v>14.4</v>
      </c>
      <c r="K75" s="76">
        <v>14.4</v>
      </c>
      <c r="L75" s="76">
        <v>14.4</v>
      </c>
      <c r="M75" s="76">
        <v>14.4</v>
      </c>
      <c r="N75" s="76">
        <v>14.4</v>
      </c>
      <c r="O75" s="76">
        <v>14.4</v>
      </c>
      <c r="P75" s="76">
        <v>14.4</v>
      </c>
      <c r="Q75" s="76">
        <v>14.4</v>
      </c>
      <c r="R75" s="76">
        <v>11.9</v>
      </c>
      <c r="S75" s="76">
        <v>11.9</v>
      </c>
      <c r="T75" s="76">
        <v>11.9</v>
      </c>
      <c r="U75" s="76">
        <v>11.9</v>
      </c>
      <c r="V75" s="76">
        <v>11.9</v>
      </c>
      <c r="W75" s="76">
        <v>11.9</v>
      </c>
      <c r="X75" s="76">
        <v>11.9</v>
      </c>
      <c r="Y75" s="76">
        <v>11.9</v>
      </c>
      <c r="Z75" s="76">
        <v>11.9</v>
      </c>
      <c r="AA75" s="76">
        <v>11.9</v>
      </c>
      <c r="AB75" s="76">
        <v>11.9</v>
      </c>
      <c r="AC75" s="76">
        <v>11.9</v>
      </c>
      <c r="AD75" s="76">
        <v>11.9</v>
      </c>
      <c r="AE75" s="76">
        <v>11.9</v>
      </c>
      <c r="AF75" s="76">
        <v>11.9</v>
      </c>
      <c r="AG75" s="66">
        <v>14</v>
      </c>
      <c r="AH75" s="48">
        <f t="shared" ref="AH75:AH126" si="29">MAX(B75:AF75)</f>
        <v>14.4</v>
      </c>
      <c r="AI75" s="49">
        <f t="shared" ref="AI75:AI126" si="30">MIN(B75:AF75)</f>
        <v>0</v>
      </c>
      <c r="AK75" s="51"/>
      <c r="AZ75" s="82">
        <f t="shared" si="28"/>
        <v>-298</v>
      </c>
      <c r="BA75" s="82">
        <f t="shared" si="28"/>
        <v>-364</v>
      </c>
      <c r="BB75" s="82">
        <f t="shared" si="28"/>
        <v>-470</v>
      </c>
      <c r="BC75" s="82">
        <f t="shared" si="28"/>
        <v>-470</v>
      </c>
      <c r="BD75" s="82">
        <f t="shared" si="28"/>
        <v>-422</v>
      </c>
      <c r="BE75" s="82">
        <f t="shared" si="28"/>
        <v>-440</v>
      </c>
      <c r="BF75" s="82">
        <f t="shared" si="28"/>
        <v>-362</v>
      </c>
      <c r="BG75" s="82">
        <f t="shared" si="28"/>
        <v>-302</v>
      </c>
      <c r="BH75" s="82">
        <f t="shared" si="28"/>
        <v>-228.3</v>
      </c>
      <c r="BI75" s="82">
        <f t="shared" si="28"/>
        <v>-218.9</v>
      </c>
      <c r="BJ75" s="82">
        <f t="shared" si="28"/>
        <v>-162.9</v>
      </c>
      <c r="BK75" s="82">
        <f t="shared" si="28"/>
        <v>-154</v>
      </c>
      <c r="BL75" s="82">
        <f t="shared" si="28"/>
        <v>-200</v>
      </c>
      <c r="BM75" s="82">
        <f t="shared" si="28"/>
        <v>-122</v>
      </c>
      <c r="BN75" s="82">
        <f t="shared" si="28"/>
        <v>-180</v>
      </c>
      <c r="BO75" s="82">
        <f t="shared" si="28"/>
        <v>-158.4</v>
      </c>
      <c r="BP75" s="82">
        <f t="shared" si="28"/>
        <v>-248</v>
      </c>
      <c r="BQ75" s="82">
        <f t="shared" si="28"/>
        <v>-321</v>
      </c>
      <c r="BR75" s="82">
        <f t="shared" si="28"/>
        <v>-224</v>
      </c>
      <c r="BS75" s="82">
        <f t="shared" si="28"/>
        <v>-149.19999999999999</v>
      </c>
      <c r="BT75" s="82">
        <f t="shared" si="28"/>
        <v>-164</v>
      </c>
      <c r="BU75" s="82">
        <f t="shared" si="28"/>
        <v>-162</v>
      </c>
      <c r="BV75" s="82">
        <f t="shared" si="28"/>
        <v>-194</v>
      </c>
      <c r="BW75" s="82">
        <f t="shared" si="28"/>
        <v>-255.4</v>
      </c>
    </row>
    <row r="76" spans="1:75" x14ac:dyDescent="0.25">
      <c r="A76" s="65" t="s">
        <v>95</v>
      </c>
      <c r="B76" s="76">
        <v>9</v>
      </c>
      <c r="C76" s="76">
        <v>9</v>
      </c>
      <c r="D76" s="76">
        <v>9</v>
      </c>
      <c r="E76" s="76">
        <v>9</v>
      </c>
      <c r="F76" s="76">
        <v>9</v>
      </c>
      <c r="G76" s="76">
        <v>9</v>
      </c>
      <c r="H76" s="76">
        <v>9</v>
      </c>
      <c r="I76" s="76">
        <v>9</v>
      </c>
      <c r="J76" s="76">
        <v>9</v>
      </c>
      <c r="K76" s="76">
        <v>9</v>
      </c>
      <c r="L76" s="76">
        <v>9</v>
      </c>
      <c r="M76" s="76">
        <v>9</v>
      </c>
      <c r="N76" s="76">
        <v>9</v>
      </c>
      <c r="O76" s="76">
        <v>9</v>
      </c>
      <c r="P76" s="76">
        <v>9</v>
      </c>
      <c r="Q76" s="76">
        <v>9</v>
      </c>
      <c r="R76" s="76">
        <v>9</v>
      </c>
      <c r="S76" s="76">
        <v>9</v>
      </c>
      <c r="T76" s="76">
        <v>9</v>
      </c>
      <c r="U76" s="76">
        <v>9</v>
      </c>
      <c r="V76" s="76">
        <v>9</v>
      </c>
      <c r="W76" s="76">
        <v>9</v>
      </c>
      <c r="X76" s="76">
        <v>9</v>
      </c>
      <c r="Y76" s="76">
        <v>9</v>
      </c>
      <c r="Z76" s="76">
        <v>9</v>
      </c>
      <c r="AA76" s="76">
        <v>9</v>
      </c>
      <c r="AB76" s="76">
        <v>9</v>
      </c>
      <c r="AC76" s="76">
        <v>9</v>
      </c>
      <c r="AD76" s="76">
        <v>9</v>
      </c>
      <c r="AE76" s="76">
        <v>9</v>
      </c>
      <c r="AF76" s="76">
        <v>9</v>
      </c>
      <c r="AG76" s="66">
        <v>10.050000000000001</v>
      </c>
      <c r="AH76" s="48">
        <f t="shared" si="29"/>
        <v>9</v>
      </c>
      <c r="AI76" s="49">
        <f t="shared" si="30"/>
        <v>9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9"/>
        <v>6</v>
      </c>
      <c r="AI77" s="49">
        <f t="shared" si="30"/>
        <v>6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9"/>
        <v>5.5</v>
      </c>
      <c r="AI78" s="49">
        <f t="shared" si="30"/>
        <v>3.5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f t="shared" ref="B79:AG79" si="31">SUM(B66:B78)</f>
        <v>391.84</v>
      </c>
      <c r="C79" s="71">
        <f t="shared" si="31"/>
        <v>418.14000000000004</v>
      </c>
      <c r="D79" s="71">
        <f t="shared" si="31"/>
        <v>418.14000000000004</v>
      </c>
      <c r="E79" s="71">
        <f t="shared" si="31"/>
        <v>418.14000000000004</v>
      </c>
      <c r="F79" s="71">
        <f>SUM(F66:F78)</f>
        <v>422.14000000000004</v>
      </c>
      <c r="G79" s="71">
        <f>SUM(G66:G78)</f>
        <v>419.14</v>
      </c>
      <c r="H79" s="71">
        <f t="shared" si="31"/>
        <v>419.14</v>
      </c>
      <c r="I79" s="71">
        <f t="shared" si="31"/>
        <v>419.14</v>
      </c>
      <c r="J79" s="71">
        <f t="shared" si="31"/>
        <v>419.14</v>
      </c>
      <c r="K79" s="71">
        <f t="shared" si="31"/>
        <v>419.14</v>
      </c>
      <c r="L79" s="71">
        <f t="shared" si="31"/>
        <v>419.14</v>
      </c>
      <c r="M79" s="71">
        <f t="shared" si="31"/>
        <v>434.23999999999995</v>
      </c>
      <c r="N79" s="71">
        <f t="shared" si="31"/>
        <v>435.53999999999996</v>
      </c>
      <c r="O79" s="71">
        <f t="shared" si="31"/>
        <v>438.23999999999995</v>
      </c>
      <c r="P79" s="71">
        <f t="shared" si="31"/>
        <v>442.14</v>
      </c>
      <c r="Q79" s="71">
        <f t="shared" si="31"/>
        <v>439.93999999999994</v>
      </c>
      <c r="R79" s="71">
        <f>SUM(R66:R78)</f>
        <v>438.14</v>
      </c>
      <c r="S79" s="71">
        <f t="shared" si="31"/>
        <v>431.44</v>
      </c>
      <c r="T79" s="71">
        <f t="shared" si="31"/>
        <v>431.34000000000003</v>
      </c>
      <c r="U79" s="71">
        <f t="shared" si="31"/>
        <v>434.84</v>
      </c>
      <c r="V79" s="71">
        <f t="shared" si="31"/>
        <v>403.64</v>
      </c>
      <c r="W79" s="71">
        <f t="shared" si="31"/>
        <v>403.74</v>
      </c>
      <c r="X79" s="71">
        <f t="shared" si="31"/>
        <v>402.14</v>
      </c>
      <c r="Y79" s="71">
        <f t="shared" si="31"/>
        <v>415.7</v>
      </c>
      <c r="Z79" s="71">
        <f t="shared" si="31"/>
        <v>417.7</v>
      </c>
      <c r="AA79" s="71">
        <v>417.7</v>
      </c>
      <c r="AB79" s="71">
        <f t="shared" si="31"/>
        <v>428.14</v>
      </c>
      <c r="AC79" s="71">
        <f t="shared" si="31"/>
        <v>424.14</v>
      </c>
      <c r="AD79" s="71">
        <f t="shared" si="31"/>
        <v>424.14</v>
      </c>
      <c r="AE79" s="71">
        <f>SUM(AE66:AE78)</f>
        <v>424.14</v>
      </c>
      <c r="AF79" s="71">
        <f t="shared" si="31"/>
        <v>424.14</v>
      </c>
      <c r="AG79" s="72">
        <f t="shared" si="31"/>
        <v>489.91</v>
      </c>
      <c r="AH79" s="48">
        <f t="shared" si="29"/>
        <v>442.14</v>
      </c>
      <c r="AI79" s="49">
        <f t="shared" si="30"/>
        <v>391.84</v>
      </c>
      <c r="AK79" s="51"/>
      <c r="AY79" s="82"/>
    </row>
    <row r="80" spans="1:75" x14ac:dyDescent="0.25">
      <c r="A80" s="45" t="s">
        <v>100</v>
      </c>
      <c r="B80" s="46">
        <v>12.5</v>
      </c>
      <c r="C80" s="46">
        <v>12.9</v>
      </c>
      <c r="D80" s="46">
        <v>0</v>
      </c>
      <c r="E80" s="46"/>
      <c r="F80" s="46"/>
      <c r="G80" s="46"/>
      <c r="H80" s="46"/>
      <c r="I80" s="46"/>
      <c r="J80" s="46"/>
      <c r="K80" s="46"/>
      <c r="L80" s="46"/>
      <c r="M80" s="46">
        <v>14.5</v>
      </c>
      <c r="N80" s="46">
        <v>30.2</v>
      </c>
      <c r="O80" s="46">
        <v>29.7</v>
      </c>
      <c r="P80" s="46">
        <v>30.6</v>
      </c>
      <c r="Q80" s="46">
        <v>30.6</v>
      </c>
      <c r="R80" s="46">
        <v>20.7</v>
      </c>
      <c r="S80" s="46">
        <v>20.7</v>
      </c>
      <c r="T80" s="46">
        <v>20.7</v>
      </c>
      <c r="U80" s="46">
        <v>20.399999999999999</v>
      </c>
      <c r="V80" s="46">
        <v>10.6</v>
      </c>
      <c r="W80" s="46">
        <v>0</v>
      </c>
      <c r="X80" s="46">
        <v>0</v>
      </c>
      <c r="Y80" s="46">
        <v>0</v>
      </c>
      <c r="Z80" s="46">
        <v>12.8</v>
      </c>
      <c r="AA80" s="46">
        <v>20.100000000000001</v>
      </c>
      <c r="AB80" s="46">
        <v>20.100000000000001</v>
      </c>
      <c r="AC80" s="46">
        <v>20.100000000000001</v>
      </c>
      <c r="AD80" s="46">
        <v>10</v>
      </c>
      <c r="AE80" s="46">
        <v>0</v>
      </c>
      <c r="AF80" s="46">
        <v>0</v>
      </c>
      <c r="AG80" s="61">
        <v>60</v>
      </c>
      <c r="AH80" s="48">
        <f t="shared" si="29"/>
        <v>30.6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4.8</v>
      </c>
      <c r="D81" s="76">
        <v>0</v>
      </c>
      <c r="E81" s="76"/>
      <c r="F81" s="76"/>
      <c r="G81" s="76"/>
      <c r="H81" s="76"/>
      <c r="I81" s="76"/>
      <c r="J81" s="76"/>
      <c r="K81" s="76"/>
      <c r="L81" s="76"/>
      <c r="M81" s="76">
        <v>5.2</v>
      </c>
      <c r="N81" s="76">
        <v>14.3</v>
      </c>
      <c r="O81" s="76">
        <v>14.2</v>
      </c>
      <c r="P81" s="76">
        <v>15</v>
      </c>
      <c r="Q81" s="76">
        <v>15</v>
      </c>
      <c r="R81" s="76">
        <v>8.9</v>
      </c>
      <c r="S81" s="76">
        <v>9.5</v>
      </c>
      <c r="T81" s="76">
        <v>9.5</v>
      </c>
      <c r="U81" s="76">
        <v>9</v>
      </c>
      <c r="V81" s="76">
        <v>5</v>
      </c>
      <c r="W81" s="76">
        <v>0</v>
      </c>
      <c r="X81" s="76">
        <v>0</v>
      </c>
      <c r="Y81" s="76">
        <v>0</v>
      </c>
      <c r="Z81" s="76">
        <v>5</v>
      </c>
      <c r="AA81" s="76">
        <v>9.3000000000000007</v>
      </c>
      <c r="AB81" s="76">
        <v>8.8000000000000007</v>
      </c>
      <c r="AC81" s="76">
        <v>8.8000000000000007</v>
      </c>
      <c r="AD81" s="76">
        <v>3.7</v>
      </c>
      <c r="AE81" s="76">
        <v>0</v>
      </c>
      <c r="AF81" s="76">
        <v>0</v>
      </c>
      <c r="AG81" s="66">
        <v>32</v>
      </c>
      <c r="AH81" s="48">
        <f t="shared" si="29"/>
        <v>15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1.7</v>
      </c>
      <c r="D82" s="78">
        <v>0</v>
      </c>
      <c r="E82" s="78"/>
      <c r="F82" s="78"/>
      <c r="G82" s="78"/>
      <c r="H82" s="78"/>
      <c r="I82" s="78"/>
      <c r="J82" s="78"/>
      <c r="K82" s="78"/>
      <c r="L82" s="78"/>
      <c r="M82" s="78">
        <v>1.9</v>
      </c>
      <c r="N82" s="78">
        <v>5.2</v>
      </c>
      <c r="O82" s="78">
        <v>5.2</v>
      </c>
      <c r="P82" s="78">
        <v>5.5</v>
      </c>
      <c r="Q82" s="78">
        <v>5.5</v>
      </c>
      <c r="R82" s="78">
        <v>3.3</v>
      </c>
      <c r="S82" s="78">
        <v>3.5</v>
      </c>
      <c r="T82" s="78">
        <v>3.5</v>
      </c>
      <c r="U82" s="78">
        <v>3.3</v>
      </c>
      <c r="V82" s="78">
        <v>1.8</v>
      </c>
      <c r="W82" s="78">
        <v>0</v>
      </c>
      <c r="X82" s="78">
        <v>0</v>
      </c>
      <c r="Y82" s="78">
        <v>0</v>
      </c>
      <c r="Z82" s="78">
        <v>1.8</v>
      </c>
      <c r="AA82" s="78">
        <v>3.4</v>
      </c>
      <c r="AB82" s="78">
        <v>3.2</v>
      </c>
      <c r="AC82" s="78">
        <v>3.2</v>
      </c>
      <c r="AD82" s="78">
        <v>1.3</v>
      </c>
      <c r="AE82" s="78">
        <v>0</v>
      </c>
      <c r="AF82" s="78">
        <v>0</v>
      </c>
      <c r="AG82" s="79">
        <v>14</v>
      </c>
      <c r="AH82" s="48">
        <f t="shared" si="29"/>
        <v>5.5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24</v>
      </c>
      <c r="BH82" s="82">
        <v>0</v>
      </c>
      <c r="BI82" s="82">
        <v>-298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2">B80+B81+B82</f>
        <v>12.5</v>
      </c>
      <c r="C83" s="71">
        <f t="shared" si="32"/>
        <v>19.399999999999999</v>
      </c>
      <c r="D83" s="71">
        <f t="shared" si="32"/>
        <v>0</v>
      </c>
      <c r="E83" s="71">
        <f t="shared" si="32"/>
        <v>0</v>
      </c>
      <c r="F83" s="71">
        <f>F80+F81+F82</f>
        <v>0</v>
      </c>
      <c r="G83" s="71">
        <f>G80+G81+G82</f>
        <v>0</v>
      </c>
      <c r="H83" s="71">
        <f t="shared" si="32"/>
        <v>0</v>
      </c>
      <c r="I83" s="71">
        <f t="shared" si="32"/>
        <v>0</v>
      </c>
      <c r="J83" s="71">
        <f t="shared" si="32"/>
        <v>0</v>
      </c>
      <c r="K83" s="71">
        <f t="shared" si="32"/>
        <v>0</v>
      </c>
      <c r="L83" s="71">
        <f t="shared" si="32"/>
        <v>0</v>
      </c>
      <c r="M83" s="71">
        <f t="shared" si="32"/>
        <v>21.599999999999998</v>
      </c>
      <c r="N83" s="71">
        <f t="shared" si="32"/>
        <v>49.7</v>
      </c>
      <c r="O83" s="71">
        <f t="shared" si="32"/>
        <v>49.1</v>
      </c>
      <c r="P83" s="71">
        <f t="shared" si="32"/>
        <v>51.1</v>
      </c>
      <c r="Q83" s="71">
        <f t="shared" si="32"/>
        <v>51.1</v>
      </c>
      <c r="R83" s="71">
        <f>R80+R81+R82</f>
        <v>32.9</v>
      </c>
      <c r="S83" s="71">
        <f t="shared" si="32"/>
        <v>33.700000000000003</v>
      </c>
      <c r="T83" s="71">
        <f t="shared" si="32"/>
        <v>33.700000000000003</v>
      </c>
      <c r="U83" s="71">
        <f t="shared" si="32"/>
        <v>32.699999999999996</v>
      </c>
      <c r="V83" s="71">
        <f t="shared" si="32"/>
        <v>17.399999999999999</v>
      </c>
      <c r="W83" s="71">
        <f t="shared" si="32"/>
        <v>0</v>
      </c>
      <c r="X83" s="71">
        <f t="shared" si="32"/>
        <v>0</v>
      </c>
      <c r="Y83" s="71">
        <f t="shared" si="32"/>
        <v>0</v>
      </c>
      <c r="Z83" s="71">
        <f t="shared" si="32"/>
        <v>19.600000000000001</v>
      </c>
      <c r="AA83" s="71">
        <v>32.800000000000004</v>
      </c>
      <c r="AB83" s="71">
        <f t="shared" si="32"/>
        <v>32.1</v>
      </c>
      <c r="AC83" s="71">
        <f t="shared" si="32"/>
        <v>32.1</v>
      </c>
      <c r="AD83" s="71">
        <f t="shared" si="32"/>
        <v>15</v>
      </c>
      <c r="AE83" s="71">
        <f>AE80+AE81+AE82</f>
        <v>0</v>
      </c>
      <c r="AF83" s="71">
        <f t="shared" si="32"/>
        <v>0</v>
      </c>
      <c r="AG83" s="72">
        <f>SUM(AG80:AG82)</f>
        <v>106</v>
      </c>
      <c r="AH83" s="48">
        <f t="shared" si="29"/>
        <v>51.1</v>
      </c>
      <c r="AI83" s="49">
        <f t="shared" si="30"/>
        <v>0</v>
      </c>
      <c r="AK83" s="51"/>
      <c r="AY83" s="82"/>
      <c r="BF83" s="81"/>
      <c r="BG83" s="82">
        <v>23.6</v>
      </c>
      <c r="BH83" s="82">
        <v>0</v>
      </c>
      <c r="BI83" s="82">
        <v>-364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19.5</v>
      </c>
      <c r="C84" s="46">
        <v>23.9</v>
      </c>
      <c r="D84" s="46">
        <v>23.6</v>
      </c>
      <c r="E84" s="46">
        <v>18.100000000000001</v>
      </c>
      <c r="F84" s="46">
        <v>18.100000000000001</v>
      </c>
      <c r="G84" s="46">
        <v>23.1</v>
      </c>
      <c r="H84" s="46">
        <v>11</v>
      </c>
      <c r="I84" s="46">
        <v>15</v>
      </c>
      <c r="J84" s="46">
        <v>15</v>
      </c>
      <c r="K84" s="46">
        <v>58.2</v>
      </c>
      <c r="L84" s="46">
        <v>56.4</v>
      </c>
      <c r="M84" s="46">
        <v>42.9</v>
      </c>
      <c r="N84" s="46">
        <v>48.6</v>
      </c>
      <c r="O84" s="46">
        <v>55.9</v>
      </c>
      <c r="P84" s="46">
        <v>64.7</v>
      </c>
      <c r="Q84" s="46">
        <v>70</v>
      </c>
      <c r="R84" s="46">
        <v>71.5</v>
      </c>
      <c r="S84" s="46">
        <v>71.900000000000006</v>
      </c>
      <c r="T84" s="46">
        <v>68.400000000000006</v>
      </c>
      <c r="U84" s="46">
        <v>72.8</v>
      </c>
      <c r="V84" s="46">
        <v>54.6</v>
      </c>
      <c r="W84" s="46">
        <v>51</v>
      </c>
      <c r="X84" s="46">
        <v>47.5</v>
      </c>
      <c r="Y84" s="46">
        <v>21</v>
      </c>
      <c r="Z84" s="46">
        <v>11.8</v>
      </c>
      <c r="AA84" s="46">
        <v>13.3</v>
      </c>
      <c r="AB84" s="46">
        <v>22.5</v>
      </c>
      <c r="AC84" s="46">
        <v>22.6</v>
      </c>
      <c r="AD84" s="46">
        <v>21.1</v>
      </c>
      <c r="AE84" s="46">
        <v>24.1</v>
      </c>
      <c r="AF84" s="46">
        <v>20.100000000000001</v>
      </c>
      <c r="AG84" s="61"/>
      <c r="AH84" s="48">
        <f t="shared" si="29"/>
        <v>72.8</v>
      </c>
      <c r="AI84" s="49">
        <f t="shared" si="30"/>
        <v>11</v>
      </c>
      <c r="AK84" s="51"/>
      <c r="AY84" s="82"/>
      <c r="BF84" s="81"/>
      <c r="BG84" s="82">
        <v>18.100000000000001</v>
      </c>
      <c r="BH84" s="82">
        <v>0</v>
      </c>
      <c r="BI84" s="82">
        <v>-470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18.100000000000001</v>
      </c>
      <c r="BH85" s="82">
        <v>0</v>
      </c>
      <c r="BI85" s="82">
        <v>-470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-255.4</v>
      </c>
      <c r="C86" s="76">
        <v>-298.3</v>
      </c>
      <c r="D86" s="76">
        <v>-364</v>
      </c>
      <c r="E86" s="76">
        <v>-470</v>
      </c>
      <c r="F86" s="76">
        <v>-470</v>
      </c>
      <c r="G86" s="76">
        <v>-422</v>
      </c>
      <c r="H86" s="76">
        <v>-429</v>
      </c>
      <c r="I86" s="76">
        <v>-440</v>
      </c>
      <c r="J86" s="76">
        <v>-355</v>
      </c>
      <c r="K86" s="76">
        <v>-362</v>
      </c>
      <c r="L86" s="76">
        <v>-295</v>
      </c>
      <c r="M86" s="76">
        <v>-302</v>
      </c>
      <c r="N86" s="76">
        <v>-228.3</v>
      </c>
      <c r="O86" s="76">
        <v>-218.9</v>
      </c>
      <c r="P86" s="76">
        <v>-162.9</v>
      </c>
      <c r="Q86" s="76">
        <v>-154</v>
      </c>
      <c r="R86" s="76">
        <v>-200</v>
      </c>
      <c r="S86" s="76">
        <v>-122</v>
      </c>
      <c r="T86" s="76">
        <v>-180</v>
      </c>
      <c r="U86" s="76">
        <v>-158.4</v>
      </c>
      <c r="V86" s="76">
        <v>-248</v>
      </c>
      <c r="W86" s="76">
        <v>-242</v>
      </c>
      <c r="X86" s="76">
        <v>-321</v>
      </c>
      <c r="Y86" s="76">
        <v>-303</v>
      </c>
      <c r="Z86" s="76">
        <v>-224</v>
      </c>
      <c r="AA86" s="76">
        <v>-159</v>
      </c>
      <c r="AB86" s="76">
        <v>-149.19999999999999</v>
      </c>
      <c r="AC86" s="76">
        <v>-142</v>
      </c>
      <c r="AD86" s="76">
        <v>-164</v>
      </c>
      <c r="AE86" s="76">
        <v>-162</v>
      </c>
      <c r="AF86" s="76">
        <v>-194</v>
      </c>
      <c r="AG86" s="88"/>
      <c r="AH86" s="48">
        <f t="shared" si="29"/>
        <v>-122</v>
      </c>
      <c r="AI86" s="49">
        <f t="shared" si="30"/>
        <v>-470</v>
      </c>
      <c r="AK86" s="92"/>
      <c r="AL86" s="93"/>
      <c r="AM86" s="93"/>
      <c r="AN86" s="94"/>
      <c r="AY86" s="82"/>
      <c r="BF86" s="82"/>
      <c r="BG86" s="82">
        <v>23.1</v>
      </c>
      <c r="BH86" s="82">
        <v>0</v>
      </c>
      <c r="BI86" s="82">
        <v>-422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>
        <v>0</v>
      </c>
      <c r="D87" s="76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9"/>
        <v>0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15</v>
      </c>
      <c r="BH87" s="82">
        <v>0</v>
      </c>
      <c r="BI87" s="82">
        <v>-440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0</v>
      </c>
      <c r="K88" s="46">
        <v>0</v>
      </c>
      <c r="L88" s="46">
        <v>0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9"/>
        <v>0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58.2</v>
      </c>
      <c r="BH88" s="82">
        <v>0</v>
      </c>
      <c r="BI88" s="82">
        <v>-362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42.9</v>
      </c>
      <c r="BH89" s="82">
        <v>0</v>
      </c>
      <c r="BI89" s="82">
        <v>-302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>
        <v>0</v>
      </c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4"/>
      <c r="AY90" s="82"/>
      <c r="BF90" s="82"/>
      <c r="BG90" s="82">
        <v>48.6</v>
      </c>
      <c r="BH90" s="82">
        <v>0</v>
      </c>
      <c r="BI90" s="82">
        <v>-228.3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5"/>
      <c r="BF91" s="82"/>
      <c r="BG91" s="82">
        <v>55.9</v>
      </c>
      <c r="BH91" s="82">
        <v>0</v>
      </c>
      <c r="BI91" s="82">
        <v>-218.9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64.7</v>
      </c>
      <c r="BH92" s="82">
        <v>0</v>
      </c>
      <c r="BI92" s="82">
        <v>-162.9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70</v>
      </c>
      <c r="BH93" s="82">
        <v>0</v>
      </c>
      <c r="BI93" s="82">
        <v>-154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71.5</v>
      </c>
      <c r="BH94" s="82">
        <v>0</v>
      </c>
      <c r="BI94" s="82">
        <v>-200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19.5</v>
      </c>
      <c r="C95" s="71">
        <f>SUMIF(C84:C94,"&gt;0")</f>
        <v>23.9</v>
      </c>
      <c r="D95" s="71">
        <f t="shared" ref="D95:AF95" si="33">SUMIF(D84:D94,"&gt;0")</f>
        <v>23.6</v>
      </c>
      <c r="E95" s="71">
        <f t="shared" si="33"/>
        <v>18.100000000000001</v>
      </c>
      <c r="F95" s="71">
        <f>SUMIF(F84:F94,"&gt;0")</f>
        <v>18.100000000000001</v>
      </c>
      <c r="G95" s="71">
        <f>SUMIF(G84:G94,"&gt;0")</f>
        <v>23.1</v>
      </c>
      <c r="H95" s="71">
        <f t="shared" si="33"/>
        <v>11</v>
      </c>
      <c r="I95" s="71">
        <f t="shared" si="33"/>
        <v>15</v>
      </c>
      <c r="J95" s="71">
        <f t="shared" si="33"/>
        <v>15</v>
      </c>
      <c r="K95" s="71">
        <f t="shared" si="33"/>
        <v>58.2</v>
      </c>
      <c r="L95" s="71">
        <f t="shared" si="33"/>
        <v>56.4</v>
      </c>
      <c r="M95" s="71">
        <f t="shared" si="33"/>
        <v>42.9</v>
      </c>
      <c r="N95" s="71">
        <f t="shared" si="33"/>
        <v>48.6</v>
      </c>
      <c r="O95" s="71">
        <f t="shared" si="33"/>
        <v>55.9</v>
      </c>
      <c r="P95" s="71">
        <f t="shared" si="33"/>
        <v>64.7</v>
      </c>
      <c r="Q95" s="71">
        <f t="shared" si="33"/>
        <v>70</v>
      </c>
      <c r="R95" s="71">
        <f>SUMIF(R84:R94,"&gt;0")</f>
        <v>71.5</v>
      </c>
      <c r="S95" s="71">
        <f t="shared" si="33"/>
        <v>71.900000000000006</v>
      </c>
      <c r="T95" s="71">
        <f t="shared" si="33"/>
        <v>68.400000000000006</v>
      </c>
      <c r="U95" s="71">
        <f>SUMIF(U84:U94,"&gt;0")</f>
        <v>72.8</v>
      </c>
      <c r="V95" s="71">
        <f t="shared" si="33"/>
        <v>54.6</v>
      </c>
      <c r="W95" s="71">
        <f t="shared" si="33"/>
        <v>51</v>
      </c>
      <c r="X95" s="71">
        <f t="shared" si="33"/>
        <v>47.5</v>
      </c>
      <c r="Y95" s="71">
        <f t="shared" si="33"/>
        <v>21</v>
      </c>
      <c r="Z95" s="71">
        <f t="shared" si="33"/>
        <v>11.8</v>
      </c>
      <c r="AA95" s="71">
        <f t="shared" si="33"/>
        <v>13.3</v>
      </c>
      <c r="AB95" s="71">
        <f t="shared" si="33"/>
        <v>22.5</v>
      </c>
      <c r="AC95" s="71">
        <f t="shared" si="33"/>
        <v>22.6</v>
      </c>
      <c r="AD95" s="71">
        <f t="shared" si="33"/>
        <v>21.1</v>
      </c>
      <c r="AE95" s="71">
        <f>SUMIF(AE84:AE94,"&gt;0")</f>
        <v>24.1</v>
      </c>
      <c r="AF95" s="71">
        <f t="shared" si="33"/>
        <v>20.100000000000001</v>
      </c>
      <c r="AG95" s="101">
        <f>SUM(AG84:AG94)</f>
        <v>0</v>
      </c>
      <c r="AH95" s="48">
        <f t="shared" si="29"/>
        <v>72.8</v>
      </c>
      <c r="AI95" s="49">
        <f t="shared" si="30"/>
        <v>11</v>
      </c>
      <c r="BF95" s="82"/>
      <c r="BG95" s="82">
        <v>71.900000000000006</v>
      </c>
      <c r="BH95" s="82">
        <v>0</v>
      </c>
      <c r="BI95" s="82">
        <v>-122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68.400000000000006</v>
      </c>
      <c r="BH96" s="82">
        <v>0</v>
      </c>
      <c r="BI96" s="82">
        <v>-180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72.8</v>
      </c>
      <c r="BH97" s="82">
        <v>0</v>
      </c>
      <c r="BI97" s="82">
        <v>-158.4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54.6</v>
      </c>
      <c r="BH98" s="82">
        <v>0</v>
      </c>
      <c r="BI98" s="82">
        <v>-248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47.5</v>
      </c>
      <c r="BH99" s="82">
        <v>0</v>
      </c>
      <c r="BI99" s="82">
        <v>-321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4">B61+B65+B83+B79+B95+B99</f>
        <v>1820.34</v>
      </c>
      <c r="C100" s="108">
        <f t="shared" si="34"/>
        <v>1833.14</v>
      </c>
      <c r="D100" s="108">
        <f t="shared" si="34"/>
        <v>1813.4399999999998</v>
      </c>
      <c r="E100" s="108">
        <f t="shared" si="34"/>
        <v>1805.14</v>
      </c>
      <c r="F100" s="108">
        <f>F61+F65+F83+F79+F95+F99</f>
        <v>1809.14</v>
      </c>
      <c r="G100" s="108">
        <f>G61+G65+G83+G79+G95+G99</f>
        <v>1881.3399999999997</v>
      </c>
      <c r="H100" s="108">
        <f t="shared" si="34"/>
        <v>1870.6399999999999</v>
      </c>
      <c r="I100" s="108">
        <f t="shared" si="34"/>
        <v>1862.1399999999999</v>
      </c>
      <c r="J100" s="108">
        <f t="shared" si="34"/>
        <v>1862.1399999999999</v>
      </c>
      <c r="K100" s="108">
        <f t="shared" si="34"/>
        <v>1905.34</v>
      </c>
      <c r="L100" s="108">
        <f t="shared" si="34"/>
        <v>1922.8400000000001</v>
      </c>
      <c r="M100" s="108">
        <f t="shared" si="34"/>
        <v>1901.34</v>
      </c>
      <c r="N100" s="108">
        <f t="shared" si="34"/>
        <v>1907.4399999999998</v>
      </c>
      <c r="O100" s="108">
        <f t="shared" si="34"/>
        <v>1916.84</v>
      </c>
      <c r="P100" s="108">
        <f t="shared" si="34"/>
        <v>1926.74</v>
      </c>
      <c r="Q100" s="108">
        <f t="shared" si="34"/>
        <v>1916.1399999999999</v>
      </c>
      <c r="R100" s="108">
        <f>R61+R65+R83+R79+R95+R99</f>
        <v>1906.1399999999999</v>
      </c>
      <c r="S100" s="108">
        <f t="shared" si="34"/>
        <v>1900.64</v>
      </c>
      <c r="T100" s="108">
        <f t="shared" si="34"/>
        <v>1897.04</v>
      </c>
      <c r="U100" s="108">
        <f t="shared" si="34"/>
        <v>1897.04</v>
      </c>
      <c r="V100" s="108">
        <f t="shared" si="34"/>
        <v>1814.2399999999998</v>
      </c>
      <c r="W100" s="108">
        <f t="shared" si="34"/>
        <v>1793.34</v>
      </c>
      <c r="X100" s="108">
        <f t="shared" si="34"/>
        <v>1788.2399999999998</v>
      </c>
      <c r="Y100" s="108">
        <f t="shared" si="34"/>
        <v>1775.3</v>
      </c>
      <c r="Z100" s="108">
        <f t="shared" si="34"/>
        <v>1787.6999999999998</v>
      </c>
      <c r="AA100" s="108">
        <f t="shared" si="34"/>
        <v>1854.6999999999998</v>
      </c>
      <c r="AB100" s="108">
        <f t="shared" si="34"/>
        <v>1873.6399999999999</v>
      </c>
      <c r="AC100" s="108">
        <f t="shared" si="34"/>
        <v>1894.3399999999997</v>
      </c>
      <c r="AD100" s="108">
        <f t="shared" si="34"/>
        <v>1873.0399999999995</v>
      </c>
      <c r="AE100" s="108">
        <f>AE61+AE65+AE83+AE79+AE95+AE99</f>
        <v>1857.6399999999999</v>
      </c>
      <c r="AF100" s="108">
        <f t="shared" si="34"/>
        <v>1853.2399999999998</v>
      </c>
      <c r="AG100" s="72">
        <f t="shared" si="34"/>
        <v>2655.44</v>
      </c>
      <c r="AH100" s="48">
        <f t="shared" si="29"/>
        <v>1926.74</v>
      </c>
      <c r="AI100" s="49">
        <f t="shared" si="30"/>
        <v>1775.3</v>
      </c>
      <c r="BF100" s="81"/>
      <c r="BG100" s="82">
        <v>11.8</v>
      </c>
      <c r="BH100" s="82">
        <v>0</v>
      </c>
      <c r="BI100" s="82">
        <v>-224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250</v>
      </c>
      <c r="C101" s="110">
        <v>250</v>
      </c>
      <c r="D101" s="110">
        <v>250</v>
      </c>
      <c r="E101" s="110">
        <v>250</v>
      </c>
      <c r="F101" s="110">
        <v>250</v>
      </c>
      <c r="G101" s="110">
        <v>250</v>
      </c>
      <c r="H101" s="110">
        <v>250</v>
      </c>
      <c r="I101" s="110">
        <v>250</v>
      </c>
      <c r="J101" s="110">
        <v>100</v>
      </c>
      <c r="K101" s="110">
        <v>100</v>
      </c>
      <c r="L101" s="110">
        <v>100</v>
      </c>
      <c r="M101" s="110">
        <v>100</v>
      </c>
      <c r="N101" s="110">
        <v>150</v>
      </c>
      <c r="O101" s="110">
        <v>150</v>
      </c>
      <c r="P101" s="110">
        <v>150</v>
      </c>
      <c r="Q101" s="110">
        <v>150</v>
      </c>
      <c r="R101" s="110">
        <v>150</v>
      </c>
      <c r="S101" s="110">
        <v>150</v>
      </c>
      <c r="T101" s="110">
        <v>150</v>
      </c>
      <c r="U101" s="110">
        <v>150</v>
      </c>
      <c r="V101" s="110">
        <v>150</v>
      </c>
      <c r="W101" s="110">
        <v>150</v>
      </c>
      <c r="X101" s="110">
        <v>150</v>
      </c>
      <c r="Y101" s="110">
        <v>150</v>
      </c>
      <c r="Z101" s="110">
        <v>150</v>
      </c>
      <c r="AA101" s="110">
        <v>150</v>
      </c>
      <c r="AB101" s="110"/>
      <c r="AC101" s="110"/>
      <c r="AD101" s="110"/>
      <c r="AE101" s="110"/>
      <c r="AF101" s="110"/>
      <c r="AG101" s="101"/>
      <c r="AH101" s="48">
        <f t="shared" si="29"/>
        <v>250</v>
      </c>
      <c r="AI101" s="49">
        <f t="shared" si="30"/>
        <v>100</v>
      </c>
      <c r="BF101" s="81"/>
      <c r="BG101" s="82">
        <v>22.5</v>
      </c>
      <c r="BH101" s="82">
        <v>0</v>
      </c>
      <c r="BI101" s="82">
        <v>-149.19999999999999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2070.34</v>
      </c>
      <c r="C102" s="108">
        <f t="shared" ref="C102:AF102" si="35">C100+C101</f>
        <v>2083.1400000000003</v>
      </c>
      <c r="D102" s="108">
        <f t="shared" si="35"/>
        <v>2063.4399999999996</v>
      </c>
      <c r="E102" s="108">
        <f t="shared" si="35"/>
        <v>2055.1400000000003</v>
      </c>
      <c r="F102" s="108">
        <f>F100+F101</f>
        <v>2059.1400000000003</v>
      </c>
      <c r="G102" s="108">
        <f>G100+G101</f>
        <v>2131.3399999999997</v>
      </c>
      <c r="H102" s="108">
        <f t="shared" si="35"/>
        <v>2120.64</v>
      </c>
      <c r="I102" s="108">
        <f t="shared" si="35"/>
        <v>2112.14</v>
      </c>
      <c r="J102" s="108">
        <f t="shared" si="35"/>
        <v>1962.1399999999999</v>
      </c>
      <c r="K102" s="108">
        <f t="shared" si="35"/>
        <v>2005.34</v>
      </c>
      <c r="L102" s="108">
        <f t="shared" si="35"/>
        <v>2022.8400000000001</v>
      </c>
      <c r="M102" s="108">
        <f t="shared" si="35"/>
        <v>2001.34</v>
      </c>
      <c r="N102" s="108">
        <f t="shared" si="35"/>
        <v>2057.4399999999996</v>
      </c>
      <c r="O102" s="108">
        <f t="shared" si="35"/>
        <v>2066.84</v>
      </c>
      <c r="P102" s="108">
        <f t="shared" si="35"/>
        <v>2076.7399999999998</v>
      </c>
      <c r="Q102" s="108">
        <f t="shared" si="35"/>
        <v>2066.14</v>
      </c>
      <c r="R102" s="108">
        <f t="shared" si="35"/>
        <v>2056.14</v>
      </c>
      <c r="S102" s="108">
        <f t="shared" si="35"/>
        <v>2050.6400000000003</v>
      </c>
      <c r="T102" s="108">
        <f t="shared" si="35"/>
        <v>2047.04</v>
      </c>
      <c r="U102" s="108">
        <f t="shared" si="35"/>
        <v>2047.04</v>
      </c>
      <c r="V102" s="108">
        <f t="shared" si="35"/>
        <v>1964.2399999999998</v>
      </c>
      <c r="W102" s="108">
        <f t="shared" si="35"/>
        <v>1943.34</v>
      </c>
      <c r="X102" s="108">
        <f t="shared" si="35"/>
        <v>1938.2399999999998</v>
      </c>
      <c r="Y102" s="108">
        <f t="shared" si="35"/>
        <v>1925.3</v>
      </c>
      <c r="Z102" s="108">
        <f t="shared" si="35"/>
        <v>1937.6999999999998</v>
      </c>
      <c r="AA102" s="108">
        <f t="shared" si="35"/>
        <v>2004.6999999999998</v>
      </c>
      <c r="AB102" s="108">
        <f t="shared" si="35"/>
        <v>1873.6399999999999</v>
      </c>
      <c r="AC102" s="108">
        <f t="shared" si="35"/>
        <v>1894.3399999999997</v>
      </c>
      <c r="AD102" s="108">
        <f t="shared" si="35"/>
        <v>1873.0399999999995</v>
      </c>
      <c r="AE102" s="108">
        <f>AE100+AE101</f>
        <v>1857.6399999999999</v>
      </c>
      <c r="AF102" s="108">
        <f t="shared" si="35"/>
        <v>1853.2399999999998</v>
      </c>
      <c r="AG102" s="101">
        <f>AG99+AG95+AG83+AG79+AG61+AG101</f>
        <v>2117.34</v>
      </c>
      <c r="AH102" s="48">
        <f t="shared" si="29"/>
        <v>2131.3399999999997</v>
      </c>
      <c r="AI102" s="49">
        <f t="shared" si="30"/>
        <v>1853.2399999999998</v>
      </c>
      <c r="BF102" s="81"/>
      <c r="BG102" s="82">
        <v>21.1</v>
      </c>
      <c r="BH102" s="82">
        <v>0</v>
      </c>
      <c r="BI102" s="82">
        <v>-164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1814.94</v>
      </c>
      <c r="C103" s="108">
        <f t="shared" ref="C103:AF103" si="36">C102-(C110)</f>
        <v>1784.8400000000004</v>
      </c>
      <c r="D103" s="108">
        <f t="shared" si="36"/>
        <v>1699.4399999999996</v>
      </c>
      <c r="E103" s="108">
        <f t="shared" si="36"/>
        <v>1585.1400000000003</v>
      </c>
      <c r="F103" s="108">
        <f>F102-(F110)</f>
        <v>1589.1400000000003</v>
      </c>
      <c r="G103" s="108">
        <f>G102-(G110)</f>
        <v>1709.3399999999997</v>
      </c>
      <c r="H103" s="108">
        <f t="shared" si="36"/>
        <v>1691.6399999999999</v>
      </c>
      <c r="I103" s="108">
        <f t="shared" si="36"/>
        <v>1672.1399999999999</v>
      </c>
      <c r="J103" s="108">
        <f t="shared" si="36"/>
        <v>1607.1399999999999</v>
      </c>
      <c r="K103" s="108">
        <f t="shared" si="36"/>
        <v>1643.34</v>
      </c>
      <c r="L103" s="108">
        <f t="shared" si="36"/>
        <v>1727.8400000000001</v>
      </c>
      <c r="M103" s="108">
        <f t="shared" si="36"/>
        <v>1699.34</v>
      </c>
      <c r="N103" s="108">
        <f t="shared" si="36"/>
        <v>1829.1399999999996</v>
      </c>
      <c r="O103" s="108">
        <f t="shared" si="36"/>
        <v>1847.94</v>
      </c>
      <c r="P103" s="108">
        <f t="shared" si="36"/>
        <v>1913.8399999999997</v>
      </c>
      <c r="Q103" s="108">
        <f t="shared" si="36"/>
        <v>1912.1399999999999</v>
      </c>
      <c r="R103" s="108">
        <f t="shared" si="36"/>
        <v>1856.1399999999999</v>
      </c>
      <c r="S103" s="108">
        <f t="shared" si="36"/>
        <v>1928.6400000000003</v>
      </c>
      <c r="T103" s="108">
        <f t="shared" si="36"/>
        <v>1867.04</v>
      </c>
      <c r="U103" s="108">
        <f t="shared" si="36"/>
        <v>1888.6399999999999</v>
      </c>
      <c r="V103" s="108">
        <f t="shared" si="36"/>
        <v>1716.2399999999998</v>
      </c>
      <c r="W103" s="108">
        <f t="shared" si="36"/>
        <v>1701.34</v>
      </c>
      <c r="X103" s="108">
        <f t="shared" si="36"/>
        <v>1617.2399999999998</v>
      </c>
      <c r="Y103" s="108">
        <f t="shared" si="36"/>
        <v>1622.3</v>
      </c>
      <c r="Z103" s="108">
        <f t="shared" si="36"/>
        <v>1713.6999999999998</v>
      </c>
      <c r="AA103" s="108">
        <f t="shared" si="36"/>
        <v>1845.6999999999998</v>
      </c>
      <c r="AB103" s="108">
        <f t="shared" si="36"/>
        <v>1724.4399999999998</v>
      </c>
      <c r="AC103" s="108">
        <f t="shared" si="36"/>
        <v>1752.3399999999997</v>
      </c>
      <c r="AD103" s="108">
        <f t="shared" si="36"/>
        <v>1709.0399999999995</v>
      </c>
      <c r="AE103" s="108">
        <f>AE102-(AE110)</f>
        <v>1695.6399999999999</v>
      </c>
      <c r="AF103" s="108">
        <f t="shared" si="36"/>
        <v>1659.2399999999998</v>
      </c>
      <c r="AG103" s="101"/>
      <c r="AH103" s="48">
        <f t="shared" si="29"/>
        <v>1928.6400000000003</v>
      </c>
      <c r="AI103" s="49">
        <f t="shared" si="30"/>
        <v>1585.1400000000003</v>
      </c>
      <c r="BF103" s="81"/>
      <c r="BG103" s="82">
        <v>24.1</v>
      </c>
      <c r="BH103" s="82">
        <v>0</v>
      </c>
      <c r="BI103" s="82">
        <v>-162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7">IF(B84&lt;0,B84*-1,0)</f>
        <v>0</v>
      </c>
      <c r="C104" s="89">
        <f t="shared" ref="C104:AF109" si="38">IF(C84&lt;0,C84*-1,0)</f>
        <v>0</v>
      </c>
      <c r="D104" s="89">
        <f t="shared" si="38"/>
        <v>0</v>
      </c>
      <c r="E104" s="89">
        <f t="shared" si="38"/>
        <v>0</v>
      </c>
      <c r="F104" s="89">
        <f t="shared" ref="F104:G109" si="39">IF(F84&lt;0,F84*-1,0)</f>
        <v>0</v>
      </c>
      <c r="G104" s="89">
        <f t="shared" si="39"/>
        <v>0</v>
      </c>
      <c r="H104" s="89">
        <f t="shared" si="38"/>
        <v>0</v>
      </c>
      <c r="I104" s="89">
        <f t="shared" si="38"/>
        <v>0</v>
      </c>
      <c r="J104" s="89">
        <f t="shared" si="38"/>
        <v>0</v>
      </c>
      <c r="K104" s="89">
        <f t="shared" si="38"/>
        <v>0</v>
      </c>
      <c r="L104" s="89">
        <f t="shared" si="38"/>
        <v>0</v>
      </c>
      <c r="M104" s="89">
        <f t="shared" si="38"/>
        <v>0</v>
      </c>
      <c r="N104" s="89">
        <f t="shared" si="38"/>
        <v>0</v>
      </c>
      <c r="O104" s="89">
        <f t="shared" si="38"/>
        <v>0</v>
      </c>
      <c r="P104" s="89">
        <f t="shared" si="38"/>
        <v>0</v>
      </c>
      <c r="Q104" s="89">
        <f t="shared" si="38"/>
        <v>0</v>
      </c>
      <c r="R104" s="89">
        <f t="shared" si="38"/>
        <v>0</v>
      </c>
      <c r="S104" s="89">
        <f t="shared" si="38"/>
        <v>0</v>
      </c>
      <c r="T104" s="89">
        <f t="shared" si="38"/>
        <v>0</v>
      </c>
      <c r="U104" s="89">
        <f t="shared" si="38"/>
        <v>0</v>
      </c>
      <c r="V104" s="89">
        <f t="shared" si="38"/>
        <v>0</v>
      </c>
      <c r="W104" s="89">
        <f t="shared" si="38"/>
        <v>0</v>
      </c>
      <c r="X104" s="89">
        <f t="shared" si="38"/>
        <v>0</v>
      </c>
      <c r="Y104" s="89">
        <f t="shared" si="38"/>
        <v>0</v>
      </c>
      <c r="Z104" s="89">
        <f t="shared" si="38"/>
        <v>0</v>
      </c>
      <c r="AA104" s="89">
        <f t="shared" si="38"/>
        <v>0</v>
      </c>
      <c r="AB104" s="89">
        <f t="shared" si="38"/>
        <v>0</v>
      </c>
      <c r="AC104" s="89">
        <f t="shared" si="38"/>
        <v>0</v>
      </c>
      <c r="AD104" s="89">
        <f t="shared" si="38"/>
        <v>0</v>
      </c>
      <c r="AE104" s="89">
        <f t="shared" ref="AE104:AE109" si="40">IF(AE84&lt;0,AE84*-1,0)</f>
        <v>0</v>
      </c>
      <c r="AF104" s="89">
        <f t="shared" si="38"/>
        <v>0</v>
      </c>
      <c r="AG104" s="61"/>
      <c r="AH104" s="48">
        <f t="shared" si="29"/>
        <v>0</v>
      </c>
      <c r="AI104" s="49">
        <f t="shared" si="30"/>
        <v>0</v>
      </c>
      <c r="BG104" s="82">
        <v>20.100000000000001</v>
      </c>
      <c r="BH104" s="82">
        <v>0</v>
      </c>
      <c r="BI104" s="82">
        <v>-194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7"/>
        <v>0</v>
      </c>
      <c r="C105" s="89">
        <f>IF(C85&lt;0,C85*-1,0)</f>
        <v>0</v>
      </c>
      <c r="D105" s="89">
        <f>IF(D85&lt;0,D85*-1,0)</f>
        <v>0</v>
      </c>
      <c r="E105" s="89">
        <f>IF(E85&lt;0,E85*-1,0)</f>
        <v>0</v>
      </c>
      <c r="F105" s="89">
        <f t="shared" si="39"/>
        <v>0</v>
      </c>
      <c r="G105" s="89">
        <f t="shared" si="39"/>
        <v>0</v>
      </c>
      <c r="H105" s="89">
        <f t="shared" ref="H105:Q105" si="41">IF(H85&lt;0,H85*-1,0)</f>
        <v>0</v>
      </c>
      <c r="I105" s="89">
        <f t="shared" si="41"/>
        <v>0</v>
      </c>
      <c r="J105" s="89">
        <f t="shared" si="41"/>
        <v>0</v>
      </c>
      <c r="K105" s="89">
        <f t="shared" si="41"/>
        <v>0</v>
      </c>
      <c r="L105" s="89">
        <f t="shared" si="41"/>
        <v>0</v>
      </c>
      <c r="M105" s="89">
        <f t="shared" si="41"/>
        <v>0</v>
      </c>
      <c r="N105" s="89">
        <f t="shared" si="41"/>
        <v>0</v>
      </c>
      <c r="O105" s="89">
        <f t="shared" si="41"/>
        <v>0</v>
      </c>
      <c r="P105" s="89">
        <f t="shared" si="41"/>
        <v>0</v>
      </c>
      <c r="Q105" s="89">
        <f t="shared" si="41"/>
        <v>0</v>
      </c>
      <c r="R105" s="89">
        <f t="shared" si="38"/>
        <v>0</v>
      </c>
      <c r="S105" s="89">
        <f t="shared" si="38"/>
        <v>0</v>
      </c>
      <c r="T105" s="89">
        <f t="shared" si="38"/>
        <v>0</v>
      </c>
      <c r="U105" s="89">
        <f t="shared" si="38"/>
        <v>0</v>
      </c>
      <c r="V105" s="89">
        <f t="shared" si="38"/>
        <v>0</v>
      </c>
      <c r="W105" s="89">
        <f t="shared" si="38"/>
        <v>0</v>
      </c>
      <c r="X105" s="89">
        <f t="shared" si="38"/>
        <v>0</v>
      </c>
      <c r="Y105" s="89">
        <f t="shared" si="38"/>
        <v>0</v>
      </c>
      <c r="Z105" s="89">
        <f t="shared" si="38"/>
        <v>0</v>
      </c>
      <c r="AA105" s="89">
        <f t="shared" si="38"/>
        <v>0</v>
      </c>
      <c r="AB105" s="89">
        <f t="shared" si="38"/>
        <v>0</v>
      </c>
      <c r="AC105" s="89">
        <f t="shared" si="38"/>
        <v>0</v>
      </c>
      <c r="AD105" s="89">
        <f t="shared" si="38"/>
        <v>0</v>
      </c>
      <c r="AE105" s="89">
        <f t="shared" si="40"/>
        <v>0</v>
      </c>
      <c r="AF105" s="89">
        <f t="shared" si="38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19.5</v>
      </c>
      <c r="BH105" s="82">
        <v>0</v>
      </c>
      <c r="BI105" s="82">
        <v>-255.4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7"/>
        <v>255.4</v>
      </c>
      <c r="C106" s="89">
        <f t="shared" si="38"/>
        <v>298.3</v>
      </c>
      <c r="D106" s="89">
        <f t="shared" si="38"/>
        <v>364</v>
      </c>
      <c r="E106" s="89">
        <f t="shared" si="38"/>
        <v>470</v>
      </c>
      <c r="F106" s="89">
        <f t="shared" si="39"/>
        <v>470</v>
      </c>
      <c r="G106" s="89">
        <f t="shared" si="39"/>
        <v>422</v>
      </c>
      <c r="H106" s="89">
        <f t="shared" si="38"/>
        <v>429</v>
      </c>
      <c r="I106" s="89">
        <f t="shared" si="38"/>
        <v>440</v>
      </c>
      <c r="J106" s="89">
        <f t="shared" si="38"/>
        <v>355</v>
      </c>
      <c r="K106" s="89">
        <f t="shared" si="38"/>
        <v>362</v>
      </c>
      <c r="L106" s="89">
        <f t="shared" si="38"/>
        <v>295</v>
      </c>
      <c r="M106" s="89">
        <f t="shared" si="38"/>
        <v>302</v>
      </c>
      <c r="N106" s="89">
        <f t="shared" si="38"/>
        <v>228.3</v>
      </c>
      <c r="O106" s="89">
        <f t="shared" si="38"/>
        <v>218.9</v>
      </c>
      <c r="P106" s="89">
        <f t="shared" si="38"/>
        <v>162.9</v>
      </c>
      <c r="Q106" s="89">
        <f t="shared" si="38"/>
        <v>154</v>
      </c>
      <c r="R106" s="89">
        <f t="shared" si="38"/>
        <v>200</v>
      </c>
      <c r="S106" s="89">
        <f t="shared" si="38"/>
        <v>122</v>
      </c>
      <c r="T106" s="89">
        <f t="shared" si="38"/>
        <v>180</v>
      </c>
      <c r="U106" s="89">
        <f t="shared" si="38"/>
        <v>158.4</v>
      </c>
      <c r="V106" s="89">
        <f t="shared" si="38"/>
        <v>248</v>
      </c>
      <c r="W106" s="89">
        <f t="shared" si="38"/>
        <v>242</v>
      </c>
      <c r="X106" s="89">
        <f t="shared" si="38"/>
        <v>321</v>
      </c>
      <c r="Y106" s="89">
        <f t="shared" si="38"/>
        <v>303</v>
      </c>
      <c r="Z106" s="89">
        <f t="shared" si="38"/>
        <v>224</v>
      </c>
      <c r="AA106" s="89">
        <f t="shared" si="38"/>
        <v>159</v>
      </c>
      <c r="AB106" s="89">
        <f t="shared" si="38"/>
        <v>149.19999999999999</v>
      </c>
      <c r="AC106" s="89">
        <f t="shared" si="38"/>
        <v>142</v>
      </c>
      <c r="AD106" s="89">
        <f t="shared" si="38"/>
        <v>164</v>
      </c>
      <c r="AE106" s="89">
        <f t="shared" si="40"/>
        <v>162</v>
      </c>
      <c r="AF106" s="89">
        <f t="shared" si="38"/>
        <v>194</v>
      </c>
      <c r="AG106" s="111"/>
      <c r="AH106" s="48">
        <f t="shared" si="29"/>
        <v>470</v>
      </c>
      <c r="AI106" s="49">
        <f t="shared" si="30"/>
        <v>122</v>
      </c>
    </row>
    <row r="107" spans="1:64" x14ac:dyDescent="0.25">
      <c r="A107" s="97" t="s">
        <v>107</v>
      </c>
      <c r="B107" s="89">
        <f t="shared" si="37"/>
        <v>0</v>
      </c>
      <c r="C107" s="89">
        <f t="shared" si="38"/>
        <v>0</v>
      </c>
      <c r="D107" s="89">
        <f t="shared" si="38"/>
        <v>0</v>
      </c>
      <c r="E107" s="89">
        <f t="shared" si="38"/>
        <v>0</v>
      </c>
      <c r="F107" s="89">
        <f t="shared" si="39"/>
        <v>0</v>
      </c>
      <c r="G107" s="89">
        <f t="shared" si="39"/>
        <v>0</v>
      </c>
      <c r="H107" s="89">
        <f t="shared" si="38"/>
        <v>0</v>
      </c>
      <c r="I107" s="89">
        <f t="shared" si="38"/>
        <v>0</v>
      </c>
      <c r="J107" s="89">
        <f t="shared" si="38"/>
        <v>0</v>
      </c>
      <c r="K107" s="89">
        <f t="shared" si="38"/>
        <v>0</v>
      </c>
      <c r="L107" s="89">
        <f t="shared" si="38"/>
        <v>0</v>
      </c>
      <c r="M107" s="89">
        <f t="shared" si="38"/>
        <v>0</v>
      </c>
      <c r="N107" s="89">
        <f t="shared" si="38"/>
        <v>0</v>
      </c>
      <c r="O107" s="89">
        <f t="shared" si="38"/>
        <v>0</v>
      </c>
      <c r="P107" s="89">
        <f t="shared" si="38"/>
        <v>0</v>
      </c>
      <c r="Q107" s="89">
        <f t="shared" si="38"/>
        <v>0</v>
      </c>
      <c r="R107" s="89">
        <f t="shared" si="38"/>
        <v>0</v>
      </c>
      <c r="S107" s="89">
        <f t="shared" si="38"/>
        <v>0</v>
      </c>
      <c r="T107" s="89">
        <f t="shared" si="38"/>
        <v>0</v>
      </c>
      <c r="U107" s="89">
        <f t="shared" si="38"/>
        <v>0</v>
      </c>
      <c r="V107" s="89">
        <f t="shared" si="38"/>
        <v>0</v>
      </c>
      <c r="W107" s="89">
        <f t="shared" si="38"/>
        <v>0</v>
      </c>
      <c r="X107" s="89">
        <f t="shared" si="38"/>
        <v>0</v>
      </c>
      <c r="Y107" s="89">
        <f t="shared" si="38"/>
        <v>0</v>
      </c>
      <c r="Z107" s="89">
        <f t="shared" si="38"/>
        <v>0</v>
      </c>
      <c r="AA107" s="89">
        <f t="shared" si="38"/>
        <v>0</v>
      </c>
      <c r="AB107" s="89">
        <f t="shared" si="38"/>
        <v>0</v>
      </c>
      <c r="AC107" s="89">
        <f t="shared" si="38"/>
        <v>0</v>
      </c>
      <c r="AD107" s="89">
        <f t="shared" si="38"/>
        <v>0</v>
      </c>
      <c r="AE107" s="89">
        <f t="shared" si="40"/>
        <v>0</v>
      </c>
      <c r="AF107" s="89">
        <f t="shared" si="38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37"/>
        <v>0</v>
      </c>
      <c r="C108" s="89">
        <f t="shared" si="38"/>
        <v>0</v>
      </c>
      <c r="D108" s="89">
        <f t="shared" si="38"/>
        <v>0</v>
      </c>
      <c r="E108" s="89">
        <f t="shared" si="38"/>
        <v>0</v>
      </c>
      <c r="F108" s="89">
        <f t="shared" si="39"/>
        <v>0</v>
      </c>
      <c r="G108" s="89">
        <f t="shared" si="39"/>
        <v>0</v>
      </c>
      <c r="H108" s="89">
        <f t="shared" si="38"/>
        <v>0</v>
      </c>
      <c r="I108" s="89">
        <f t="shared" si="38"/>
        <v>0</v>
      </c>
      <c r="J108" s="89">
        <f t="shared" si="38"/>
        <v>0</v>
      </c>
      <c r="K108" s="89">
        <f t="shared" si="38"/>
        <v>0</v>
      </c>
      <c r="L108" s="89">
        <f t="shared" si="38"/>
        <v>0</v>
      </c>
      <c r="M108" s="89">
        <f t="shared" si="38"/>
        <v>0</v>
      </c>
      <c r="N108" s="89">
        <f t="shared" si="38"/>
        <v>0</v>
      </c>
      <c r="O108" s="89">
        <f t="shared" si="38"/>
        <v>0</v>
      </c>
      <c r="P108" s="89">
        <f t="shared" si="38"/>
        <v>0</v>
      </c>
      <c r="Q108" s="89">
        <f t="shared" si="38"/>
        <v>0</v>
      </c>
      <c r="R108" s="89">
        <f t="shared" si="38"/>
        <v>0</v>
      </c>
      <c r="S108" s="89">
        <f t="shared" si="38"/>
        <v>0</v>
      </c>
      <c r="T108" s="89">
        <f t="shared" si="38"/>
        <v>0</v>
      </c>
      <c r="U108" s="89">
        <f t="shared" si="38"/>
        <v>0</v>
      </c>
      <c r="V108" s="89">
        <f t="shared" si="38"/>
        <v>0</v>
      </c>
      <c r="W108" s="89">
        <f t="shared" si="38"/>
        <v>0</v>
      </c>
      <c r="X108" s="89">
        <f t="shared" si="38"/>
        <v>0</v>
      </c>
      <c r="Y108" s="89">
        <f t="shared" si="38"/>
        <v>0</v>
      </c>
      <c r="Z108" s="89">
        <f t="shared" si="38"/>
        <v>0</v>
      </c>
      <c r="AA108" s="89">
        <f t="shared" si="38"/>
        <v>0</v>
      </c>
      <c r="AB108" s="89">
        <f t="shared" si="38"/>
        <v>0</v>
      </c>
      <c r="AC108" s="89">
        <f t="shared" si="38"/>
        <v>0</v>
      </c>
      <c r="AD108" s="89">
        <f t="shared" si="38"/>
        <v>0</v>
      </c>
      <c r="AE108" s="89">
        <f t="shared" si="40"/>
        <v>0</v>
      </c>
      <c r="AF108" s="89">
        <f t="shared" si="38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37"/>
        <v>0</v>
      </c>
      <c r="C109" s="89">
        <f t="shared" si="38"/>
        <v>0</v>
      </c>
      <c r="D109" s="89">
        <f t="shared" si="38"/>
        <v>0</v>
      </c>
      <c r="E109" s="89">
        <f t="shared" si="38"/>
        <v>0</v>
      </c>
      <c r="F109" s="89">
        <f t="shared" si="39"/>
        <v>0</v>
      </c>
      <c r="G109" s="89">
        <f t="shared" si="39"/>
        <v>0</v>
      </c>
      <c r="H109" s="89">
        <f t="shared" si="38"/>
        <v>0</v>
      </c>
      <c r="I109" s="89">
        <f t="shared" si="38"/>
        <v>0</v>
      </c>
      <c r="J109" s="89">
        <f t="shared" si="38"/>
        <v>0</v>
      </c>
      <c r="K109" s="89">
        <f t="shared" si="38"/>
        <v>0</v>
      </c>
      <c r="L109" s="89">
        <f t="shared" si="38"/>
        <v>0</v>
      </c>
      <c r="M109" s="89">
        <f t="shared" si="38"/>
        <v>0</v>
      </c>
      <c r="N109" s="89">
        <f t="shared" si="38"/>
        <v>0</v>
      </c>
      <c r="O109" s="89">
        <f t="shared" si="38"/>
        <v>0</v>
      </c>
      <c r="P109" s="89">
        <f t="shared" si="38"/>
        <v>0</v>
      </c>
      <c r="Q109" s="89">
        <f t="shared" si="38"/>
        <v>0</v>
      </c>
      <c r="R109" s="89">
        <f t="shared" si="38"/>
        <v>0</v>
      </c>
      <c r="S109" s="89">
        <f t="shared" si="38"/>
        <v>0</v>
      </c>
      <c r="T109" s="89">
        <f t="shared" si="38"/>
        <v>0</v>
      </c>
      <c r="U109" s="89">
        <f t="shared" si="38"/>
        <v>0</v>
      </c>
      <c r="V109" s="89">
        <f t="shared" si="38"/>
        <v>0</v>
      </c>
      <c r="W109" s="89">
        <f t="shared" si="38"/>
        <v>0</v>
      </c>
      <c r="X109" s="89">
        <f t="shared" si="38"/>
        <v>0</v>
      </c>
      <c r="Y109" s="89">
        <f t="shared" si="38"/>
        <v>0</v>
      </c>
      <c r="Z109" s="89">
        <f t="shared" si="38"/>
        <v>0</v>
      </c>
      <c r="AA109" s="89">
        <f t="shared" si="38"/>
        <v>0</v>
      </c>
      <c r="AB109" s="89">
        <f t="shared" si="38"/>
        <v>0</v>
      </c>
      <c r="AC109" s="89">
        <f t="shared" si="38"/>
        <v>0</v>
      </c>
      <c r="AD109" s="89">
        <f t="shared" si="38"/>
        <v>0</v>
      </c>
      <c r="AE109" s="89">
        <f t="shared" si="40"/>
        <v>0</v>
      </c>
      <c r="AF109" s="89">
        <f t="shared" si="38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255.4</v>
      </c>
      <c r="C110" s="71">
        <f t="shared" ref="C110:AF110" si="42">SUM(C104:C109)</f>
        <v>298.3</v>
      </c>
      <c r="D110" s="71">
        <f t="shared" si="42"/>
        <v>364</v>
      </c>
      <c r="E110" s="71">
        <f t="shared" si="42"/>
        <v>470</v>
      </c>
      <c r="F110" s="71">
        <f>SUM(F104:F109)</f>
        <v>470</v>
      </c>
      <c r="G110" s="71">
        <f>SUM(G104:G109)</f>
        <v>422</v>
      </c>
      <c r="H110" s="71">
        <f t="shared" si="42"/>
        <v>429</v>
      </c>
      <c r="I110" s="71">
        <f t="shared" si="42"/>
        <v>440</v>
      </c>
      <c r="J110" s="71">
        <f t="shared" si="42"/>
        <v>355</v>
      </c>
      <c r="K110" s="71">
        <f t="shared" si="42"/>
        <v>362</v>
      </c>
      <c r="L110" s="71">
        <f t="shared" si="42"/>
        <v>295</v>
      </c>
      <c r="M110" s="71">
        <f t="shared" si="42"/>
        <v>302</v>
      </c>
      <c r="N110" s="71">
        <f t="shared" si="42"/>
        <v>228.3</v>
      </c>
      <c r="O110" s="71">
        <f t="shared" si="42"/>
        <v>218.9</v>
      </c>
      <c r="P110" s="71">
        <f t="shared" si="42"/>
        <v>162.9</v>
      </c>
      <c r="Q110" s="71">
        <f t="shared" si="42"/>
        <v>154</v>
      </c>
      <c r="R110" s="71">
        <f t="shared" si="42"/>
        <v>200</v>
      </c>
      <c r="S110" s="71">
        <f t="shared" si="42"/>
        <v>122</v>
      </c>
      <c r="T110" s="71">
        <f t="shared" si="42"/>
        <v>180</v>
      </c>
      <c r="U110" s="71">
        <f t="shared" si="42"/>
        <v>158.4</v>
      </c>
      <c r="V110" s="71">
        <f t="shared" si="42"/>
        <v>248</v>
      </c>
      <c r="W110" s="71">
        <f t="shared" si="42"/>
        <v>242</v>
      </c>
      <c r="X110" s="71">
        <f t="shared" si="42"/>
        <v>321</v>
      </c>
      <c r="Y110" s="71">
        <f t="shared" si="42"/>
        <v>303</v>
      </c>
      <c r="Z110" s="71">
        <f t="shared" si="42"/>
        <v>224</v>
      </c>
      <c r="AA110" s="71">
        <f t="shared" si="42"/>
        <v>159</v>
      </c>
      <c r="AB110" s="71">
        <f t="shared" si="42"/>
        <v>149.19999999999999</v>
      </c>
      <c r="AC110" s="71">
        <f t="shared" si="42"/>
        <v>142</v>
      </c>
      <c r="AD110" s="71">
        <f t="shared" si="42"/>
        <v>164</v>
      </c>
      <c r="AE110" s="71">
        <f>SUM(AE104:AE109)</f>
        <v>162</v>
      </c>
      <c r="AF110" s="71">
        <f t="shared" si="42"/>
        <v>194</v>
      </c>
      <c r="AG110" s="101"/>
      <c r="AH110" s="48">
        <f t="shared" si="29"/>
        <v>470</v>
      </c>
      <c r="AI110" s="49">
        <f t="shared" si="30"/>
        <v>122</v>
      </c>
    </row>
    <row r="111" spans="1:64" ht="15.75" thickBot="1" x14ac:dyDescent="0.3">
      <c r="A111" s="87" t="s">
        <v>131</v>
      </c>
      <c r="B111" s="71">
        <f t="shared" ref="B111:AF111" si="43">B95-B110</f>
        <v>-235.9</v>
      </c>
      <c r="C111" s="71">
        <f t="shared" si="43"/>
        <v>-274.40000000000003</v>
      </c>
      <c r="D111" s="71">
        <f t="shared" si="43"/>
        <v>-340.4</v>
      </c>
      <c r="E111" s="71">
        <f t="shared" si="43"/>
        <v>-451.9</v>
      </c>
      <c r="F111" s="71">
        <f>F95-F110</f>
        <v>-451.9</v>
      </c>
      <c r="G111" s="71">
        <f>G95-G110</f>
        <v>-398.9</v>
      </c>
      <c r="H111" s="71">
        <f t="shared" si="43"/>
        <v>-418</v>
      </c>
      <c r="I111" s="71">
        <f t="shared" si="43"/>
        <v>-425</v>
      </c>
      <c r="J111" s="71">
        <f t="shared" si="43"/>
        <v>-340</v>
      </c>
      <c r="K111" s="71">
        <f t="shared" si="43"/>
        <v>-303.8</v>
      </c>
      <c r="L111" s="71">
        <f t="shared" si="43"/>
        <v>-238.6</v>
      </c>
      <c r="M111" s="71">
        <f t="shared" si="43"/>
        <v>-259.10000000000002</v>
      </c>
      <c r="N111" s="71">
        <f t="shared" si="43"/>
        <v>-179.70000000000002</v>
      </c>
      <c r="O111" s="71">
        <f t="shared" si="43"/>
        <v>-163</v>
      </c>
      <c r="P111" s="71">
        <f t="shared" si="43"/>
        <v>-98.2</v>
      </c>
      <c r="Q111" s="71">
        <f t="shared" si="43"/>
        <v>-84</v>
      </c>
      <c r="R111" s="71">
        <f t="shared" si="43"/>
        <v>-128.5</v>
      </c>
      <c r="S111" s="71">
        <f t="shared" si="43"/>
        <v>-50.099999999999994</v>
      </c>
      <c r="T111" s="71">
        <f t="shared" si="43"/>
        <v>-111.6</v>
      </c>
      <c r="U111" s="71">
        <f t="shared" si="43"/>
        <v>-85.600000000000009</v>
      </c>
      <c r="V111" s="71">
        <f t="shared" si="43"/>
        <v>-193.4</v>
      </c>
      <c r="W111" s="71">
        <f t="shared" si="43"/>
        <v>-191</v>
      </c>
      <c r="X111" s="71">
        <f t="shared" si="43"/>
        <v>-273.5</v>
      </c>
      <c r="Y111" s="71">
        <f t="shared" si="43"/>
        <v>-282</v>
      </c>
      <c r="Z111" s="71">
        <f t="shared" si="43"/>
        <v>-212.2</v>
      </c>
      <c r="AA111" s="71">
        <f t="shared" si="43"/>
        <v>-145.69999999999999</v>
      </c>
      <c r="AB111" s="71">
        <f t="shared" si="43"/>
        <v>-126.69999999999999</v>
      </c>
      <c r="AC111" s="71">
        <f t="shared" si="43"/>
        <v>-119.4</v>
      </c>
      <c r="AD111" s="71">
        <f t="shared" si="43"/>
        <v>-142.9</v>
      </c>
      <c r="AE111" s="71">
        <f>AE95-AE110</f>
        <v>-137.9</v>
      </c>
      <c r="AF111" s="71">
        <f t="shared" si="43"/>
        <v>-173.9</v>
      </c>
      <c r="AG111" s="101"/>
      <c r="AH111" s="48">
        <f t="shared" si="29"/>
        <v>-50.099999999999994</v>
      </c>
      <c r="AI111" s="49">
        <f t="shared" si="30"/>
        <v>-451.9</v>
      </c>
    </row>
    <row r="112" spans="1:64" x14ac:dyDescent="0.25">
      <c r="A112" s="113" t="s">
        <v>132</v>
      </c>
      <c r="B112" s="114">
        <v>50.036999999999999</v>
      </c>
      <c r="C112" s="114">
        <v>49.957999999999998</v>
      </c>
      <c r="D112" s="114">
        <v>49.997</v>
      </c>
      <c r="E112" s="114">
        <v>50.031999999999996</v>
      </c>
      <c r="F112" s="114">
        <v>50.031999999999996</v>
      </c>
      <c r="G112" s="114">
        <v>50.026000000000003</v>
      </c>
      <c r="H112" s="114">
        <v>50.026000000000003</v>
      </c>
      <c r="I112" s="114">
        <v>50.029000000000003</v>
      </c>
      <c r="J112" s="114">
        <v>50.029000000000003</v>
      </c>
      <c r="K112" s="114">
        <v>49.984000000000002</v>
      </c>
      <c r="L112" s="114">
        <v>49.991999999999997</v>
      </c>
      <c r="M112" s="114">
        <v>49.978000000000002</v>
      </c>
      <c r="N112" s="114">
        <v>49.975000000000001</v>
      </c>
      <c r="O112" s="114">
        <v>50.003999999999998</v>
      </c>
      <c r="P112" s="114">
        <v>49.975000000000001</v>
      </c>
      <c r="Q112" s="114">
        <v>49.96</v>
      </c>
      <c r="R112" s="114">
        <v>50.03</v>
      </c>
      <c r="S112" s="114">
        <v>50.003</v>
      </c>
      <c r="T112" s="114">
        <v>50.021000000000001</v>
      </c>
      <c r="U112" s="114">
        <v>50.012999999999998</v>
      </c>
      <c r="V112" s="114">
        <v>49.962000000000003</v>
      </c>
      <c r="W112" s="114">
        <v>49.99</v>
      </c>
      <c r="X112" s="114">
        <v>50.006999999999998</v>
      </c>
      <c r="Y112" s="114">
        <v>50.052999999999997</v>
      </c>
      <c r="Z112" s="114">
        <v>50.042000000000002</v>
      </c>
      <c r="AA112" s="114">
        <v>50</v>
      </c>
      <c r="AB112" s="114">
        <v>50.048000000000002</v>
      </c>
      <c r="AC112" s="114">
        <v>49.987900000000003</v>
      </c>
      <c r="AD112" s="114">
        <v>50.006</v>
      </c>
      <c r="AE112" s="114">
        <v>49.948999999999998</v>
      </c>
      <c r="AF112" s="114">
        <v>49.945</v>
      </c>
      <c r="AG112" s="115"/>
      <c r="AH112" s="48">
        <f t="shared" si="29"/>
        <v>50.052999999999997</v>
      </c>
      <c r="AI112" s="49">
        <f t="shared" si="30"/>
        <v>49.945</v>
      </c>
    </row>
    <row r="113" spans="1:35" x14ac:dyDescent="0.25">
      <c r="A113" s="116" t="s">
        <v>133</v>
      </c>
      <c r="B113" s="76">
        <v>123</v>
      </c>
      <c r="C113" s="76">
        <v>122</v>
      </c>
      <c r="D113" s="76">
        <v>121.4</v>
      </c>
      <c r="E113" s="76">
        <v>121.7</v>
      </c>
      <c r="F113" s="76">
        <v>121.7</v>
      </c>
      <c r="G113" s="76">
        <v>121.9</v>
      </c>
      <c r="H113" s="76">
        <v>121.9</v>
      </c>
      <c r="I113" s="76">
        <v>121.9</v>
      </c>
      <c r="J113" s="76">
        <v>121.9</v>
      </c>
      <c r="K113" s="76">
        <v>118.9</v>
      </c>
      <c r="L113" s="76">
        <v>118.9</v>
      </c>
      <c r="M113" s="76">
        <v>118</v>
      </c>
      <c r="N113" s="76">
        <v>119.6</v>
      </c>
      <c r="O113" s="76">
        <v>120.3</v>
      </c>
      <c r="P113" s="76">
        <v>118.7</v>
      </c>
      <c r="Q113" s="76">
        <v>119.6</v>
      </c>
      <c r="R113" s="76">
        <v>119.4</v>
      </c>
      <c r="S113" s="76">
        <v>119.5</v>
      </c>
      <c r="T113" s="76">
        <v>120.1</v>
      </c>
      <c r="U113" s="76">
        <v>119.8</v>
      </c>
      <c r="V113" s="76">
        <v>120.7</v>
      </c>
      <c r="W113" s="76">
        <v>120.3</v>
      </c>
      <c r="X113" s="76">
        <v>122</v>
      </c>
      <c r="Y113" s="76">
        <v>120.7</v>
      </c>
      <c r="Z113" s="76">
        <v>121.2</v>
      </c>
      <c r="AA113" s="76">
        <v>122.9</v>
      </c>
      <c r="AB113" s="76">
        <v>122.6</v>
      </c>
      <c r="AC113" s="76">
        <v>121.7</v>
      </c>
      <c r="AD113" s="76">
        <v>122.2</v>
      </c>
      <c r="AE113" s="76">
        <v>118.8</v>
      </c>
      <c r="AF113" s="76">
        <v>118.6</v>
      </c>
      <c r="AG113" s="117"/>
      <c r="AH113" s="48">
        <f t="shared" si="29"/>
        <v>123</v>
      </c>
      <c r="AI113" s="49">
        <f t="shared" si="30"/>
        <v>118</v>
      </c>
    </row>
    <row r="114" spans="1:35" x14ac:dyDescent="0.25">
      <c r="A114" s="116" t="s">
        <v>134</v>
      </c>
      <c r="B114" s="76">
        <v>128.69999999999999</v>
      </c>
      <c r="C114" s="76">
        <v>128</v>
      </c>
      <c r="D114" s="76">
        <v>127.8</v>
      </c>
      <c r="E114" s="76">
        <v>127.9</v>
      </c>
      <c r="F114" s="76">
        <v>127.9</v>
      </c>
      <c r="G114" s="76">
        <v>126.9</v>
      </c>
      <c r="H114" s="76">
        <v>126.9</v>
      </c>
      <c r="I114" s="76">
        <v>126.7</v>
      </c>
      <c r="J114" s="76">
        <v>126.7</v>
      </c>
      <c r="K114" s="76">
        <v>124.4</v>
      </c>
      <c r="L114" s="76">
        <v>124.2</v>
      </c>
      <c r="M114" s="76">
        <v>123.7</v>
      </c>
      <c r="N114" s="76">
        <v>123.9</v>
      </c>
      <c r="O114" s="76">
        <v>124.1</v>
      </c>
      <c r="P114" s="76">
        <v>122.9</v>
      </c>
      <c r="Q114" s="76">
        <v>123.7</v>
      </c>
      <c r="R114" s="76">
        <v>123.6</v>
      </c>
      <c r="S114" s="76">
        <v>123.4</v>
      </c>
      <c r="T114" s="76">
        <v>123.7</v>
      </c>
      <c r="U114" s="76">
        <v>124</v>
      </c>
      <c r="V114" s="76">
        <v>124.5</v>
      </c>
      <c r="W114" s="76">
        <v>124.4</v>
      </c>
      <c r="X114" s="76">
        <v>125.3</v>
      </c>
      <c r="Y114" s="76">
        <v>125</v>
      </c>
      <c r="Z114" s="76">
        <v>125.1</v>
      </c>
      <c r="AA114" s="76">
        <v>125.9</v>
      </c>
      <c r="AB114" s="76">
        <v>126.3</v>
      </c>
      <c r="AC114" s="76">
        <v>126.1</v>
      </c>
      <c r="AD114" s="76">
        <v>126.6</v>
      </c>
      <c r="AE114" s="76">
        <v>124.8</v>
      </c>
      <c r="AF114" s="76">
        <v>124.6</v>
      </c>
      <c r="AG114" s="117"/>
      <c r="AH114" s="48">
        <f t="shared" si="29"/>
        <v>128.69999999999999</v>
      </c>
      <c r="AI114" s="49">
        <f t="shared" si="30"/>
        <v>122.9</v>
      </c>
    </row>
    <row r="115" spans="1:35" x14ac:dyDescent="0.25">
      <c r="A115" s="116" t="s">
        <v>135</v>
      </c>
      <c r="B115" s="76">
        <v>130.80000000000001</v>
      </c>
      <c r="C115" s="76">
        <v>127.8</v>
      </c>
      <c r="D115" s="76">
        <v>131.30000000000001</v>
      </c>
      <c r="E115" s="76">
        <v>132.19999999999999</v>
      </c>
      <c r="F115" s="76">
        <v>132.19999999999999</v>
      </c>
      <c r="G115" s="76">
        <v>133</v>
      </c>
      <c r="H115" s="76">
        <v>133</v>
      </c>
      <c r="I115" s="76">
        <v>130.4</v>
      </c>
      <c r="J115" s="76">
        <v>130.4</v>
      </c>
      <c r="K115" s="76">
        <v>130.1</v>
      </c>
      <c r="L115" s="76">
        <v>128.30000000000001</v>
      </c>
      <c r="M115" s="76">
        <v>127.6</v>
      </c>
      <c r="N115" s="76">
        <v>129.19999999999999</v>
      </c>
      <c r="O115" s="76">
        <v>126.78</v>
      </c>
      <c r="P115" s="76">
        <v>129.4</v>
      </c>
      <c r="Q115" s="76">
        <v>128.80000000000001</v>
      </c>
      <c r="R115" s="76">
        <v>129.69999999999999</v>
      </c>
      <c r="S115" s="76">
        <v>129.9</v>
      </c>
      <c r="T115" s="76">
        <v>128.19999999999999</v>
      </c>
      <c r="U115" s="76">
        <v>128.6</v>
      </c>
      <c r="V115" s="76">
        <v>130.69999999999999</v>
      </c>
      <c r="W115" s="76">
        <v>131.19999999999999</v>
      </c>
      <c r="X115" s="76">
        <v>130.69999999999999</v>
      </c>
      <c r="Y115" s="76">
        <v>131</v>
      </c>
      <c r="Z115" s="76">
        <v>130.80000000000001</v>
      </c>
      <c r="AA115" s="76">
        <v>130</v>
      </c>
      <c r="AB115" s="76">
        <v>129.69999999999999</v>
      </c>
      <c r="AC115" s="76">
        <v>129.4</v>
      </c>
      <c r="AD115" s="76">
        <v>129.6</v>
      </c>
      <c r="AE115" s="76">
        <v>127.8</v>
      </c>
      <c r="AF115" s="76">
        <v>128.5</v>
      </c>
      <c r="AG115" s="117"/>
      <c r="AH115" s="48">
        <f t="shared" si="29"/>
        <v>133</v>
      </c>
      <c r="AI115" s="49">
        <f t="shared" si="30"/>
        <v>126.78</v>
      </c>
    </row>
    <row r="116" spans="1:35" x14ac:dyDescent="0.25">
      <c r="A116" s="118" t="s">
        <v>136</v>
      </c>
      <c r="B116" s="76">
        <v>132.1</v>
      </c>
      <c r="C116" s="76">
        <v>129.4</v>
      </c>
      <c r="D116" s="76">
        <v>132.80000000000001</v>
      </c>
      <c r="E116" s="76">
        <v>134.80000000000001</v>
      </c>
      <c r="F116" s="76">
        <v>134.80000000000001</v>
      </c>
      <c r="G116" s="76">
        <v>124.8</v>
      </c>
      <c r="H116" s="76">
        <v>124.8</v>
      </c>
      <c r="I116" s="76">
        <v>133.69999999999999</v>
      </c>
      <c r="J116" s="76">
        <v>133.69999999999999</v>
      </c>
      <c r="K116" s="76">
        <v>133.19999999999999</v>
      </c>
      <c r="L116" s="76">
        <v>131</v>
      </c>
      <c r="M116" s="76">
        <v>128.69999999999999</v>
      </c>
      <c r="N116" s="76">
        <v>129.69999999999999</v>
      </c>
      <c r="O116" s="76">
        <v>128</v>
      </c>
      <c r="P116" s="76">
        <v>129.6</v>
      </c>
      <c r="Q116" s="76">
        <v>129.19999999999999</v>
      </c>
      <c r="R116" s="76">
        <v>130.69999999999999</v>
      </c>
      <c r="S116" s="76">
        <v>130.9</v>
      </c>
      <c r="T116" s="76">
        <v>129.69999999999999</v>
      </c>
      <c r="U116" s="76">
        <v>130.1</v>
      </c>
      <c r="V116" s="76">
        <v>133.1</v>
      </c>
      <c r="W116" s="76">
        <v>132.30000000000001</v>
      </c>
      <c r="X116" s="76">
        <v>130.69999999999999</v>
      </c>
      <c r="Y116" s="76">
        <v>130.9</v>
      </c>
      <c r="Z116" s="76">
        <v>132.1</v>
      </c>
      <c r="AA116" s="76">
        <v>131.69999999999999</v>
      </c>
      <c r="AB116" s="76">
        <v>133.30000000000001</v>
      </c>
      <c r="AC116" s="76">
        <v>131.69999999999999</v>
      </c>
      <c r="AD116" s="76">
        <v>133.30000000000001</v>
      </c>
      <c r="AE116" s="76">
        <v>130.9</v>
      </c>
      <c r="AF116" s="76">
        <v>132.30000000000001</v>
      </c>
      <c r="AG116" s="117"/>
      <c r="AH116" s="48">
        <f t="shared" si="29"/>
        <v>134.80000000000001</v>
      </c>
      <c r="AI116" s="49">
        <f t="shared" si="30"/>
        <v>124.8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9"/>
        <v>0</v>
      </c>
      <c r="AI117" s="49">
        <f t="shared" si="30"/>
        <v>0</v>
      </c>
    </row>
    <row r="118" spans="1:35" x14ac:dyDescent="0.25">
      <c r="A118" s="116" t="s">
        <v>138</v>
      </c>
      <c r="B118" s="76">
        <v>125.1</v>
      </c>
      <c r="C118" s="76">
        <v>122.1</v>
      </c>
      <c r="D118" s="76">
        <v>122.2</v>
      </c>
      <c r="E118" s="76">
        <v>127</v>
      </c>
      <c r="F118" s="76">
        <v>127</v>
      </c>
      <c r="G118" s="76">
        <v>118.4</v>
      </c>
      <c r="H118" s="76">
        <v>118.4</v>
      </c>
      <c r="I118" s="76">
        <v>115.7</v>
      </c>
      <c r="J118" s="76">
        <v>115.7</v>
      </c>
      <c r="K118" s="76">
        <v>124.6</v>
      </c>
      <c r="L118" s="76">
        <v>124.8</v>
      </c>
      <c r="M118" s="76">
        <v>127.1</v>
      </c>
      <c r="N118" s="76">
        <v>127.2</v>
      </c>
      <c r="O118" s="76">
        <v>126.2</v>
      </c>
      <c r="P118" s="76">
        <v>123.5</v>
      </c>
      <c r="Q118" s="76">
        <v>128</v>
      </c>
      <c r="R118" s="76">
        <v>126.3</v>
      </c>
      <c r="S118" s="76">
        <v>124.5</v>
      </c>
      <c r="T118" s="76">
        <v>122</v>
      </c>
      <c r="U118" s="76">
        <v>123.2</v>
      </c>
      <c r="V118" s="76">
        <v>121.4</v>
      </c>
      <c r="W118" s="76">
        <v>124.8</v>
      </c>
      <c r="X118" s="76">
        <v>117</v>
      </c>
      <c r="Y118" s="76">
        <v>128.5</v>
      </c>
      <c r="Z118" s="76">
        <v>122.5</v>
      </c>
      <c r="AA118" s="76">
        <v>127.1</v>
      </c>
      <c r="AB118" s="76">
        <v>125.9</v>
      </c>
      <c r="AC118" s="76">
        <v>123.8</v>
      </c>
      <c r="AD118" s="76">
        <v>127.38</v>
      </c>
      <c r="AE118" s="76">
        <v>117.5</v>
      </c>
      <c r="AF118" s="76">
        <v>111.7</v>
      </c>
      <c r="AG118" s="117"/>
      <c r="AH118" s="48">
        <f t="shared" si="29"/>
        <v>128.5</v>
      </c>
      <c r="AI118" s="49">
        <f t="shared" si="30"/>
        <v>111.7</v>
      </c>
    </row>
    <row r="119" spans="1:35" ht="15.75" thickBot="1" x14ac:dyDescent="0.3">
      <c r="A119" s="116" t="s">
        <v>139</v>
      </c>
      <c r="B119" s="105">
        <v>64.900000000000006</v>
      </c>
      <c r="C119" s="105">
        <v>64.7</v>
      </c>
      <c r="D119" s="105">
        <v>64.3</v>
      </c>
      <c r="E119" s="105">
        <v>64.5</v>
      </c>
      <c r="F119" s="105">
        <v>64.5</v>
      </c>
      <c r="G119" s="105">
        <v>64.2</v>
      </c>
      <c r="H119" s="105">
        <v>64.2</v>
      </c>
      <c r="I119" s="105">
        <v>64</v>
      </c>
      <c r="J119" s="105">
        <v>64</v>
      </c>
      <c r="K119" s="105">
        <v>62.3</v>
      </c>
      <c r="L119" s="105">
        <v>62.1</v>
      </c>
      <c r="M119" s="105">
        <v>62.2</v>
      </c>
      <c r="N119" s="105">
        <v>62.1</v>
      </c>
      <c r="O119" s="105">
        <v>62.1</v>
      </c>
      <c r="P119" s="105">
        <v>61.2</v>
      </c>
      <c r="Q119" s="105">
        <v>61.9</v>
      </c>
      <c r="R119" s="105">
        <v>61.8</v>
      </c>
      <c r="S119" s="105">
        <v>64.8</v>
      </c>
      <c r="T119" s="105">
        <v>62.3</v>
      </c>
      <c r="U119" s="105">
        <v>62.2</v>
      </c>
      <c r="V119" s="105">
        <v>62.6</v>
      </c>
      <c r="W119" s="105">
        <v>62.4</v>
      </c>
      <c r="X119" s="105">
        <v>63.1</v>
      </c>
      <c r="Y119" s="105">
        <v>62.9</v>
      </c>
      <c r="Z119" s="105">
        <v>63.2</v>
      </c>
      <c r="AA119" s="105">
        <v>63.8</v>
      </c>
      <c r="AB119" s="105">
        <v>64.099999999999994</v>
      </c>
      <c r="AC119" s="105">
        <v>64.099999999999994</v>
      </c>
      <c r="AD119" s="105">
        <v>64.2</v>
      </c>
      <c r="AE119" s="105">
        <v>62.7</v>
      </c>
      <c r="AF119" s="105">
        <v>61.9</v>
      </c>
      <c r="AG119" s="121"/>
      <c r="AH119" s="48">
        <f t="shared" si="29"/>
        <v>64.900000000000006</v>
      </c>
      <c r="AI119" s="49">
        <f t="shared" si="30"/>
        <v>61.2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 t="shared" ref="B121:O121" si="44">SUM(B25,B31,B34:B35,B69,B71:B72,B74,B76,B122:B126,B158,B164,B170,B179,B181,B193,B200,B203:B204,B211,B213,B215,B219:B221,B223:B225,B230,B236:B237,B239:B241,B249,B254)</f>
        <v>99.34</v>
      </c>
      <c r="C121" s="124">
        <f t="shared" si="44"/>
        <v>90.64</v>
      </c>
      <c r="D121" s="124">
        <f t="shared" si="44"/>
        <v>79.84</v>
      </c>
      <c r="E121" s="124">
        <f t="shared" si="44"/>
        <v>70.339999999999975</v>
      </c>
      <c r="F121" s="124">
        <f t="shared" si="44"/>
        <v>92.439999999999969</v>
      </c>
      <c r="G121" s="124">
        <f t="shared" si="44"/>
        <v>89.34</v>
      </c>
      <c r="H121" s="124">
        <f t="shared" si="44"/>
        <v>89.34</v>
      </c>
      <c r="I121" s="124">
        <f t="shared" si="44"/>
        <v>98.640000000000015</v>
      </c>
      <c r="J121" s="124">
        <f t="shared" si="44"/>
        <v>98.640000000000015</v>
      </c>
      <c r="K121" s="124">
        <f t="shared" si="44"/>
        <v>132.24</v>
      </c>
      <c r="L121" s="124">
        <f t="shared" si="44"/>
        <v>124.34000000000003</v>
      </c>
      <c r="M121" s="124">
        <f t="shared" si="44"/>
        <v>147.44</v>
      </c>
      <c r="N121" s="124">
        <f t="shared" si="44"/>
        <v>164.24</v>
      </c>
      <c r="O121" s="124">
        <f t="shared" si="44"/>
        <v>182.34</v>
      </c>
      <c r="P121" s="124">
        <v>42</v>
      </c>
      <c r="Q121" s="124">
        <f t="shared" ref="Q121:X121" si="45">SUM(Q25,Q31,Q34:Q35,Q69,Q71:Q72,Q74,Q76,Q122:Q126,Q158,Q164,Q170,Q179,Q181,Q193,Q200,Q203:Q204,Q211,Q213,Q215,Q219:Q221,Q223:Q225,Q230,Q236:Q237,Q239:Q241,Q249,Q254)</f>
        <v>222.54</v>
      </c>
      <c r="R121" s="124">
        <f t="shared" si="45"/>
        <v>171.33999999999997</v>
      </c>
      <c r="S121" s="124">
        <f t="shared" si="45"/>
        <v>159.64000000000001</v>
      </c>
      <c r="T121" s="124">
        <f t="shared" si="45"/>
        <v>183.33999999999997</v>
      </c>
      <c r="U121" s="124">
        <f t="shared" si="45"/>
        <v>183.24</v>
      </c>
      <c r="V121" s="124">
        <f t="shared" si="45"/>
        <v>174.34000000000003</v>
      </c>
      <c r="W121" s="124">
        <f t="shared" si="45"/>
        <v>164.94</v>
      </c>
      <c r="X121" s="124">
        <f t="shared" si="45"/>
        <v>188.44</v>
      </c>
      <c r="Y121" s="124">
        <f>SUM(Y23,Y29,Y40:Y41,Y69,Y71:Y72,Y74,Y76,Y122:Y126,Y151,Y157,Y163,Y172,Y174,Y186,Y193,Y196:Y197,Y204,Y206,Y208,Y212:Y214,Y216:Y218,Y223,Y229:Y230,Y232:Y234,Y242,Y247)</f>
        <v>214.29999999999998</v>
      </c>
      <c r="Z121" s="124">
        <f>SUM(Z23,Z29,Z40:Z41,Z69,Z71:Z72,Z74,Z76,Z122:Z126,Z151,Z157,Z163,Z172,Z174,Z186,Z193,Z196:Z197,Z204,Z206,Z208,Z212:Z214,Z216:Z218,Z223,Z229:Z230,Z232:Z234,Z242,Z247)</f>
        <v>227.6</v>
      </c>
      <c r="AA121" s="124">
        <f t="shared" ref="AA121:AF121" si="46">SUM(AA25,AA31,AA34:AA35,AA69,AA71:AA72,AA74,AA76,AA122:AA126,AA158,AA164,AA170,AA179,AA181,AA193,AA200,AA203:AA204,AA211,AA213,AA215,AA219:AA221,AA223:AA225,AA230,AA236:AA237,AA239:AA241,AA249,AA254)</f>
        <v>207.94</v>
      </c>
      <c r="AB121" s="124">
        <f t="shared" si="46"/>
        <v>168.14</v>
      </c>
      <c r="AC121" s="124">
        <f t="shared" si="46"/>
        <v>155.13999999999999</v>
      </c>
      <c r="AD121" s="124">
        <f t="shared" si="46"/>
        <v>139.04000000000002</v>
      </c>
      <c r="AE121" s="124">
        <f t="shared" si="46"/>
        <v>103.24</v>
      </c>
      <c r="AF121" s="124">
        <f t="shared" si="46"/>
        <v>88.399999999999977</v>
      </c>
      <c r="AG121" s="125"/>
      <c r="AH121" s="48">
        <f t="shared" si="29"/>
        <v>227.6</v>
      </c>
      <c r="AI121" s="49">
        <f t="shared" si="30"/>
        <v>42</v>
      </c>
    </row>
    <row r="122" spans="1:35" x14ac:dyDescent="0.25">
      <c r="A122" s="126" t="s">
        <v>142</v>
      </c>
      <c r="B122" s="127">
        <v>49.5</v>
      </c>
      <c r="C122" s="127">
        <v>59.8</v>
      </c>
      <c r="D122" s="127">
        <v>56.8</v>
      </c>
      <c r="E122" s="127">
        <v>51.7</v>
      </c>
      <c r="F122" s="127">
        <v>50.7</v>
      </c>
      <c r="G122" s="127">
        <v>50.7</v>
      </c>
      <c r="H122" s="127">
        <v>50.7</v>
      </c>
      <c r="I122" s="127">
        <v>36.5</v>
      </c>
      <c r="J122" s="127">
        <v>36.5</v>
      </c>
      <c r="K122" s="127">
        <v>39.6</v>
      </c>
      <c r="L122" s="127">
        <v>32.1</v>
      </c>
      <c r="M122" s="127">
        <v>36.5</v>
      </c>
      <c r="N122" s="127">
        <v>30.2</v>
      </c>
      <c r="O122" s="127">
        <v>30.5</v>
      </c>
      <c r="P122" s="127">
        <v>29.2</v>
      </c>
      <c r="Q122" s="127">
        <v>70.400000000000006</v>
      </c>
      <c r="R122" s="127">
        <v>30.2</v>
      </c>
      <c r="S122" s="127">
        <v>23.6</v>
      </c>
      <c r="T122" s="127">
        <v>40</v>
      </c>
      <c r="U122" s="127">
        <v>45</v>
      </c>
      <c r="V122" s="127">
        <v>45.9</v>
      </c>
      <c r="W122" s="127">
        <v>48</v>
      </c>
      <c r="X122" s="127">
        <v>65</v>
      </c>
      <c r="Y122" s="127">
        <v>68.5</v>
      </c>
      <c r="Z122" s="127">
        <v>63.2</v>
      </c>
      <c r="AA122" s="127">
        <v>53.8</v>
      </c>
      <c r="AB122" s="127">
        <v>44</v>
      </c>
      <c r="AC122" s="127">
        <v>47.3</v>
      </c>
      <c r="AD122" s="127">
        <v>46.1</v>
      </c>
      <c r="AE122" s="127">
        <v>50.3</v>
      </c>
      <c r="AF122" s="127">
        <v>50.96</v>
      </c>
      <c r="AG122" s="128">
        <v>75</v>
      </c>
      <c r="AH122" s="48">
        <f t="shared" si="29"/>
        <v>70.400000000000006</v>
      </c>
      <c r="AI122" s="49">
        <f t="shared" si="30"/>
        <v>23.6</v>
      </c>
    </row>
    <row r="123" spans="1:35" x14ac:dyDescent="0.25">
      <c r="A123" s="129" t="s">
        <v>143</v>
      </c>
      <c r="B123" s="130">
        <v>79.8</v>
      </c>
      <c r="C123" s="130">
        <v>90.5</v>
      </c>
      <c r="D123" s="130">
        <v>84</v>
      </c>
      <c r="E123" s="130">
        <v>77.3</v>
      </c>
      <c r="F123" s="130">
        <v>75.599999999999994</v>
      </c>
      <c r="G123" s="130">
        <v>75.599999999999994</v>
      </c>
      <c r="H123" s="130">
        <v>75.599999999999994</v>
      </c>
      <c r="I123" s="130">
        <v>61.1</v>
      </c>
      <c r="J123" s="130">
        <v>61.1</v>
      </c>
      <c r="K123" s="130">
        <v>61.5</v>
      </c>
      <c r="L123" s="130">
        <v>49.4</v>
      </c>
      <c r="M123" s="130">
        <v>55.2</v>
      </c>
      <c r="N123" s="130">
        <v>48.3</v>
      </c>
      <c r="O123" s="130">
        <v>50.5</v>
      </c>
      <c r="P123" s="130">
        <v>46.65</v>
      </c>
      <c r="Q123" s="130">
        <v>46.5</v>
      </c>
      <c r="R123" s="130">
        <v>46.8</v>
      </c>
      <c r="S123" s="130">
        <v>36.9</v>
      </c>
      <c r="T123" s="130">
        <v>60.6</v>
      </c>
      <c r="U123" s="130">
        <v>66.2</v>
      </c>
      <c r="V123" s="130">
        <v>69.7</v>
      </c>
      <c r="W123" s="130">
        <v>71.099999999999994</v>
      </c>
      <c r="X123" s="130">
        <v>95</v>
      </c>
      <c r="Y123" s="130">
        <v>96.4</v>
      </c>
      <c r="Z123" s="130">
        <v>90.5</v>
      </c>
      <c r="AA123" s="130">
        <v>79.3</v>
      </c>
      <c r="AB123" s="130">
        <v>66.8</v>
      </c>
      <c r="AC123" s="130">
        <v>70.5</v>
      </c>
      <c r="AD123" s="130">
        <v>70.599999999999994</v>
      </c>
      <c r="AE123" s="130">
        <v>76.599999999999994</v>
      </c>
      <c r="AF123" s="130">
        <v>73.8</v>
      </c>
      <c r="AG123" s="128">
        <v>240</v>
      </c>
      <c r="AH123" s="48">
        <f t="shared" si="29"/>
        <v>96.4</v>
      </c>
      <c r="AI123" s="49">
        <f t="shared" si="30"/>
        <v>36.9</v>
      </c>
    </row>
    <row r="124" spans="1:35" x14ac:dyDescent="0.25">
      <c r="A124" s="129" t="s">
        <v>144</v>
      </c>
      <c r="B124" s="130">
        <v>-159</v>
      </c>
      <c r="C124" s="130">
        <v>-184</v>
      </c>
      <c r="D124" s="130">
        <v>-179</v>
      </c>
      <c r="E124" s="130">
        <v>-175.9</v>
      </c>
      <c r="F124" s="130">
        <v>-157.6</v>
      </c>
      <c r="G124" s="130">
        <v>-157.6</v>
      </c>
      <c r="H124" s="130">
        <v>-157.6</v>
      </c>
      <c r="I124" s="130">
        <v>-123.6</v>
      </c>
      <c r="J124" s="130">
        <v>-123.6</v>
      </c>
      <c r="K124" s="130">
        <v>-105.6</v>
      </c>
      <c r="L124" s="130">
        <v>-95.6</v>
      </c>
      <c r="M124" s="130">
        <f>-43.8-48.5</f>
        <v>-92.3</v>
      </c>
      <c r="N124" s="130">
        <f>-34-41</f>
        <v>-75</v>
      </c>
      <c r="O124" s="130">
        <f>-29-36</f>
        <v>-65</v>
      </c>
      <c r="P124" s="130">
        <f>-26-34</f>
        <v>-60</v>
      </c>
      <c r="Q124" s="130">
        <f>-26-33</f>
        <v>-59</v>
      </c>
      <c r="R124" s="130">
        <f>-29.5-34.8</f>
        <v>-64.3</v>
      </c>
      <c r="S124" s="130">
        <v>-52</v>
      </c>
      <c r="T124" s="130">
        <v>-66</v>
      </c>
      <c r="U124" s="130">
        <f>-35.7-41.3</f>
        <v>-77</v>
      </c>
      <c r="V124" s="130">
        <v>-77</v>
      </c>
      <c r="W124" s="130">
        <v>-84</v>
      </c>
      <c r="X124" s="130">
        <v>-98</v>
      </c>
      <c r="Y124" s="130">
        <v>-108</v>
      </c>
      <c r="Z124" s="130">
        <v>-91</v>
      </c>
      <c r="AA124" s="130">
        <v>-67.400000000000006</v>
      </c>
      <c r="AB124" s="130">
        <v>-81.3</v>
      </c>
      <c r="AC124" s="130">
        <v>-97.9</v>
      </c>
      <c r="AD124" s="130">
        <v>-104.3</v>
      </c>
      <c r="AE124" s="130">
        <v>-135.6</v>
      </c>
      <c r="AF124" s="130">
        <v>-149.6</v>
      </c>
      <c r="AG124" s="128">
        <v>240</v>
      </c>
      <c r="AH124" s="48">
        <f t="shared" si="29"/>
        <v>-52</v>
      </c>
      <c r="AI124" s="49">
        <f t="shared" si="30"/>
        <v>-184</v>
      </c>
    </row>
    <row r="125" spans="1:35" ht="15.75" thickBot="1" x14ac:dyDescent="0.3">
      <c r="A125" s="129" t="s">
        <v>145</v>
      </c>
      <c r="B125" s="130">
        <v>-1.6</v>
      </c>
      <c r="C125" s="130">
        <v>-6.3</v>
      </c>
      <c r="D125" s="130">
        <v>-12.6</v>
      </c>
      <c r="E125" s="130">
        <v>-13.4</v>
      </c>
      <c r="F125" s="130">
        <v>-6.9</v>
      </c>
      <c r="G125" s="130">
        <v>-6.9</v>
      </c>
      <c r="H125" s="130">
        <v>-6.9</v>
      </c>
      <c r="I125" s="130">
        <v>-2.9</v>
      </c>
      <c r="J125" s="130">
        <v>-2.9</v>
      </c>
      <c r="K125" s="130">
        <v>9.1999999999999993</v>
      </c>
      <c r="L125" s="130">
        <v>10.9</v>
      </c>
      <c r="M125" s="130">
        <v>13.8</v>
      </c>
      <c r="N125" s="130">
        <v>25.2</v>
      </c>
      <c r="O125" s="130">
        <v>28.1</v>
      </c>
      <c r="P125" s="130">
        <v>29.8</v>
      </c>
      <c r="Q125" s="130">
        <v>24.7</v>
      </c>
      <c r="R125" s="130">
        <v>23.2</v>
      </c>
      <c r="S125" s="130">
        <v>25</v>
      </c>
      <c r="T125" s="130">
        <v>22.7</v>
      </c>
      <c r="U125" s="130">
        <v>21</v>
      </c>
      <c r="V125" s="130">
        <v>12</v>
      </c>
      <c r="W125" s="130">
        <v>6</v>
      </c>
      <c r="X125" s="130">
        <v>4.2</v>
      </c>
      <c r="Y125" s="130">
        <v>1.4</v>
      </c>
      <c r="Z125" s="130">
        <v>8.9</v>
      </c>
      <c r="AA125" s="130">
        <v>15.6</v>
      </c>
      <c r="AB125" s="130">
        <v>12</v>
      </c>
      <c r="AC125" s="130">
        <v>8.6</v>
      </c>
      <c r="AD125" s="130"/>
      <c r="AE125" s="130">
        <v>-14.7</v>
      </c>
      <c r="AF125" s="130">
        <v>-13.4</v>
      </c>
      <c r="AG125" s="128">
        <v>60</v>
      </c>
      <c r="AH125" s="48">
        <f t="shared" si="29"/>
        <v>29.8</v>
      </c>
      <c r="AI125" s="49">
        <f t="shared" si="30"/>
        <v>-14.7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>
        <v>0</v>
      </c>
      <c r="AE126" s="131"/>
      <c r="AF126" s="131"/>
      <c r="AG126" s="132">
        <v>120</v>
      </c>
      <c r="AH126" s="48">
        <f t="shared" si="29"/>
        <v>0</v>
      </c>
      <c r="AI126" s="49">
        <f t="shared" si="30"/>
        <v>0</v>
      </c>
    </row>
    <row r="127" spans="1:35" x14ac:dyDescent="0.25">
      <c r="A127" s="129" t="s">
        <v>147</v>
      </c>
      <c r="B127" s="131">
        <v>70.3</v>
      </c>
      <c r="C127" s="131">
        <v>62</v>
      </c>
      <c r="D127" s="131">
        <v>66.2</v>
      </c>
      <c r="E127" s="131">
        <v>62.2</v>
      </c>
      <c r="F127" s="131">
        <v>70.8</v>
      </c>
      <c r="G127" s="131">
        <v>70.8</v>
      </c>
      <c r="H127" s="131">
        <v>70.8</v>
      </c>
      <c r="I127" s="131">
        <v>85.2</v>
      </c>
      <c r="J127" s="131">
        <v>85.2</v>
      </c>
      <c r="K127" s="131">
        <v>104.3</v>
      </c>
      <c r="L127" s="131">
        <v>110.2</v>
      </c>
      <c r="M127" s="131">
        <v>110.5</v>
      </c>
      <c r="N127" s="131">
        <v>110</v>
      </c>
      <c r="O127" s="131">
        <v>111.2</v>
      </c>
      <c r="P127" s="131">
        <v>107.6</v>
      </c>
      <c r="Q127" s="131">
        <v>107.9</v>
      </c>
      <c r="R127" s="131">
        <v>109.8</v>
      </c>
      <c r="S127" s="131">
        <v>116</v>
      </c>
      <c r="T127" s="131">
        <v>108</v>
      </c>
      <c r="U127" s="131">
        <v>103.6</v>
      </c>
      <c r="V127" s="131">
        <v>103</v>
      </c>
      <c r="W127" s="131">
        <v>104</v>
      </c>
      <c r="X127" s="131">
        <v>92.4</v>
      </c>
      <c r="Y127" s="131">
        <v>96</v>
      </c>
      <c r="Z127" s="131">
        <v>101.5</v>
      </c>
      <c r="AA127" s="131">
        <v>111</v>
      </c>
      <c r="AB127" s="131">
        <v>114.2</v>
      </c>
      <c r="AC127" s="131">
        <v>110.2</v>
      </c>
      <c r="AD127" s="131">
        <v>107.2</v>
      </c>
      <c r="AE127" s="131">
        <v>93.4</v>
      </c>
      <c r="AF127" s="131">
        <v>93.6</v>
      </c>
      <c r="AG127" s="132"/>
      <c r="AH127" s="48"/>
      <c r="AI127" s="49"/>
    </row>
    <row r="128" spans="1:35" x14ac:dyDescent="0.25">
      <c r="A128" s="129" t="s">
        <v>148</v>
      </c>
      <c r="B128" s="131">
        <v>32.6</v>
      </c>
      <c r="C128" s="131">
        <v>30</v>
      </c>
      <c r="D128" s="131">
        <v>43.7</v>
      </c>
      <c r="E128" s="131">
        <v>44.7</v>
      </c>
      <c r="F128" s="131">
        <v>46.6</v>
      </c>
      <c r="G128" s="131">
        <v>46.6</v>
      </c>
      <c r="H128" s="131">
        <v>46.6</v>
      </c>
      <c r="I128" s="131">
        <v>47</v>
      </c>
      <c r="J128" s="131">
        <v>47</v>
      </c>
      <c r="K128" s="131">
        <v>41.6</v>
      </c>
      <c r="L128" s="131">
        <v>48.4</v>
      </c>
      <c r="M128" s="131">
        <v>43.9</v>
      </c>
      <c r="N128" s="131">
        <v>42.7</v>
      </c>
      <c r="O128" s="131">
        <v>36.200000000000003</v>
      </c>
      <c r="P128" s="131">
        <v>27.1</v>
      </c>
      <c r="Q128" s="131">
        <v>26.7</v>
      </c>
      <c r="R128" s="131">
        <v>33.1</v>
      </c>
      <c r="S128" s="131">
        <v>38.200000000000003</v>
      </c>
      <c r="T128" s="131">
        <v>11.2</v>
      </c>
      <c r="U128" s="131">
        <v>8</v>
      </c>
      <c r="V128" s="131">
        <v>6</v>
      </c>
      <c r="W128" s="131">
        <v>5.3</v>
      </c>
      <c r="X128" s="131">
        <v>-17</v>
      </c>
      <c r="Y128" s="131">
        <v>-17</v>
      </c>
      <c r="Z128" s="131">
        <v>-18.5</v>
      </c>
      <c r="AA128" s="131">
        <v>-18.2</v>
      </c>
      <c r="AB128" s="131">
        <v>-1.1000000000000001</v>
      </c>
      <c r="AC128" s="131">
        <v>3</v>
      </c>
      <c r="AD128" s="131">
        <v>16</v>
      </c>
      <c r="AE128" s="131">
        <v>-32.5</v>
      </c>
      <c r="AF128" s="131">
        <v>-74.38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51.5</v>
      </c>
      <c r="C129" s="131">
        <v>39.700000000000003</v>
      </c>
      <c r="D129" s="131">
        <v>47.4</v>
      </c>
      <c r="E129" s="131">
        <v>44.6</v>
      </c>
      <c r="F129" s="131">
        <v>52.1</v>
      </c>
      <c r="G129" s="131">
        <v>52.1</v>
      </c>
      <c r="H129" s="131">
        <v>52.1</v>
      </c>
      <c r="I129" s="131">
        <v>58.9</v>
      </c>
      <c r="J129" s="131">
        <v>58.9</v>
      </c>
      <c r="K129" s="131">
        <v>80.7</v>
      </c>
      <c r="L129" s="131">
        <v>89.9</v>
      </c>
      <c r="M129" s="131">
        <v>96.9</v>
      </c>
      <c r="N129" s="131">
        <v>94</v>
      </c>
      <c r="O129" s="131">
        <v>86.5</v>
      </c>
      <c r="P129" s="131">
        <v>93</v>
      </c>
      <c r="Q129" s="131">
        <v>88.3</v>
      </c>
      <c r="R129" s="131">
        <v>95.6</v>
      </c>
      <c r="S129" s="131">
        <v>100.4</v>
      </c>
      <c r="T129" s="131">
        <v>91</v>
      </c>
      <c r="U129" s="131">
        <v>83.9</v>
      </c>
      <c r="V129" s="131">
        <v>80</v>
      </c>
      <c r="W129" s="131">
        <v>78</v>
      </c>
      <c r="X129" s="131">
        <v>59.3</v>
      </c>
      <c r="Y129" s="131">
        <v>67</v>
      </c>
      <c r="Z129" s="131">
        <v>80</v>
      </c>
      <c r="AA129" s="131">
        <v>84</v>
      </c>
      <c r="AB129" s="131">
        <v>93.5</v>
      </c>
      <c r="AC129" s="131">
        <v>90.8</v>
      </c>
      <c r="AD129" s="131">
        <v>84.8</v>
      </c>
      <c r="AE129" s="131">
        <v>77.7</v>
      </c>
      <c r="AF129" s="131">
        <v>78.900000000000006</v>
      </c>
      <c r="AG129" s="128"/>
      <c r="AH129" s="48">
        <f>MAX(B129:AF129)</f>
        <v>100.4</v>
      </c>
      <c r="AI129" s="49">
        <f>MIN(B129:AF129)</f>
        <v>39.700000000000003</v>
      </c>
    </row>
    <row r="130" spans="1:37" x14ac:dyDescent="0.25">
      <c r="A130" s="126" t="s">
        <v>150</v>
      </c>
      <c r="B130" s="131">
        <v>-281.5</v>
      </c>
      <c r="C130" s="131">
        <v>-297.3</v>
      </c>
      <c r="D130" s="131">
        <v>-296.60000000000002</v>
      </c>
      <c r="E130" s="131">
        <v>-298.60000000000002</v>
      </c>
      <c r="F130" s="131">
        <v>-290.05</v>
      </c>
      <c r="G130" s="131">
        <v>-290.05</v>
      </c>
      <c r="H130" s="131">
        <v>-290.05</v>
      </c>
      <c r="I130" s="131">
        <v>-286</v>
      </c>
      <c r="J130" s="131">
        <v>-286</v>
      </c>
      <c r="K130" s="131">
        <v>-276.3</v>
      </c>
      <c r="L130" s="131">
        <v>-270.7</v>
      </c>
      <c r="M130" s="131">
        <v>-261.10000000000002</v>
      </c>
      <c r="N130" s="131">
        <v>-265.7</v>
      </c>
      <c r="O130" s="131">
        <v>-264.2</v>
      </c>
      <c r="P130" s="131">
        <v>-239.7</v>
      </c>
      <c r="Q130" s="131">
        <v>-239.5</v>
      </c>
      <c r="R130" s="131">
        <v>-249.8</v>
      </c>
      <c r="S130" s="131">
        <v>-232</v>
      </c>
      <c r="T130" s="131">
        <v>-244</v>
      </c>
      <c r="U130" s="131">
        <v>-247.6</v>
      </c>
      <c r="V130" s="131">
        <v>-250</v>
      </c>
      <c r="W130" s="131">
        <v>-254</v>
      </c>
      <c r="X130" s="131">
        <v>-262</v>
      </c>
      <c r="Y130" s="131">
        <v>-261</v>
      </c>
      <c r="Z130" s="131">
        <v>-258</v>
      </c>
      <c r="AA130" s="131">
        <v>-245</v>
      </c>
      <c r="AB130" s="131">
        <v>-239.5</v>
      </c>
      <c r="AC130" s="131">
        <v>-248.8</v>
      </c>
      <c r="AD130" s="131">
        <v>-259.10000000000002</v>
      </c>
      <c r="AE130" s="131">
        <v>-268.2</v>
      </c>
      <c r="AF130" s="131">
        <v>-269</v>
      </c>
      <c r="AG130" s="128"/>
      <c r="AH130" s="48">
        <f>MAX(B130:AF130)</f>
        <v>-232</v>
      </c>
      <c r="AI130" s="49">
        <f>MIN(B130:AF130)</f>
        <v>-298.60000000000002</v>
      </c>
    </row>
    <row r="131" spans="1:37" x14ac:dyDescent="0.25">
      <c r="A131" s="129" t="s">
        <v>151</v>
      </c>
      <c r="B131" s="119">
        <v>34.799999999999997</v>
      </c>
      <c r="C131" s="119">
        <v>44.7</v>
      </c>
      <c r="D131" s="119">
        <v>56.6</v>
      </c>
      <c r="E131" s="119">
        <v>62</v>
      </c>
      <c r="F131" s="119">
        <v>63.2</v>
      </c>
      <c r="G131" s="119">
        <v>63.2</v>
      </c>
      <c r="H131" s="119">
        <v>63.2</v>
      </c>
      <c r="I131" s="119">
        <v>65.8</v>
      </c>
      <c r="J131" s="119">
        <v>65.8</v>
      </c>
      <c r="K131" s="119">
        <v>62.2</v>
      </c>
      <c r="L131" s="119">
        <v>63.3</v>
      </c>
      <c r="M131" s="119"/>
      <c r="N131" s="119">
        <v>53.6</v>
      </c>
      <c r="O131" s="119">
        <v>53.5</v>
      </c>
      <c r="P131" s="119">
        <v>53.5</v>
      </c>
      <c r="Q131" s="119">
        <v>54.1</v>
      </c>
      <c r="R131" s="119">
        <v>52.2</v>
      </c>
      <c r="S131" s="119">
        <v>58</v>
      </c>
      <c r="T131" s="119">
        <v>57.2</v>
      </c>
      <c r="U131" s="119">
        <v>44.4</v>
      </c>
      <c r="V131" s="119">
        <v>54</v>
      </c>
      <c r="W131" s="119">
        <v>22.4</v>
      </c>
      <c r="X131" s="119">
        <v>31.1</v>
      </c>
      <c r="Y131" s="119">
        <v>37.1</v>
      </c>
      <c r="Z131" s="119">
        <v>25</v>
      </c>
      <c r="AA131" s="119">
        <v>26.5</v>
      </c>
      <c r="AB131" s="119">
        <v>29.4</v>
      </c>
      <c r="AC131" s="119">
        <v>27.9</v>
      </c>
      <c r="AD131" s="119">
        <v>27.1</v>
      </c>
      <c r="AE131" s="119">
        <v>18.899999999999999</v>
      </c>
      <c r="AF131" s="119">
        <v>22.9</v>
      </c>
      <c r="AG131" s="128"/>
      <c r="AH131" s="48">
        <f>MAX(B131:AF131)</f>
        <v>65.8</v>
      </c>
      <c r="AI131" s="49">
        <f>MIN(B131:AF131)</f>
        <v>18.899999999999999</v>
      </c>
    </row>
    <row r="132" spans="1:37" x14ac:dyDescent="0.25">
      <c r="A132" s="129" t="s">
        <v>152</v>
      </c>
      <c r="B132" s="119">
        <v>61.9</v>
      </c>
      <c r="C132" s="119">
        <v>58.6</v>
      </c>
      <c r="D132" s="119">
        <v>29.3</v>
      </c>
      <c r="E132" s="119">
        <v>-26.7</v>
      </c>
      <c r="F132" s="119">
        <v>1.9</v>
      </c>
      <c r="G132" s="119">
        <v>1.9</v>
      </c>
      <c r="H132" s="119">
        <v>1.9</v>
      </c>
      <c r="I132" s="119">
        <v>-27.5</v>
      </c>
      <c r="J132" s="119">
        <v>-27.5</v>
      </c>
      <c r="K132" s="119">
        <v>-15.7</v>
      </c>
      <c r="L132" s="119">
        <v>-15</v>
      </c>
      <c r="M132" s="119">
        <v>-13.4</v>
      </c>
      <c r="N132" s="119">
        <v>33.9</v>
      </c>
      <c r="O132" s="119">
        <v>33.299999999999997</v>
      </c>
      <c r="P132" s="119">
        <v>27</v>
      </c>
      <c r="Q132" s="119">
        <v>29</v>
      </c>
      <c r="R132" s="119">
        <v>15.9</v>
      </c>
      <c r="S132" s="119">
        <v>32.4</v>
      </c>
      <c r="T132" s="119">
        <v>10.199999999999999</v>
      </c>
      <c r="U132" s="119">
        <v>46.5</v>
      </c>
      <c r="V132" s="119">
        <v>10.3</v>
      </c>
      <c r="W132" s="119">
        <v>28</v>
      </c>
      <c r="X132" s="119">
        <v>19</v>
      </c>
      <c r="Y132" s="119">
        <v>21</v>
      </c>
      <c r="Z132" s="119">
        <v>40.299999999999997</v>
      </c>
      <c r="AA132" s="119">
        <v>44.2</v>
      </c>
      <c r="AB132" s="119">
        <v>42.9</v>
      </c>
      <c r="AC132" s="119">
        <v>49.6</v>
      </c>
      <c r="AD132" s="119">
        <v>50.2</v>
      </c>
      <c r="AE132" s="119">
        <v>56.9</v>
      </c>
      <c r="AF132" s="119">
        <v>54.9</v>
      </c>
      <c r="AG132" s="128"/>
      <c r="AH132" s="48">
        <f>MAX(B132:AF132)</f>
        <v>61.9</v>
      </c>
      <c r="AI132" s="49">
        <f>MIN(B132:AF132)</f>
        <v>-27.5</v>
      </c>
    </row>
    <row r="133" spans="1:37" ht="15.75" thickBot="1" x14ac:dyDescent="0.3">
      <c r="A133" s="129" t="s">
        <v>153</v>
      </c>
      <c r="B133" s="119">
        <v>71.8</v>
      </c>
      <c r="C133" s="119">
        <v>73.2</v>
      </c>
      <c r="D133" s="119">
        <v>46.3</v>
      </c>
      <c r="E133" s="119">
        <v>-15.9</v>
      </c>
      <c r="F133" s="119">
        <v>11.9</v>
      </c>
      <c r="G133" s="119">
        <v>11.9</v>
      </c>
      <c r="H133" s="119">
        <v>11.9</v>
      </c>
      <c r="I133" s="119">
        <v>-22.5</v>
      </c>
      <c r="J133" s="119">
        <v>-22.5</v>
      </c>
      <c r="K133" s="119">
        <v>2.7</v>
      </c>
      <c r="L133" s="119">
        <v>5.2</v>
      </c>
      <c r="M133" s="119">
        <v>9.6</v>
      </c>
      <c r="N133" s="119">
        <v>59.3</v>
      </c>
      <c r="O133" s="119">
        <v>59</v>
      </c>
      <c r="P133" s="119">
        <v>62.2</v>
      </c>
      <c r="Q133" s="119">
        <v>62.2</v>
      </c>
      <c r="R133" s="119">
        <v>35.4</v>
      </c>
      <c r="S133" s="119">
        <v>31.8</v>
      </c>
      <c r="T133" s="119">
        <v>28.2</v>
      </c>
      <c r="U133" s="119">
        <v>54.1</v>
      </c>
      <c r="V133" s="119">
        <v>38</v>
      </c>
      <c r="W133" s="119">
        <v>48</v>
      </c>
      <c r="X133" s="119">
        <v>30</v>
      </c>
      <c r="Y133" s="119">
        <v>37.200000000000003</v>
      </c>
      <c r="Z133" s="119">
        <v>52.7</v>
      </c>
      <c r="AA133" s="119">
        <v>56</v>
      </c>
      <c r="AB133" s="119">
        <v>56.5</v>
      </c>
      <c r="AC133" s="119">
        <v>62.2</v>
      </c>
      <c r="AD133" s="119">
        <v>64.2</v>
      </c>
      <c r="AE133" s="119">
        <v>69.3</v>
      </c>
      <c r="AF133" s="119">
        <v>55.1</v>
      </c>
      <c r="AG133" s="128"/>
      <c r="AH133" s="48">
        <f>MAX(B133:AF133)</f>
        <v>73.2</v>
      </c>
      <c r="AI133" s="49">
        <f>MIN(B133:AF133)</f>
        <v>-22.5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>
        <v>1986.48</v>
      </c>
      <c r="N135" s="137">
        <v>1986.42</v>
      </c>
      <c r="O135" s="137"/>
      <c r="P135" s="137"/>
      <c r="Q135" s="137"/>
      <c r="R135" s="137"/>
      <c r="S135" s="137">
        <v>1985.98</v>
      </c>
      <c r="T135" s="137"/>
      <c r="U135" s="137"/>
      <c r="V135" s="137">
        <v>1985.52</v>
      </c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>
        <v>886.8</v>
      </c>
      <c r="F139" s="140"/>
      <c r="G139" s="140"/>
      <c r="H139" s="140"/>
      <c r="I139" s="140"/>
      <c r="J139" s="140"/>
      <c r="K139" s="140"/>
      <c r="L139" s="140"/>
      <c r="M139" s="140">
        <v>887.1</v>
      </c>
      <c r="N139" s="140">
        <v>886.8</v>
      </c>
      <c r="O139" s="140"/>
      <c r="P139" s="140"/>
      <c r="Q139" s="140"/>
      <c r="R139" s="140"/>
      <c r="S139" s="140">
        <v>884</v>
      </c>
      <c r="T139" s="140"/>
      <c r="U139" s="140"/>
      <c r="V139" s="140"/>
      <c r="W139" s="140"/>
      <c r="X139" s="140"/>
      <c r="Y139" s="140"/>
      <c r="Z139" s="140"/>
      <c r="AA139" s="140"/>
      <c r="AB139" s="140">
        <v>883</v>
      </c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7">SUM(B142:B246)</f>
        <v>0</v>
      </c>
      <c r="C247" s="161">
        <f t="shared" si="47"/>
        <v>0</v>
      </c>
      <c r="D247" s="161">
        <f t="shared" si="47"/>
        <v>0</v>
      </c>
      <c r="E247" s="161">
        <f t="shared" si="47"/>
        <v>0</v>
      </c>
      <c r="F247" s="161">
        <f t="shared" si="47"/>
        <v>0</v>
      </c>
      <c r="G247" s="161">
        <f t="shared" si="47"/>
        <v>0</v>
      </c>
      <c r="H247" s="161">
        <f t="shared" si="47"/>
        <v>0</v>
      </c>
      <c r="I247" s="161">
        <f t="shared" si="47"/>
        <v>0</v>
      </c>
      <c r="J247" s="161">
        <f t="shared" si="47"/>
        <v>0</v>
      </c>
      <c r="K247" s="161">
        <f t="shared" si="47"/>
        <v>0</v>
      </c>
      <c r="L247" s="161">
        <f t="shared" si="47"/>
        <v>0</v>
      </c>
      <c r="M247" s="161">
        <f t="shared" si="47"/>
        <v>0</v>
      </c>
      <c r="N247" s="161">
        <f t="shared" si="47"/>
        <v>0</v>
      </c>
      <c r="O247" s="161">
        <f t="shared" si="47"/>
        <v>0</v>
      </c>
      <c r="P247" s="161">
        <f t="shared" si="47"/>
        <v>0</v>
      </c>
      <c r="Q247" s="161">
        <f t="shared" si="47"/>
        <v>0</v>
      </c>
      <c r="R247" s="161">
        <f t="shared" si="47"/>
        <v>0</v>
      </c>
      <c r="S247" s="161">
        <f t="shared" si="47"/>
        <v>0</v>
      </c>
      <c r="T247" s="161">
        <f t="shared" si="47"/>
        <v>0</v>
      </c>
      <c r="U247" s="161">
        <f t="shared" si="47"/>
        <v>0</v>
      </c>
      <c r="V247" s="161">
        <f t="shared" si="47"/>
        <v>0</v>
      </c>
      <c r="W247" s="161">
        <f t="shared" si="47"/>
        <v>0</v>
      </c>
      <c r="X247" s="161">
        <f t="shared" si="47"/>
        <v>0</v>
      </c>
      <c r="Y247" s="161">
        <f t="shared" si="47"/>
        <v>0</v>
      </c>
      <c r="Z247" s="161">
        <f t="shared" si="47"/>
        <v>0</v>
      </c>
      <c r="AA247" s="161">
        <f t="shared" si="47"/>
        <v>0</v>
      </c>
      <c r="AB247" s="161">
        <f t="shared" si="47"/>
        <v>0</v>
      </c>
      <c r="AC247" s="161">
        <f t="shared" si="47"/>
        <v>0</v>
      </c>
      <c r="AD247" s="161">
        <f t="shared" si="47"/>
        <v>0</v>
      </c>
      <c r="AE247" s="161">
        <f t="shared" si="47"/>
        <v>0</v>
      </c>
      <c r="AF247" s="162">
        <f t="shared" si="47"/>
        <v>0</v>
      </c>
      <c r="AG247" s="163">
        <f t="shared" si="47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8">AF249</f>
        <v>0.3</v>
      </c>
      <c r="C249" s="166">
        <v>0.3</v>
      </c>
      <c r="D249" s="166">
        <f t="shared" ref="D249:S254" si="49">C249</f>
        <v>0.3</v>
      </c>
      <c r="E249" s="166">
        <f t="shared" si="49"/>
        <v>0.3</v>
      </c>
      <c r="F249" s="166">
        <f t="shared" si="49"/>
        <v>0.3</v>
      </c>
      <c r="G249" s="166">
        <f t="shared" si="49"/>
        <v>0.3</v>
      </c>
      <c r="H249" s="166">
        <f t="shared" si="49"/>
        <v>0.3</v>
      </c>
      <c r="I249" s="166">
        <f t="shared" si="49"/>
        <v>0.3</v>
      </c>
      <c r="J249" s="166">
        <f t="shared" si="49"/>
        <v>0.3</v>
      </c>
      <c r="K249" s="166">
        <f t="shared" si="49"/>
        <v>0.3</v>
      </c>
      <c r="L249" s="166">
        <f t="shared" si="49"/>
        <v>0.3</v>
      </c>
      <c r="M249" s="166">
        <f t="shared" si="49"/>
        <v>0.3</v>
      </c>
      <c r="N249" s="166">
        <f t="shared" si="49"/>
        <v>0.3</v>
      </c>
      <c r="O249" s="166">
        <f t="shared" si="49"/>
        <v>0.3</v>
      </c>
      <c r="P249" s="166">
        <f t="shared" si="49"/>
        <v>0.3</v>
      </c>
      <c r="Q249" s="166">
        <f t="shared" si="49"/>
        <v>0.3</v>
      </c>
      <c r="R249" s="166">
        <f t="shared" si="49"/>
        <v>0.3</v>
      </c>
      <c r="S249" s="166">
        <f t="shared" si="49"/>
        <v>0.3</v>
      </c>
      <c r="T249" s="166">
        <f t="shared" ref="T249:AF254" si="50">S249</f>
        <v>0.3</v>
      </c>
      <c r="U249" s="166">
        <f t="shared" si="50"/>
        <v>0.3</v>
      </c>
      <c r="V249" s="166">
        <f t="shared" si="50"/>
        <v>0.3</v>
      </c>
      <c r="W249" s="166">
        <f t="shared" si="50"/>
        <v>0.3</v>
      </c>
      <c r="X249" s="166">
        <f t="shared" si="50"/>
        <v>0.3</v>
      </c>
      <c r="Y249" s="166">
        <f t="shared" si="50"/>
        <v>0.3</v>
      </c>
      <c r="Z249" s="166">
        <f t="shared" si="50"/>
        <v>0.3</v>
      </c>
      <c r="AA249" s="166">
        <f t="shared" si="50"/>
        <v>0.3</v>
      </c>
      <c r="AB249" s="166">
        <f t="shared" si="50"/>
        <v>0.3</v>
      </c>
      <c r="AC249" s="166">
        <f t="shared" si="50"/>
        <v>0.3</v>
      </c>
      <c r="AD249" s="166">
        <f t="shared" si="50"/>
        <v>0.3</v>
      </c>
      <c r="AE249" s="166">
        <f t="shared" si="50"/>
        <v>0.3</v>
      </c>
      <c r="AF249" s="166">
        <f t="shared" si="50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8"/>
        <v>0.4</v>
      </c>
      <c r="C250" s="152">
        <v>0.4</v>
      </c>
      <c r="D250" s="152">
        <f t="shared" si="49"/>
        <v>0.4</v>
      </c>
      <c r="E250" s="152">
        <f t="shared" si="49"/>
        <v>0.4</v>
      </c>
      <c r="F250" s="152">
        <f t="shared" si="49"/>
        <v>0.4</v>
      </c>
      <c r="G250" s="152">
        <f t="shared" si="49"/>
        <v>0.4</v>
      </c>
      <c r="H250" s="152">
        <f t="shared" si="49"/>
        <v>0.4</v>
      </c>
      <c r="I250" s="152">
        <f t="shared" si="49"/>
        <v>0.4</v>
      </c>
      <c r="J250" s="152">
        <f t="shared" si="49"/>
        <v>0.4</v>
      </c>
      <c r="K250" s="152">
        <f t="shared" si="49"/>
        <v>0.4</v>
      </c>
      <c r="L250" s="152">
        <f t="shared" si="49"/>
        <v>0.4</v>
      </c>
      <c r="M250" s="152">
        <f t="shared" si="49"/>
        <v>0.4</v>
      </c>
      <c r="N250" s="152">
        <f t="shared" si="49"/>
        <v>0.4</v>
      </c>
      <c r="O250" s="152">
        <f t="shared" si="49"/>
        <v>0.4</v>
      </c>
      <c r="P250" s="152">
        <f t="shared" si="49"/>
        <v>0.4</v>
      </c>
      <c r="Q250" s="152">
        <f t="shared" si="49"/>
        <v>0.4</v>
      </c>
      <c r="R250" s="152">
        <f t="shared" si="49"/>
        <v>0.4</v>
      </c>
      <c r="S250" s="152">
        <f t="shared" si="49"/>
        <v>0.4</v>
      </c>
      <c r="T250" s="152">
        <f t="shared" si="50"/>
        <v>0.4</v>
      </c>
      <c r="U250" s="152">
        <f t="shared" si="50"/>
        <v>0.4</v>
      </c>
      <c r="V250" s="152">
        <f t="shared" si="50"/>
        <v>0.4</v>
      </c>
      <c r="W250" s="152">
        <f t="shared" si="50"/>
        <v>0.4</v>
      </c>
      <c r="X250" s="152">
        <f t="shared" si="50"/>
        <v>0.4</v>
      </c>
      <c r="Y250" s="152">
        <f t="shared" si="50"/>
        <v>0.4</v>
      </c>
      <c r="Z250" s="152">
        <f t="shared" si="50"/>
        <v>0.4</v>
      </c>
      <c r="AA250" s="152">
        <f t="shared" si="50"/>
        <v>0.4</v>
      </c>
      <c r="AB250" s="152">
        <f t="shared" si="50"/>
        <v>0.4</v>
      </c>
      <c r="AC250" s="152">
        <f t="shared" si="50"/>
        <v>0.4</v>
      </c>
      <c r="AD250" s="152">
        <f t="shared" si="50"/>
        <v>0.4</v>
      </c>
      <c r="AE250" s="152">
        <f t="shared" si="50"/>
        <v>0.4</v>
      </c>
      <c r="AF250" s="152">
        <f t="shared" si="50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8"/>
        <v>1.5</v>
      </c>
      <c r="C251" s="152">
        <v>1.5</v>
      </c>
      <c r="D251" s="152">
        <f t="shared" si="49"/>
        <v>1.5</v>
      </c>
      <c r="E251" s="152">
        <f t="shared" si="49"/>
        <v>1.5</v>
      </c>
      <c r="F251" s="152">
        <f t="shared" si="49"/>
        <v>1.5</v>
      </c>
      <c r="G251" s="152">
        <f t="shared" si="49"/>
        <v>1.5</v>
      </c>
      <c r="H251" s="152">
        <f t="shared" si="49"/>
        <v>1.5</v>
      </c>
      <c r="I251" s="152">
        <f t="shared" si="49"/>
        <v>1.5</v>
      </c>
      <c r="J251" s="152">
        <f t="shared" si="49"/>
        <v>1.5</v>
      </c>
      <c r="K251" s="152">
        <f t="shared" si="49"/>
        <v>1.5</v>
      </c>
      <c r="L251" s="152">
        <f t="shared" si="49"/>
        <v>1.5</v>
      </c>
      <c r="M251" s="152">
        <f t="shared" si="49"/>
        <v>1.5</v>
      </c>
      <c r="N251" s="152">
        <f t="shared" si="49"/>
        <v>1.5</v>
      </c>
      <c r="O251" s="152">
        <f t="shared" si="49"/>
        <v>1.5</v>
      </c>
      <c r="P251" s="152">
        <f t="shared" si="49"/>
        <v>1.5</v>
      </c>
      <c r="Q251" s="152">
        <f t="shared" si="49"/>
        <v>1.5</v>
      </c>
      <c r="R251" s="152">
        <f t="shared" si="49"/>
        <v>1.5</v>
      </c>
      <c r="S251" s="152">
        <f t="shared" si="49"/>
        <v>1.5</v>
      </c>
      <c r="T251" s="152">
        <f t="shared" si="50"/>
        <v>1.5</v>
      </c>
      <c r="U251" s="152">
        <f t="shared" si="50"/>
        <v>1.5</v>
      </c>
      <c r="V251" s="152">
        <f t="shared" si="50"/>
        <v>1.5</v>
      </c>
      <c r="W251" s="152">
        <f t="shared" si="50"/>
        <v>1.5</v>
      </c>
      <c r="X251" s="152">
        <f t="shared" si="50"/>
        <v>1.5</v>
      </c>
      <c r="Y251" s="152">
        <f t="shared" si="50"/>
        <v>1.5</v>
      </c>
      <c r="Z251" s="152">
        <f t="shared" si="50"/>
        <v>1.5</v>
      </c>
      <c r="AA251" s="152">
        <f t="shared" si="50"/>
        <v>1.5</v>
      </c>
      <c r="AB251" s="152">
        <f t="shared" si="50"/>
        <v>1.5</v>
      </c>
      <c r="AC251" s="152">
        <f t="shared" si="50"/>
        <v>1.5</v>
      </c>
      <c r="AD251" s="152">
        <f t="shared" si="50"/>
        <v>1.5</v>
      </c>
      <c r="AE251" s="152">
        <f t="shared" si="50"/>
        <v>1.5</v>
      </c>
      <c r="AF251" s="152">
        <f t="shared" si="50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8"/>
        <v>0.3</v>
      </c>
      <c r="C252" s="152">
        <v>0.3</v>
      </c>
      <c r="D252" s="152">
        <f t="shared" si="49"/>
        <v>0.3</v>
      </c>
      <c r="E252" s="152">
        <f t="shared" si="49"/>
        <v>0.3</v>
      </c>
      <c r="F252" s="152">
        <f t="shared" si="49"/>
        <v>0.3</v>
      </c>
      <c r="G252" s="152">
        <f t="shared" si="49"/>
        <v>0.3</v>
      </c>
      <c r="H252" s="152">
        <f t="shared" si="49"/>
        <v>0.3</v>
      </c>
      <c r="I252" s="152">
        <f t="shared" si="49"/>
        <v>0.3</v>
      </c>
      <c r="J252" s="152">
        <f t="shared" si="49"/>
        <v>0.3</v>
      </c>
      <c r="K252" s="152">
        <f t="shared" si="49"/>
        <v>0.3</v>
      </c>
      <c r="L252" s="152">
        <f t="shared" si="49"/>
        <v>0.3</v>
      </c>
      <c r="M252" s="152">
        <f t="shared" si="49"/>
        <v>0.3</v>
      </c>
      <c r="N252" s="152">
        <f t="shared" si="49"/>
        <v>0.3</v>
      </c>
      <c r="O252" s="152">
        <f t="shared" si="49"/>
        <v>0.3</v>
      </c>
      <c r="P252" s="152">
        <f t="shared" si="49"/>
        <v>0.3</v>
      </c>
      <c r="Q252" s="152">
        <f t="shared" si="49"/>
        <v>0.3</v>
      </c>
      <c r="R252" s="152">
        <f t="shared" si="49"/>
        <v>0.3</v>
      </c>
      <c r="S252" s="152">
        <f t="shared" si="49"/>
        <v>0.3</v>
      </c>
      <c r="T252" s="152">
        <f t="shared" si="50"/>
        <v>0.3</v>
      </c>
      <c r="U252" s="152">
        <f t="shared" si="50"/>
        <v>0.3</v>
      </c>
      <c r="V252" s="152">
        <f t="shared" si="50"/>
        <v>0.3</v>
      </c>
      <c r="W252" s="152">
        <f t="shared" si="50"/>
        <v>0.3</v>
      </c>
      <c r="X252" s="152">
        <f t="shared" si="50"/>
        <v>0.3</v>
      </c>
      <c r="Y252" s="152">
        <f t="shared" si="50"/>
        <v>0.3</v>
      </c>
      <c r="Z252" s="152">
        <f t="shared" si="50"/>
        <v>0.3</v>
      </c>
      <c r="AA252" s="152">
        <f t="shared" si="50"/>
        <v>0.3</v>
      </c>
      <c r="AB252" s="152">
        <f t="shared" si="50"/>
        <v>0.3</v>
      </c>
      <c r="AC252" s="152">
        <f t="shared" si="50"/>
        <v>0.3</v>
      </c>
      <c r="AD252" s="152">
        <f t="shared" si="50"/>
        <v>0.3</v>
      </c>
      <c r="AE252" s="152">
        <f t="shared" si="50"/>
        <v>0.3</v>
      </c>
      <c r="AF252" s="152">
        <f t="shared" si="50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8"/>
        <v>0.4</v>
      </c>
      <c r="C253" s="152">
        <v>0.4</v>
      </c>
      <c r="D253" s="152">
        <f t="shared" si="49"/>
        <v>0.4</v>
      </c>
      <c r="E253" s="152">
        <f t="shared" si="49"/>
        <v>0.4</v>
      </c>
      <c r="F253" s="152">
        <f t="shared" si="49"/>
        <v>0.4</v>
      </c>
      <c r="G253" s="152">
        <f t="shared" si="49"/>
        <v>0.4</v>
      </c>
      <c r="H253" s="152">
        <f t="shared" si="49"/>
        <v>0.4</v>
      </c>
      <c r="I253" s="152">
        <f t="shared" si="49"/>
        <v>0.4</v>
      </c>
      <c r="J253" s="152">
        <f t="shared" si="49"/>
        <v>0.4</v>
      </c>
      <c r="K253" s="152">
        <f t="shared" si="49"/>
        <v>0.4</v>
      </c>
      <c r="L253" s="152">
        <f t="shared" si="49"/>
        <v>0.4</v>
      </c>
      <c r="M253" s="152">
        <f t="shared" si="49"/>
        <v>0.4</v>
      </c>
      <c r="N253" s="152">
        <f t="shared" si="49"/>
        <v>0.4</v>
      </c>
      <c r="O253" s="152">
        <f t="shared" si="49"/>
        <v>0.4</v>
      </c>
      <c r="P253" s="152">
        <f t="shared" si="49"/>
        <v>0.4</v>
      </c>
      <c r="Q253" s="152">
        <f t="shared" si="49"/>
        <v>0.4</v>
      </c>
      <c r="R253" s="152">
        <f t="shared" si="49"/>
        <v>0.4</v>
      </c>
      <c r="S253" s="152">
        <f t="shared" si="49"/>
        <v>0.4</v>
      </c>
      <c r="T253" s="152">
        <f t="shared" si="50"/>
        <v>0.4</v>
      </c>
      <c r="U253" s="152">
        <f t="shared" si="50"/>
        <v>0.4</v>
      </c>
      <c r="V253" s="152">
        <f t="shared" si="50"/>
        <v>0.4</v>
      </c>
      <c r="W253" s="152">
        <f t="shared" si="50"/>
        <v>0.4</v>
      </c>
      <c r="X253" s="152">
        <f t="shared" si="50"/>
        <v>0.4</v>
      </c>
      <c r="Y253" s="152">
        <f t="shared" si="50"/>
        <v>0.4</v>
      </c>
      <c r="Z253" s="152">
        <f t="shared" si="50"/>
        <v>0.4</v>
      </c>
      <c r="AA253" s="152">
        <f t="shared" si="50"/>
        <v>0.4</v>
      </c>
      <c r="AB253" s="152">
        <f t="shared" si="50"/>
        <v>0.4</v>
      </c>
      <c r="AC253" s="152">
        <f t="shared" si="50"/>
        <v>0.4</v>
      </c>
      <c r="AD253" s="152">
        <f t="shared" si="50"/>
        <v>0.4</v>
      </c>
      <c r="AE253" s="152">
        <f t="shared" si="50"/>
        <v>0.4</v>
      </c>
      <c r="AF253" s="152">
        <f t="shared" si="50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8"/>
        <v>0.64</v>
      </c>
      <c r="C254" s="157">
        <v>0.64</v>
      </c>
      <c r="D254" s="157">
        <f t="shared" si="49"/>
        <v>0.64</v>
      </c>
      <c r="E254" s="157">
        <f t="shared" si="49"/>
        <v>0.64</v>
      </c>
      <c r="F254" s="157">
        <f t="shared" si="49"/>
        <v>0.64</v>
      </c>
      <c r="G254" s="157">
        <f t="shared" si="49"/>
        <v>0.64</v>
      </c>
      <c r="H254" s="157">
        <f t="shared" si="49"/>
        <v>0.64</v>
      </c>
      <c r="I254" s="157">
        <f t="shared" si="49"/>
        <v>0.64</v>
      </c>
      <c r="J254" s="157">
        <f t="shared" si="49"/>
        <v>0.64</v>
      </c>
      <c r="K254" s="157">
        <f t="shared" si="49"/>
        <v>0.64</v>
      </c>
      <c r="L254" s="157">
        <f t="shared" si="49"/>
        <v>0.64</v>
      </c>
      <c r="M254" s="157">
        <f t="shared" si="49"/>
        <v>0.64</v>
      </c>
      <c r="N254" s="157">
        <f t="shared" si="49"/>
        <v>0.64</v>
      </c>
      <c r="O254" s="157">
        <f t="shared" si="49"/>
        <v>0.64</v>
      </c>
      <c r="P254" s="157">
        <f t="shared" si="49"/>
        <v>0.64</v>
      </c>
      <c r="Q254" s="157">
        <f t="shared" si="49"/>
        <v>0.64</v>
      </c>
      <c r="R254" s="157">
        <f t="shared" si="49"/>
        <v>0.64</v>
      </c>
      <c r="S254" s="157">
        <f t="shared" si="49"/>
        <v>0.64</v>
      </c>
      <c r="T254" s="157">
        <f t="shared" si="50"/>
        <v>0.64</v>
      </c>
      <c r="U254" s="157">
        <f t="shared" si="50"/>
        <v>0.64</v>
      </c>
      <c r="V254" s="157">
        <f t="shared" si="50"/>
        <v>0.64</v>
      </c>
      <c r="W254" s="157">
        <f t="shared" si="50"/>
        <v>0.64</v>
      </c>
      <c r="X254" s="157">
        <f t="shared" si="50"/>
        <v>0.64</v>
      </c>
      <c r="Y254" s="157">
        <f t="shared" si="50"/>
        <v>0.64</v>
      </c>
      <c r="Z254" s="157">
        <f t="shared" si="50"/>
        <v>0.64</v>
      </c>
      <c r="AA254" s="157">
        <f t="shared" si="50"/>
        <v>0.64</v>
      </c>
      <c r="AB254" s="157">
        <f t="shared" si="50"/>
        <v>0.64</v>
      </c>
      <c r="AC254" s="157">
        <f t="shared" si="50"/>
        <v>0.64</v>
      </c>
      <c r="AD254" s="157">
        <f t="shared" si="50"/>
        <v>0.64</v>
      </c>
      <c r="AE254" s="157">
        <f t="shared" si="50"/>
        <v>0.64</v>
      </c>
      <c r="AF254" s="157">
        <f t="shared" si="50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1">SUM(B249:B254)</f>
        <v>3.54</v>
      </c>
      <c r="C255" s="161">
        <f t="shared" si="51"/>
        <v>3.54</v>
      </c>
      <c r="D255" s="161">
        <f t="shared" si="51"/>
        <v>3.54</v>
      </c>
      <c r="E255" s="161">
        <f t="shared" si="51"/>
        <v>3.54</v>
      </c>
      <c r="F255" s="161">
        <f t="shared" si="51"/>
        <v>3.54</v>
      </c>
      <c r="G255" s="161">
        <f t="shared" si="51"/>
        <v>3.54</v>
      </c>
      <c r="H255" s="161">
        <f t="shared" si="51"/>
        <v>3.54</v>
      </c>
      <c r="I255" s="161">
        <f t="shared" si="51"/>
        <v>3.54</v>
      </c>
      <c r="J255" s="161">
        <f t="shared" si="51"/>
        <v>3.54</v>
      </c>
      <c r="K255" s="161">
        <f t="shared" si="51"/>
        <v>3.54</v>
      </c>
      <c r="L255" s="161">
        <f t="shared" si="51"/>
        <v>3.54</v>
      </c>
      <c r="M255" s="161">
        <f t="shared" si="51"/>
        <v>3.54</v>
      </c>
      <c r="N255" s="161">
        <f t="shared" si="51"/>
        <v>3.54</v>
      </c>
      <c r="O255" s="161">
        <f t="shared" si="51"/>
        <v>3.54</v>
      </c>
      <c r="P255" s="161">
        <f t="shared" si="51"/>
        <v>3.54</v>
      </c>
      <c r="Q255" s="161">
        <f t="shared" si="51"/>
        <v>3.54</v>
      </c>
      <c r="R255" s="161">
        <f t="shared" si="51"/>
        <v>3.54</v>
      </c>
      <c r="S255" s="161">
        <f t="shared" si="51"/>
        <v>3.54</v>
      </c>
      <c r="T255" s="161">
        <f t="shared" si="51"/>
        <v>3.54</v>
      </c>
      <c r="U255" s="161">
        <f t="shared" si="51"/>
        <v>3.54</v>
      </c>
      <c r="V255" s="161">
        <f t="shared" si="51"/>
        <v>3.54</v>
      </c>
      <c r="W255" s="161">
        <f t="shared" si="51"/>
        <v>3.54</v>
      </c>
      <c r="X255" s="161">
        <f t="shared" si="51"/>
        <v>3.54</v>
      </c>
      <c r="Y255" s="161">
        <f t="shared" si="51"/>
        <v>3.54</v>
      </c>
      <c r="Z255" s="161">
        <f t="shared" si="51"/>
        <v>3.54</v>
      </c>
      <c r="AA255" s="161">
        <f t="shared" si="51"/>
        <v>3.54</v>
      </c>
      <c r="AB255" s="161">
        <f t="shared" si="51"/>
        <v>3.54</v>
      </c>
      <c r="AC255" s="161">
        <f t="shared" si="51"/>
        <v>3.54</v>
      </c>
      <c r="AD255" s="161">
        <f t="shared" si="51"/>
        <v>3.54</v>
      </c>
      <c r="AE255" s="161">
        <f t="shared" si="51"/>
        <v>3.54</v>
      </c>
      <c r="AF255" s="161">
        <f t="shared" si="51"/>
        <v>3.54</v>
      </c>
      <c r="AG255" s="171">
        <f t="shared" si="51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2131.3399999999997</v>
      </c>
      <c r="C259" s="174">
        <f>INDEX(G9:N9,1,MATCH(MAX(G102:N102),G102:N102,0))</f>
        <v>0.20833333333333301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4086" priority="89">
      <formula>$AH11=0</formula>
    </cfRule>
  </conditionalFormatting>
  <conditionalFormatting sqref="A89">
    <cfRule type="expression" dxfId="4085" priority="147">
      <formula>$AH94=0</formula>
    </cfRule>
  </conditionalFormatting>
  <conditionalFormatting sqref="A90:A94">
    <cfRule type="expression" dxfId="4084" priority="90">
      <formula>$AH89=0</formula>
    </cfRule>
  </conditionalFormatting>
  <conditionalFormatting sqref="B8">
    <cfRule type="expression" dxfId="4083" priority="143">
      <formula>AND(C$9&gt;=14/24,C$9&lt;20/24)</formula>
    </cfRule>
    <cfRule type="expression" dxfId="4082" priority="144">
      <formula>AND(C$9&gt;=8/24,C$9&lt;14/24)</formula>
    </cfRule>
    <cfRule type="expression" dxfId="4081" priority="145">
      <formula>C$9&lt;8/24</formula>
    </cfRule>
    <cfRule type="expression" dxfId="4080" priority="146">
      <formula>C$9&gt;=20/24</formula>
    </cfRule>
  </conditionalFormatting>
  <conditionalFormatting sqref="B11:D57 E14:K16 E17:M17 E18:Z57">
    <cfRule type="expression" dxfId="4079" priority="6">
      <formula>B$9&gt;=20/24</formula>
    </cfRule>
    <cfRule type="expression" dxfId="4078" priority="7">
      <formula>AND(B$9&gt;=14/24,B$9&lt;20/24)</formula>
    </cfRule>
    <cfRule type="expression" dxfId="4077" priority="8">
      <formula>AND(B$9&gt;=8/24,B$9&lt;14/24)</formula>
    </cfRule>
    <cfRule type="expression" dxfId="4076" priority="9">
      <formula>B$9&lt;8/24</formula>
    </cfRule>
  </conditionalFormatting>
  <conditionalFormatting sqref="B11:D60 M18:Z58 E18:L60 E14:K16 E17:M17">
    <cfRule type="expression" dxfId="4075" priority="4">
      <formula>B11&gt;$AG11</formula>
    </cfRule>
  </conditionalFormatting>
  <conditionalFormatting sqref="B9:AF10 E11:K12 E13:Q13 L15:M16 N15:Z17 B62:K77 L66:T77 S72:AF77 B80:AF102 B104:AF120 B122:AF140 B247:AF247 B249:B255">
    <cfRule type="expression" dxfId="4074" priority="51">
      <formula>AND(B$9&gt;=14/24,B$9&lt;20/24)</formula>
    </cfRule>
    <cfRule type="expression" dxfId="4073" priority="52">
      <formula>AND(B$9&gt;=8/24,B$9&lt;14/24)</formula>
    </cfRule>
    <cfRule type="expression" dxfId="4072" priority="53">
      <formula>B$9&lt;8/24</formula>
    </cfRule>
  </conditionalFormatting>
  <conditionalFormatting sqref="B58:AF60">
    <cfRule type="expression" dxfId="4071" priority="1">
      <formula>B$9&gt;=20/24</formula>
    </cfRule>
    <cfRule type="expression" dxfId="4070" priority="2">
      <formula>AND(B$9&gt;=14/24,B$9&lt;20/24)</formula>
    </cfRule>
    <cfRule type="expression" dxfId="4069" priority="3">
      <formula>AND(B$9&gt;=8/24,B$9&lt;14/24)</formula>
    </cfRule>
  </conditionalFormatting>
  <conditionalFormatting sqref="D249:AF255">
    <cfRule type="expression" dxfId="4068" priority="128">
      <formula>D$9&gt;=20/24</formula>
    </cfRule>
    <cfRule type="expression" dxfId="4067" priority="129">
      <formula>AND(D$9&gt;=14/24,D$9&lt;20/24)</formula>
    </cfRule>
    <cfRule type="expression" dxfId="4066" priority="130">
      <formula>AND(D$9&gt;=8/24,D$9&lt;14/24)</formula>
    </cfRule>
    <cfRule type="expression" dxfId="4065" priority="131">
      <formula>D$9&lt;8/24</formula>
    </cfRule>
  </conditionalFormatting>
  <conditionalFormatting sqref="E11:K12 E13:Q13 L15:M16 N15:Z17 B62:K77 L66:T77 S72:AF77 B80:AF102 B9:AF10 B104:AF120 B122:AF140 B247:AF247 B249:B255">
    <cfRule type="expression" dxfId="4064" priority="50">
      <formula>B$9&gt;=20/24</formula>
    </cfRule>
  </conditionalFormatting>
  <conditionalFormatting sqref="E11:Q11 R11:Z14 AA11:AF57 L12:Q12 L14:Q14">
    <cfRule type="expression" dxfId="4063" priority="64">
      <formula>E$9&gt;=20/24</formula>
    </cfRule>
    <cfRule type="expression" dxfId="4062" priority="65">
      <formula>AND(E$9&gt;=14/24,E$9&lt;20/24)</formula>
    </cfRule>
    <cfRule type="expression" dxfId="4061" priority="66">
      <formula>AND(E$9&gt;=8/24,E$9&lt;14/24)</formula>
    </cfRule>
    <cfRule type="expression" dxfId="4060" priority="67">
      <formula>E$9&lt;8/24</formula>
    </cfRule>
  </conditionalFormatting>
  <conditionalFormatting sqref="E11:AF11 L12:AD12 L14:AD14">
    <cfRule type="expression" dxfId="4059" priority="63">
      <formula>E11&gt;$AG11</formula>
    </cfRule>
  </conditionalFormatting>
  <conditionalFormatting sqref="L66:T68">
    <cfRule type="expression" dxfId="4058" priority="81">
      <formula>L$9&gt;=20/24</formula>
    </cfRule>
    <cfRule type="expression" dxfId="4057" priority="82">
      <formula>AND(L$9&gt;=14/24,L$9&lt;20/24)</formula>
    </cfRule>
    <cfRule type="expression" dxfId="4056" priority="83">
      <formula>AND(L$9&gt;=8/24,L$9&lt;14/24)</formula>
    </cfRule>
    <cfRule type="expression" dxfId="4055" priority="84">
      <formula>L$9&lt;8/24</formula>
    </cfRule>
  </conditionalFormatting>
  <conditionalFormatting sqref="L71:Z71">
    <cfRule type="expression" dxfId="4054" priority="77">
      <formula>L$9&gt;=20/24</formula>
    </cfRule>
    <cfRule type="expression" dxfId="4053" priority="78">
      <formula>AND(L$9&gt;=14/24,L$9&lt;20/24)</formula>
    </cfRule>
    <cfRule type="expression" dxfId="4052" priority="79">
      <formula>AND(L$9&gt;=8/24,L$9&lt;14/24)</formula>
    </cfRule>
    <cfRule type="expression" dxfId="4051" priority="80">
      <formula>L$9&lt;8/24</formula>
    </cfRule>
  </conditionalFormatting>
  <conditionalFormatting sqref="L62:AF65">
    <cfRule type="expression" dxfId="4050" priority="69">
      <formula>L$9&gt;=20/24</formula>
    </cfRule>
    <cfRule type="expression" dxfId="4049" priority="70">
      <formula>AND(L$9&gt;=14/24,L$9&lt;20/24)</formula>
    </cfRule>
    <cfRule type="expression" dxfId="4048" priority="71">
      <formula>AND(L$9&gt;=8/24,L$9&lt;14/24)</formula>
    </cfRule>
    <cfRule type="expression" dxfId="4047" priority="72">
      <formula>L$9&lt;8/24</formula>
    </cfRule>
  </conditionalFormatting>
  <conditionalFormatting sqref="M8 S8 AB8">
    <cfRule type="expression" dxfId="4046" priority="135">
      <formula>AND(N$9&gt;=14/24,N$9&lt;20/24)</formula>
    </cfRule>
    <cfRule type="expression" dxfId="4045" priority="136">
      <formula>AND(N$9&gt;=8/24,N$9&lt;14/24)</formula>
    </cfRule>
    <cfRule type="expression" dxfId="4044" priority="137">
      <formula>N$9&lt;8/24</formula>
    </cfRule>
  </conditionalFormatting>
  <conditionalFormatting sqref="M58:Z58 B58:L60">
    <cfRule type="expression" dxfId="4043" priority="5">
      <formula>B$9&lt;8/24</formula>
    </cfRule>
  </conditionalFormatting>
  <conditionalFormatting sqref="M66:Z70">
    <cfRule type="expression" dxfId="4042" priority="85">
      <formula>M$9&gt;=20/24</formula>
    </cfRule>
    <cfRule type="expression" dxfId="4041" priority="86">
      <formula>AND(M$9&gt;=14/24,M$9&lt;20/24)</formula>
    </cfRule>
    <cfRule type="expression" dxfId="4040" priority="87">
      <formula>AND(M$9&gt;=8/24,M$9&lt;14/24)</formula>
    </cfRule>
    <cfRule type="expression" dxfId="4039" priority="88">
      <formula>M$9&lt;8/24</formula>
    </cfRule>
  </conditionalFormatting>
  <conditionalFormatting sqref="O3:P3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038" priority="134">
      <formula>N$9&gt;=20/24</formula>
    </cfRule>
  </conditionalFormatting>
  <conditionalFormatting sqref="S8">
    <cfRule type="expression" dxfId="4037" priority="121">
      <formula>U$9&gt;=20/24</formula>
    </cfRule>
    <cfRule type="expression" dxfId="4036" priority="122">
      <formula>AND(U$9&gt;=14/24,U$9&lt;20/24)</formula>
    </cfRule>
    <cfRule type="expression" dxfId="4035" priority="123">
      <formula>AND(U$9&gt;=8/24,U$9&lt;14/24)</formula>
    </cfRule>
    <cfRule type="expression" dxfId="4034" priority="124">
      <formula>U$9&lt;8/24</formula>
    </cfRule>
  </conditionalFormatting>
  <conditionalFormatting sqref="T66:AF71">
    <cfRule type="expression" dxfId="4033" priority="73">
      <formula>T$9&gt;=20/24</formula>
    </cfRule>
    <cfRule type="expression" dxfId="4032" priority="74">
      <formula>AND(T$9&gt;=14/24,T$9&lt;20/24)</formula>
    </cfRule>
    <cfRule type="expression" dxfId="4031" priority="75">
      <formula>AND(T$9&gt;=8/24,T$9&lt;14/24)</formula>
    </cfRule>
    <cfRule type="expression" dxfId="4030" priority="76">
      <formula>T$9&lt;8/24</formula>
    </cfRule>
  </conditionalFormatting>
  <conditionalFormatting sqref="V3 AB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A58:AF60 M59:Z60">
    <cfRule type="expression" dxfId="4029" priority="58">
      <formula>M$9&lt;8/24</formula>
    </cfRule>
  </conditionalFormatting>
  <conditionalFormatting sqref="AB8">
    <cfRule type="expression" dxfId="4028" priority="117">
      <formula>AD$9&gt;=20/24</formula>
    </cfRule>
    <cfRule type="expression" dxfId="4027" priority="118">
      <formula>AND(AD$9&gt;=14/24,AD$9&lt;20/24)</formula>
    </cfRule>
    <cfRule type="expression" dxfId="4026" priority="119">
      <formula>AND(AD$9&gt;=8/24,AD$9&lt;14/24)</formula>
    </cfRule>
    <cfRule type="expression" dxfId="4025" priority="120">
      <formula>AD$9&lt;8/24</formula>
    </cfRule>
  </conditionalFormatting>
  <conditionalFormatting sqref="AE12:AF83 AA15:AA60 AB15:AD77 M59:O60 S59:Z60 P59:Q77 R59:R83 E11:K12 E13:AD13 L15:M16 N15:Z17 AG61 J61:O77 S61:AA77 H61:I78 B61:G83 AG65 AC66:AE66 J78:Q78 S78:AD83 H79:Q83 AG83">
    <cfRule type="expression" dxfId="4024" priority="49">
      <formula>B11&gt;$AG11</formula>
    </cfRule>
  </conditionalFormatting>
  <conditionalFormatting sqref="AG65">
    <cfRule type="expression" dxfId="4023" priority="96">
      <formula>AG$9&gt;=20/24</formula>
    </cfRule>
    <cfRule type="expression" dxfId="4022" priority="97">
      <formula>AND(AG$9&gt;=14/24,AG$9&lt;20/24)</formula>
    </cfRule>
    <cfRule type="expression" dxfId="4021" priority="98">
      <formula>AND(AG$9&gt;=8/24,AG$9&lt;14/24)</formula>
    </cfRule>
    <cfRule type="expression" dxfId="4020" priority="99">
      <formula>AG$9&lt;8/24</formula>
    </cfRule>
  </conditionalFormatting>
  <conditionalFormatting sqref="AG78:AG79">
    <cfRule type="expression" dxfId="4019" priority="91">
      <formula>AG78&gt;$AG78</formula>
    </cfRule>
  </conditionalFormatting>
  <conditionalFormatting sqref="AG83">
    <cfRule type="expression" dxfId="4018" priority="92">
      <formula>AG$9&gt;=20/24</formula>
    </cfRule>
    <cfRule type="expression" dxfId="4017" priority="93">
      <formula>AND(AG$9&gt;=14/24,AG$9&lt;20/24)</formula>
    </cfRule>
    <cfRule type="expression" dxfId="4016" priority="94">
      <formula>AND(AG$9&gt;=8/24,AG$9&lt;14/24)</formula>
    </cfRule>
    <cfRule type="expression" dxfId="4015" priority="95">
      <formula>AG$9&lt;8/24</formula>
    </cfRule>
  </conditionalFormatting>
  <conditionalFormatting sqref="AG100">
    <cfRule type="expression" dxfId="4014" priority="113">
      <formula>AG$9&gt;=20/24</formula>
    </cfRule>
    <cfRule type="expression" dxfId="4013" priority="114">
      <formula>AND(AG$9&gt;=14/24,AG$9&lt;20/24)</formula>
    </cfRule>
    <cfRule type="expression" dxfId="4012" priority="115">
      <formula>AND(AG$9&gt;=8/24,AG$9&lt;14/24)</formula>
    </cfRule>
    <cfRule type="expression" dxfId="4011" priority="116">
      <formula>AG$9&lt;8/24</formula>
    </cfRule>
  </conditionalFormatting>
  <conditionalFormatting sqref="AL4:AL6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4010" priority="138">
      <formula>AJ$9&gt;=20/24</formula>
    </cfRule>
    <cfRule type="expression" dxfId="4009" priority="139">
      <formula>AND(AJ$9&gt;=14/24,AJ$9&lt;20/24)</formula>
    </cfRule>
    <cfRule type="expression" dxfId="4008" priority="140">
      <formula>AND(AJ$9&gt;=8/24,AJ$9&lt;14/24)</formula>
    </cfRule>
    <cfRule type="expression" dxfId="4007" priority="141">
      <formula>AJ$9&lt;8/24</formula>
    </cfRule>
  </conditionalFormatting>
  <conditionalFormatting sqref="AL86:AN86 AL92:AN92">
    <cfRule type="expression" dxfId="4006" priority="106">
      <formula>AL$9&gt;=20/24</formula>
    </cfRule>
    <cfRule type="expression" dxfId="4005" priority="107">
      <formula>AND(AL$9&gt;=14/24,AL$9&lt;20/24)</formula>
    </cfRule>
    <cfRule type="expression" dxfId="4004" priority="108">
      <formula>AND(AL$9&gt;=8/24,AL$9&lt;14/24)</formula>
    </cfRule>
    <cfRule type="expression" dxfId="4003" priority="109">
      <formula>AL$9&lt;8/24</formula>
    </cfRule>
  </conditionalFormatting>
  <conditionalFormatting sqref="AM15:AM21 AN16:AR21">
    <cfRule type="expression" dxfId="4002" priority="22">
      <formula>AX$9&gt;=20/24</formula>
    </cfRule>
    <cfRule type="expression" dxfId="4001" priority="23">
      <formula>AND(AX$9&gt;=14/24,AX$9&lt;20/24)</formula>
    </cfRule>
    <cfRule type="expression" dxfId="4000" priority="24">
      <formula>AND(AX$9&gt;=8/24,AX$9&lt;14/24)</formula>
    </cfRule>
    <cfRule type="expression" dxfId="3999" priority="25">
      <formula>AX$9&lt;8/24</formula>
    </cfRule>
  </conditionalFormatting>
  <conditionalFormatting sqref="AN87:AN90">
    <cfRule type="expression" dxfId="3998" priority="102">
      <formula>AN$9&gt;=20/24</formula>
    </cfRule>
    <cfRule type="expression" dxfId="3997" priority="103">
      <formula>AND(AN$9&gt;=14/24,AN$9&lt;20/24)</formula>
    </cfRule>
    <cfRule type="expression" dxfId="3996" priority="104">
      <formula>AND(AN$9&gt;=8/24,AN$9&lt;14/24)</formula>
    </cfRule>
    <cfRule type="expression" dxfId="3995" priority="105">
      <formula>AN$9&lt;8/24</formula>
    </cfRule>
  </conditionalFormatting>
  <conditionalFormatting sqref="AN15:AR15">
    <cfRule type="expression" dxfId="3994" priority="10">
      <formula>U$9&gt;=20/24</formula>
    </cfRule>
    <cfRule type="expression" dxfId="3993" priority="11">
      <formula>AND(U$9&gt;=14/24,U$9&lt;20/24)</formula>
    </cfRule>
    <cfRule type="expression" dxfId="3992" priority="12">
      <formula>AND(U$9&gt;=8/24,U$9&lt;14/24)</formula>
    </cfRule>
    <cfRule type="expression" dxfId="3991" priority="13">
      <formula>U$9&lt;8/24</formula>
    </cfRule>
  </conditionalFormatting>
  <conditionalFormatting sqref="AS15">
    <cfRule type="expression" dxfId="3990" priority="18">
      <formula>AA$9&gt;=20/24</formula>
    </cfRule>
    <cfRule type="expression" dxfId="3989" priority="19">
      <formula>AND(AA$9&gt;=14/24,AA$9&lt;20/24)</formula>
    </cfRule>
    <cfRule type="expression" dxfId="3988" priority="20">
      <formula>AND(AA$9&gt;=8/24,AA$9&lt;14/24)</formula>
    </cfRule>
    <cfRule type="expression" dxfId="3987" priority="21">
      <formula>AA$9&lt;8/24</formula>
    </cfRule>
  </conditionalFormatting>
  <conditionalFormatting sqref="AS16:AS21">
    <cfRule type="expression" dxfId="3986" priority="26">
      <formula>BE$9&gt;=20/24</formula>
    </cfRule>
    <cfRule type="expression" dxfId="3985" priority="27">
      <formula>AND(BE$9&gt;=14/24,BE$9&lt;20/24)</formula>
    </cfRule>
    <cfRule type="expression" dxfId="3984" priority="28">
      <formula>AND(BE$9&gt;=8/24,BE$9&lt;14/24)</formula>
    </cfRule>
    <cfRule type="expression" dxfId="3983" priority="29">
      <formula>BE$9&lt;8/24</formula>
    </cfRule>
  </conditionalFormatting>
  <conditionalFormatting sqref="AT15 AX15:BJ15">
    <cfRule type="expression" dxfId="3982" priority="30">
      <formula>AC$9&gt;=20/24</formula>
    </cfRule>
    <cfRule type="expression" dxfId="3981" priority="31">
      <formula>AND(AC$9&gt;=14/24,AC$9&lt;20/24)</formula>
    </cfRule>
    <cfRule type="expression" dxfId="3980" priority="32">
      <formula>AND(AC$9&gt;=8/24,AC$9&lt;14/24)</formula>
    </cfRule>
    <cfRule type="expression" dxfId="3979" priority="33">
      <formula>AC$9&lt;8/24</formula>
    </cfRule>
  </conditionalFormatting>
  <conditionalFormatting sqref="AT16:AT21">
    <cfRule type="expression" dxfId="3978" priority="34">
      <formula>BG$9&gt;=20/24</formula>
    </cfRule>
    <cfRule type="expression" dxfId="3977" priority="35">
      <formula>AND(BG$9&gt;=14/24,BG$9&lt;20/24)</formula>
    </cfRule>
    <cfRule type="expression" dxfId="3976" priority="36">
      <formula>AND(BG$9&gt;=8/24,BG$9&lt;14/24)</formula>
    </cfRule>
    <cfRule type="expression" dxfId="3975" priority="37">
      <formula>BG$9&lt;8/24</formula>
    </cfRule>
  </conditionalFormatting>
  <conditionalFormatting sqref="AU15:AV15">
    <cfRule type="expression" dxfId="3974" priority="38">
      <formula>AE$9&gt;=20/24</formula>
    </cfRule>
    <cfRule type="expression" dxfId="3973" priority="39">
      <formula>AND(AE$9&gt;=14/24,AE$9&lt;20/24)</formula>
    </cfRule>
    <cfRule type="expression" dxfId="3972" priority="40">
      <formula>AND(AE$9&gt;=8/24,AE$9&lt;14/24)</formula>
    </cfRule>
    <cfRule type="expression" dxfId="3971" priority="41">
      <formula>AE$9&lt;8/24</formula>
    </cfRule>
  </conditionalFormatting>
  <conditionalFormatting sqref="AU16:BJ21">
    <cfRule type="expression" dxfId="3970" priority="42">
      <formula>BI$9&gt;=20/24</formula>
    </cfRule>
    <cfRule type="expression" dxfId="3969" priority="43">
      <formula>AND(BI$9&gt;=14/24,BI$9&lt;20/24)</formula>
    </cfRule>
    <cfRule type="expression" dxfId="3968" priority="44">
      <formula>AND(BI$9&gt;=8/24,BI$9&lt;14/24)</formula>
    </cfRule>
    <cfRule type="expression" dxfId="3967" priority="45">
      <formula>BI$9&lt;8/24</formula>
    </cfRule>
  </conditionalFormatting>
  <conditionalFormatting sqref="AW15">
    <cfRule type="expression" dxfId="3966" priority="14">
      <formula>B$9&gt;=20/24</formula>
    </cfRule>
    <cfRule type="expression" dxfId="3965" priority="15">
      <formula>AND(B$9&gt;=14/24,B$9&lt;20/24)</formula>
    </cfRule>
    <cfRule type="expression" dxfId="3964" priority="16">
      <formula>AND(B$9&gt;=8/24,B$9&lt;14/24)</formula>
    </cfRule>
    <cfRule type="expression" dxfId="3963" priority="17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B464-1430-4932-9801-C9BED5F72580}">
  <dimension ref="A1:CJ297"/>
  <sheetViews>
    <sheetView zoomScale="106" workbookViewId="0">
      <pane xSplit="1" ySplit="10" topLeftCell="B9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100" sqref="A100:AF10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2080/10/3</v>
      </c>
      <c r="C4" s="189"/>
      <c r="D4" s="189"/>
      <c r="E4" s="190" t="str">
        <f ca="1">"2080/"&amp;"10/"&amp;INT(MID(CELL("filename",G6),FIND("]",CELL("filename",G6))+1,200))</f>
        <v>2080/10/3</v>
      </c>
      <c r="F4" s="190"/>
      <c r="G4" s="190"/>
      <c r="H4" s="190" t="str">
        <f ca="1">TEXT(E4,"dddd")</f>
        <v>Thursday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24.3</v>
      </c>
      <c r="C5" s="30">
        <f t="shared" si="0"/>
        <v>25</v>
      </c>
      <c r="D5" s="30">
        <f t="shared" si="0"/>
        <v>26</v>
      </c>
      <c r="E5" s="30">
        <f t="shared" si="0"/>
        <v>30</v>
      </c>
      <c r="F5" s="30">
        <f t="shared" si="0"/>
        <v>29.8</v>
      </c>
      <c r="G5" s="30">
        <f t="shared" si="0"/>
        <v>15.7</v>
      </c>
      <c r="H5" s="30">
        <f t="shared" si="0"/>
        <v>137</v>
      </c>
      <c r="I5" s="30">
        <f t="shared" si="0"/>
        <v>54</v>
      </c>
      <c r="J5" s="30">
        <f t="shared" si="0"/>
        <v>57</v>
      </c>
      <c r="K5" s="30">
        <f t="shared" si="0"/>
        <v>57</v>
      </c>
      <c r="L5" s="30">
        <f t="shared" si="0"/>
        <v>57.3</v>
      </c>
      <c r="M5" s="30">
        <f t="shared" si="0"/>
        <v>56.6</v>
      </c>
      <c r="N5" s="30">
        <f t="shared" si="0"/>
        <v>73.8</v>
      </c>
      <c r="O5" s="30">
        <f t="shared" si="0"/>
        <v>72.8</v>
      </c>
      <c r="P5" s="30">
        <f t="shared" si="0"/>
        <v>61.7</v>
      </c>
      <c r="Q5" s="30">
        <f t="shared" si="0"/>
        <v>66.900000000000006</v>
      </c>
      <c r="R5" s="30">
        <f t="shared" si="0"/>
        <v>60</v>
      </c>
      <c r="S5" s="30">
        <f t="shared" si="0"/>
        <v>0</v>
      </c>
      <c r="T5" s="30">
        <f t="shared" si="0"/>
        <v>50</v>
      </c>
      <c r="U5" s="30">
        <f t="shared" si="0"/>
        <v>30</v>
      </c>
      <c r="V5" s="30">
        <f t="shared" si="0"/>
        <v>33.200000000000003</v>
      </c>
      <c r="W5" s="30">
        <f t="shared" si="0"/>
        <v>30</v>
      </c>
      <c r="X5" s="30">
        <f t="shared" si="0"/>
        <v>25.7</v>
      </c>
      <c r="Y5" s="30">
        <f t="shared" si="0"/>
        <v>15.6</v>
      </c>
      <c r="Z5" s="30">
        <f t="shared" si="0"/>
        <v>56.5</v>
      </c>
      <c r="AA5" s="30">
        <f t="shared" si="0"/>
        <v>56.5</v>
      </c>
      <c r="AB5" s="30">
        <f t="shared" si="0"/>
        <v>56.5</v>
      </c>
      <c r="AC5" s="30">
        <f t="shared" si="0"/>
        <v>56.5</v>
      </c>
      <c r="AD5" s="30">
        <f t="shared" si="0"/>
        <v>56.5</v>
      </c>
      <c r="AE5" s="30">
        <f t="shared" si="0"/>
        <v>56.5</v>
      </c>
      <c r="AF5" s="30">
        <f>B95</f>
        <v>17.8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1972MW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Load=1539</v>
      </c>
      <c r="B7" s="35">
        <f t="shared" ref="B7:AF7" si="1">B103</f>
        <v>1746.6399999999996</v>
      </c>
      <c r="C7" s="35">
        <f t="shared" si="1"/>
        <v>1648.6399999999996</v>
      </c>
      <c r="D7" s="35">
        <f t="shared" si="1"/>
        <v>1629.8399999999997</v>
      </c>
      <c r="E7" s="35">
        <f t="shared" si="1"/>
        <v>1612.04</v>
      </c>
      <c r="F7" s="35">
        <f t="shared" si="1"/>
        <v>1553.44</v>
      </c>
      <c r="G7" s="35">
        <f t="shared" si="1"/>
        <v>1538.74</v>
      </c>
      <c r="H7" s="35">
        <f t="shared" si="1"/>
        <v>1558.5400000000002</v>
      </c>
      <c r="I7" s="35">
        <f t="shared" si="1"/>
        <v>1622.84</v>
      </c>
      <c r="J7" s="35">
        <f t="shared" si="1"/>
        <v>1565.6399999999999</v>
      </c>
      <c r="K7" s="35">
        <f t="shared" si="1"/>
        <v>1544.94</v>
      </c>
      <c r="L7" s="35">
        <f t="shared" si="1"/>
        <v>1543.34</v>
      </c>
      <c r="M7" s="35">
        <f t="shared" si="1"/>
        <v>1650.9399999999998</v>
      </c>
      <c r="N7" s="35">
        <f t="shared" si="1"/>
        <v>1694.4399999999998</v>
      </c>
      <c r="O7" s="35">
        <f t="shared" si="1"/>
        <v>1704.04</v>
      </c>
      <c r="P7" s="35">
        <f t="shared" si="1"/>
        <v>1790.34</v>
      </c>
      <c r="Q7" s="35">
        <f t="shared" si="1"/>
        <v>1803.1400000000003</v>
      </c>
      <c r="R7" s="35">
        <f t="shared" si="1"/>
        <v>1835.6399999999999</v>
      </c>
      <c r="S7" s="35">
        <f t="shared" si="1"/>
        <v>1906.54</v>
      </c>
      <c r="T7" s="35">
        <f t="shared" si="1"/>
        <v>1795.2400000000002</v>
      </c>
      <c r="U7" s="35">
        <f t="shared" si="1"/>
        <v>1799.04</v>
      </c>
      <c r="V7" s="35">
        <f t="shared" si="1"/>
        <v>1725.84</v>
      </c>
      <c r="W7" s="35">
        <f t="shared" si="1"/>
        <v>1716.2399999999998</v>
      </c>
      <c r="X7" s="35">
        <f t="shared" si="1"/>
        <v>1676.5399999999997</v>
      </c>
      <c r="Y7" s="35">
        <f t="shared" si="1"/>
        <v>1677.1999999999998</v>
      </c>
      <c r="Z7" s="35">
        <f t="shared" si="1"/>
        <v>1751.7999999999995</v>
      </c>
      <c r="AA7" s="35">
        <f t="shared" si="1"/>
        <v>1865.1999999999996</v>
      </c>
      <c r="AB7" s="35">
        <f t="shared" si="1"/>
        <v>1865.1999999999996</v>
      </c>
      <c r="AC7" s="35">
        <f t="shared" si="1"/>
        <v>1865.1999999999996</v>
      </c>
      <c r="AD7" s="35">
        <f t="shared" si="1"/>
        <v>1865.1999999999996</v>
      </c>
      <c r="AE7" s="35">
        <f t="shared" si="1"/>
        <v>1865.1999999999996</v>
      </c>
      <c r="AF7" s="35">
        <f t="shared" si="1"/>
        <v>1865.1999999999996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2061.14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1906.54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30.6</v>
      </c>
      <c r="C11" s="46">
        <v>28.1</v>
      </c>
      <c r="D11" s="46">
        <v>28.1</v>
      </c>
      <c r="E11" s="46">
        <v>30</v>
      </c>
      <c r="F11" s="46">
        <v>30</v>
      </c>
      <c r="G11" s="46">
        <v>33</v>
      </c>
      <c r="H11" s="46">
        <v>31.9</v>
      </c>
      <c r="I11" s="46">
        <v>30</v>
      </c>
      <c r="J11" s="46">
        <v>30</v>
      </c>
      <c r="K11" s="46">
        <v>31.3</v>
      </c>
      <c r="L11" s="46">
        <v>31.3</v>
      </c>
      <c r="M11" s="46">
        <v>86.6</v>
      </c>
      <c r="N11" s="46">
        <v>73.400000000000006</v>
      </c>
      <c r="O11" s="46">
        <v>46.8</v>
      </c>
      <c r="P11" s="46">
        <v>46.8</v>
      </c>
      <c r="Q11" s="46">
        <v>46.8</v>
      </c>
      <c r="R11" s="46">
        <v>28.1</v>
      </c>
      <c r="S11" s="46">
        <v>28.1</v>
      </c>
      <c r="T11" s="46">
        <v>50.3</v>
      </c>
      <c r="U11" s="46">
        <v>40.799999999999997</v>
      </c>
      <c r="V11" s="46">
        <v>39.6</v>
      </c>
      <c r="W11" s="46">
        <v>39.6</v>
      </c>
      <c r="X11" s="46">
        <v>38.299999999999997</v>
      </c>
      <c r="Y11" s="46">
        <v>37.6</v>
      </c>
      <c r="Z11" s="46">
        <v>39</v>
      </c>
      <c r="AA11" s="46">
        <v>35.200000000000003</v>
      </c>
      <c r="AB11" s="46">
        <v>35.200000000000003</v>
      </c>
      <c r="AC11" s="46">
        <v>35.200000000000003</v>
      </c>
      <c r="AD11" s="46">
        <v>35.200000000000003</v>
      </c>
      <c r="AE11" s="46">
        <v>35.200000000000003</v>
      </c>
      <c r="AF11" s="46">
        <v>35.200000000000003</v>
      </c>
      <c r="AG11" s="47">
        <v>86</v>
      </c>
      <c r="AH11" s="48">
        <f t="shared" ref="AH11:AH74" si="2">MAX(B11:AF11)</f>
        <v>86.6</v>
      </c>
      <c r="AI11" s="49">
        <f t="shared" ref="AI11:AI74" si="3">MIN(B11:AF11)</f>
        <v>28.1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43</v>
      </c>
      <c r="C12" s="46">
        <v>43</v>
      </c>
      <c r="D12" s="46">
        <v>43</v>
      </c>
      <c r="E12" s="46">
        <v>41</v>
      </c>
      <c r="F12" s="46">
        <v>41</v>
      </c>
      <c r="G12" s="46">
        <v>41</v>
      </c>
      <c r="H12" s="46">
        <v>41</v>
      </c>
      <c r="I12" s="46">
        <v>0</v>
      </c>
      <c r="J12" s="46">
        <v>40</v>
      </c>
      <c r="K12" s="46">
        <v>41</v>
      </c>
      <c r="L12" s="46">
        <v>41</v>
      </c>
      <c r="M12" s="46">
        <v>41</v>
      </c>
      <c r="N12" s="46">
        <v>41</v>
      </c>
      <c r="O12" s="46">
        <v>41</v>
      </c>
      <c r="P12" s="46">
        <v>41</v>
      </c>
      <c r="Q12" s="46">
        <v>41</v>
      </c>
      <c r="R12" s="46">
        <v>30.1</v>
      </c>
      <c r="S12" s="46">
        <v>30.1</v>
      </c>
      <c r="T12" s="46">
        <v>34.6</v>
      </c>
      <c r="U12" s="46">
        <v>34.6</v>
      </c>
      <c r="V12" s="46">
        <v>42.1</v>
      </c>
      <c r="W12" s="46">
        <v>42.1</v>
      </c>
      <c r="X12" s="46">
        <v>42.1</v>
      </c>
      <c r="Y12" s="46">
        <v>42.1</v>
      </c>
      <c r="Z12" s="46">
        <v>42.1</v>
      </c>
      <c r="AA12" s="46">
        <v>49.6</v>
      </c>
      <c r="AB12" s="46">
        <v>49.6</v>
      </c>
      <c r="AC12" s="46">
        <v>49.6</v>
      </c>
      <c r="AD12" s="46">
        <v>49.6</v>
      </c>
      <c r="AE12" s="46">
        <v>49.6</v>
      </c>
      <c r="AF12" s="46">
        <v>49.6</v>
      </c>
      <c r="AG12" s="50">
        <v>77</v>
      </c>
      <c r="AH12" s="48">
        <f t="shared" si="2"/>
        <v>49.6</v>
      </c>
      <c r="AI12" s="49">
        <f t="shared" si="3"/>
        <v>0</v>
      </c>
      <c r="AK12" s="51"/>
      <c r="AL12" s="52" t="str">
        <f ca="1">MID(CELL("filename",C7),FIND("]",CELL("filename",C7))+1,600)</f>
        <v>03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53</v>
      </c>
      <c r="C13" s="46">
        <v>53</v>
      </c>
      <c r="D13" s="46">
        <v>53</v>
      </c>
      <c r="E13" s="46">
        <v>53.6</v>
      </c>
      <c r="F13" s="46">
        <v>53.6</v>
      </c>
      <c r="G13" s="46">
        <v>53.6</v>
      </c>
      <c r="H13" s="46">
        <v>53.6</v>
      </c>
      <c r="I13" s="46">
        <v>53.6</v>
      </c>
      <c r="J13" s="46">
        <v>53.6</v>
      </c>
      <c r="K13" s="46">
        <v>53.6</v>
      </c>
      <c r="L13" s="46">
        <v>53.6</v>
      </c>
      <c r="M13" s="46">
        <v>55</v>
      </c>
      <c r="N13" s="46">
        <v>55</v>
      </c>
      <c r="O13" s="46">
        <v>55</v>
      </c>
      <c r="P13" s="46">
        <v>55</v>
      </c>
      <c r="Q13" s="46">
        <v>55</v>
      </c>
      <c r="R13" s="46">
        <v>54.2</v>
      </c>
      <c r="S13" s="46">
        <v>55.1</v>
      </c>
      <c r="T13" s="46">
        <v>55.6</v>
      </c>
      <c r="U13" s="46">
        <v>55.6</v>
      </c>
      <c r="V13" s="46">
        <v>55.6</v>
      </c>
      <c r="W13" s="46">
        <v>55.6</v>
      </c>
      <c r="X13" s="46">
        <v>55.6</v>
      </c>
      <c r="Y13" s="46">
        <v>55.6</v>
      </c>
      <c r="Z13" s="46">
        <v>55.6</v>
      </c>
      <c r="AA13" s="46">
        <v>52</v>
      </c>
      <c r="AB13" s="46">
        <v>52</v>
      </c>
      <c r="AC13" s="46">
        <v>52</v>
      </c>
      <c r="AD13" s="46">
        <v>52</v>
      </c>
      <c r="AE13" s="46">
        <v>52</v>
      </c>
      <c r="AF13" s="46">
        <v>52</v>
      </c>
      <c r="AG13" s="50">
        <v>73</v>
      </c>
      <c r="AH13" s="48">
        <f t="shared" si="2"/>
        <v>55.6</v>
      </c>
      <c r="AI13" s="49">
        <f t="shared" si="3"/>
        <v>52</v>
      </c>
      <c r="AK13" s="51"/>
      <c r="AL13" s="52" t="str">
        <f ca="1">"Daily Load Curve(Excluding of Export) of Nepal ("&amp;A4&amp;" "&amp;B4&amp;")"</f>
        <v>Daily Load Curve(Excluding of Export) of Nepal (Nepali Date: 2080/10/3)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40.799999999999997</v>
      </c>
      <c r="C14" s="46">
        <v>40.799999999999997</v>
      </c>
      <c r="D14" s="46">
        <v>40.799999999999997</v>
      </c>
      <c r="E14" s="46">
        <v>40.700000000000003</v>
      </c>
      <c r="F14" s="46">
        <v>40.700000000000003</v>
      </c>
      <c r="G14" s="46">
        <v>40.700000000000003</v>
      </c>
      <c r="H14" s="46">
        <v>40.700000000000003</v>
      </c>
      <c r="I14" s="46">
        <v>40.700000000000003</v>
      </c>
      <c r="J14" s="46">
        <v>40.700000000000003</v>
      </c>
      <c r="K14" s="46">
        <v>40.700000000000003</v>
      </c>
      <c r="L14" s="46">
        <v>40.700000000000003</v>
      </c>
      <c r="M14" s="46">
        <v>40.700000000000003</v>
      </c>
      <c r="N14" s="46">
        <v>40.700000000000003</v>
      </c>
      <c r="O14" s="46">
        <v>40.700000000000003</v>
      </c>
      <c r="P14" s="46">
        <v>40.700000000000003</v>
      </c>
      <c r="Q14" s="46">
        <v>40.700000000000003</v>
      </c>
      <c r="R14" s="46">
        <v>40.700000000000003</v>
      </c>
      <c r="S14" s="46">
        <v>40.9</v>
      </c>
      <c r="T14" s="46">
        <v>40.9</v>
      </c>
      <c r="U14" s="46">
        <v>40.9</v>
      </c>
      <c r="V14" s="46">
        <v>40.9</v>
      </c>
      <c r="W14" s="46">
        <v>40.9</v>
      </c>
      <c r="X14" s="46">
        <v>40.9</v>
      </c>
      <c r="Y14" s="46">
        <v>40.9</v>
      </c>
      <c r="Z14" s="46">
        <v>40.9</v>
      </c>
      <c r="AA14" s="46">
        <v>40.700000000000003</v>
      </c>
      <c r="AB14" s="46">
        <v>40.700000000000003</v>
      </c>
      <c r="AC14" s="46">
        <v>40.700000000000003</v>
      </c>
      <c r="AD14" s="46">
        <v>40.700000000000003</v>
      </c>
      <c r="AE14" s="46">
        <v>40.700000000000003</v>
      </c>
      <c r="AF14" s="46">
        <v>40.700000000000003</v>
      </c>
      <c r="AG14" s="50">
        <v>71</v>
      </c>
      <c r="AH14" s="48">
        <f t="shared" si="2"/>
        <v>40.9</v>
      </c>
      <c r="AI14" s="49">
        <f t="shared" si="3"/>
        <v>40.700000000000003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25</v>
      </c>
      <c r="C15" s="46">
        <v>25</v>
      </c>
      <c r="D15" s="46">
        <v>25</v>
      </c>
      <c r="E15" s="46">
        <v>26.5</v>
      </c>
      <c r="F15" s="46">
        <v>26.5</v>
      </c>
      <c r="G15" s="46">
        <v>26.5</v>
      </c>
      <c r="H15" s="46">
        <v>26.5</v>
      </c>
      <c r="I15" s="46">
        <v>0</v>
      </c>
      <c r="J15" s="46">
        <v>27.9</v>
      </c>
      <c r="K15" s="46">
        <v>26.5</v>
      </c>
      <c r="L15" s="46">
        <v>26.5</v>
      </c>
      <c r="M15" s="46">
        <v>26.5</v>
      </c>
      <c r="N15" s="46">
        <v>26.5</v>
      </c>
      <c r="O15" s="46">
        <v>26.5</v>
      </c>
      <c r="P15" s="46">
        <v>26.5</v>
      </c>
      <c r="Q15" s="46">
        <v>26.5</v>
      </c>
      <c r="R15" s="46">
        <v>22.3</v>
      </c>
      <c r="S15" s="46">
        <v>21.6</v>
      </c>
      <c r="T15" s="46">
        <v>21.6</v>
      </c>
      <c r="U15" s="46">
        <v>21.6</v>
      </c>
      <c r="V15" s="46">
        <v>21.6</v>
      </c>
      <c r="W15" s="46">
        <v>21.6</v>
      </c>
      <c r="X15" s="46">
        <v>21.6</v>
      </c>
      <c r="Y15" s="46">
        <v>21.6</v>
      </c>
      <c r="Z15" s="46">
        <v>21.6</v>
      </c>
      <c r="AA15" s="46">
        <v>21.6</v>
      </c>
      <c r="AB15" s="46">
        <v>21.6</v>
      </c>
      <c r="AC15" s="46">
        <v>21.6</v>
      </c>
      <c r="AD15" s="46">
        <v>21.6</v>
      </c>
      <c r="AE15" s="46">
        <v>21.6</v>
      </c>
      <c r="AF15" s="46">
        <v>21.6</v>
      </c>
      <c r="AG15" s="50">
        <v>54</v>
      </c>
      <c r="AH15" s="48">
        <f t="shared" si="2"/>
        <v>27.9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27.2</v>
      </c>
      <c r="C16" s="46">
        <v>27.2</v>
      </c>
      <c r="D16" s="46">
        <v>27.2</v>
      </c>
      <c r="E16" s="46">
        <v>27.2</v>
      </c>
      <c r="F16" s="46">
        <v>27.2</v>
      </c>
      <c r="G16" s="46">
        <v>27.2</v>
      </c>
      <c r="H16" s="46">
        <v>27.2</v>
      </c>
      <c r="I16" s="46">
        <v>27.2</v>
      </c>
      <c r="J16" s="46">
        <v>27.2</v>
      </c>
      <c r="K16" s="46">
        <v>27.2</v>
      </c>
      <c r="L16" s="46">
        <v>27.2</v>
      </c>
      <c r="M16" s="46">
        <v>27.2</v>
      </c>
      <c r="N16" s="46">
        <v>27.2</v>
      </c>
      <c r="O16" s="46">
        <v>27.2</v>
      </c>
      <c r="P16" s="46">
        <v>27.2</v>
      </c>
      <c r="Q16" s="46">
        <v>27.2</v>
      </c>
      <c r="R16" s="46">
        <v>27.2</v>
      </c>
      <c r="S16" s="46">
        <v>27.2</v>
      </c>
      <c r="T16" s="46">
        <v>27.2</v>
      </c>
      <c r="U16" s="46">
        <v>27.2</v>
      </c>
      <c r="V16" s="46">
        <v>27.2</v>
      </c>
      <c r="W16" s="46">
        <v>27.2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27.2</v>
      </c>
      <c r="AK16" s="51"/>
      <c r="AL16" s="54" t="s">
        <v>7</v>
      </c>
      <c r="AM16" s="59">
        <f t="shared" ref="AM16:AR16" si="4">B61</f>
        <v>887.99999999999977</v>
      </c>
      <c r="AN16" s="59">
        <f t="shared" si="4"/>
        <v>885.49999999999977</v>
      </c>
      <c r="AO16" s="59">
        <f t="shared" si="4"/>
        <v>885.49999999999977</v>
      </c>
      <c r="AP16" s="59">
        <f t="shared" si="4"/>
        <v>889.90000000000009</v>
      </c>
      <c r="AQ16" s="59">
        <f t="shared" si="4"/>
        <v>882.30000000000007</v>
      </c>
      <c r="AR16" s="59">
        <f t="shared" si="4"/>
        <v>885.30000000000007</v>
      </c>
      <c r="AS16" s="59">
        <f>I61</f>
        <v>647.9</v>
      </c>
      <c r="AT16" s="59">
        <f>K61</f>
        <v>883.60000000000014</v>
      </c>
      <c r="AU16" s="59">
        <f t="shared" ref="AU16:BD16" si="5">M61</f>
        <v>940.3</v>
      </c>
      <c r="AV16" s="59">
        <f t="shared" si="5"/>
        <v>927.1</v>
      </c>
      <c r="AW16" s="59">
        <f t="shared" si="5"/>
        <v>900.5</v>
      </c>
      <c r="AX16" s="59">
        <f t="shared" si="5"/>
        <v>900.5</v>
      </c>
      <c r="AY16" s="59">
        <f t="shared" si="5"/>
        <v>900.5</v>
      </c>
      <c r="AZ16" s="59">
        <f t="shared" si="5"/>
        <v>855.39999999999986</v>
      </c>
      <c r="BA16" s="59">
        <f t="shared" si="5"/>
        <v>859.19999999999982</v>
      </c>
      <c r="BB16" s="59">
        <f t="shared" si="5"/>
        <v>881.59999999999991</v>
      </c>
      <c r="BC16" s="59">
        <f t="shared" si="5"/>
        <v>876.89999999999986</v>
      </c>
      <c r="BD16" s="59">
        <f t="shared" si="5"/>
        <v>883.19999999999982</v>
      </c>
      <c r="BE16" s="60">
        <f>X61</f>
        <v>881.89999999999986</v>
      </c>
      <c r="BF16" s="60">
        <f>Z61</f>
        <v>867.5999999999998</v>
      </c>
      <c r="BG16" s="60">
        <f>AB61</f>
        <v>884.1999999999997</v>
      </c>
      <c r="BH16" s="60">
        <f>AD61</f>
        <v>884.1999999999997</v>
      </c>
      <c r="BI16" s="60">
        <f>AE61</f>
        <v>884.1999999999997</v>
      </c>
      <c r="BJ16" s="60">
        <f>AF61</f>
        <v>884.1999999999997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38</v>
      </c>
      <c r="C17" s="46">
        <v>38</v>
      </c>
      <c r="D17" s="46">
        <v>38</v>
      </c>
      <c r="E17" s="46">
        <v>37</v>
      </c>
      <c r="F17" s="46">
        <v>37</v>
      </c>
      <c r="G17" s="46">
        <v>37</v>
      </c>
      <c r="H17" s="46">
        <v>37</v>
      </c>
      <c r="I17" s="46">
        <v>0</v>
      </c>
      <c r="J17" s="46">
        <v>28.7</v>
      </c>
      <c r="K17" s="46">
        <v>37</v>
      </c>
      <c r="L17" s="46">
        <v>37</v>
      </c>
      <c r="M17" s="46">
        <v>37</v>
      </c>
      <c r="N17" s="46">
        <v>37</v>
      </c>
      <c r="O17" s="46">
        <v>37</v>
      </c>
      <c r="P17" s="46">
        <v>37</v>
      </c>
      <c r="Q17" s="46">
        <v>37</v>
      </c>
      <c r="R17" s="46">
        <v>39.6</v>
      </c>
      <c r="S17" s="46">
        <v>36</v>
      </c>
      <c r="T17" s="46">
        <v>36</v>
      </c>
      <c r="U17" s="46">
        <v>36</v>
      </c>
      <c r="V17" s="46">
        <v>36</v>
      </c>
      <c r="W17" s="46">
        <v>36</v>
      </c>
      <c r="X17" s="46">
        <v>36</v>
      </c>
      <c r="Y17" s="46">
        <v>36</v>
      </c>
      <c r="Z17" s="46">
        <v>36</v>
      </c>
      <c r="AA17" s="46">
        <v>39</v>
      </c>
      <c r="AB17" s="46">
        <v>39</v>
      </c>
      <c r="AC17" s="46">
        <v>39</v>
      </c>
      <c r="AD17" s="46">
        <v>39</v>
      </c>
      <c r="AE17" s="46">
        <v>39</v>
      </c>
      <c r="AF17" s="46">
        <v>39</v>
      </c>
      <c r="AG17" s="47">
        <v>52.4</v>
      </c>
      <c r="AH17" s="48">
        <f t="shared" si="2"/>
        <v>39.6</v>
      </c>
      <c r="AI17" s="49">
        <f t="shared" si="3"/>
        <v>0</v>
      </c>
      <c r="AK17" s="51"/>
      <c r="AL17" s="54" t="s">
        <v>27</v>
      </c>
      <c r="AM17" s="59">
        <f t="shared" ref="AM17:AR17" si="6">B65</f>
        <v>520.70000000000005</v>
      </c>
      <c r="AN17" s="59">
        <f t="shared" si="6"/>
        <v>520.70000000000005</v>
      </c>
      <c r="AO17" s="59">
        <f t="shared" si="6"/>
        <v>498.2</v>
      </c>
      <c r="AP17" s="59">
        <f t="shared" si="6"/>
        <v>510</v>
      </c>
      <c r="AQ17" s="59">
        <f t="shared" si="6"/>
        <v>510</v>
      </c>
      <c r="AR17" s="59">
        <f t="shared" si="6"/>
        <v>532.5</v>
      </c>
      <c r="AS17" s="59">
        <f>I65</f>
        <v>50</v>
      </c>
      <c r="AT17" s="59">
        <f>K65</f>
        <v>521.4</v>
      </c>
      <c r="AU17" s="59">
        <f t="shared" ref="AU17:BD17" si="7">M65</f>
        <v>522.20000000000005</v>
      </c>
      <c r="AV17" s="59">
        <f t="shared" si="7"/>
        <v>62.9</v>
      </c>
      <c r="AW17" s="59">
        <f t="shared" si="7"/>
        <v>452.5</v>
      </c>
      <c r="AX17" s="59">
        <f t="shared" si="7"/>
        <v>454.40000000000003</v>
      </c>
      <c r="AY17" s="59">
        <f t="shared" si="7"/>
        <v>533.29999999999995</v>
      </c>
      <c r="AZ17" s="59">
        <f t="shared" si="7"/>
        <v>533.20000000000005</v>
      </c>
      <c r="BA17" s="59">
        <f t="shared" si="7"/>
        <v>533.4</v>
      </c>
      <c r="BB17" s="59">
        <f t="shared" si="7"/>
        <v>533.4</v>
      </c>
      <c r="BC17" s="59">
        <f t="shared" si="7"/>
        <v>532.79999999999995</v>
      </c>
      <c r="BD17" s="59">
        <f t="shared" si="7"/>
        <v>532.79999999999995</v>
      </c>
      <c r="BE17" s="60">
        <f>X65</f>
        <v>533</v>
      </c>
      <c r="BF17" s="60">
        <f>Z65</f>
        <v>532.79999999999995</v>
      </c>
      <c r="BG17" s="60">
        <f>AB65</f>
        <v>517.79999999999995</v>
      </c>
      <c r="BH17" s="60">
        <f>AD65</f>
        <v>517.79999999999995</v>
      </c>
      <c r="BI17" s="60">
        <f>AE65</f>
        <v>517.79999999999995</v>
      </c>
      <c r="BJ17" s="60">
        <f>AF65</f>
        <v>517.79999999999995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50.6</v>
      </c>
      <c r="F18" s="46">
        <v>50.6</v>
      </c>
      <c r="G18" s="46">
        <v>50.6</v>
      </c>
      <c r="H18" s="46">
        <v>50.6</v>
      </c>
      <c r="I18" s="46">
        <v>50.6</v>
      </c>
      <c r="J18" s="46">
        <v>50.6</v>
      </c>
      <c r="K18" s="46">
        <v>50.6</v>
      </c>
      <c r="L18" s="46">
        <v>50.6</v>
      </c>
      <c r="M18" s="46">
        <v>50.6</v>
      </c>
      <c r="N18" s="46">
        <v>50.6</v>
      </c>
      <c r="O18" s="46">
        <v>50.6</v>
      </c>
      <c r="P18" s="46">
        <v>50.6</v>
      </c>
      <c r="Q18" s="46">
        <v>50.6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53">
        <v>50.4</v>
      </c>
      <c r="AB18" s="53">
        <v>50.4</v>
      </c>
      <c r="AC18" s="53">
        <v>50.4</v>
      </c>
      <c r="AD18" s="53">
        <v>50.4</v>
      </c>
      <c r="AE18" s="53">
        <v>50.4</v>
      </c>
      <c r="AF18" s="53">
        <v>50.4</v>
      </c>
      <c r="AG18" s="50">
        <v>50</v>
      </c>
      <c r="AH18" s="48">
        <f t="shared" si="2"/>
        <v>50.6</v>
      </c>
      <c r="AI18" s="49">
        <f t="shared" si="3"/>
        <v>50.4</v>
      </c>
      <c r="AK18" s="51"/>
      <c r="AL18" s="54" t="s">
        <v>29</v>
      </c>
      <c r="AM18" s="59">
        <f t="shared" ref="AM18:AR18" si="8">B79</f>
        <v>424.14</v>
      </c>
      <c r="AN18" s="59">
        <f t="shared" si="8"/>
        <v>424.14</v>
      </c>
      <c r="AO18" s="59">
        <f t="shared" si="8"/>
        <v>416.14</v>
      </c>
      <c r="AP18" s="59">
        <f t="shared" si="8"/>
        <v>416.14</v>
      </c>
      <c r="AQ18" s="59">
        <f t="shared" si="8"/>
        <v>411.14</v>
      </c>
      <c r="AR18" s="59">
        <f t="shared" si="8"/>
        <v>411.14</v>
      </c>
      <c r="AS18" s="59">
        <f>I79</f>
        <v>387.94</v>
      </c>
      <c r="AT18" s="59">
        <f>K79</f>
        <v>415.94</v>
      </c>
      <c r="AU18" s="59">
        <f t="shared" ref="AU18:BD18" si="9">M79</f>
        <v>418.34</v>
      </c>
      <c r="AV18" s="59">
        <f t="shared" si="9"/>
        <v>418.34</v>
      </c>
      <c r="AW18" s="59">
        <f t="shared" si="9"/>
        <v>418.34</v>
      </c>
      <c r="AX18" s="59">
        <f t="shared" si="9"/>
        <v>423.94</v>
      </c>
      <c r="AY18" s="59">
        <f t="shared" si="9"/>
        <v>431.94</v>
      </c>
      <c r="AZ18" s="59">
        <f t="shared" si="9"/>
        <v>421.54</v>
      </c>
      <c r="BA18" s="59">
        <f t="shared" si="9"/>
        <v>421.94000000000005</v>
      </c>
      <c r="BB18" s="59">
        <f t="shared" si="9"/>
        <v>396.84000000000003</v>
      </c>
      <c r="BC18" s="59">
        <f t="shared" si="9"/>
        <v>405.34000000000003</v>
      </c>
      <c r="BD18" s="59">
        <f t="shared" si="9"/>
        <v>401.94</v>
      </c>
      <c r="BE18" s="60">
        <f>X79</f>
        <v>399.54</v>
      </c>
      <c r="BF18" s="60">
        <f>Z79</f>
        <v>408.70000000000005</v>
      </c>
      <c r="BG18" s="60">
        <f>AB79</f>
        <v>413.00000000000006</v>
      </c>
      <c r="BH18" s="60">
        <f>AD79</f>
        <v>413.00000000000006</v>
      </c>
      <c r="BI18" s="60">
        <f>AE79</f>
        <v>413.00000000000006</v>
      </c>
      <c r="BJ18" s="60">
        <f>AF79</f>
        <v>413.00000000000006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0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17.8</v>
      </c>
      <c r="AN19" s="59">
        <f t="shared" si="10"/>
        <v>24.3</v>
      </c>
      <c r="AO19" s="59">
        <f t="shared" si="10"/>
        <v>25</v>
      </c>
      <c r="AP19" s="59">
        <f t="shared" si="10"/>
        <v>26</v>
      </c>
      <c r="AQ19" s="59">
        <f t="shared" si="10"/>
        <v>30</v>
      </c>
      <c r="AR19" s="59">
        <f t="shared" si="10"/>
        <v>29.8</v>
      </c>
      <c r="AS19" s="59">
        <f>I95</f>
        <v>137</v>
      </c>
      <c r="AT19" s="59">
        <f>K95</f>
        <v>57</v>
      </c>
      <c r="AU19" s="59">
        <f t="shared" ref="AU19:BD19" si="11">M95</f>
        <v>57.3</v>
      </c>
      <c r="AV19" s="59">
        <f t="shared" si="11"/>
        <v>56.6</v>
      </c>
      <c r="AW19" s="59">
        <f t="shared" si="11"/>
        <v>73.8</v>
      </c>
      <c r="AX19" s="59">
        <f t="shared" si="11"/>
        <v>72.8</v>
      </c>
      <c r="AY19" s="59">
        <f t="shared" si="11"/>
        <v>61.7</v>
      </c>
      <c r="AZ19" s="59">
        <f t="shared" si="11"/>
        <v>66.900000000000006</v>
      </c>
      <c r="BA19" s="59">
        <f t="shared" si="11"/>
        <v>60</v>
      </c>
      <c r="BB19" s="59">
        <f t="shared" si="11"/>
        <v>0</v>
      </c>
      <c r="BC19" s="59">
        <f t="shared" si="11"/>
        <v>50</v>
      </c>
      <c r="BD19" s="59">
        <f t="shared" si="11"/>
        <v>30</v>
      </c>
      <c r="BE19" s="60">
        <f>X95</f>
        <v>30</v>
      </c>
      <c r="BF19" s="60">
        <f>Z95</f>
        <v>15.6</v>
      </c>
      <c r="BG19" s="60">
        <f>AB95</f>
        <v>56.5</v>
      </c>
      <c r="BH19" s="60">
        <f>AD95</f>
        <v>56.5</v>
      </c>
      <c r="BI19" s="60">
        <f>AE95</f>
        <v>56.5</v>
      </c>
      <c r="BJ19" s="60">
        <f>AF95</f>
        <v>56.5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40.4</v>
      </c>
      <c r="C20" s="46">
        <v>40.4</v>
      </c>
      <c r="D20" s="46">
        <v>40.4</v>
      </c>
      <c r="E20" s="46">
        <v>34</v>
      </c>
      <c r="F20" s="46">
        <v>34</v>
      </c>
      <c r="G20" s="46">
        <v>34</v>
      </c>
      <c r="H20" s="46">
        <v>34</v>
      </c>
      <c r="I20" s="46">
        <v>34</v>
      </c>
      <c r="J20" s="46">
        <v>34</v>
      </c>
      <c r="K20" s="46">
        <v>34</v>
      </c>
      <c r="L20" s="46">
        <v>34</v>
      </c>
      <c r="M20" s="46">
        <v>34</v>
      </c>
      <c r="N20" s="46">
        <v>34</v>
      </c>
      <c r="O20" s="46">
        <v>34</v>
      </c>
      <c r="P20" s="46">
        <v>34</v>
      </c>
      <c r="Q20" s="46">
        <v>34</v>
      </c>
      <c r="R20" s="46">
        <v>33</v>
      </c>
      <c r="S20" s="46">
        <v>33</v>
      </c>
      <c r="T20" s="46">
        <v>33</v>
      </c>
      <c r="U20" s="46">
        <v>33</v>
      </c>
      <c r="V20" s="46">
        <v>33</v>
      </c>
      <c r="W20" s="46">
        <v>33</v>
      </c>
      <c r="X20" s="46">
        <v>33</v>
      </c>
      <c r="Y20" s="46">
        <v>33</v>
      </c>
      <c r="Z20" s="46">
        <v>33</v>
      </c>
      <c r="AA20" s="46">
        <v>42.4</v>
      </c>
      <c r="AB20" s="46">
        <v>42.4</v>
      </c>
      <c r="AC20" s="46">
        <v>42.4</v>
      </c>
      <c r="AD20" s="46">
        <v>42.4</v>
      </c>
      <c r="AE20" s="46">
        <v>42.4</v>
      </c>
      <c r="AF20" s="46">
        <v>42.4</v>
      </c>
      <c r="AG20" s="50">
        <v>44</v>
      </c>
      <c r="AH20" s="48">
        <f t="shared" si="2"/>
        <v>42.4</v>
      </c>
      <c r="AI20" s="49">
        <f t="shared" si="3"/>
        <v>33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33.800000000000004</v>
      </c>
      <c r="AV20" s="59">
        <f t="shared" si="13"/>
        <v>33.800000000000004</v>
      </c>
      <c r="AW20" s="59">
        <f t="shared" si="13"/>
        <v>33.9</v>
      </c>
      <c r="AX20" s="59">
        <f t="shared" si="13"/>
        <v>33.6</v>
      </c>
      <c r="AY20" s="59">
        <f t="shared" si="13"/>
        <v>33.700000000000003</v>
      </c>
      <c r="AZ20" s="59">
        <f t="shared" si="13"/>
        <v>33.6</v>
      </c>
      <c r="BA20" s="59">
        <f t="shared" si="13"/>
        <v>27.000000000000004</v>
      </c>
      <c r="BB20" s="59">
        <f t="shared" si="13"/>
        <v>33.400000000000006</v>
      </c>
      <c r="BC20" s="59">
        <f t="shared" si="13"/>
        <v>33</v>
      </c>
      <c r="BD20" s="59">
        <f t="shared" si="13"/>
        <v>32.900000000000006</v>
      </c>
      <c r="BE20" s="60">
        <f>X83</f>
        <v>13.3</v>
      </c>
      <c r="BF20" s="60">
        <f>Z83</f>
        <v>19.100000000000001</v>
      </c>
      <c r="BG20" s="60">
        <f>AB83</f>
        <v>20.7</v>
      </c>
      <c r="BH20" s="60">
        <f>AD83</f>
        <v>20.7</v>
      </c>
      <c r="BI20" s="60">
        <f>AE83</f>
        <v>20.7</v>
      </c>
      <c r="BJ20" s="60">
        <f>AF83</f>
        <v>20.7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100</v>
      </c>
      <c r="AN21" s="59">
        <f t="shared" si="14"/>
        <v>100</v>
      </c>
      <c r="AO21" s="59">
        <f t="shared" si="14"/>
        <v>100</v>
      </c>
      <c r="AP21" s="59">
        <f t="shared" si="14"/>
        <v>100</v>
      </c>
      <c r="AQ21" s="59">
        <f t="shared" si="14"/>
        <v>100</v>
      </c>
      <c r="AR21" s="59">
        <f t="shared" si="14"/>
        <v>100</v>
      </c>
      <c r="AS21" s="59">
        <f>I101</f>
        <v>400</v>
      </c>
      <c r="AT21" s="59">
        <f>K101</f>
        <v>0</v>
      </c>
      <c r="AU21" s="59">
        <f t="shared" ref="AU21:BD21" si="15">M101</f>
        <v>0</v>
      </c>
      <c r="AV21" s="59">
        <f t="shared" si="15"/>
        <v>400</v>
      </c>
      <c r="AW21" s="59">
        <f t="shared" si="15"/>
        <v>50</v>
      </c>
      <c r="AX21" s="59">
        <f t="shared" si="15"/>
        <v>50</v>
      </c>
      <c r="AY21" s="59">
        <f t="shared" si="15"/>
        <v>100</v>
      </c>
      <c r="AZ21" s="59">
        <f t="shared" si="15"/>
        <v>150</v>
      </c>
      <c r="BA21" s="59">
        <f t="shared" si="15"/>
        <v>150</v>
      </c>
      <c r="BB21" s="59">
        <f t="shared" si="15"/>
        <v>200</v>
      </c>
      <c r="BC21" s="59">
        <f t="shared" si="15"/>
        <v>150</v>
      </c>
      <c r="BD21" s="59">
        <f t="shared" si="15"/>
        <v>150</v>
      </c>
      <c r="BE21" s="60">
        <f>X101</f>
        <v>120</v>
      </c>
      <c r="BF21" s="60">
        <f>Z101</f>
        <v>150</v>
      </c>
      <c r="BG21" s="60">
        <f>AB101</f>
        <v>150</v>
      </c>
      <c r="BH21" s="60">
        <f>AD101</f>
        <v>150</v>
      </c>
      <c r="BI21" s="60">
        <f>AE101</f>
        <v>150</v>
      </c>
      <c r="BJ21" s="60">
        <f>AF101</f>
        <v>120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32.700000000000003</v>
      </c>
      <c r="F22" s="46">
        <v>32.700000000000003</v>
      </c>
      <c r="G22" s="46">
        <v>32.700000000000003</v>
      </c>
      <c r="H22" s="46">
        <v>32.700000000000003</v>
      </c>
      <c r="I22" s="46">
        <v>32.700000000000003</v>
      </c>
      <c r="J22" s="46">
        <v>32.700000000000003</v>
      </c>
      <c r="K22" s="46">
        <v>32.700000000000003</v>
      </c>
      <c r="L22" s="46">
        <v>32.700000000000003</v>
      </c>
      <c r="M22" s="46">
        <v>32.700000000000003</v>
      </c>
      <c r="N22" s="46">
        <v>32.700000000000003</v>
      </c>
      <c r="O22" s="46">
        <v>32.700000000000003</v>
      </c>
      <c r="P22" s="46">
        <v>32.700000000000003</v>
      </c>
      <c r="Q22" s="46">
        <v>32.700000000000003</v>
      </c>
      <c r="R22" s="46">
        <v>26.3</v>
      </c>
      <c r="S22" s="46">
        <v>26.3</v>
      </c>
      <c r="T22" s="46">
        <v>26.3</v>
      </c>
      <c r="U22" s="46">
        <v>26.3</v>
      </c>
      <c r="V22" s="46">
        <v>26.3</v>
      </c>
      <c r="W22" s="46">
        <v>26.3</v>
      </c>
      <c r="X22" s="46">
        <v>26.3</v>
      </c>
      <c r="Y22" s="46">
        <v>26.3</v>
      </c>
      <c r="Z22" s="46">
        <v>26.3</v>
      </c>
      <c r="AA22" s="46">
        <v>26.3</v>
      </c>
      <c r="AB22" s="46">
        <v>26.3</v>
      </c>
      <c r="AC22" s="46">
        <v>26.3</v>
      </c>
      <c r="AD22" s="46">
        <v>26.3</v>
      </c>
      <c r="AE22" s="46">
        <v>26.3</v>
      </c>
      <c r="AF22" s="46">
        <v>26.3</v>
      </c>
      <c r="AG22" s="50">
        <v>38.46</v>
      </c>
      <c r="AH22" s="48">
        <f t="shared" si="2"/>
        <v>32.700000000000003</v>
      </c>
      <c r="AI22" s="49">
        <f t="shared" si="3"/>
        <v>26.3</v>
      </c>
      <c r="AK22" s="51"/>
      <c r="AL22" s="62" t="s">
        <v>37</v>
      </c>
      <c r="AM22" s="63">
        <f t="shared" ref="AM22:BJ22" si="16">SUM(AM16:AM21)</f>
        <v>1950.6399999999996</v>
      </c>
      <c r="AN22" s="63">
        <f t="shared" si="16"/>
        <v>1954.6399999999996</v>
      </c>
      <c r="AO22" s="63">
        <f t="shared" si="16"/>
        <v>1924.8399999999997</v>
      </c>
      <c r="AP22" s="63">
        <f t="shared" si="16"/>
        <v>1942.04</v>
      </c>
      <c r="AQ22" s="63">
        <f t="shared" si="16"/>
        <v>1933.44</v>
      </c>
      <c r="AR22" s="63">
        <f t="shared" si="16"/>
        <v>1958.74</v>
      </c>
      <c r="AS22" s="63">
        <f t="shared" si="16"/>
        <v>1622.84</v>
      </c>
      <c r="AT22" s="63">
        <f t="shared" si="16"/>
        <v>1877.94</v>
      </c>
      <c r="AU22" s="63">
        <f t="shared" si="16"/>
        <v>1971.9399999999998</v>
      </c>
      <c r="AV22" s="63">
        <f t="shared" si="16"/>
        <v>1898.7399999999998</v>
      </c>
      <c r="AW22" s="63">
        <f t="shared" si="16"/>
        <v>1929.04</v>
      </c>
      <c r="AX22" s="63">
        <f t="shared" si="16"/>
        <v>1935.24</v>
      </c>
      <c r="AY22" s="63">
        <f t="shared" si="16"/>
        <v>2061.1400000000003</v>
      </c>
      <c r="AZ22" s="63">
        <f t="shared" si="16"/>
        <v>2060.64</v>
      </c>
      <c r="BA22" s="63">
        <f t="shared" si="16"/>
        <v>2051.54</v>
      </c>
      <c r="BB22" s="63">
        <f t="shared" si="16"/>
        <v>2045.2400000000002</v>
      </c>
      <c r="BC22" s="63">
        <f t="shared" si="16"/>
        <v>2048.04</v>
      </c>
      <c r="BD22" s="63">
        <f t="shared" si="16"/>
        <v>2030.84</v>
      </c>
      <c r="BE22" s="63">
        <f t="shared" si="16"/>
        <v>1977.7399999999998</v>
      </c>
      <c r="BF22" s="63">
        <f t="shared" si="16"/>
        <v>1993.7999999999995</v>
      </c>
      <c r="BG22" s="63">
        <f t="shared" si="16"/>
        <v>2042.1999999999996</v>
      </c>
      <c r="BH22" s="63">
        <f t="shared" si="16"/>
        <v>2042.1999999999996</v>
      </c>
      <c r="BI22" s="63">
        <f t="shared" si="16"/>
        <v>2042.1999999999996</v>
      </c>
      <c r="BJ22" s="63">
        <f t="shared" si="16"/>
        <v>2012.1999999999996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>
        <v>22</v>
      </c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>
        <v>22</v>
      </c>
      <c r="AF23" s="46">
        <v>22</v>
      </c>
      <c r="AG23" s="50">
        <v>38.46</v>
      </c>
      <c r="AH23" s="48">
        <f t="shared" si="2"/>
        <v>22</v>
      </c>
      <c r="AI23" s="49">
        <f t="shared" si="3"/>
        <v>22</v>
      </c>
      <c r="AK23" s="51"/>
      <c r="AL23" s="62" t="s">
        <v>39</v>
      </c>
      <c r="AM23" s="63">
        <f t="shared" ref="AM23:AR23" si="17">B110*-1</f>
        <v>-204</v>
      </c>
      <c r="AN23" s="63">
        <f t="shared" si="17"/>
        <v>-306</v>
      </c>
      <c r="AO23" s="63">
        <f t="shared" si="17"/>
        <v>-295</v>
      </c>
      <c r="AP23" s="63">
        <f t="shared" si="17"/>
        <v>-330</v>
      </c>
      <c r="AQ23" s="63">
        <f t="shared" si="17"/>
        <v>-380</v>
      </c>
      <c r="AR23" s="63">
        <f t="shared" si="17"/>
        <v>-420</v>
      </c>
      <c r="AS23" s="63">
        <f>I110*-1</f>
        <v>0</v>
      </c>
      <c r="AT23" s="63">
        <f>K110*-1</f>
        <v>-333</v>
      </c>
      <c r="AU23" s="63">
        <f t="shared" ref="AU23:BD23" si="18">M110*-1</f>
        <v>-321</v>
      </c>
      <c r="AV23" s="63">
        <f t="shared" si="18"/>
        <v>-204.3</v>
      </c>
      <c r="AW23" s="63">
        <f t="shared" si="18"/>
        <v>-225</v>
      </c>
      <c r="AX23" s="63">
        <f t="shared" si="18"/>
        <v>-144.9</v>
      </c>
      <c r="AY23" s="63">
        <f t="shared" si="18"/>
        <v>-258</v>
      </c>
      <c r="AZ23" s="63">
        <f t="shared" si="18"/>
        <v>-225</v>
      </c>
      <c r="BA23" s="63">
        <f t="shared" si="18"/>
        <v>-145</v>
      </c>
      <c r="BB23" s="63">
        <f t="shared" si="18"/>
        <v>-250</v>
      </c>
      <c r="BC23" s="63">
        <f t="shared" si="18"/>
        <v>-249</v>
      </c>
      <c r="BD23" s="63">
        <f t="shared" si="18"/>
        <v>-305</v>
      </c>
      <c r="BE23" s="63">
        <f>X110*-1</f>
        <v>-301.2</v>
      </c>
      <c r="BF23" s="63">
        <f>Z110*-1</f>
        <v>-242</v>
      </c>
      <c r="BG23" s="63">
        <f>AB110*-1</f>
        <v>-177</v>
      </c>
      <c r="BH23" s="63">
        <f>AD110*-1</f>
        <v>-177</v>
      </c>
      <c r="BI23" s="63">
        <f>AE110*-1</f>
        <v>-177</v>
      </c>
      <c r="BJ23" s="63">
        <f>AF110*-1</f>
        <v>-177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31</v>
      </c>
      <c r="C24" s="46">
        <v>31</v>
      </c>
      <c r="D24" s="46">
        <v>31</v>
      </c>
      <c r="E24" s="46">
        <v>31</v>
      </c>
      <c r="F24" s="46">
        <v>31</v>
      </c>
      <c r="G24" s="46">
        <v>31</v>
      </c>
      <c r="H24" s="46">
        <v>31</v>
      </c>
      <c r="I24" s="46">
        <v>0</v>
      </c>
      <c r="J24" s="46">
        <v>12</v>
      </c>
      <c r="K24" s="46">
        <v>31</v>
      </c>
      <c r="L24" s="46">
        <v>31</v>
      </c>
      <c r="M24" s="46">
        <v>31</v>
      </c>
      <c r="N24" s="46">
        <v>31</v>
      </c>
      <c r="O24" s="46">
        <v>31</v>
      </c>
      <c r="P24" s="46">
        <v>31</v>
      </c>
      <c r="Q24" s="46">
        <v>31</v>
      </c>
      <c r="R24" s="46">
        <v>31</v>
      </c>
      <c r="S24" s="46">
        <v>31</v>
      </c>
      <c r="T24" s="46">
        <v>31</v>
      </c>
      <c r="U24" s="46">
        <v>31</v>
      </c>
      <c r="V24" s="46">
        <v>31</v>
      </c>
      <c r="W24" s="46">
        <v>31</v>
      </c>
      <c r="X24" s="46">
        <v>31</v>
      </c>
      <c r="Y24" s="46">
        <v>31</v>
      </c>
      <c r="Z24" s="46">
        <v>31</v>
      </c>
      <c r="AA24" s="46">
        <v>31</v>
      </c>
      <c r="AB24" s="46">
        <v>31</v>
      </c>
      <c r="AC24" s="46">
        <v>31</v>
      </c>
      <c r="AD24" s="46">
        <v>31</v>
      </c>
      <c r="AE24" s="46">
        <v>31</v>
      </c>
      <c r="AF24" s="46">
        <v>31</v>
      </c>
      <c r="AG24" s="50">
        <v>36</v>
      </c>
      <c r="AH24" s="48">
        <f t="shared" si="2"/>
        <v>31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1746.6399999999996</v>
      </c>
      <c r="AN24" s="63">
        <f t="shared" si="19"/>
        <v>1648.6399999999996</v>
      </c>
      <c r="AO24" s="63">
        <f t="shared" si="19"/>
        <v>1629.8399999999997</v>
      </c>
      <c r="AP24" s="63">
        <f t="shared" si="19"/>
        <v>1612.04</v>
      </c>
      <c r="AQ24" s="63">
        <f t="shared" si="19"/>
        <v>1553.44</v>
      </c>
      <c r="AR24" s="63">
        <f t="shared" si="19"/>
        <v>1538.74</v>
      </c>
      <c r="AS24" s="63">
        <f t="shared" si="19"/>
        <v>1622.84</v>
      </c>
      <c r="AT24" s="63">
        <f t="shared" si="19"/>
        <v>1544.94</v>
      </c>
      <c r="AU24" s="63">
        <f t="shared" si="19"/>
        <v>1650.9399999999998</v>
      </c>
      <c r="AV24" s="63">
        <f t="shared" si="19"/>
        <v>1694.4399999999998</v>
      </c>
      <c r="AW24" s="63">
        <f t="shared" si="19"/>
        <v>1704.04</v>
      </c>
      <c r="AX24" s="63">
        <f t="shared" si="19"/>
        <v>1790.34</v>
      </c>
      <c r="AY24" s="63">
        <f t="shared" si="19"/>
        <v>1803.1400000000003</v>
      </c>
      <c r="AZ24" s="63">
        <f t="shared" si="19"/>
        <v>1835.6399999999999</v>
      </c>
      <c r="BA24" s="63">
        <f t="shared" si="19"/>
        <v>1906.54</v>
      </c>
      <c r="BB24" s="63">
        <f t="shared" si="19"/>
        <v>1795.2400000000002</v>
      </c>
      <c r="BC24" s="63">
        <f t="shared" si="19"/>
        <v>1799.04</v>
      </c>
      <c r="BD24" s="63">
        <f t="shared" si="19"/>
        <v>1725.84</v>
      </c>
      <c r="BE24" s="63">
        <f t="shared" si="19"/>
        <v>1676.5399999999997</v>
      </c>
      <c r="BF24" s="63">
        <f t="shared" si="19"/>
        <v>1751.7999999999995</v>
      </c>
      <c r="BG24" s="63">
        <f t="shared" si="19"/>
        <v>1865.1999999999996</v>
      </c>
      <c r="BH24" s="63">
        <f t="shared" si="19"/>
        <v>1865.1999999999996</v>
      </c>
      <c r="BI24" s="63">
        <f t="shared" si="19"/>
        <v>1865.1999999999996</v>
      </c>
      <c r="BJ24" s="63">
        <f t="shared" si="19"/>
        <v>1835.1999999999996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19</v>
      </c>
      <c r="C25" s="46">
        <v>19</v>
      </c>
      <c r="D25" s="46">
        <v>19</v>
      </c>
      <c r="E25" s="46">
        <v>16.3</v>
      </c>
      <c r="F25" s="46">
        <v>16.3</v>
      </c>
      <c r="G25" s="46">
        <v>16.3</v>
      </c>
      <c r="H25" s="46">
        <v>16.3</v>
      </c>
      <c r="I25" s="46">
        <v>13.9</v>
      </c>
      <c r="J25" s="46">
        <v>14</v>
      </c>
      <c r="K25" s="46">
        <v>16.3</v>
      </c>
      <c r="L25" s="46">
        <v>16.3</v>
      </c>
      <c r="M25" s="46">
        <v>16.3</v>
      </c>
      <c r="N25" s="46">
        <v>16.3</v>
      </c>
      <c r="O25" s="46">
        <v>16.3</v>
      </c>
      <c r="P25" s="46">
        <v>16.3</v>
      </c>
      <c r="Q25" s="46">
        <v>16.3</v>
      </c>
      <c r="R25" s="46">
        <v>12.9</v>
      </c>
      <c r="S25" s="46">
        <v>12.9</v>
      </c>
      <c r="T25" s="46">
        <v>12.9</v>
      </c>
      <c r="U25" s="46">
        <v>12.9</v>
      </c>
      <c r="V25" s="46">
        <v>12.9</v>
      </c>
      <c r="W25" s="46">
        <v>12.9</v>
      </c>
      <c r="X25" s="46">
        <v>12.9</v>
      </c>
      <c r="Y25" s="46">
        <v>12.9</v>
      </c>
      <c r="Z25" s="46">
        <v>12.9</v>
      </c>
      <c r="AA25" s="46">
        <v>19</v>
      </c>
      <c r="AB25" s="46">
        <v>19</v>
      </c>
      <c r="AC25" s="46">
        <v>19</v>
      </c>
      <c r="AD25" s="46">
        <v>19</v>
      </c>
      <c r="AE25" s="46">
        <v>19</v>
      </c>
      <c r="AF25" s="46">
        <v>19</v>
      </c>
      <c r="AG25" s="61">
        <v>30</v>
      </c>
      <c r="AH25" s="48">
        <f t="shared" si="2"/>
        <v>19</v>
      </c>
      <c r="AI25" s="49">
        <f t="shared" si="3"/>
        <v>12.9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15.2</v>
      </c>
      <c r="C26" s="46">
        <v>15.2</v>
      </c>
      <c r="D26" s="46">
        <v>15.2</v>
      </c>
      <c r="E26" s="46">
        <v>29.6</v>
      </c>
      <c r="F26" s="46">
        <v>22</v>
      </c>
      <c r="G26" s="46">
        <v>22</v>
      </c>
      <c r="H26" s="46">
        <v>22</v>
      </c>
      <c r="I26" s="46">
        <v>0</v>
      </c>
      <c r="J26" s="46">
        <v>22</v>
      </c>
      <c r="K26" s="46">
        <v>22</v>
      </c>
      <c r="L26" s="46">
        <v>22</v>
      </c>
      <c r="M26" s="46">
        <v>22</v>
      </c>
      <c r="N26" s="46">
        <v>22</v>
      </c>
      <c r="O26" s="46">
        <v>22</v>
      </c>
      <c r="P26" s="46">
        <v>22</v>
      </c>
      <c r="Q26" s="46">
        <v>22</v>
      </c>
      <c r="R26" s="46">
        <v>15.7</v>
      </c>
      <c r="S26" s="46">
        <v>15.7</v>
      </c>
      <c r="T26" s="46">
        <v>15.7</v>
      </c>
      <c r="U26" s="46">
        <v>15.7</v>
      </c>
      <c r="V26" s="46">
        <v>15.7</v>
      </c>
      <c r="W26" s="46">
        <v>15.7</v>
      </c>
      <c r="X26" s="46">
        <v>15.7</v>
      </c>
      <c r="Y26" s="46">
        <v>15.7</v>
      </c>
      <c r="Z26" s="46">
        <v>15.7</v>
      </c>
      <c r="AA26" s="46">
        <v>18</v>
      </c>
      <c r="AB26" s="46">
        <v>18</v>
      </c>
      <c r="AC26" s="46">
        <v>18</v>
      </c>
      <c r="AD26" s="46">
        <v>18</v>
      </c>
      <c r="AE26" s="46">
        <v>18</v>
      </c>
      <c r="AF26" s="46">
        <v>18</v>
      </c>
      <c r="AG26" s="50">
        <v>24.2</v>
      </c>
      <c r="AH26" s="48">
        <f t="shared" si="2"/>
        <v>29.6</v>
      </c>
      <c r="AI26" s="49">
        <f t="shared" si="3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14.8</v>
      </c>
      <c r="C27" s="46">
        <v>14.8</v>
      </c>
      <c r="D27" s="46">
        <v>14.8</v>
      </c>
      <c r="E27" s="46">
        <v>18.5</v>
      </c>
      <c r="F27" s="46">
        <v>18.5</v>
      </c>
      <c r="G27" s="46">
        <v>18.5</v>
      </c>
      <c r="H27" s="46">
        <v>18.5</v>
      </c>
      <c r="I27" s="46">
        <v>0</v>
      </c>
      <c r="J27" s="46">
        <v>5.5</v>
      </c>
      <c r="K27" s="46">
        <v>18.5</v>
      </c>
      <c r="L27" s="46">
        <v>18.5</v>
      </c>
      <c r="M27" s="46">
        <v>18.5</v>
      </c>
      <c r="N27" s="46">
        <v>18.5</v>
      </c>
      <c r="O27" s="46">
        <v>18.5</v>
      </c>
      <c r="P27" s="46">
        <v>18.5</v>
      </c>
      <c r="Q27" s="46">
        <v>18.5</v>
      </c>
      <c r="R27" s="46">
        <v>23.9</v>
      </c>
      <c r="S27" s="46">
        <v>23.9</v>
      </c>
      <c r="T27" s="46">
        <v>23.9</v>
      </c>
      <c r="U27" s="46">
        <v>23.9</v>
      </c>
      <c r="V27" s="46">
        <v>23.9</v>
      </c>
      <c r="W27" s="46">
        <v>23.9</v>
      </c>
      <c r="X27" s="46">
        <v>23.9</v>
      </c>
      <c r="Y27" s="46">
        <v>23.9</v>
      </c>
      <c r="Z27" s="46">
        <v>23.9</v>
      </c>
      <c r="AA27" s="46">
        <v>19.8</v>
      </c>
      <c r="AB27" s="46">
        <v>19.8</v>
      </c>
      <c r="AC27" s="46">
        <v>19.8</v>
      </c>
      <c r="AD27" s="46">
        <v>19.8</v>
      </c>
      <c r="AE27" s="46">
        <v>19.8</v>
      </c>
      <c r="AF27" s="46">
        <v>19.8</v>
      </c>
      <c r="AG27" s="50">
        <v>28</v>
      </c>
      <c r="AH27" s="48">
        <f t="shared" si="2"/>
        <v>23.9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20</v>
      </c>
      <c r="C28" s="46">
        <v>20</v>
      </c>
      <c r="D28" s="46">
        <v>20</v>
      </c>
      <c r="E28" s="46">
        <v>19.2</v>
      </c>
      <c r="F28" s="46">
        <v>19.2</v>
      </c>
      <c r="G28" s="46">
        <v>19.2</v>
      </c>
      <c r="H28" s="46">
        <v>19.2</v>
      </c>
      <c r="I28" s="46">
        <v>19.2</v>
      </c>
      <c r="J28" s="46">
        <v>15.5</v>
      </c>
      <c r="K28" s="46">
        <v>19.2</v>
      </c>
      <c r="L28" s="46">
        <v>19.2</v>
      </c>
      <c r="M28" s="46">
        <v>19.2</v>
      </c>
      <c r="N28" s="46">
        <v>19.2</v>
      </c>
      <c r="O28" s="46">
        <v>19.2</v>
      </c>
      <c r="P28" s="46">
        <v>19.2</v>
      </c>
      <c r="Q28" s="46">
        <v>19.2</v>
      </c>
      <c r="R28" s="46">
        <v>16.399999999999999</v>
      </c>
      <c r="S28" s="46">
        <v>16.399999999999999</v>
      </c>
      <c r="T28" s="46">
        <v>16.399999999999999</v>
      </c>
      <c r="U28" s="46">
        <v>16.399999999999999</v>
      </c>
      <c r="V28" s="46">
        <v>16.399999999999999</v>
      </c>
      <c r="W28" s="46">
        <v>16.399999999999999</v>
      </c>
      <c r="X28" s="46">
        <v>16.399999999999999</v>
      </c>
      <c r="Y28" s="46">
        <v>16.399999999999999</v>
      </c>
      <c r="Z28" s="46">
        <v>16.399999999999999</v>
      </c>
      <c r="AA28" s="46">
        <v>16.399999999999999</v>
      </c>
      <c r="AB28" s="46">
        <v>16.399999999999999</v>
      </c>
      <c r="AC28" s="46">
        <v>16.399999999999999</v>
      </c>
      <c r="AD28" s="46">
        <v>16.399999999999999</v>
      </c>
      <c r="AE28" s="46">
        <v>16.399999999999999</v>
      </c>
      <c r="AF28" s="46">
        <v>16.399999999999999</v>
      </c>
      <c r="AG28" s="61">
        <v>30</v>
      </c>
      <c r="AH28" s="48">
        <f t="shared" si="2"/>
        <v>20</v>
      </c>
      <c r="AI28" s="49">
        <f t="shared" si="3"/>
        <v>15.5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26.1</v>
      </c>
      <c r="C29" s="46">
        <v>26.1</v>
      </c>
      <c r="D29" s="46">
        <v>26.1</v>
      </c>
      <c r="E29" s="46">
        <v>20</v>
      </c>
      <c r="F29" s="46">
        <v>20</v>
      </c>
      <c r="G29" s="46">
        <v>20</v>
      </c>
      <c r="H29" s="46">
        <v>20</v>
      </c>
      <c r="I29" s="46">
        <v>20</v>
      </c>
      <c r="J29" s="46">
        <v>20</v>
      </c>
      <c r="K29" s="46">
        <v>20</v>
      </c>
      <c r="L29" s="46">
        <v>20</v>
      </c>
      <c r="M29" s="46">
        <v>20</v>
      </c>
      <c r="N29" s="46">
        <v>20</v>
      </c>
      <c r="O29" s="46">
        <v>20</v>
      </c>
      <c r="P29" s="46">
        <v>20</v>
      </c>
      <c r="Q29" s="46">
        <v>20</v>
      </c>
      <c r="R29" s="46">
        <v>20</v>
      </c>
      <c r="S29" s="46">
        <v>20</v>
      </c>
      <c r="T29" s="46">
        <v>20</v>
      </c>
      <c r="U29" s="46">
        <v>20</v>
      </c>
      <c r="V29" s="46">
        <v>20</v>
      </c>
      <c r="W29" s="46">
        <v>20</v>
      </c>
      <c r="X29" s="46">
        <v>20</v>
      </c>
      <c r="Y29" s="46">
        <v>20</v>
      </c>
      <c r="Z29" s="46">
        <v>20</v>
      </c>
      <c r="AA29" s="46">
        <v>20</v>
      </c>
      <c r="AB29" s="46">
        <v>20</v>
      </c>
      <c r="AC29" s="46">
        <v>20</v>
      </c>
      <c r="AD29" s="46">
        <v>20</v>
      </c>
      <c r="AE29" s="46">
        <v>20</v>
      </c>
      <c r="AF29" s="46">
        <v>20</v>
      </c>
      <c r="AG29" s="50">
        <v>25</v>
      </c>
      <c r="AH29" s="48">
        <f t="shared" si="2"/>
        <v>26.1</v>
      </c>
      <c r="AI29" s="49">
        <f t="shared" si="3"/>
        <v>20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0</v>
      </c>
      <c r="J31" s="46">
        <v>0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25.6</v>
      </c>
      <c r="C32" s="46">
        <v>25.6</v>
      </c>
      <c r="D32" s="46">
        <v>25.6</v>
      </c>
      <c r="E32" s="46">
        <v>22.8</v>
      </c>
      <c r="F32" s="46">
        <v>22.8</v>
      </c>
      <c r="G32" s="46">
        <v>22.8</v>
      </c>
      <c r="H32" s="46">
        <v>22.8</v>
      </c>
      <c r="I32" s="46">
        <v>22.8</v>
      </c>
      <c r="J32" s="46">
        <v>22.8</v>
      </c>
      <c r="K32" s="46">
        <v>22.8</v>
      </c>
      <c r="L32" s="46">
        <v>22.8</v>
      </c>
      <c r="M32" s="46">
        <v>22.8</v>
      </c>
      <c r="N32" s="46">
        <v>22.8</v>
      </c>
      <c r="O32" s="46">
        <v>22.8</v>
      </c>
      <c r="P32" s="46">
        <v>22.8</v>
      </c>
      <c r="Q32" s="46">
        <v>22.8</v>
      </c>
      <c r="R32" s="46">
        <v>18.899999999999999</v>
      </c>
      <c r="S32" s="46">
        <v>18.899999999999999</v>
      </c>
      <c r="T32" s="46">
        <v>18.899999999999999</v>
      </c>
      <c r="U32" s="46">
        <v>18.899999999999999</v>
      </c>
      <c r="V32" s="46">
        <v>18.899999999999999</v>
      </c>
      <c r="W32" s="46">
        <v>18.899999999999999</v>
      </c>
      <c r="X32" s="46">
        <v>18.899999999999999</v>
      </c>
      <c r="Y32" s="46">
        <v>18.899999999999999</v>
      </c>
      <c r="Z32" s="46">
        <v>18.899999999999999</v>
      </c>
      <c r="AA32" s="46">
        <v>18.899999999999999</v>
      </c>
      <c r="AB32" s="46">
        <v>18.899999999999999</v>
      </c>
      <c r="AC32" s="46">
        <v>18.899999999999999</v>
      </c>
      <c r="AD32" s="46">
        <v>18.899999999999999</v>
      </c>
      <c r="AE32" s="46">
        <v>18.899999999999999</v>
      </c>
      <c r="AF32" s="46">
        <v>18.899999999999999</v>
      </c>
      <c r="AG32" s="50">
        <v>25</v>
      </c>
      <c r="AH32" s="48">
        <f t="shared" si="2"/>
        <v>25.6</v>
      </c>
      <c r="AI32" s="49">
        <f t="shared" si="3"/>
        <v>18.899999999999999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12.4</v>
      </c>
      <c r="C33" s="46">
        <v>12.4</v>
      </c>
      <c r="D33" s="46">
        <v>12.4</v>
      </c>
      <c r="E33" s="46">
        <v>9.6</v>
      </c>
      <c r="F33" s="46">
        <v>9.6</v>
      </c>
      <c r="G33" s="46">
        <v>9.6</v>
      </c>
      <c r="H33" s="46">
        <v>9.6</v>
      </c>
      <c r="I33" s="46">
        <v>9.6</v>
      </c>
      <c r="J33" s="46">
        <v>9.6</v>
      </c>
      <c r="K33" s="46">
        <v>9.6</v>
      </c>
      <c r="L33" s="46">
        <v>9.6</v>
      </c>
      <c r="M33" s="46">
        <v>9.6</v>
      </c>
      <c r="N33" s="46">
        <v>9.6</v>
      </c>
      <c r="O33" s="46">
        <v>9.6</v>
      </c>
      <c r="P33" s="46">
        <v>9.6</v>
      </c>
      <c r="Q33" s="46">
        <v>9.6</v>
      </c>
      <c r="R33" s="46">
        <v>12.4</v>
      </c>
      <c r="S33" s="46">
        <v>12.4</v>
      </c>
      <c r="T33" s="46">
        <v>12.4</v>
      </c>
      <c r="U33" s="46">
        <v>12.4</v>
      </c>
      <c r="V33" s="46">
        <v>12.4</v>
      </c>
      <c r="W33" s="46">
        <v>12.4</v>
      </c>
      <c r="X33" s="46">
        <v>12.4</v>
      </c>
      <c r="Y33" s="46">
        <v>12.4</v>
      </c>
      <c r="Z33" s="46">
        <v>12.4</v>
      </c>
      <c r="AA33" s="46">
        <v>12.4</v>
      </c>
      <c r="AB33" s="46">
        <v>12.4</v>
      </c>
      <c r="AC33" s="46">
        <v>12.4</v>
      </c>
      <c r="AD33" s="46">
        <v>12.4</v>
      </c>
      <c r="AE33" s="46">
        <v>12.4</v>
      </c>
      <c r="AF33" s="46">
        <v>12.4</v>
      </c>
      <c r="AG33" s="50">
        <v>23.5</v>
      </c>
      <c r="AH33" s="48">
        <f t="shared" si="2"/>
        <v>12.4</v>
      </c>
      <c r="AI33" s="49">
        <f t="shared" si="3"/>
        <v>9.6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0</v>
      </c>
      <c r="J34" s="46">
        <v>0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8</v>
      </c>
      <c r="C36" s="46">
        <v>8</v>
      </c>
      <c r="D36" s="46">
        <v>8</v>
      </c>
      <c r="E36" s="46">
        <v>8</v>
      </c>
      <c r="F36" s="46">
        <v>8</v>
      </c>
      <c r="G36" s="46">
        <v>8</v>
      </c>
      <c r="H36" s="46">
        <v>8</v>
      </c>
      <c r="I36" s="46">
        <v>8</v>
      </c>
      <c r="J36" s="46">
        <v>8</v>
      </c>
      <c r="K36" s="46">
        <v>8</v>
      </c>
      <c r="L36" s="46">
        <v>8</v>
      </c>
      <c r="M36" s="46">
        <v>8</v>
      </c>
      <c r="N36" s="46">
        <v>8</v>
      </c>
      <c r="O36" s="46">
        <v>8</v>
      </c>
      <c r="P36" s="46">
        <v>8</v>
      </c>
      <c r="Q36" s="46">
        <v>8</v>
      </c>
      <c r="R36" s="46">
        <v>8</v>
      </c>
      <c r="S36" s="46">
        <v>15</v>
      </c>
      <c r="T36" s="46">
        <v>15</v>
      </c>
      <c r="U36" s="46">
        <v>15</v>
      </c>
      <c r="V36" s="46">
        <v>15</v>
      </c>
      <c r="W36" s="46">
        <v>15</v>
      </c>
      <c r="X36" s="46">
        <v>15</v>
      </c>
      <c r="Y36" s="46">
        <v>15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50">
        <v>22</v>
      </c>
      <c r="AH36" s="48">
        <f t="shared" si="2"/>
        <v>15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10.8</v>
      </c>
      <c r="C37" s="46">
        <v>10.8</v>
      </c>
      <c r="D37" s="46">
        <v>10.8</v>
      </c>
      <c r="E37" s="46">
        <v>9.6999999999999993</v>
      </c>
      <c r="F37" s="46">
        <v>9.6999999999999993</v>
      </c>
      <c r="G37" s="46">
        <v>9.6999999999999993</v>
      </c>
      <c r="H37" s="46">
        <v>9.6999999999999993</v>
      </c>
      <c r="I37" s="46">
        <v>9.6999999999999993</v>
      </c>
      <c r="J37" s="46">
        <v>11.7</v>
      </c>
      <c r="K37" s="46">
        <v>9.6999999999999993</v>
      </c>
      <c r="L37" s="46">
        <v>9.6999999999999993</v>
      </c>
      <c r="M37" s="46">
        <v>9.6999999999999993</v>
      </c>
      <c r="N37" s="46">
        <v>9.6999999999999993</v>
      </c>
      <c r="O37" s="46">
        <v>9.6999999999999993</v>
      </c>
      <c r="P37" s="46">
        <v>9.6999999999999993</v>
      </c>
      <c r="Q37" s="46">
        <v>9.6999999999999993</v>
      </c>
      <c r="R37" s="46">
        <v>14.9</v>
      </c>
      <c r="S37" s="46">
        <v>14.9</v>
      </c>
      <c r="T37" s="46">
        <v>14.9</v>
      </c>
      <c r="U37" s="46">
        <v>14.9</v>
      </c>
      <c r="V37" s="46">
        <v>14.9</v>
      </c>
      <c r="W37" s="46">
        <v>14.9</v>
      </c>
      <c r="X37" s="46">
        <v>14.9</v>
      </c>
      <c r="Y37" s="46">
        <v>14.9</v>
      </c>
      <c r="Z37" s="46">
        <v>14.9</v>
      </c>
      <c r="AA37" s="46">
        <v>14.9</v>
      </c>
      <c r="AB37" s="46">
        <v>14.9</v>
      </c>
      <c r="AC37" s="46">
        <v>14.9</v>
      </c>
      <c r="AD37" s="46">
        <v>14.9</v>
      </c>
      <c r="AE37" s="46">
        <v>14.9</v>
      </c>
      <c r="AF37" s="46">
        <v>14.9</v>
      </c>
      <c r="AG37" s="50">
        <v>22</v>
      </c>
      <c r="AH37" s="48">
        <f t="shared" si="2"/>
        <v>14.9</v>
      </c>
      <c r="AI37" s="49">
        <f t="shared" si="3"/>
        <v>9.6999999999999993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</v>
      </c>
      <c r="C38" s="46">
        <v>20.3</v>
      </c>
      <c r="D38" s="46">
        <v>20.3</v>
      </c>
      <c r="E38" s="46">
        <v>20.399999999999999</v>
      </c>
      <c r="F38" s="46">
        <v>20.399999999999999</v>
      </c>
      <c r="G38" s="46">
        <v>20.399999999999999</v>
      </c>
      <c r="H38" s="46">
        <v>20.399999999999999</v>
      </c>
      <c r="I38" s="46">
        <v>20.399999999999999</v>
      </c>
      <c r="J38" s="46">
        <v>20.399999999999999</v>
      </c>
      <c r="K38" s="46">
        <v>20.399999999999999</v>
      </c>
      <c r="L38" s="46">
        <v>20.399999999999999</v>
      </c>
      <c r="M38" s="46">
        <v>20.399999999999999</v>
      </c>
      <c r="N38" s="46">
        <v>20.399999999999999</v>
      </c>
      <c r="O38" s="46">
        <v>20.399999999999999</v>
      </c>
      <c r="P38" s="46">
        <v>20.399999999999999</v>
      </c>
      <c r="Q38" s="46">
        <v>20.399999999999999</v>
      </c>
      <c r="R38" s="46">
        <v>19.899999999999999</v>
      </c>
      <c r="S38" s="46">
        <v>19.899999999999999</v>
      </c>
      <c r="T38" s="46">
        <v>19.899999999999999</v>
      </c>
      <c r="U38" s="46">
        <v>19.899999999999999</v>
      </c>
      <c r="V38" s="46">
        <v>19.899999999999999</v>
      </c>
      <c r="W38" s="46">
        <v>19.899999999999999</v>
      </c>
      <c r="X38" s="46">
        <v>19.899999999999999</v>
      </c>
      <c r="Y38" s="46">
        <v>19.899999999999999</v>
      </c>
      <c r="Z38" s="46">
        <v>19.899999999999999</v>
      </c>
      <c r="AA38" s="46">
        <v>19.899999999999999</v>
      </c>
      <c r="AB38" s="46">
        <v>19.899999999999999</v>
      </c>
      <c r="AC38" s="46">
        <v>19.899999999999999</v>
      </c>
      <c r="AD38" s="46">
        <v>19.899999999999999</v>
      </c>
      <c r="AE38" s="46">
        <v>19.899999999999999</v>
      </c>
      <c r="AF38" s="46">
        <v>19.899999999999999</v>
      </c>
      <c r="AG38" s="50">
        <v>20</v>
      </c>
      <c r="AH38" s="48">
        <f t="shared" si="2"/>
        <v>20.399999999999999</v>
      </c>
      <c r="AI38" s="49">
        <f t="shared" si="3"/>
        <v>19.899999999999999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12.4</v>
      </c>
      <c r="C40" s="46">
        <v>12.4</v>
      </c>
      <c r="D40" s="46">
        <v>12.4</v>
      </c>
      <c r="E40" s="46">
        <v>14.6</v>
      </c>
      <c r="F40" s="46">
        <v>14.6</v>
      </c>
      <c r="G40" s="46">
        <v>14.6</v>
      </c>
      <c r="H40" s="46">
        <v>14.6</v>
      </c>
      <c r="I40" s="46">
        <v>14.6</v>
      </c>
      <c r="J40" s="46">
        <v>14.6</v>
      </c>
      <c r="K40" s="46">
        <v>14.6</v>
      </c>
      <c r="L40" s="46">
        <v>14.6</v>
      </c>
      <c r="M40" s="46">
        <v>14.6</v>
      </c>
      <c r="N40" s="46">
        <v>14.6</v>
      </c>
      <c r="O40" s="46">
        <v>14.6</v>
      </c>
      <c r="P40" s="46">
        <v>14.6</v>
      </c>
      <c r="Q40" s="46">
        <v>14.6</v>
      </c>
      <c r="R40" s="46">
        <v>12.6</v>
      </c>
      <c r="S40" s="46">
        <v>12.6</v>
      </c>
      <c r="T40" s="46">
        <v>12.6</v>
      </c>
      <c r="U40" s="46">
        <v>12.6</v>
      </c>
      <c r="V40" s="46">
        <v>12.6</v>
      </c>
      <c r="W40" s="46">
        <v>12.6</v>
      </c>
      <c r="X40" s="46">
        <v>12.6</v>
      </c>
      <c r="Y40" s="46">
        <v>12.6</v>
      </c>
      <c r="Z40" s="46">
        <v>12.6</v>
      </c>
      <c r="AA40" s="46">
        <v>12.6</v>
      </c>
      <c r="AB40" s="46">
        <v>12.6</v>
      </c>
      <c r="AC40" s="46">
        <v>12.6</v>
      </c>
      <c r="AD40" s="46">
        <v>12.6</v>
      </c>
      <c r="AE40" s="46">
        <v>12.6</v>
      </c>
      <c r="AF40" s="46">
        <v>12.6</v>
      </c>
      <c r="AG40" s="50">
        <v>18</v>
      </c>
      <c r="AH40" s="48">
        <f t="shared" si="2"/>
        <v>14.6</v>
      </c>
      <c r="AI40" s="49">
        <f t="shared" si="3"/>
        <v>12.4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0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3.5</v>
      </c>
      <c r="C58" s="46">
        <v>3.5</v>
      </c>
      <c r="D58" s="46">
        <v>3.5</v>
      </c>
      <c r="E58" s="46">
        <v>3.5</v>
      </c>
      <c r="F58" s="46">
        <v>3.5</v>
      </c>
      <c r="G58" s="46">
        <v>3.5</v>
      </c>
      <c r="H58" s="46">
        <v>3.5</v>
      </c>
      <c r="I58" s="46">
        <v>3.5</v>
      </c>
      <c r="J58" s="46">
        <v>3.5</v>
      </c>
      <c r="K58" s="46">
        <v>3.5</v>
      </c>
      <c r="L58" s="46">
        <v>3.5</v>
      </c>
      <c r="M58" s="46">
        <v>3.5</v>
      </c>
      <c r="N58" s="46">
        <v>3.5</v>
      </c>
      <c r="O58" s="46">
        <v>3.5</v>
      </c>
      <c r="P58" s="46">
        <v>3.5</v>
      </c>
      <c r="Q58" s="46">
        <v>3.5</v>
      </c>
      <c r="R58" s="46">
        <v>3.5</v>
      </c>
      <c r="S58" s="46">
        <v>3.5</v>
      </c>
      <c r="T58" s="46">
        <v>3.5</v>
      </c>
      <c r="U58" s="46">
        <v>3.5</v>
      </c>
      <c r="V58" s="46">
        <v>3.5</v>
      </c>
      <c r="W58" s="46">
        <v>3.5</v>
      </c>
      <c r="X58" s="46">
        <v>3.5</v>
      </c>
      <c r="Y58" s="46">
        <v>3.5</v>
      </c>
      <c r="Z58" s="46">
        <v>3.5</v>
      </c>
      <c r="AA58" s="46">
        <v>3.5</v>
      </c>
      <c r="AB58" s="46">
        <v>3.5</v>
      </c>
      <c r="AC58" s="46">
        <v>3.5</v>
      </c>
      <c r="AD58" s="46">
        <v>3.5</v>
      </c>
      <c r="AE58" s="46">
        <v>3.5</v>
      </c>
      <c r="AF58" s="46">
        <v>3.5</v>
      </c>
      <c r="AG58" s="66">
        <v>10</v>
      </c>
      <c r="AH58" s="48">
        <f t="shared" si="2"/>
        <v>3.5</v>
      </c>
      <c r="AI58" s="49">
        <f t="shared" si="3"/>
        <v>3.5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98.9</v>
      </c>
      <c r="C60" s="68" t="s">
        <v>288</v>
      </c>
      <c r="D60" s="68" t="s">
        <v>289</v>
      </c>
      <c r="E60" s="68">
        <v>104</v>
      </c>
      <c r="F60" s="68">
        <v>104</v>
      </c>
      <c r="G60" s="68">
        <v>40</v>
      </c>
      <c r="H60" s="68">
        <v>59.7</v>
      </c>
      <c r="I60" s="68">
        <v>90</v>
      </c>
      <c r="J60" s="68">
        <v>60</v>
      </c>
      <c r="K60" s="68">
        <v>73</v>
      </c>
      <c r="L60" s="68">
        <v>65</v>
      </c>
      <c r="M60" s="68">
        <v>65</v>
      </c>
      <c r="N60" s="68">
        <v>65</v>
      </c>
      <c r="O60" s="68">
        <v>65</v>
      </c>
      <c r="P60" s="68">
        <v>65</v>
      </c>
      <c r="Q60" s="68">
        <v>65</v>
      </c>
      <c r="R60" s="68">
        <f>24.8+66.6</f>
        <v>91.399999999999991</v>
      </c>
      <c r="S60" s="53">
        <f>75.6+27.8</f>
        <v>103.39999999999999</v>
      </c>
      <c r="T60" s="53">
        <f>75.7+28.6</f>
        <v>104.30000000000001</v>
      </c>
      <c r="U60" s="53">
        <f>74+28.4</f>
        <v>102.4</v>
      </c>
      <c r="V60" s="53">
        <f>70.5+24.9</f>
        <v>95.4</v>
      </c>
      <c r="W60" s="53">
        <f>69.1+25.9</f>
        <v>95</v>
      </c>
      <c r="X60" s="53">
        <f>72.3+27.9</f>
        <v>100.19999999999999</v>
      </c>
      <c r="Y60" s="68">
        <f>69.6+26.7</f>
        <v>96.3</v>
      </c>
      <c r="Z60" s="68">
        <f>48.5+20.6</f>
        <v>69.099999999999994</v>
      </c>
      <c r="AA60" s="68">
        <v>65.5</v>
      </c>
      <c r="AB60" s="68">
        <v>68.099999999999994</v>
      </c>
      <c r="AC60" s="68">
        <v>68.099999999999994</v>
      </c>
      <c r="AD60" s="68">
        <v>68.099999999999994</v>
      </c>
      <c r="AE60" s="68">
        <v>68.099999999999994</v>
      </c>
      <c r="AF60" s="68">
        <v>68.099999999999994</v>
      </c>
      <c r="AG60" s="66">
        <v>240</v>
      </c>
      <c r="AH60" s="48">
        <f t="shared" si="2"/>
        <v>104.30000000000001</v>
      </c>
      <c r="AI60" s="49">
        <f t="shared" si="3"/>
        <v>40</v>
      </c>
      <c r="AK60" s="51"/>
    </row>
    <row r="61" spans="1:88" ht="15.75" thickBot="1" x14ac:dyDescent="0.3">
      <c r="A61" s="70" t="s">
        <v>75</v>
      </c>
      <c r="B61" s="71">
        <f>SUM(B11:B59)</f>
        <v>887.99999999999977</v>
      </c>
      <c r="C61" s="71">
        <f t="shared" ref="C61:AG61" si="20">SUM(C11:C59)</f>
        <v>885.49999999999977</v>
      </c>
      <c r="D61" s="71">
        <f t="shared" si="20"/>
        <v>885.49999999999977</v>
      </c>
      <c r="E61" s="71">
        <f t="shared" si="20"/>
        <v>889.90000000000009</v>
      </c>
      <c r="F61" s="71">
        <f t="shared" si="20"/>
        <v>882.30000000000007</v>
      </c>
      <c r="G61" s="71">
        <f t="shared" si="20"/>
        <v>885.30000000000007</v>
      </c>
      <c r="H61" s="71">
        <f t="shared" si="20"/>
        <v>884.2</v>
      </c>
      <c r="I61" s="71">
        <f t="shared" si="20"/>
        <v>647.9</v>
      </c>
      <c r="J61" s="71">
        <f t="shared" si="20"/>
        <v>827.4</v>
      </c>
      <c r="K61" s="71">
        <f t="shared" si="20"/>
        <v>883.60000000000014</v>
      </c>
      <c r="L61" s="71">
        <f t="shared" si="20"/>
        <v>883.60000000000014</v>
      </c>
      <c r="M61" s="71">
        <f t="shared" si="20"/>
        <v>940.3</v>
      </c>
      <c r="N61" s="71">
        <f t="shared" si="20"/>
        <v>927.1</v>
      </c>
      <c r="O61" s="71">
        <f t="shared" si="20"/>
        <v>900.5</v>
      </c>
      <c r="P61" s="71">
        <f t="shared" si="20"/>
        <v>900.5</v>
      </c>
      <c r="Q61" s="71">
        <f t="shared" si="20"/>
        <v>900.5</v>
      </c>
      <c r="R61" s="71">
        <f>SUM(R11:R59)</f>
        <v>855.39999999999986</v>
      </c>
      <c r="S61" s="71">
        <f t="shared" si="20"/>
        <v>859.19999999999982</v>
      </c>
      <c r="T61" s="71">
        <f t="shared" si="20"/>
        <v>881.59999999999991</v>
      </c>
      <c r="U61" s="71">
        <f t="shared" si="20"/>
        <v>876.89999999999986</v>
      </c>
      <c r="V61" s="71">
        <f t="shared" si="20"/>
        <v>883.19999999999982</v>
      </c>
      <c r="W61" s="71">
        <f t="shared" si="20"/>
        <v>883.19999999999982</v>
      </c>
      <c r="X61" s="71">
        <f t="shared" si="20"/>
        <v>881.89999999999986</v>
      </c>
      <c r="Y61" s="71">
        <f t="shared" si="20"/>
        <v>881.19999999999982</v>
      </c>
      <c r="Z61" s="71">
        <f t="shared" si="20"/>
        <v>867.5999999999998</v>
      </c>
      <c r="AA61" s="71">
        <v>884.1999999999997</v>
      </c>
      <c r="AB61" s="71">
        <v>884.1999999999997</v>
      </c>
      <c r="AC61" s="71">
        <v>884.1999999999997</v>
      </c>
      <c r="AD61" s="71">
        <v>884.1999999999997</v>
      </c>
      <c r="AE61" s="71">
        <v>884.1999999999997</v>
      </c>
      <c r="AF61" s="71">
        <v>884.1999999999997</v>
      </c>
      <c r="AG61" s="71">
        <f t="shared" si="20"/>
        <v>1466.0300000000002</v>
      </c>
      <c r="AH61" s="48">
        <f t="shared" si="2"/>
        <v>940.3</v>
      </c>
      <c r="AI61" s="49">
        <f t="shared" si="3"/>
        <v>647.9</v>
      </c>
      <c r="AK61" s="51"/>
    </row>
    <row r="62" spans="1:88" x14ac:dyDescent="0.25">
      <c r="A62" s="73" t="s">
        <v>76</v>
      </c>
      <c r="B62" s="46">
        <v>458.2</v>
      </c>
      <c r="C62" s="46">
        <v>458.2</v>
      </c>
      <c r="D62" s="46">
        <v>458.2</v>
      </c>
      <c r="E62" s="46">
        <v>460</v>
      </c>
      <c r="F62" s="46">
        <v>460</v>
      </c>
      <c r="G62" s="46">
        <v>460</v>
      </c>
      <c r="H62" s="46">
        <v>460</v>
      </c>
      <c r="I62" s="46">
        <v>0</v>
      </c>
      <c r="J62" s="46">
        <v>0</v>
      </c>
      <c r="K62" s="46">
        <v>460</v>
      </c>
      <c r="L62" s="46">
        <v>460</v>
      </c>
      <c r="M62" s="46">
        <v>460.8</v>
      </c>
      <c r="N62" s="74">
        <v>0</v>
      </c>
      <c r="O62" s="74">
        <v>380</v>
      </c>
      <c r="P62" s="74">
        <v>381.8</v>
      </c>
      <c r="Q62" s="74">
        <v>460.7</v>
      </c>
      <c r="R62" s="74">
        <v>460.7</v>
      </c>
      <c r="S62" s="74">
        <v>460.8</v>
      </c>
      <c r="T62" s="74">
        <v>460.8</v>
      </c>
      <c r="U62" s="74">
        <v>460.3</v>
      </c>
      <c r="V62" s="74">
        <v>460.3</v>
      </c>
      <c r="W62" s="46">
        <v>460.7</v>
      </c>
      <c r="X62" s="46">
        <v>460.4</v>
      </c>
      <c r="Y62" s="46">
        <v>460</v>
      </c>
      <c r="Z62" s="46">
        <v>460.3</v>
      </c>
      <c r="AA62" s="46">
        <v>460.3</v>
      </c>
      <c r="AB62" s="46">
        <v>460.3</v>
      </c>
      <c r="AC62" s="46">
        <v>460.3</v>
      </c>
      <c r="AD62" s="46">
        <v>460.3</v>
      </c>
      <c r="AE62" s="46">
        <v>460.3</v>
      </c>
      <c r="AF62" s="46">
        <v>460.3</v>
      </c>
      <c r="AG62" s="61">
        <v>456</v>
      </c>
      <c r="AH62" s="48">
        <f t="shared" si="2"/>
        <v>460.8</v>
      </c>
      <c r="AI62" s="49">
        <f t="shared" si="3"/>
        <v>0</v>
      </c>
      <c r="AK62" s="51"/>
    </row>
    <row r="63" spans="1:88" x14ac:dyDescent="0.25">
      <c r="A63" s="75" t="s">
        <v>77</v>
      </c>
      <c r="B63" s="76">
        <v>40</v>
      </c>
      <c r="C63" s="76">
        <v>40</v>
      </c>
      <c r="D63" s="76">
        <v>40</v>
      </c>
      <c r="E63" s="76">
        <v>50</v>
      </c>
      <c r="F63" s="76">
        <v>50</v>
      </c>
      <c r="G63" s="76">
        <v>50</v>
      </c>
      <c r="H63" s="76">
        <v>50</v>
      </c>
      <c r="I63" s="76">
        <v>50</v>
      </c>
      <c r="J63" s="76">
        <v>50</v>
      </c>
      <c r="K63" s="76">
        <v>50</v>
      </c>
      <c r="L63" s="76">
        <v>50</v>
      </c>
      <c r="M63" s="76">
        <v>50</v>
      </c>
      <c r="N63" s="76">
        <v>50</v>
      </c>
      <c r="O63" s="76">
        <v>50</v>
      </c>
      <c r="P63" s="76">
        <v>50</v>
      </c>
      <c r="Q63" s="76">
        <v>50</v>
      </c>
      <c r="R63" s="76">
        <v>50</v>
      </c>
      <c r="S63" s="76">
        <v>50</v>
      </c>
      <c r="T63" s="76">
        <v>50</v>
      </c>
      <c r="U63" s="76">
        <v>50</v>
      </c>
      <c r="V63" s="76">
        <v>50</v>
      </c>
      <c r="W63" s="76">
        <v>50</v>
      </c>
      <c r="X63" s="76">
        <v>50</v>
      </c>
      <c r="Y63" s="76">
        <v>50</v>
      </c>
      <c r="Z63" s="76">
        <v>50</v>
      </c>
      <c r="AA63" s="76">
        <v>50</v>
      </c>
      <c r="AB63" s="76">
        <v>50</v>
      </c>
      <c r="AC63" s="76">
        <v>50</v>
      </c>
      <c r="AD63" s="76">
        <v>50</v>
      </c>
      <c r="AE63" s="76">
        <v>50</v>
      </c>
      <c r="AF63" s="76">
        <v>50</v>
      </c>
      <c r="AG63" s="66">
        <v>60</v>
      </c>
      <c r="AH63" s="48">
        <f t="shared" si="2"/>
        <v>50</v>
      </c>
      <c r="AI63" s="49">
        <f t="shared" si="3"/>
        <v>40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0</v>
      </c>
      <c r="E64" s="78">
        <v>0</v>
      </c>
      <c r="F64" s="78">
        <v>0</v>
      </c>
      <c r="G64" s="78">
        <v>22.5</v>
      </c>
      <c r="H64" s="78">
        <v>22.5</v>
      </c>
      <c r="I64" s="78">
        <v>0</v>
      </c>
      <c r="J64" s="78">
        <v>3.9</v>
      </c>
      <c r="K64" s="78">
        <v>11.4</v>
      </c>
      <c r="L64" s="78">
        <v>11.4</v>
      </c>
      <c r="M64" s="78">
        <v>11.4</v>
      </c>
      <c r="N64" s="78">
        <v>12.9</v>
      </c>
      <c r="O64" s="78">
        <v>22.5</v>
      </c>
      <c r="P64" s="78">
        <v>22.6</v>
      </c>
      <c r="Q64" s="78">
        <v>22.6</v>
      </c>
      <c r="R64" s="78">
        <v>22.5</v>
      </c>
      <c r="S64" s="78">
        <v>22.6</v>
      </c>
      <c r="T64" s="78">
        <v>22.6</v>
      </c>
      <c r="U64" s="78">
        <v>22.5</v>
      </c>
      <c r="V64" s="78">
        <v>22.5</v>
      </c>
      <c r="W64" s="78">
        <v>22.6</v>
      </c>
      <c r="X64" s="78">
        <v>22.6</v>
      </c>
      <c r="Y64" s="78">
        <v>22.6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0</v>
      </c>
      <c r="AK64" s="51"/>
    </row>
    <row r="65" spans="1:75" ht="15.75" thickBot="1" x14ac:dyDescent="0.3">
      <c r="A65" s="80" t="s">
        <v>79</v>
      </c>
      <c r="B65" s="71">
        <f>SUM(B62:B64)</f>
        <v>520.70000000000005</v>
      </c>
      <c r="C65" s="71">
        <f t="shared" ref="C65:AG65" si="21">SUM(C62:C64)</f>
        <v>520.70000000000005</v>
      </c>
      <c r="D65" s="71">
        <f t="shared" si="21"/>
        <v>498.2</v>
      </c>
      <c r="E65" s="71">
        <f t="shared" si="21"/>
        <v>510</v>
      </c>
      <c r="F65" s="71">
        <f t="shared" si="21"/>
        <v>510</v>
      </c>
      <c r="G65" s="71">
        <f t="shared" si="21"/>
        <v>532.5</v>
      </c>
      <c r="H65" s="71">
        <f t="shared" si="21"/>
        <v>532.5</v>
      </c>
      <c r="I65" s="71">
        <f t="shared" si="21"/>
        <v>50</v>
      </c>
      <c r="J65" s="71">
        <f t="shared" si="21"/>
        <v>53.9</v>
      </c>
      <c r="K65" s="71">
        <f t="shared" si="21"/>
        <v>521.4</v>
      </c>
      <c r="L65" s="71">
        <f t="shared" si="21"/>
        <v>521.4</v>
      </c>
      <c r="M65" s="71">
        <f t="shared" si="21"/>
        <v>522.20000000000005</v>
      </c>
      <c r="N65" s="71">
        <f t="shared" si="21"/>
        <v>62.9</v>
      </c>
      <c r="O65" s="71">
        <f t="shared" si="21"/>
        <v>452.5</v>
      </c>
      <c r="P65" s="71">
        <f t="shared" si="21"/>
        <v>454.40000000000003</v>
      </c>
      <c r="Q65" s="71">
        <f t="shared" si="21"/>
        <v>533.29999999999995</v>
      </c>
      <c r="R65" s="71">
        <f>SUM(R62:R64)</f>
        <v>533.20000000000005</v>
      </c>
      <c r="S65" s="71">
        <f t="shared" si="21"/>
        <v>533.4</v>
      </c>
      <c r="T65" s="71">
        <f t="shared" si="21"/>
        <v>533.4</v>
      </c>
      <c r="U65" s="71">
        <f>SUM(U62:U64)</f>
        <v>532.79999999999995</v>
      </c>
      <c r="V65" s="71">
        <f t="shared" si="21"/>
        <v>532.79999999999995</v>
      </c>
      <c r="W65" s="71">
        <f t="shared" si="21"/>
        <v>533.29999999999995</v>
      </c>
      <c r="X65" s="71">
        <f t="shared" si="21"/>
        <v>533</v>
      </c>
      <c r="Y65" s="71">
        <f t="shared" si="21"/>
        <v>532.6</v>
      </c>
      <c r="Z65" s="71">
        <f t="shared" si="21"/>
        <v>532.79999999999995</v>
      </c>
      <c r="AA65" s="71">
        <v>517.79999999999995</v>
      </c>
      <c r="AB65" s="71">
        <v>517.79999999999995</v>
      </c>
      <c r="AC65" s="71">
        <v>517.79999999999995</v>
      </c>
      <c r="AD65" s="71">
        <v>517.79999999999995</v>
      </c>
      <c r="AE65" s="71">
        <v>517.79999999999995</v>
      </c>
      <c r="AF65" s="71">
        <v>517.79999999999995</v>
      </c>
      <c r="AG65" s="72">
        <f t="shared" si="21"/>
        <v>538.1</v>
      </c>
      <c r="AH65" s="48">
        <f t="shared" si="2"/>
        <v>533.4</v>
      </c>
      <c r="AI65" s="49">
        <f t="shared" si="3"/>
        <v>50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145.30000000000001</v>
      </c>
      <c r="C66" s="46">
        <v>145.30000000000001</v>
      </c>
      <c r="D66" s="46">
        <v>145.30000000000001</v>
      </c>
      <c r="E66" s="46">
        <v>145.30000000000001</v>
      </c>
      <c r="F66" s="46">
        <v>145.30000000000001</v>
      </c>
      <c r="G66" s="46">
        <v>145.30000000000001</v>
      </c>
      <c r="H66" s="46">
        <v>145.30000000000001</v>
      </c>
      <c r="I66" s="46">
        <v>145.30000000000001</v>
      </c>
      <c r="J66" s="46">
        <v>145.30000000000001</v>
      </c>
      <c r="K66" s="46">
        <v>145.30000000000001</v>
      </c>
      <c r="L66" s="46">
        <v>145.30000000000001</v>
      </c>
      <c r="M66" s="46">
        <v>145.30000000000001</v>
      </c>
      <c r="N66" s="46">
        <v>145.30000000000001</v>
      </c>
      <c r="O66" s="46">
        <v>145.30000000000001</v>
      </c>
      <c r="P66" s="46">
        <v>145.30000000000001</v>
      </c>
      <c r="Q66" s="46">
        <v>145.30000000000001</v>
      </c>
      <c r="R66" s="46">
        <v>145.30000000000001</v>
      </c>
      <c r="S66" s="46">
        <v>145.30000000000001</v>
      </c>
      <c r="T66" s="46">
        <v>145.30000000000001</v>
      </c>
      <c r="U66" s="46">
        <v>145.30000000000001</v>
      </c>
      <c r="V66" s="46">
        <v>145.30000000000001</v>
      </c>
      <c r="W66" s="46">
        <v>145.30000000000001</v>
      </c>
      <c r="X66" s="46">
        <v>145.30000000000001</v>
      </c>
      <c r="Y66" s="46">
        <v>145.30000000000001</v>
      </c>
      <c r="Z66" s="46">
        <v>145.30000000000001</v>
      </c>
      <c r="AA66" s="46">
        <v>145.30000000000001</v>
      </c>
      <c r="AB66" s="46">
        <v>145.30000000000001</v>
      </c>
      <c r="AC66" s="46">
        <v>145.30000000000001</v>
      </c>
      <c r="AD66" s="46">
        <v>145.30000000000001</v>
      </c>
      <c r="AE66" s="46">
        <v>145.30000000000001</v>
      </c>
      <c r="AF66" s="46">
        <v>145.30000000000001</v>
      </c>
      <c r="AG66" s="61">
        <v>144</v>
      </c>
      <c r="AH66" s="48">
        <f t="shared" si="2"/>
        <v>145.30000000000001</v>
      </c>
      <c r="AI66" s="49">
        <f t="shared" si="3"/>
        <v>145.30000000000001</v>
      </c>
      <c r="AK66" s="51"/>
      <c r="AY66" s="1" t="s">
        <v>86</v>
      </c>
      <c r="AZ66" s="82">
        <f>ROUND(C84,0)</f>
        <v>24</v>
      </c>
      <c r="BA66" s="81">
        <f t="shared" ref="BA66:BD70" si="22">D84</f>
        <v>25</v>
      </c>
      <c r="BB66" s="81">
        <f t="shared" si="22"/>
        <v>26</v>
      </c>
      <c r="BC66" s="81">
        <f t="shared" si="22"/>
        <v>30</v>
      </c>
      <c r="BD66" s="81">
        <f t="shared" si="22"/>
        <v>29.8</v>
      </c>
      <c r="BE66" s="82">
        <f>I84</f>
        <v>24</v>
      </c>
      <c r="BF66" s="82">
        <f>K84</f>
        <v>57</v>
      </c>
      <c r="BG66" s="82">
        <f t="shared" ref="BG66:BP70" si="23">M84</f>
        <v>57.3</v>
      </c>
      <c r="BH66" s="82">
        <f t="shared" si="23"/>
        <v>56.6</v>
      </c>
      <c r="BI66" s="82">
        <f t="shared" si="23"/>
        <v>73.8</v>
      </c>
      <c r="BJ66" s="82">
        <f t="shared" si="23"/>
        <v>72.8</v>
      </c>
      <c r="BK66" s="82">
        <f t="shared" si="23"/>
        <v>61.7</v>
      </c>
      <c r="BL66" s="82">
        <f t="shared" si="23"/>
        <v>66.900000000000006</v>
      </c>
      <c r="BM66" s="82">
        <f t="shared" si="23"/>
        <v>60</v>
      </c>
      <c r="BN66" s="82">
        <f t="shared" si="23"/>
        <v>0</v>
      </c>
      <c r="BO66" s="82">
        <f t="shared" si="23"/>
        <v>50</v>
      </c>
      <c r="BP66" s="82">
        <f t="shared" si="23"/>
        <v>30</v>
      </c>
      <c r="BQ66" s="82">
        <f>X84</f>
        <v>30</v>
      </c>
      <c r="BR66" s="82">
        <f>Z84</f>
        <v>15.6</v>
      </c>
      <c r="BS66" s="81">
        <f>AB84</f>
        <v>19.2</v>
      </c>
      <c r="BT66" s="81">
        <f t="shared" ref="BT66:BV70" si="24">AD84</f>
        <v>16.399999999999999</v>
      </c>
      <c r="BU66" s="81">
        <f t="shared" si="24"/>
        <v>16.399999999999999</v>
      </c>
      <c r="BV66" s="81">
        <f t="shared" si="24"/>
        <v>16.399999999999999</v>
      </c>
      <c r="BW66" s="81">
        <f>B84</f>
        <v>17.8</v>
      </c>
    </row>
    <row r="67" spans="1:75" x14ac:dyDescent="0.25">
      <c r="A67" s="65" t="s">
        <v>81</v>
      </c>
      <c r="B67" s="76">
        <v>69.7</v>
      </c>
      <c r="C67" s="76">
        <v>69.7</v>
      </c>
      <c r="D67" s="76">
        <v>69.7</v>
      </c>
      <c r="E67" s="76">
        <v>69.7</v>
      </c>
      <c r="F67" s="76">
        <v>69.7</v>
      </c>
      <c r="G67" s="76">
        <v>69.7</v>
      </c>
      <c r="H67" s="76">
        <v>69.7</v>
      </c>
      <c r="I67" s="76">
        <v>69.7</v>
      </c>
      <c r="J67" s="76">
        <v>69.7</v>
      </c>
      <c r="K67" s="76">
        <v>69.7</v>
      </c>
      <c r="L67" s="76">
        <v>69.7</v>
      </c>
      <c r="M67" s="76">
        <v>69.7</v>
      </c>
      <c r="N67" s="76">
        <v>69.7</v>
      </c>
      <c r="O67" s="76">
        <v>69.7</v>
      </c>
      <c r="P67" s="76">
        <v>69.7</v>
      </c>
      <c r="Q67" s="76">
        <v>69.7</v>
      </c>
      <c r="R67" s="76">
        <v>69.3</v>
      </c>
      <c r="S67" s="76">
        <v>69.3</v>
      </c>
      <c r="T67" s="76">
        <v>69.3</v>
      </c>
      <c r="U67" s="76">
        <v>69.3</v>
      </c>
      <c r="V67" s="76">
        <v>69.3</v>
      </c>
      <c r="W67" s="76">
        <v>69.3</v>
      </c>
      <c r="X67" s="76">
        <v>69.3</v>
      </c>
      <c r="Y67" s="76">
        <v>69.3</v>
      </c>
      <c r="Z67" s="76">
        <v>68.900000000000006</v>
      </c>
      <c r="AA67" s="46">
        <v>68.900000000000006</v>
      </c>
      <c r="AB67" s="46">
        <v>68.900000000000006</v>
      </c>
      <c r="AC67" s="46">
        <v>68.900000000000006</v>
      </c>
      <c r="AD67" s="46">
        <v>68.900000000000006</v>
      </c>
      <c r="AE67" s="46">
        <v>68.900000000000006</v>
      </c>
      <c r="AF67" s="46">
        <v>68.900000000000006</v>
      </c>
      <c r="AG67" s="66">
        <v>70</v>
      </c>
      <c r="AH67" s="48">
        <f t="shared" si="2"/>
        <v>69.7</v>
      </c>
      <c r="AI67" s="49">
        <f t="shared" si="3"/>
        <v>68.900000000000006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>
        <v>70.2</v>
      </c>
      <c r="C68" s="76">
        <v>70.2</v>
      </c>
      <c r="D68" s="76">
        <v>70.2</v>
      </c>
      <c r="E68" s="76">
        <v>70.2</v>
      </c>
      <c r="F68" s="76">
        <v>70.2</v>
      </c>
      <c r="G68" s="76">
        <v>70.2</v>
      </c>
      <c r="H68" s="76">
        <v>70.2</v>
      </c>
      <c r="I68" s="76">
        <v>70.2</v>
      </c>
      <c r="J68" s="76">
        <v>70.2</v>
      </c>
      <c r="K68" s="76">
        <v>70.2</v>
      </c>
      <c r="L68" s="76">
        <v>70.2</v>
      </c>
      <c r="M68" s="76">
        <v>70.2</v>
      </c>
      <c r="N68" s="76">
        <v>70.2</v>
      </c>
      <c r="O68" s="76">
        <v>70.2</v>
      </c>
      <c r="P68" s="76">
        <v>70.2</v>
      </c>
      <c r="Q68" s="76">
        <v>70.2</v>
      </c>
      <c r="R68" s="76">
        <v>68.5</v>
      </c>
      <c r="S68" s="76">
        <v>68.5</v>
      </c>
      <c r="T68" s="76">
        <v>68.5</v>
      </c>
      <c r="U68" s="76">
        <v>68.5</v>
      </c>
      <c r="V68" s="76">
        <v>68.5</v>
      </c>
      <c r="W68" s="76">
        <v>68.5</v>
      </c>
      <c r="X68" s="76">
        <v>68.5</v>
      </c>
      <c r="Y68" s="76">
        <v>68.5</v>
      </c>
      <c r="Z68" s="76">
        <v>68.5</v>
      </c>
      <c r="AA68" s="46">
        <v>68.5</v>
      </c>
      <c r="AB68" s="46">
        <v>68.5</v>
      </c>
      <c r="AC68" s="46">
        <v>68.5</v>
      </c>
      <c r="AD68" s="46">
        <v>68.5</v>
      </c>
      <c r="AE68" s="46">
        <v>68.5</v>
      </c>
      <c r="AF68" s="46">
        <v>68.5</v>
      </c>
      <c r="AG68" s="66">
        <v>69</v>
      </c>
      <c r="AH68" s="48">
        <f t="shared" si="2"/>
        <v>70.2</v>
      </c>
      <c r="AI68" s="49">
        <f t="shared" si="3"/>
        <v>68.5</v>
      </c>
      <c r="AK68" s="51"/>
      <c r="AL68" s="83"/>
      <c r="AO68" s="83"/>
      <c r="AY68" s="1" t="s">
        <v>90</v>
      </c>
      <c r="AZ68" s="82">
        <f>ROUND(C86,0)</f>
        <v>-306</v>
      </c>
      <c r="BA68" s="81">
        <f t="shared" si="22"/>
        <v>-295</v>
      </c>
      <c r="BB68" s="81">
        <f t="shared" si="22"/>
        <v>-330</v>
      </c>
      <c r="BC68" s="81">
        <f t="shared" si="22"/>
        <v>-380</v>
      </c>
      <c r="BD68" s="81">
        <f t="shared" si="22"/>
        <v>-420</v>
      </c>
      <c r="BE68" s="82">
        <f>I86</f>
        <v>113</v>
      </c>
      <c r="BF68" s="82">
        <f>K86</f>
        <v>-333</v>
      </c>
      <c r="BG68" s="82">
        <f t="shared" si="23"/>
        <v>-321</v>
      </c>
      <c r="BH68" s="82">
        <f t="shared" si="23"/>
        <v>-204.3</v>
      </c>
      <c r="BI68" s="82">
        <f t="shared" si="23"/>
        <v>-225</v>
      </c>
      <c r="BJ68" s="82">
        <f t="shared" si="23"/>
        <v>-144.9</v>
      </c>
      <c r="BK68" s="82">
        <f t="shared" si="23"/>
        <v>-258</v>
      </c>
      <c r="BL68" s="82">
        <f t="shared" si="23"/>
        <v>-225</v>
      </c>
      <c r="BM68" s="82">
        <f t="shared" si="23"/>
        <v>-145</v>
      </c>
      <c r="BN68" s="82">
        <f t="shared" si="23"/>
        <v>-250</v>
      </c>
      <c r="BO68" s="82">
        <f t="shared" si="23"/>
        <v>-249</v>
      </c>
      <c r="BP68" s="82">
        <f t="shared" si="23"/>
        <v>-305</v>
      </c>
      <c r="BQ68" s="82">
        <f>X86</f>
        <v>-301.2</v>
      </c>
      <c r="BR68" s="82">
        <f>Z86</f>
        <v>-242</v>
      </c>
      <c r="BS68" s="81">
        <f>AB86</f>
        <v>-172.8</v>
      </c>
      <c r="BT68" s="81">
        <f t="shared" si="24"/>
        <v>-157.30000000000001</v>
      </c>
      <c r="BU68" s="81">
        <f t="shared" si="24"/>
        <v>-157.30000000000001</v>
      </c>
      <c r="BV68" s="81">
        <f t="shared" si="24"/>
        <v>-324.36</v>
      </c>
      <c r="BW68" s="81">
        <f>B86</f>
        <v>-204</v>
      </c>
    </row>
    <row r="69" spans="1:75" s="83" customFormat="1" x14ac:dyDescent="0.25">
      <c r="A69" s="65" t="s">
        <v>83</v>
      </c>
      <c r="B69" s="76">
        <v>58.7</v>
      </c>
      <c r="C69" s="76">
        <v>58.7</v>
      </c>
      <c r="D69" s="76">
        <v>58.7</v>
      </c>
      <c r="E69" s="76">
        <v>58.7</v>
      </c>
      <c r="F69" s="76">
        <v>58.7</v>
      </c>
      <c r="G69" s="76">
        <v>58.7</v>
      </c>
      <c r="H69" s="76">
        <v>58.7</v>
      </c>
      <c r="I69" s="76">
        <v>58.7</v>
      </c>
      <c r="J69" s="76">
        <v>62</v>
      </c>
      <c r="K69" s="76">
        <v>58.7</v>
      </c>
      <c r="L69" s="76">
        <v>58.7</v>
      </c>
      <c r="M69" s="76">
        <v>60</v>
      </c>
      <c r="N69" s="76">
        <v>60</v>
      </c>
      <c r="O69" s="76">
        <v>60</v>
      </c>
      <c r="P69" s="76">
        <v>60</v>
      </c>
      <c r="Q69" s="76">
        <v>60</v>
      </c>
      <c r="R69" s="76">
        <v>58.5</v>
      </c>
      <c r="S69" s="76">
        <v>58.5</v>
      </c>
      <c r="T69" s="76">
        <v>58.5</v>
      </c>
      <c r="U69" s="76">
        <v>58.5</v>
      </c>
      <c r="V69" s="76">
        <v>58.5</v>
      </c>
      <c r="W69" s="76">
        <v>58.5</v>
      </c>
      <c r="X69" s="76">
        <v>58.5</v>
      </c>
      <c r="Y69" s="76">
        <v>58.5</v>
      </c>
      <c r="Z69" s="76">
        <v>58.5</v>
      </c>
      <c r="AA69" s="46">
        <v>58.5</v>
      </c>
      <c r="AB69" s="46">
        <v>58.5</v>
      </c>
      <c r="AC69" s="46">
        <v>58.5</v>
      </c>
      <c r="AD69" s="46">
        <v>58.5</v>
      </c>
      <c r="AE69" s="46">
        <v>58.5</v>
      </c>
      <c r="AF69" s="46">
        <v>58.5</v>
      </c>
      <c r="AG69" s="66">
        <v>60</v>
      </c>
      <c r="AH69" s="48">
        <f t="shared" si="2"/>
        <v>62</v>
      </c>
      <c r="AI69" s="49">
        <f t="shared" si="3"/>
        <v>58.5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>
        <v>23</v>
      </c>
      <c r="C70" s="46">
        <v>23</v>
      </c>
      <c r="D70" s="46">
        <v>15</v>
      </c>
      <c r="E70" s="46">
        <v>15</v>
      </c>
      <c r="F70" s="46">
        <v>10</v>
      </c>
      <c r="G70" s="46">
        <v>10</v>
      </c>
      <c r="H70" s="46">
        <v>10</v>
      </c>
      <c r="I70" s="46">
        <v>10</v>
      </c>
      <c r="J70" s="46">
        <v>14.8</v>
      </c>
      <c r="K70" s="46">
        <v>14.8</v>
      </c>
      <c r="L70" s="46">
        <v>14.8</v>
      </c>
      <c r="M70" s="46">
        <v>9.4</v>
      </c>
      <c r="N70" s="46">
        <v>9.4</v>
      </c>
      <c r="O70" s="46">
        <v>9.4</v>
      </c>
      <c r="P70" s="46">
        <v>15</v>
      </c>
      <c r="Q70" s="46">
        <v>23</v>
      </c>
      <c r="R70" s="46">
        <v>22.9</v>
      </c>
      <c r="S70" s="46">
        <v>25.1</v>
      </c>
      <c r="T70" s="46">
        <v>0</v>
      </c>
      <c r="U70" s="46">
        <v>14.9</v>
      </c>
      <c r="V70" s="46">
        <v>14.9</v>
      </c>
      <c r="W70" s="46">
        <v>14.9</v>
      </c>
      <c r="X70" s="46">
        <v>14.9</v>
      </c>
      <c r="Y70" s="46">
        <v>14.9</v>
      </c>
      <c r="Z70" s="46">
        <v>22.8</v>
      </c>
      <c r="AA70" s="46">
        <v>24</v>
      </c>
      <c r="AB70" s="46">
        <v>23.8</v>
      </c>
      <c r="AC70" s="46">
        <v>23.8</v>
      </c>
      <c r="AD70" s="46">
        <v>23.8</v>
      </c>
      <c r="AE70" s="46">
        <v>23.8</v>
      </c>
      <c r="AF70" s="46">
        <v>23.8</v>
      </c>
      <c r="AG70" s="66">
        <v>30</v>
      </c>
      <c r="AH70" s="48">
        <f t="shared" si="2"/>
        <v>25.1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2.4</v>
      </c>
      <c r="M71" s="46">
        <v>6.5</v>
      </c>
      <c r="N71" s="46">
        <v>6.5</v>
      </c>
      <c r="O71" s="46">
        <v>6.5</v>
      </c>
      <c r="P71" s="46">
        <v>6.5</v>
      </c>
      <c r="Q71" s="46">
        <v>6.5</v>
      </c>
      <c r="R71" s="46">
        <v>14.3</v>
      </c>
      <c r="S71" s="46">
        <v>12.5</v>
      </c>
      <c r="T71" s="46">
        <v>12.5</v>
      </c>
      <c r="U71" s="46">
        <v>6.1</v>
      </c>
      <c r="V71" s="46">
        <v>2.7</v>
      </c>
      <c r="W71" s="46">
        <v>1.8</v>
      </c>
      <c r="X71" s="46">
        <v>0.3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14.3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14.1</v>
      </c>
      <c r="C72" s="76">
        <v>14.1</v>
      </c>
      <c r="D72" s="76">
        <v>14.1</v>
      </c>
      <c r="E72" s="76">
        <v>14.1</v>
      </c>
      <c r="F72" s="76">
        <v>14.1</v>
      </c>
      <c r="G72" s="76">
        <v>14.1</v>
      </c>
      <c r="H72" s="76">
        <v>14.1</v>
      </c>
      <c r="I72" s="76">
        <v>4</v>
      </c>
      <c r="J72" s="76">
        <v>14.1</v>
      </c>
      <c r="K72" s="76">
        <v>14.1</v>
      </c>
      <c r="L72" s="76">
        <v>14.1</v>
      </c>
      <c r="M72" s="76">
        <v>14.1</v>
      </c>
      <c r="N72" s="76">
        <v>14.1</v>
      </c>
      <c r="O72" s="76">
        <v>14.1</v>
      </c>
      <c r="P72" s="76">
        <v>14.1</v>
      </c>
      <c r="Q72" s="76">
        <v>14.1</v>
      </c>
      <c r="R72" s="76">
        <v>7.5</v>
      </c>
      <c r="S72" s="76">
        <v>7.5</v>
      </c>
      <c r="T72" s="76">
        <v>7.5</v>
      </c>
      <c r="U72" s="76">
        <v>7.5</v>
      </c>
      <c r="V72" s="76">
        <v>7.5</v>
      </c>
      <c r="W72" s="76">
        <v>7.5</v>
      </c>
      <c r="X72" s="76">
        <v>7.5</v>
      </c>
      <c r="Y72" s="76">
        <v>7.5</v>
      </c>
      <c r="Z72" s="76">
        <v>7.5</v>
      </c>
      <c r="AA72" s="76">
        <v>10.6</v>
      </c>
      <c r="AB72" s="76">
        <v>10.6</v>
      </c>
      <c r="AC72" s="76">
        <v>10.6</v>
      </c>
      <c r="AD72" s="76">
        <v>10.6</v>
      </c>
      <c r="AE72" s="76">
        <v>10.6</v>
      </c>
      <c r="AF72" s="76">
        <v>10.6</v>
      </c>
      <c r="AG72" s="66">
        <v>24</v>
      </c>
      <c r="AH72" s="48">
        <f t="shared" si="2"/>
        <v>14.1</v>
      </c>
      <c r="AI72" s="49">
        <f t="shared" si="3"/>
        <v>4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6">VALUE(AZ66)</f>
        <v>24</v>
      </c>
      <c r="BA73" s="82">
        <f t="shared" si="26"/>
        <v>25</v>
      </c>
      <c r="BB73" s="82">
        <f t="shared" si="26"/>
        <v>26</v>
      </c>
      <c r="BC73" s="82">
        <f t="shared" si="26"/>
        <v>30</v>
      </c>
      <c r="BD73" s="82">
        <f t="shared" si="26"/>
        <v>29.8</v>
      </c>
      <c r="BE73" s="82">
        <f t="shared" si="26"/>
        <v>24</v>
      </c>
      <c r="BF73" s="82">
        <f t="shared" si="26"/>
        <v>57</v>
      </c>
      <c r="BG73" s="82">
        <f t="shared" si="26"/>
        <v>57.3</v>
      </c>
      <c r="BH73" s="82">
        <f t="shared" si="26"/>
        <v>56.6</v>
      </c>
      <c r="BI73" s="82">
        <f t="shared" si="26"/>
        <v>73.8</v>
      </c>
      <c r="BJ73" s="82">
        <f t="shared" si="26"/>
        <v>72.8</v>
      </c>
      <c r="BK73" s="82">
        <f t="shared" si="26"/>
        <v>61.7</v>
      </c>
      <c r="BL73" s="82">
        <f t="shared" si="26"/>
        <v>66.900000000000006</v>
      </c>
      <c r="BM73" s="82">
        <f t="shared" si="26"/>
        <v>60</v>
      </c>
      <c r="BN73" s="82">
        <f t="shared" si="26"/>
        <v>0</v>
      </c>
      <c r="BO73" s="82">
        <f t="shared" si="26"/>
        <v>50</v>
      </c>
      <c r="BP73" s="82">
        <f t="shared" si="26"/>
        <v>30</v>
      </c>
      <c r="BQ73" s="82">
        <f t="shared" si="26"/>
        <v>30</v>
      </c>
      <c r="BR73" s="82">
        <f t="shared" si="26"/>
        <v>15.6</v>
      </c>
      <c r="BS73" s="82">
        <f t="shared" si="26"/>
        <v>19.2</v>
      </c>
      <c r="BT73" s="82">
        <f t="shared" si="26"/>
        <v>16.399999999999999</v>
      </c>
      <c r="BU73" s="82">
        <f t="shared" si="26"/>
        <v>16.399999999999999</v>
      </c>
      <c r="BV73" s="82">
        <f t="shared" si="26"/>
        <v>16.399999999999999</v>
      </c>
      <c r="BW73" s="82">
        <f t="shared" si="26"/>
        <v>17.8</v>
      </c>
    </row>
    <row r="74" spans="1:75" x14ac:dyDescent="0.25">
      <c r="A74" s="65" t="s">
        <v>91</v>
      </c>
      <c r="B74" s="76">
        <v>8.9</v>
      </c>
      <c r="C74" s="76">
        <v>8.9</v>
      </c>
      <c r="D74" s="76">
        <v>8.9</v>
      </c>
      <c r="E74" s="76">
        <v>8.9</v>
      </c>
      <c r="F74" s="76">
        <v>8.9</v>
      </c>
      <c r="G74" s="76">
        <v>8.9</v>
      </c>
      <c r="H74" s="76">
        <v>8.9</v>
      </c>
      <c r="I74" s="76">
        <v>4.8</v>
      </c>
      <c r="J74" s="76">
        <v>12</v>
      </c>
      <c r="K74" s="76">
        <v>8.9</v>
      </c>
      <c r="L74" s="76">
        <v>8.9</v>
      </c>
      <c r="M74" s="76">
        <v>8.9</v>
      </c>
      <c r="N74" s="76">
        <v>8.9</v>
      </c>
      <c r="O74" s="76">
        <v>8.9</v>
      </c>
      <c r="P74" s="76">
        <v>8.9</v>
      </c>
      <c r="Q74" s="76">
        <v>8.9</v>
      </c>
      <c r="R74" s="76">
        <v>7.4</v>
      </c>
      <c r="S74" s="76">
        <v>7.4</v>
      </c>
      <c r="T74" s="76">
        <v>7.4</v>
      </c>
      <c r="U74" s="76">
        <v>7.4</v>
      </c>
      <c r="V74" s="76">
        <v>7.4</v>
      </c>
      <c r="W74" s="76">
        <v>7.4</v>
      </c>
      <c r="X74" s="76">
        <v>7.4</v>
      </c>
      <c r="Y74" s="76">
        <v>7.4</v>
      </c>
      <c r="Z74" s="76">
        <v>7.4</v>
      </c>
      <c r="AA74" s="76">
        <v>7.4</v>
      </c>
      <c r="AB74" s="76">
        <v>7.4</v>
      </c>
      <c r="AC74" s="76">
        <v>7.4</v>
      </c>
      <c r="AD74" s="76">
        <v>7.4</v>
      </c>
      <c r="AE74" s="76">
        <v>7.4</v>
      </c>
      <c r="AF74" s="76">
        <v>7.4</v>
      </c>
      <c r="AG74" s="66">
        <v>14.1</v>
      </c>
      <c r="AH74" s="48">
        <f t="shared" si="2"/>
        <v>12</v>
      </c>
      <c r="AI74" s="49">
        <f t="shared" si="3"/>
        <v>4.8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>
        <v>11.9</v>
      </c>
      <c r="C75" s="76">
        <v>11.9</v>
      </c>
      <c r="D75" s="76">
        <v>11.9</v>
      </c>
      <c r="E75" s="76">
        <v>11.9</v>
      </c>
      <c r="F75" s="76">
        <v>11.9</v>
      </c>
      <c r="G75" s="76">
        <v>11.9</v>
      </c>
      <c r="H75" s="76">
        <v>11.9</v>
      </c>
      <c r="I75" s="76">
        <v>11.9</v>
      </c>
      <c r="J75" s="76">
        <v>11.9</v>
      </c>
      <c r="K75" s="76">
        <v>11.9</v>
      </c>
      <c r="L75" s="76">
        <v>11.9</v>
      </c>
      <c r="M75" s="76">
        <v>11.9</v>
      </c>
      <c r="N75" s="76">
        <v>11.9</v>
      </c>
      <c r="O75" s="76">
        <v>11.9</v>
      </c>
      <c r="P75" s="76">
        <v>11.9</v>
      </c>
      <c r="Q75" s="76">
        <v>11.9</v>
      </c>
      <c r="R75" s="76">
        <v>5.5</v>
      </c>
      <c r="S75" s="76">
        <v>5.5</v>
      </c>
      <c r="T75" s="76">
        <v>5.5</v>
      </c>
      <c r="U75" s="76">
        <v>5.5</v>
      </c>
      <c r="V75" s="76">
        <v>5.5</v>
      </c>
      <c r="W75" s="76">
        <v>5.5</v>
      </c>
      <c r="X75" s="76">
        <v>5.5</v>
      </c>
      <c r="Y75" s="76">
        <v>5.5</v>
      </c>
      <c r="Z75" s="76">
        <v>5.5</v>
      </c>
      <c r="AA75" s="76">
        <v>5.5</v>
      </c>
      <c r="AB75" s="76">
        <v>5.5</v>
      </c>
      <c r="AC75" s="76">
        <v>5.5</v>
      </c>
      <c r="AD75" s="76">
        <v>5.5</v>
      </c>
      <c r="AE75" s="76">
        <v>5.5</v>
      </c>
      <c r="AF75" s="76">
        <v>5.5</v>
      </c>
      <c r="AG75" s="66">
        <v>14</v>
      </c>
      <c r="AH75" s="48">
        <f t="shared" ref="AH75:AH126" si="27">MAX(B75:AF75)</f>
        <v>11.9</v>
      </c>
      <c r="AI75" s="49">
        <f t="shared" ref="AI75:AI126" si="28">MIN(B75:AF75)</f>
        <v>5.5</v>
      </c>
      <c r="AK75" s="51"/>
      <c r="AZ75" s="82">
        <f t="shared" si="26"/>
        <v>-306</v>
      </c>
      <c r="BA75" s="82">
        <f t="shared" si="26"/>
        <v>-295</v>
      </c>
      <c r="BB75" s="82">
        <f t="shared" si="26"/>
        <v>-330</v>
      </c>
      <c r="BC75" s="82">
        <f t="shared" si="26"/>
        <v>-380</v>
      </c>
      <c r="BD75" s="82">
        <f t="shared" si="26"/>
        <v>-420</v>
      </c>
      <c r="BE75" s="82">
        <f t="shared" si="26"/>
        <v>113</v>
      </c>
      <c r="BF75" s="82">
        <f t="shared" si="26"/>
        <v>-333</v>
      </c>
      <c r="BG75" s="82">
        <f t="shared" si="26"/>
        <v>-321</v>
      </c>
      <c r="BH75" s="82">
        <f t="shared" si="26"/>
        <v>-204.3</v>
      </c>
      <c r="BI75" s="82">
        <f t="shared" si="26"/>
        <v>-225</v>
      </c>
      <c r="BJ75" s="82">
        <f t="shared" si="26"/>
        <v>-144.9</v>
      </c>
      <c r="BK75" s="82">
        <f t="shared" si="26"/>
        <v>-258</v>
      </c>
      <c r="BL75" s="82">
        <f t="shared" si="26"/>
        <v>-225</v>
      </c>
      <c r="BM75" s="82">
        <f t="shared" si="26"/>
        <v>-145</v>
      </c>
      <c r="BN75" s="82">
        <f t="shared" si="26"/>
        <v>-250</v>
      </c>
      <c r="BO75" s="82">
        <f t="shared" si="26"/>
        <v>-249</v>
      </c>
      <c r="BP75" s="82">
        <f t="shared" si="26"/>
        <v>-305</v>
      </c>
      <c r="BQ75" s="82">
        <f t="shared" si="26"/>
        <v>-301.2</v>
      </c>
      <c r="BR75" s="82">
        <f t="shared" si="26"/>
        <v>-242</v>
      </c>
      <c r="BS75" s="82">
        <f t="shared" si="26"/>
        <v>-172.8</v>
      </c>
      <c r="BT75" s="82">
        <f t="shared" si="26"/>
        <v>-157.30000000000001</v>
      </c>
      <c r="BU75" s="82">
        <f t="shared" si="26"/>
        <v>-157.30000000000001</v>
      </c>
      <c r="BV75" s="82">
        <f t="shared" si="26"/>
        <v>-324.36</v>
      </c>
      <c r="BW75" s="82">
        <f t="shared" si="26"/>
        <v>-204</v>
      </c>
    </row>
    <row r="76" spans="1:75" x14ac:dyDescent="0.25">
      <c r="A76" s="65" t="s">
        <v>95</v>
      </c>
      <c r="B76" s="76">
        <v>9</v>
      </c>
      <c r="C76" s="76">
        <v>9</v>
      </c>
      <c r="D76" s="76">
        <v>9</v>
      </c>
      <c r="E76" s="76">
        <v>9</v>
      </c>
      <c r="F76" s="76">
        <v>9</v>
      </c>
      <c r="G76" s="76">
        <v>9</v>
      </c>
      <c r="H76" s="76">
        <v>9</v>
      </c>
      <c r="I76" s="76">
        <v>0</v>
      </c>
      <c r="J76" s="76">
        <v>9</v>
      </c>
      <c r="K76" s="76">
        <v>9</v>
      </c>
      <c r="L76" s="76">
        <v>9</v>
      </c>
      <c r="M76" s="76">
        <v>9</v>
      </c>
      <c r="N76" s="76">
        <v>9</v>
      </c>
      <c r="O76" s="76">
        <v>9</v>
      </c>
      <c r="P76" s="76">
        <v>9</v>
      </c>
      <c r="Q76" s="76">
        <v>9</v>
      </c>
      <c r="R76" s="76">
        <v>9</v>
      </c>
      <c r="S76" s="76">
        <v>9</v>
      </c>
      <c r="T76" s="76">
        <v>9</v>
      </c>
      <c r="U76" s="76">
        <v>9</v>
      </c>
      <c r="V76" s="76">
        <v>9</v>
      </c>
      <c r="W76" s="76">
        <v>9</v>
      </c>
      <c r="X76" s="76">
        <v>9</v>
      </c>
      <c r="Y76" s="76">
        <v>9</v>
      </c>
      <c r="Z76" s="76">
        <v>9</v>
      </c>
      <c r="AA76" s="76">
        <v>9</v>
      </c>
      <c r="AB76" s="76">
        <v>9</v>
      </c>
      <c r="AC76" s="76">
        <v>9</v>
      </c>
      <c r="AD76" s="76">
        <v>9</v>
      </c>
      <c r="AE76" s="76">
        <v>9</v>
      </c>
      <c r="AF76" s="76">
        <v>9</v>
      </c>
      <c r="AG76" s="66">
        <v>10.050000000000001</v>
      </c>
      <c r="AH76" s="48">
        <f t="shared" si="27"/>
        <v>9</v>
      </c>
      <c r="AI76" s="49">
        <f t="shared" si="28"/>
        <v>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7"/>
        <v>6</v>
      </c>
      <c r="AI77" s="49">
        <f t="shared" si="28"/>
        <v>6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85">
        <v>5.5</v>
      </c>
      <c r="AC78" s="85">
        <v>5.5</v>
      </c>
      <c r="AD78" s="85">
        <v>5.5</v>
      </c>
      <c r="AE78" s="85">
        <v>5.5</v>
      </c>
      <c r="AF78" s="85">
        <v>5.5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>SUM(B66:B78)</f>
        <v>424.14</v>
      </c>
      <c r="C79" s="71">
        <f t="shared" ref="C79:AG79" si="29">SUM(C66:C78)</f>
        <v>424.14</v>
      </c>
      <c r="D79" s="71">
        <f t="shared" si="29"/>
        <v>416.14</v>
      </c>
      <c r="E79" s="71">
        <f t="shared" si="29"/>
        <v>416.14</v>
      </c>
      <c r="F79" s="71">
        <f t="shared" si="29"/>
        <v>411.14</v>
      </c>
      <c r="G79" s="71">
        <f t="shared" si="29"/>
        <v>411.14</v>
      </c>
      <c r="H79" s="71">
        <f t="shared" si="29"/>
        <v>411.14</v>
      </c>
      <c r="I79" s="71">
        <f t="shared" si="29"/>
        <v>387.94</v>
      </c>
      <c r="J79" s="71">
        <f t="shared" si="29"/>
        <v>422.34000000000003</v>
      </c>
      <c r="K79" s="71">
        <f t="shared" si="29"/>
        <v>415.94</v>
      </c>
      <c r="L79" s="71">
        <f t="shared" si="29"/>
        <v>418.34</v>
      </c>
      <c r="M79" s="71">
        <f t="shared" si="29"/>
        <v>418.34</v>
      </c>
      <c r="N79" s="71">
        <f t="shared" si="29"/>
        <v>418.34</v>
      </c>
      <c r="O79" s="71">
        <f t="shared" si="29"/>
        <v>418.34</v>
      </c>
      <c r="P79" s="71">
        <f t="shared" si="29"/>
        <v>423.94</v>
      </c>
      <c r="Q79" s="71">
        <f t="shared" si="29"/>
        <v>431.94</v>
      </c>
      <c r="R79" s="71">
        <f>SUM(R66:R78)</f>
        <v>421.54</v>
      </c>
      <c r="S79" s="71">
        <f t="shared" si="29"/>
        <v>421.94000000000005</v>
      </c>
      <c r="T79" s="71">
        <f t="shared" si="29"/>
        <v>396.84000000000003</v>
      </c>
      <c r="U79" s="71">
        <f t="shared" si="29"/>
        <v>405.34000000000003</v>
      </c>
      <c r="V79" s="71">
        <f t="shared" si="29"/>
        <v>401.94</v>
      </c>
      <c r="W79" s="71">
        <f t="shared" si="29"/>
        <v>401.04</v>
      </c>
      <c r="X79" s="71">
        <f t="shared" si="29"/>
        <v>399.54</v>
      </c>
      <c r="Y79" s="71">
        <f t="shared" si="29"/>
        <v>399.2</v>
      </c>
      <c r="Z79" s="71">
        <f t="shared" si="29"/>
        <v>408.70000000000005</v>
      </c>
      <c r="AA79" s="71">
        <v>413.00000000000006</v>
      </c>
      <c r="AB79" s="71">
        <v>413.00000000000006</v>
      </c>
      <c r="AC79" s="71">
        <v>413.00000000000006</v>
      </c>
      <c r="AD79" s="71">
        <v>413.00000000000006</v>
      </c>
      <c r="AE79" s="71">
        <v>413.00000000000006</v>
      </c>
      <c r="AF79" s="71">
        <v>413.00000000000006</v>
      </c>
      <c r="AG79" s="72">
        <f t="shared" si="29"/>
        <v>489.91</v>
      </c>
      <c r="AH79" s="48">
        <f t="shared" si="27"/>
        <v>431.94</v>
      </c>
      <c r="AI79" s="49">
        <f t="shared" si="28"/>
        <v>387.94</v>
      </c>
      <c r="AK79" s="51"/>
      <c r="AY79" s="82"/>
    </row>
    <row r="80" spans="1:75" x14ac:dyDescent="0.25">
      <c r="A80" s="45" t="s">
        <v>100</v>
      </c>
      <c r="B80" s="46">
        <v>0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>
        <v>21.1</v>
      </c>
      <c r="N80" s="46">
        <v>21.1</v>
      </c>
      <c r="O80" s="46">
        <v>20.9</v>
      </c>
      <c r="P80" s="46">
        <v>20.9</v>
      </c>
      <c r="Q80" s="46">
        <v>21</v>
      </c>
      <c r="R80" s="46">
        <v>20.9</v>
      </c>
      <c r="S80" s="46">
        <v>17.100000000000001</v>
      </c>
      <c r="T80" s="46">
        <v>21.3</v>
      </c>
      <c r="U80" s="46">
        <v>20.8</v>
      </c>
      <c r="V80" s="46">
        <v>20.8</v>
      </c>
      <c r="W80" s="46">
        <v>10</v>
      </c>
      <c r="X80" s="46">
        <v>10</v>
      </c>
      <c r="Y80" s="46">
        <v>14.2</v>
      </c>
      <c r="Z80" s="46">
        <v>14.2</v>
      </c>
      <c r="AA80" s="46">
        <v>14</v>
      </c>
      <c r="AB80" s="46">
        <v>14</v>
      </c>
      <c r="AC80" s="46">
        <v>14</v>
      </c>
      <c r="AD80" s="46">
        <v>14</v>
      </c>
      <c r="AE80" s="46">
        <v>14</v>
      </c>
      <c r="AF80" s="46">
        <v>14</v>
      </c>
      <c r="AG80" s="61">
        <v>60</v>
      </c>
      <c r="AH80" s="48">
        <f t="shared" si="27"/>
        <v>21.3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>
        <v>9.3000000000000007</v>
      </c>
      <c r="N81" s="76">
        <v>9.3000000000000007</v>
      </c>
      <c r="O81" s="76">
        <v>9.5</v>
      </c>
      <c r="P81" s="76">
        <v>9.3000000000000007</v>
      </c>
      <c r="Q81" s="76">
        <v>9.3000000000000007</v>
      </c>
      <c r="R81" s="76">
        <v>9.3000000000000007</v>
      </c>
      <c r="S81" s="76">
        <v>7.3</v>
      </c>
      <c r="T81" s="76">
        <v>8.9</v>
      </c>
      <c r="U81" s="76">
        <v>8.9</v>
      </c>
      <c r="V81" s="76">
        <v>8.9</v>
      </c>
      <c r="W81" s="76">
        <v>4</v>
      </c>
      <c r="X81" s="76">
        <v>2.4</v>
      </c>
      <c r="Y81" s="76">
        <v>4.9000000000000004</v>
      </c>
      <c r="Z81" s="76">
        <v>3.6</v>
      </c>
      <c r="AA81" s="76">
        <v>4.9000000000000004</v>
      </c>
      <c r="AB81" s="76">
        <v>4.9000000000000004</v>
      </c>
      <c r="AC81" s="76">
        <v>4.9000000000000004</v>
      </c>
      <c r="AD81" s="76">
        <v>4.9000000000000004</v>
      </c>
      <c r="AE81" s="76">
        <v>4.9000000000000004</v>
      </c>
      <c r="AF81" s="76">
        <v>5.0999999999999996</v>
      </c>
      <c r="AG81" s="66">
        <v>32</v>
      </c>
      <c r="AH81" s="48">
        <f t="shared" si="27"/>
        <v>9.5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>
        <v>3.4</v>
      </c>
      <c r="N82" s="78">
        <v>3.4</v>
      </c>
      <c r="O82" s="78">
        <v>3.5</v>
      </c>
      <c r="P82" s="78">
        <v>3.4</v>
      </c>
      <c r="Q82" s="78">
        <v>3.4</v>
      </c>
      <c r="R82" s="78">
        <v>3.4</v>
      </c>
      <c r="S82" s="78">
        <v>2.6</v>
      </c>
      <c r="T82" s="78">
        <v>3.2</v>
      </c>
      <c r="U82" s="78">
        <v>3.3</v>
      </c>
      <c r="V82" s="78">
        <v>3.2</v>
      </c>
      <c r="W82" s="78">
        <v>1.5</v>
      </c>
      <c r="X82" s="78">
        <v>0.9</v>
      </c>
      <c r="Y82" s="78">
        <v>1.8</v>
      </c>
      <c r="Z82" s="78">
        <v>1.3</v>
      </c>
      <c r="AA82" s="78">
        <v>1.8</v>
      </c>
      <c r="AB82" s="78">
        <v>1.8</v>
      </c>
      <c r="AC82" s="78">
        <v>1.8</v>
      </c>
      <c r="AD82" s="78">
        <v>1.8</v>
      </c>
      <c r="AE82" s="78">
        <v>1.8</v>
      </c>
      <c r="AF82" s="78">
        <v>1.9</v>
      </c>
      <c r="AG82" s="79">
        <v>14</v>
      </c>
      <c r="AH82" s="48">
        <f t="shared" si="27"/>
        <v>3.5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24</v>
      </c>
      <c r="BH82" s="82">
        <v>0</v>
      </c>
      <c r="BI82" s="82">
        <v>-306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0</v>
      </c>
      <c r="C83" s="71">
        <f t="shared" ref="C83:Z83" si="30">C80+C81+C82</f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33.800000000000004</v>
      </c>
      <c r="N83" s="71">
        <f t="shared" si="30"/>
        <v>33.800000000000004</v>
      </c>
      <c r="O83" s="71">
        <f t="shared" si="30"/>
        <v>33.9</v>
      </c>
      <c r="P83" s="71">
        <f t="shared" si="30"/>
        <v>33.6</v>
      </c>
      <c r="Q83" s="71">
        <f t="shared" si="30"/>
        <v>33.700000000000003</v>
      </c>
      <c r="R83" s="71">
        <f>R80+R81+R82</f>
        <v>33.6</v>
      </c>
      <c r="S83" s="71">
        <f t="shared" si="30"/>
        <v>27.000000000000004</v>
      </c>
      <c r="T83" s="71">
        <f t="shared" si="30"/>
        <v>33.400000000000006</v>
      </c>
      <c r="U83" s="71">
        <f t="shared" si="30"/>
        <v>33</v>
      </c>
      <c r="V83" s="71">
        <f t="shared" si="30"/>
        <v>32.900000000000006</v>
      </c>
      <c r="W83" s="71">
        <f t="shared" si="30"/>
        <v>15.5</v>
      </c>
      <c r="X83" s="71">
        <f t="shared" si="30"/>
        <v>13.3</v>
      </c>
      <c r="Y83" s="71">
        <f t="shared" si="30"/>
        <v>20.900000000000002</v>
      </c>
      <c r="Z83" s="71">
        <f t="shared" si="30"/>
        <v>19.100000000000001</v>
      </c>
      <c r="AA83" s="71">
        <v>20.7</v>
      </c>
      <c r="AB83" s="71">
        <v>20.7</v>
      </c>
      <c r="AC83" s="71">
        <v>20.7</v>
      </c>
      <c r="AD83" s="71">
        <v>20.7</v>
      </c>
      <c r="AE83" s="71">
        <v>20.7</v>
      </c>
      <c r="AF83" s="71">
        <v>20.7</v>
      </c>
      <c r="AG83" s="72">
        <f>SUM(AG80:AG82)</f>
        <v>106</v>
      </c>
      <c r="AH83" s="48">
        <f t="shared" si="27"/>
        <v>33.9</v>
      </c>
      <c r="AI83" s="49">
        <f t="shared" si="28"/>
        <v>0</v>
      </c>
      <c r="AK83" s="51"/>
      <c r="AY83" s="82"/>
      <c r="BF83" s="81"/>
      <c r="BG83" s="82">
        <v>25</v>
      </c>
      <c r="BH83" s="82">
        <v>0</v>
      </c>
      <c r="BI83" s="82">
        <v>-295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17.8</v>
      </c>
      <c r="C84" s="46">
        <v>24.3</v>
      </c>
      <c r="D84" s="46">
        <v>25</v>
      </c>
      <c r="E84" s="46">
        <v>26</v>
      </c>
      <c r="F84" s="46">
        <v>30</v>
      </c>
      <c r="G84" s="46">
        <v>29.8</v>
      </c>
      <c r="H84" s="46">
        <v>15.7</v>
      </c>
      <c r="I84" s="46">
        <v>24</v>
      </c>
      <c r="J84" s="46">
        <v>54</v>
      </c>
      <c r="K84" s="46">
        <v>57</v>
      </c>
      <c r="L84" s="46">
        <v>57</v>
      </c>
      <c r="M84" s="46">
        <v>57.3</v>
      </c>
      <c r="N84" s="46">
        <v>56.6</v>
      </c>
      <c r="O84" s="46">
        <v>73.8</v>
      </c>
      <c r="P84" s="46">
        <v>72.8</v>
      </c>
      <c r="Q84" s="46">
        <v>61.7</v>
      </c>
      <c r="R84" s="46">
        <v>66.900000000000006</v>
      </c>
      <c r="S84" s="46">
        <v>60</v>
      </c>
      <c r="T84" s="46">
        <v>0</v>
      </c>
      <c r="U84" s="46">
        <v>50</v>
      </c>
      <c r="V84" s="46">
        <v>30</v>
      </c>
      <c r="W84" s="46">
        <v>33.200000000000003</v>
      </c>
      <c r="X84" s="46">
        <v>30</v>
      </c>
      <c r="Y84" s="46">
        <v>25.7</v>
      </c>
      <c r="Z84" s="46">
        <v>15.6</v>
      </c>
      <c r="AA84" s="46">
        <v>9.5</v>
      </c>
      <c r="AB84" s="46">
        <v>19.2</v>
      </c>
      <c r="AC84" s="46">
        <v>23.8</v>
      </c>
      <c r="AD84" s="46">
        <v>16.399999999999999</v>
      </c>
      <c r="AE84" s="46">
        <v>16.399999999999999</v>
      </c>
      <c r="AF84" s="46">
        <v>16.399999999999999</v>
      </c>
      <c r="AG84" s="61"/>
      <c r="AH84" s="48">
        <f t="shared" si="27"/>
        <v>73.8</v>
      </c>
      <c r="AI84" s="49">
        <f t="shared" si="28"/>
        <v>0</v>
      </c>
      <c r="AK84" s="51"/>
      <c r="AY84" s="82"/>
      <c r="BF84" s="81"/>
      <c r="BG84" s="82">
        <v>26</v>
      </c>
      <c r="BH84" s="82">
        <v>0</v>
      </c>
      <c r="BI84" s="82">
        <v>-330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30</v>
      </c>
      <c r="BH85" s="82">
        <v>0</v>
      </c>
      <c r="BI85" s="82">
        <v>-380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-204</v>
      </c>
      <c r="C86" s="76">
        <v>-306</v>
      </c>
      <c r="D86" s="76">
        <v>-295</v>
      </c>
      <c r="E86" s="76">
        <v>-330</v>
      </c>
      <c r="F86" s="76">
        <v>-380</v>
      </c>
      <c r="G86" s="76">
        <v>-420</v>
      </c>
      <c r="H86" s="76">
        <v>-385</v>
      </c>
      <c r="I86" s="76">
        <v>113</v>
      </c>
      <c r="J86" s="76">
        <v>-92</v>
      </c>
      <c r="K86" s="76">
        <v>-333</v>
      </c>
      <c r="L86" s="76">
        <v>-337</v>
      </c>
      <c r="M86" s="76">
        <v>-321</v>
      </c>
      <c r="N86" s="76">
        <v>-204.3</v>
      </c>
      <c r="O86" s="76">
        <v>-225</v>
      </c>
      <c r="P86" s="76">
        <v>-144.9</v>
      </c>
      <c r="Q86" s="76">
        <v>-258</v>
      </c>
      <c r="R86" s="76">
        <v>-225</v>
      </c>
      <c r="S86" s="76">
        <v>-145</v>
      </c>
      <c r="T86" s="76">
        <v>-250</v>
      </c>
      <c r="U86" s="76">
        <v>-249</v>
      </c>
      <c r="V86" s="76">
        <v>-305</v>
      </c>
      <c r="W86" s="76">
        <v>-270</v>
      </c>
      <c r="X86" s="76">
        <v>-301.2</v>
      </c>
      <c r="Y86" s="76">
        <v>-302.39999999999998</v>
      </c>
      <c r="Z86" s="76">
        <v>-242</v>
      </c>
      <c r="AA86" s="76">
        <v>-177</v>
      </c>
      <c r="AB86" s="76">
        <v>-172.8</v>
      </c>
      <c r="AC86" s="76">
        <v>-161</v>
      </c>
      <c r="AD86" s="76">
        <v>-157.30000000000001</v>
      </c>
      <c r="AE86" s="76">
        <v>-157.30000000000001</v>
      </c>
      <c r="AF86" s="76">
        <v>-324.36</v>
      </c>
      <c r="AG86" s="88"/>
      <c r="AH86" s="48">
        <f t="shared" si="27"/>
        <v>113</v>
      </c>
      <c r="AI86" s="49">
        <f t="shared" si="28"/>
        <v>-420</v>
      </c>
      <c r="AK86" s="92"/>
      <c r="AL86" s="93"/>
      <c r="AM86" s="93"/>
      <c r="AN86" s="94"/>
      <c r="AY86" s="82"/>
      <c r="BF86" s="82"/>
      <c r="BG86" s="82">
        <v>29.8</v>
      </c>
      <c r="BH86" s="82">
        <v>0</v>
      </c>
      <c r="BI86" s="82">
        <v>-420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24</v>
      </c>
      <c r="BH87" s="82">
        <v>0</v>
      </c>
      <c r="BI87" s="82">
        <v>113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57</v>
      </c>
      <c r="BH88" s="82">
        <v>0</v>
      </c>
      <c r="BI88" s="82">
        <v>-333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>
        <v>47</v>
      </c>
      <c r="AB89" s="90">
        <v>48.4</v>
      </c>
      <c r="AC89" s="90">
        <v>49.1</v>
      </c>
      <c r="AD89" s="90">
        <v>50.7</v>
      </c>
      <c r="AE89" s="90">
        <v>50.7</v>
      </c>
      <c r="AF89" s="90">
        <v>54.2</v>
      </c>
      <c r="AG89" s="88"/>
      <c r="AH89" s="48">
        <f>MAX(B89:AF89)</f>
        <v>54.2</v>
      </c>
      <c r="AI89" s="49">
        <f t="shared" si="28"/>
        <v>47</v>
      </c>
      <c r="AK89" s="99"/>
      <c r="AL89" s="46"/>
      <c r="AM89" s="46"/>
      <c r="AN89" s="100"/>
      <c r="AY89" s="82"/>
      <c r="BF89" s="82"/>
      <c r="BG89" s="82">
        <v>57.3</v>
      </c>
      <c r="BH89" s="82">
        <v>0</v>
      </c>
      <c r="BI89" s="82">
        <v>-321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4"/>
      <c r="AY90" s="82"/>
      <c r="BF90" s="82"/>
      <c r="BG90" s="82">
        <v>56.6</v>
      </c>
      <c r="BH90" s="82">
        <v>0</v>
      </c>
      <c r="BI90" s="82">
        <v>-204.3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5"/>
      <c r="BF91" s="82"/>
      <c r="BG91" s="82">
        <v>73.8</v>
      </c>
      <c r="BH91" s="82">
        <v>0</v>
      </c>
      <c r="BI91" s="82">
        <v>-225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72.8</v>
      </c>
      <c r="BH92" s="82">
        <v>0</v>
      </c>
      <c r="BI92" s="82">
        <v>-144.9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61.7</v>
      </c>
      <c r="BH93" s="82">
        <v>0</v>
      </c>
      <c r="BI93" s="82">
        <v>-258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66.900000000000006</v>
      </c>
      <c r="BH94" s="82">
        <v>0</v>
      </c>
      <c r="BI94" s="82">
        <v>-225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17.8</v>
      </c>
      <c r="C95" s="71">
        <f>SUMIF(C84:C94,"&gt;0")</f>
        <v>24.3</v>
      </c>
      <c r="D95" s="71">
        <f t="shared" ref="D95:Z95" si="31">SUMIF(D84:D94,"&gt;0")</f>
        <v>25</v>
      </c>
      <c r="E95" s="71">
        <f t="shared" si="31"/>
        <v>26</v>
      </c>
      <c r="F95" s="71">
        <f t="shared" si="31"/>
        <v>30</v>
      </c>
      <c r="G95" s="71">
        <f t="shared" si="31"/>
        <v>29.8</v>
      </c>
      <c r="H95" s="71">
        <f t="shared" si="31"/>
        <v>15.7</v>
      </c>
      <c r="I95" s="71">
        <f t="shared" si="31"/>
        <v>137</v>
      </c>
      <c r="J95" s="71">
        <f t="shared" si="31"/>
        <v>54</v>
      </c>
      <c r="K95" s="71">
        <f t="shared" si="31"/>
        <v>57</v>
      </c>
      <c r="L95" s="71">
        <f t="shared" si="31"/>
        <v>57</v>
      </c>
      <c r="M95" s="71">
        <f t="shared" si="31"/>
        <v>57.3</v>
      </c>
      <c r="N95" s="71">
        <f t="shared" si="31"/>
        <v>56.6</v>
      </c>
      <c r="O95" s="71">
        <f t="shared" si="31"/>
        <v>73.8</v>
      </c>
      <c r="P95" s="71">
        <f t="shared" si="31"/>
        <v>72.8</v>
      </c>
      <c r="Q95" s="71">
        <f t="shared" si="31"/>
        <v>61.7</v>
      </c>
      <c r="R95" s="71">
        <f t="shared" si="31"/>
        <v>66.900000000000006</v>
      </c>
      <c r="S95" s="71">
        <f t="shared" si="31"/>
        <v>60</v>
      </c>
      <c r="T95" s="71">
        <f t="shared" si="31"/>
        <v>0</v>
      </c>
      <c r="U95" s="71">
        <f>SUMIF(U84:U94,"&gt;0")</f>
        <v>50</v>
      </c>
      <c r="V95" s="71">
        <f t="shared" si="31"/>
        <v>30</v>
      </c>
      <c r="W95" s="71">
        <f t="shared" si="31"/>
        <v>33.200000000000003</v>
      </c>
      <c r="X95" s="71">
        <f t="shared" si="31"/>
        <v>30</v>
      </c>
      <c r="Y95" s="71">
        <f t="shared" si="31"/>
        <v>25.7</v>
      </c>
      <c r="Z95" s="71">
        <f t="shared" si="31"/>
        <v>15.6</v>
      </c>
      <c r="AA95" s="71">
        <v>56.5</v>
      </c>
      <c r="AB95" s="71">
        <v>56.5</v>
      </c>
      <c r="AC95" s="71">
        <v>56.5</v>
      </c>
      <c r="AD95" s="71">
        <v>56.5</v>
      </c>
      <c r="AE95" s="71">
        <v>56.5</v>
      </c>
      <c r="AF95" s="71">
        <v>56.5</v>
      </c>
      <c r="AG95" s="101">
        <f>SUM(AG84:AG94)</f>
        <v>0</v>
      </c>
      <c r="AH95" s="48">
        <f t="shared" si="27"/>
        <v>137</v>
      </c>
      <c r="AI95" s="49">
        <f t="shared" si="28"/>
        <v>0</v>
      </c>
      <c r="BF95" s="82"/>
      <c r="BG95" s="82">
        <v>60</v>
      </c>
      <c r="BH95" s="82">
        <v>0</v>
      </c>
      <c r="BI95" s="82">
        <v>-145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0</v>
      </c>
      <c r="BH96" s="82">
        <v>0</v>
      </c>
      <c r="BI96" s="82">
        <v>-250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50</v>
      </c>
      <c r="BH97" s="82">
        <v>0</v>
      </c>
      <c r="BI97" s="82">
        <v>-249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30</v>
      </c>
      <c r="BH98" s="82">
        <v>0</v>
      </c>
      <c r="BI98" s="82">
        <v>-305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30</v>
      </c>
      <c r="BH99" s="82">
        <v>0</v>
      </c>
      <c r="BI99" s="82">
        <v>-301.2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1850.6399999999996</v>
      </c>
      <c r="C100" s="108">
        <f t="shared" ref="C100:AG100" si="32">C61+C65+C83+C79+C95+C99</f>
        <v>1854.6399999999996</v>
      </c>
      <c r="D100" s="108">
        <f t="shared" si="32"/>
        <v>1824.8399999999997</v>
      </c>
      <c r="E100" s="108">
        <f t="shared" si="32"/>
        <v>1842.04</v>
      </c>
      <c r="F100" s="108">
        <f t="shared" si="32"/>
        <v>1833.44</v>
      </c>
      <c r="G100" s="108">
        <f t="shared" si="32"/>
        <v>1858.74</v>
      </c>
      <c r="H100" s="108">
        <f t="shared" si="32"/>
        <v>1843.5400000000002</v>
      </c>
      <c r="I100" s="108">
        <f t="shared" si="32"/>
        <v>1222.8399999999999</v>
      </c>
      <c r="J100" s="108">
        <f t="shared" si="32"/>
        <v>1357.6399999999999</v>
      </c>
      <c r="K100" s="108">
        <f t="shared" si="32"/>
        <v>1877.94</v>
      </c>
      <c r="L100" s="108">
        <f t="shared" si="32"/>
        <v>1880.34</v>
      </c>
      <c r="M100" s="108">
        <f t="shared" si="32"/>
        <v>1971.9399999999998</v>
      </c>
      <c r="N100" s="108">
        <f t="shared" si="32"/>
        <v>1498.7399999999998</v>
      </c>
      <c r="O100" s="108">
        <f t="shared" si="32"/>
        <v>1879.04</v>
      </c>
      <c r="P100" s="108">
        <f t="shared" si="32"/>
        <v>1885.24</v>
      </c>
      <c r="Q100" s="108">
        <f t="shared" si="32"/>
        <v>1961.14</v>
      </c>
      <c r="R100" s="108">
        <f t="shared" si="32"/>
        <v>1910.6399999999999</v>
      </c>
      <c r="S100" s="108">
        <f t="shared" si="32"/>
        <v>1901.54</v>
      </c>
      <c r="T100" s="108">
        <f t="shared" si="32"/>
        <v>1845.2400000000002</v>
      </c>
      <c r="U100" s="108">
        <f t="shared" si="32"/>
        <v>1898.04</v>
      </c>
      <c r="V100" s="108">
        <f t="shared" si="32"/>
        <v>1880.84</v>
      </c>
      <c r="W100" s="108">
        <f t="shared" si="32"/>
        <v>1866.2399999999998</v>
      </c>
      <c r="X100" s="108">
        <f t="shared" si="32"/>
        <v>1857.7399999999998</v>
      </c>
      <c r="Y100" s="108">
        <f t="shared" si="32"/>
        <v>1859.6</v>
      </c>
      <c r="Z100" s="108">
        <f t="shared" si="32"/>
        <v>1843.7999999999995</v>
      </c>
      <c r="AA100" s="108">
        <v>1892.1999999999996</v>
      </c>
      <c r="AB100" s="108">
        <v>1892.1999999999996</v>
      </c>
      <c r="AC100" s="108">
        <v>1892.1999999999996</v>
      </c>
      <c r="AD100" s="108">
        <v>1892.1999999999996</v>
      </c>
      <c r="AE100" s="108">
        <v>1892.1999999999996</v>
      </c>
      <c r="AF100" s="108">
        <v>1892.1999999999996</v>
      </c>
      <c r="AG100" s="72">
        <f t="shared" si="32"/>
        <v>2655.44</v>
      </c>
      <c r="AH100" s="48">
        <f t="shared" si="27"/>
        <v>1971.9399999999998</v>
      </c>
      <c r="AI100" s="49">
        <f t="shared" si="28"/>
        <v>1222.8399999999999</v>
      </c>
      <c r="BF100" s="81"/>
      <c r="BG100" s="82">
        <v>15.6</v>
      </c>
      <c r="BH100" s="82">
        <v>0</v>
      </c>
      <c r="BI100" s="82">
        <v>-242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100</v>
      </c>
      <c r="C101" s="110">
        <v>100</v>
      </c>
      <c r="D101" s="110">
        <v>100</v>
      </c>
      <c r="E101" s="110">
        <v>100</v>
      </c>
      <c r="F101" s="110">
        <v>100</v>
      </c>
      <c r="G101" s="110">
        <v>100</v>
      </c>
      <c r="H101" s="110">
        <v>100</v>
      </c>
      <c r="I101" s="110">
        <v>400</v>
      </c>
      <c r="J101" s="110">
        <v>300</v>
      </c>
      <c r="K101" s="110">
        <v>0</v>
      </c>
      <c r="L101" s="110">
        <v>0</v>
      </c>
      <c r="M101" s="110"/>
      <c r="N101" s="110">
        <v>400</v>
      </c>
      <c r="O101" s="110">
        <v>50</v>
      </c>
      <c r="P101" s="110">
        <v>50</v>
      </c>
      <c r="Q101" s="110">
        <v>100</v>
      </c>
      <c r="R101" s="110">
        <v>150</v>
      </c>
      <c r="S101" s="110">
        <v>150</v>
      </c>
      <c r="T101" s="110">
        <v>200</v>
      </c>
      <c r="U101" s="110">
        <v>150</v>
      </c>
      <c r="V101" s="110">
        <v>150</v>
      </c>
      <c r="W101" s="110">
        <v>120</v>
      </c>
      <c r="X101" s="110">
        <v>120</v>
      </c>
      <c r="Y101" s="110">
        <v>120</v>
      </c>
      <c r="Z101" s="110">
        <v>150</v>
      </c>
      <c r="AA101" s="110">
        <v>150</v>
      </c>
      <c r="AB101" s="110">
        <v>150</v>
      </c>
      <c r="AC101" s="110">
        <v>150</v>
      </c>
      <c r="AD101" s="110">
        <v>150</v>
      </c>
      <c r="AE101" s="110">
        <v>150</v>
      </c>
      <c r="AF101" s="110">
        <v>120</v>
      </c>
      <c r="AG101" s="101"/>
      <c r="AH101" s="48">
        <f t="shared" si="27"/>
        <v>400</v>
      </c>
      <c r="AI101" s="49">
        <f t="shared" si="28"/>
        <v>0</v>
      </c>
      <c r="BF101" s="81"/>
      <c r="BG101" s="82">
        <v>19.2</v>
      </c>
      <c r="BH101" s="82">
        <v>0</v>
      </c>
      <c r="BI101" s="82">
        <v>-172.8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1950.6399999999996</v>
      </c>
      <c r="C102" s="108">
        <f t="shared" ref="C102:Z102" si="33">C100+C101</f>
        <v>1954.6399999999996</v>
      </c>
      <c r="D102" s="108">
        <f t="shared" si="33"/>
        <v>1924.8399999999997</v>
      </c>
      <c r="E102" s="108">
        <f t="shared" si="33"/>
        <v>1942.04</v>
      </c>
      <c r="F102" s="108">
        <f t="shared" si="33"/>
        <v>1933.44</v>
      </c>
      <c r="G102" s="108">
        <f t="shared" si="33"/>
        <v>1958.74</v>
      </c>
      <c r="H102" s="108">
        <f t="shared" si="33"/>
        <v>1943.5400000000002</v>
      </c>
      <c r="I102" s="108">
        <f t="shared" si="33"/>
        <v>1622.84</v>
      </c>
      <c r="J102" s="108">
        <f t="shared" si="33"/>
        <v>1657.6399999999999</v>
      </c>
      <c r="K102" s="108">
        <f t="shared" si="33"/>
        <v>1877.94</v>
      </c>
      <c r="L102" s="108">
        <f t="shared" si="33"/>
        <v>1880.34</v>
      </c>
      <c r="M102" s="108">
        <f t="shared" si="33"/>
        <v>1971.9399999999998</v>
      </c>
      <c r="N102" s="108">
        <f t="shared" si="33"/>
        <v>1898.7399999999998</v>
      </c>
      <c r="O102" s="108">
        <f t="shared" si="33"/>
        <v>1929.04</v>
      </c>
      <c r="P102" s="108">
        <f t="shared" si="33"/>
        <v>1935.24</v>
      </c>
      <c r="Q102" s="108">
        <f t="shared" si="33"/>
        <v>2061.1400000000003</v>
      </c>
      <c r="R102" s="108">
        <f t="shared" si="33"/>
        <v>2060.64</v>
      </c>
      <c r="S102" s="108">
        <f t="shared" si="33"/>
        <v>2051.54</v>
      </c>
      <c r="T102" s="108">
        <f t="shared" si="33"/>
        <v>2045.2400000000002</v>
      </c>
      <c r="U102" s="108">
        <f t="shared" si="33"/>
        <v>2048.04</v>
      </c>
      <c r="V102" s="108">
        <f t="shared" si="33"/>
        <v>2030.84</v>
      </c>
      <c r="W102" s="108">
        <f t="shared" si="33"/>
        <v>1986.2399999999998</v>
      </c>
      <c r="X102" s="108">
        <f t="shared" si="33"/>
        <v>1977.7399999999998</v>
      </c>
      <c r="Y102" s="108">
        <f t="shared" si="33"/>
        <v>1979.6</v>
      </c>
      <c r="Z102" s="108">
        <f t="shared" si="33"/>
        <v>1993.7999999999995</v>
      </c>
      <c r="AA102" s="108">
        <v>2042.1999999999996</v>
      </c>
      <c r="AB102" s="108">
        <v>2042.1999999999996</v>
      </c>
      <c r="AC102" s="108">
        <v>2042.1999999999996</v>
      </c>
      <c r="AD102" s="108">
        <v>2042.1999999999996</v>
      </c>
      <c r="AE102" s="108">
        <v>2042.1999999999996</v>
      </c>
      <c r="AF102" s="108">
        <v>2042.1999999999996</v>
      </c>
      <c r="AG102" s="101">
        <f>AG99+AG95+AG83+AG79+AG61+AG101</f>
        <v>2117.34</v>
      </c>
      <c r="AH102" s="48">
        <f t="shared" si="27"/>
        <v>2061.1400000000003</v>
      </c>
      <c r="AI102" s="49">
        <f t="shared" si="28"/>
        <v>1622.84</v>
      </c>
      <c r="BF102" s="81"/>
      <c r="BG102" s="82">
        <v>16.399999999999999</v>
      </c>
      <c r="BH102" s="82">
        <v>0</v>
      </c>
      <c r="BI102" s="82">
        <v>-157.30000000000001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1746.6399999999996</v>
      </c>
      <c r="C103" s="108">
        <f t="shared" ref="C103:Z103" si="34">C102-(C110)</f>
        <v>1648.6399999999996</v>
      </c>
      <c r="D103" s="108">
        <f t="shared" si="34"/>
        <v>1629.8399999999997</v>
      </c>
      <c r="E103" s="108">
        <f t="shared" si="34"/>
        <v>1612.04</v>
      </c>
      <c r="F103" s="108">
        <f t="shared" si="34"/>
        <v>1553.44</v>
      </c>
      <c r="G103" s="108">
        <f t="shared" si="34"/>
        <v>1538.74</v>
      </c>
      <c r="H103" s="108">
        <f t="shared" si="34"/>
        <v>1558.5400000000002</v>
      </c>
      <c r="I103" s="108">
        <f t="shared" si="34"/>
        <v>1622.84</v>
      </c>
      <c r="J103" s="108">
        <f t="shared" si="34"/>
        <v>1565.6399999999999</v>
      </c>
      <c r="K103" s="108">
        <f t="shared" si="34"/>
        <v>1544.94</v>
      </c>
      <c r="L103" s="108">
        <f t="shared" si="34"/>
        <v>1543.34</v>
      </c>
      <c r="M103" s="108">
        <f t="shared" si="34"/>
        <v>1650.9399999999998</v>
      </c>
      <c r="N103" s="108">
        <f t="shared" si="34"/>
        <v>1694.4399999999998</v>
      </c>
      <c r="O103" s="108">
        <f t="shared" si="34"/>
        <v>1704.04</v>
      </c>
      <c r="P103" s="108">
        <f t="shared" si="34"/>
        <v>1790.34</v>
      </c>
      <c r="Q103" s="108">
        <f t="shared" si="34"/>
        <v>1803.1400000000003</v>
      </c>
      <c r="R103" s="108">
        <f t="shared" si="34"/>
        <v>1835.6399999999999</v>
      </c>
      <c r="S103" s="108">
        <f t="shared" si="34"/>
        <v>1906.54</v>
      </c>
      <c r="T103" s="108">
        <f t="shared" si="34"/>
        <v>1795.2400000000002</v>
      </c>
      <c r="U103" s="108">
        <f t="shared" si="34"/>
        <v>1799.04</v>
      </c>
      <c r="V103" s="108">
        <f t="shared" si="34"/>
        <v>1725.84</v>
      </c>
      <c r="W103" s="108">
        <f t="shared" si="34"/>
        <v>1716.2399999999998</v>
      </c>
      <c r="X103" s="108">
        <f t="shared" si="34"/>
        <v>1676.5399999999997</v>
      </c>
      <c r="Y103" s="108">
        <f t="shared" si="34"/>
        <v>1677.1999999999998</v>
      </c>
      <c r="Z103" s="108">
        <f t="shared" si="34"/>
        <v>1751.7999999999995</v>
      </c>
      <c r="AA103" s="108">
        <v>1865.1999999999996</v>
      </c>
      <c r="AB103" s="108">
        <v>1865.1999999999996</v>
      </c>
      <c r="AC103" s="108">
        <v>1865.1999999999996</v>
      </c>
      <c r="AD103" s="108">
        <v>1865.1999999999996</v>
      </c>
      <c r="AE103" s="108">
        <v>1865.1999999999996</v>
      </c>
      <c r="AF103" s="108">
        <v>1865.1999999999996</v>
      </c>
      <c r="AG103" s="101"/>
      <c r="AH103" s="48">
        <f t="shared" si="27"/>
        <v>1906.54</v>
      </c>
      <c r="AI103" s="49">
        <f t="shared" si="28"/>
        <v>1538.74</v>
      </c>
      <c r="BF103" s="81"/>
      <c r="BG103" s="82">
        <v>16.399999999999999</v>
      </c>
      <c r="BH103" s="82">
        <v>0</v>
      </c>
      <c r="BI103" s="82">
        <v>-157.30000000000001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5">IF(B84&lt;0,B84*-1,0)</f>
        <v>0</v>
      </c>
      <c r="C104" s="89">
        <f t="shared" ref="C104:Z109" si="36">IF(C84&lt;0,C84*-1,0)</f>
        <v>0</v>
      </c>
      <c r="D104" s="89">
        <f t="shared" si="36"/>
        <v>0</v>
      </c>
      <c r="E104" s="89">
        <f t="shared" si="36"/>
        <v>0</v>
      </c>
      <c r="F104" s="89">
        <f t="shared" si="36"/>
        <v>0</v>
      </c>
      <c r="G104" s="89">
        <f t="shared" si="36"/>
        <v>0</v>
      </c>
      <c r="H104" s="89">
        <f t="shared" si="36"/>
        <v>0</v>
      </c>
      <c r="I104" s="89">
        <f t="shared" si="36"/>
        <v>0</v>
      </c>
      <c r="J104" s="89">
        <f t="shared" si="36"/>
        <v>0</v>
      </c>
      <c r="K104" s="89">
        <f t="shared" si="36"/>
        <v>0</v>
      </c>
      <c r="L104" s="89">
        <f t="shared" si="36"/>
        <v>0</v>
      </c>
      <c r="M104" s="89">
        <f t="shared" si="36"/>
        <v>0</v>
      </c>
      <c r="N104" s="89">
        <f t="shared" si="36"/>
        <v>0</v>
      </c>
      <c r="O104" s="89">
        <f t="shared" si="36"/>
        <v>0</v>
      </c>
      <c r="P104" s="89">
        <f t="shared" si="36"/>
        <v>0</v>
      </c>
      <c r="Q104" s="89">
        <f t="shared" si="36"/>
        <v>0</v>
      </c>
      <c r="R104" s="89">
        <f t="shared" si="36"/>
        <v>0</v>
      </c>
      <c r="S104" s="89">
        <f t="shared" si="36"/>
        <v>0</v>
      </c>
      <c r="T104" s="89">
        <f t="shared" si="36"/>
        <v>0</v>
      </c>
      <c r="U104" s="89">
        <f t="shared" si="36"/>
        <v>0</v>
      </c>
      <c r="V104" s="89">
        <f t="shared" si="36"/>
        <v>0</v>
      </c>
      <c r="W104" s="89">
        <f t="shared" si="36"/>
        <v>0</v>
      </c>
      <c r="X104" s="89">
        <f t="shared" si="36"/>
        <v>0</v>
      </c>
      <c r="Y104" s="89">
        <f t="shared" si="36"/>
        <v>0</v>
      </c>
      <c r="Z104" s="89">
        <f t="shared" si="36"/>
        <v>0</v>
      </c>
      <c r="AA104" s="89">
        <v>0</v>
      </c>
      <c r="AB104" s="89">
        <v>0</v>
      </c>
      <c r="AC104" s="89">
        <v>0</v>
      </c>
      <c r="AD104" s="89">
        <v>0</v>
      </c>
      <c r="AE104" s="89">
        <v>0</v>
      </c>
      <c r="AF104" s="89">
        <v>0</v>
      </c>
      <c r="AG104" s="61"/>
      <c r="AH104" s="48">
        <f t="shared" si="27"/>
        <v>0</v>
      </c>
      <c r="AI104" s="49">
        <f t="shared" si="28"/>
        <v>0</v>
      </c>
      <c r="BG104" s="82">
        <v>16.399999999999999</v>
      </c>
      <c r="BH104" s="82">
        <v>0</v>
      </c>
      <c r="BI104" s="82">
        <v>-324.36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5"/>
        <v>0</v>
      </c>
      <c r="C105" s="89">
        <f t="shared" ref="C105:Q105" si="37">IF(C85&lt;0,C85*-1,0)</f>
        <v>0</v>
      </c>
      <c r="D105" s="89">
        <f t="shared" si="37"/>
        <v>0</v>
      </c>
      <c r="E105" s="89">
        <f t="shared" si="37"/>
        <v>0</v>
      </c>
      <c r="F105" s="89">
        <f t="shared" si="37"/>
        <v>0</v>
      </c>
      <c r="G105" s="89">
        <f t="shared" si="37"/>
        <v>0</v>
      </c>
      <c r="H105" s="89">
        <f t="shared" si="37"/>
        <v>0</v>
      </c>
      <c r="I105" s="89">
        <f t="shared" si="37"/>
        <v>0</v>
      </c>
      <c r="J105" s="89">
        <f t="shared" si="37"/>
        <v>0</v>
      </c>
      <c r="K105" s="89">
        <f t="shared" si="37"/>
        <v>0</v>
      </c>
      <c r="L105" s="89">
        <f t="shared" si="37"/>
        <v>0</v>
      </c>
      <c r="M105" s="89">
        <f t="shared" si="37"/>
        <v>0</v>
      </c>
      <c r="N105" s="89">
        <f t="shared" si="37"/>
        <v>0</v>
      </c>
      <c r="O105" s="89">
        <f t="shared" si="37"/>
        <v>0</v>
      </c>
      <c r="P105" s="89">
        <f t="shared" si="37"/>
        <v>0</v>
      </c>
      <c r="Q105" s="89">
        <f t="shared" si="37"/>
        <v>0</v>
      </c>
      <c r="R105" s="89">
        <f t="shared" si="36"/>
        <v>0</v>
      </c>
      <c r="S105" s="89">
        <f t="shared" si="36"/>
        <v>0</v>
      </c>
      <c r="T105" s="89">
        <f t="shared" si="36"/>
        <v>0</v>
      </c>
      <c r="U105" s="89">
        <f t="shared" si="36"/>
        <v>0</v>
      </c>
      <c r="V105" s="89">
        <f t="shared" si="36"/>
        <v>0</v>
      </c>
      <c r="W105" s="89">
        <f t="shared" si="36"/>
        <v>0</v>
      </c>
      <c r="X105" s="89">
        <f t="shared" si="36"/>
        <v>0</v>
      </c>
      <c r="Y105" s="89">
        <f t="shared" si="36"/>
        <v>0</v>
      </c>
      <c r="Z105" s="89">
        <f t="shared" si="36"/>
        <v>0</v>
      </c>
      <c r="AA105" s="89">
        <v>0</v>
      </c>
      <c r="AB105" s="89">
        <v>0</v>
      </c>
      <c r="AC105" s="89">
        <v>0</v>
      </c>
      <c r="AD105" s="89">
        <v>0</v>
      </c>
      <c r="AE105" s="89">
        <v>0</v>
      </c>
      <c r="AF105" s="89"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17.8</v>
      </c>
      <c r="BH105" s="82">
        <v>0</v>
      </c>
      <c r="BI105" s="82">
        <v>-204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5"/>
        <v>204</v>
      </c>
      <c r="C106" s="89">
        <f t="shared" si="36"/>
        <v>306</v>
      </c>
      <c r="D106" s="89">
        <f t="shared" si="36"/>
        <v>295</v>
      </c>
      <c r="E106" s="89">
        <f t="shared" si="36"/>
        <v>330</v>
      </c>
      <c r="F106" s="89">
        <f t="shared" si="36"/>
        <v>380</v>
      </c>
      <c r="G106" s="89">
        <f t="shared" si="36"/>
        <v>420</v>
      </c>
      <c r="H106" s="89">
        <f t="shared" si="36"/>
        <v>385</v>
      </c>
      <c r="I106" s="89">
        <f t="shared" si="36"/>
        <v>0</v>
      </c>
      <c r="J106" s="89">
        <f t="shared" si="36"/>
        <v>92</v>
      </c>
      <c r="K106" s="89">
        <f t="shared" si="36"/>
        <v>333</v>
      </c>
      <c r="L106" s="89">
        <f t="shared" si="36"/>
        <v>337</v>
      </c>
      <c r="M106" s="89">
        <f t="shared" si="36"/>
        <v>321</v>
      </c>
      <c r="N106" s="89">
        <f t="shared" si="36"/>
        <v>204.3</v>
      </c>
      <c r="O106" s="89">
        <f t="shared" si="36"/>
        <v>225</v>
      </c>
      <c r="P106" s="89">
        <f t="shared" si="36"/>
        <v>144.9</v>
      </c>
      <c r="Q106" s="89">
        <f t="shared" si="36"/>
        <v>258</v>
      </c>
      <c r="R106" s="89">
        <f t="shared" si="36"/>
        <v>225</v>
      </c>
      <c r="S106" s="89">
        <f t="shared" si="36"/>
        <v>145</v>
      </c>
      <c r="T106" s="89">
        <f t="shared" si="36"/>
        <v>250</v>
      </c>
      <c r="U106" s="89">
        <f t="shared" si="36"/>
        <v>249</v>
      </c>
      <c r="V106" s="89">
        <f t="shared" si="36"/>
        <v>305</v>
      </c>
      <c r="W106" s="89">
        <f t="shared" si="36"/>
        <v>270</v>
      </c>
      <c r="X106" s="89">
        <f t="shared" si="36"/>
        <v>301.2</v>
      </c>
      <c r="Y106" s="89">
        <f t="shared" si="36"/>
        <v>302.39999999999998</v>
      </c>
      <c r="Z106" s="89">
        <f t="shared" si="36"/>
        <v>242</v>
      </c>
      <c r="AA106" s="89">
        <v>0</v>
      </c>
      <c r="AB106" s="89">
        <v>0</v>
      </c>
      <c r="AC106" s="89">
        <v>0</v>
      </c>
      <c r="AD106" s="89">
        <v>0</v>
      </c>
      <c r="AE106" s="89">
        <v>0</v>
      </c>
      <c r="AF106" s="89">
        <v>0</v>
      </c>
      <c r="AG106" s="111"/>
      <c r="AH106" s="48">
        <f t="shared" si="27"/>
        <v>420</v>
      </c>
      <c r="AI106" s="49">
        <f t="shared" si="28"/>
        <v>0</v>
      </c>
    </row>
    <row r="107" spans="1:64" x14ac:dyDescent="0.25">
      <c r="A107" s="97" t="s">
        <v>107</v>
      </c>
      <c r="B107" s="89">
        <f t="shared" si="35"/>
        <v>0</v>
      </c>
      <c r="C107" s="89">
        <f t="shared" si="36"/>
        <v>0</v>
      </c>
      <c r="D107" s="89">
        <f t="shared" si="36"/>
        <v>0</v>
      </c>
      <c r="E107" s="89">
        <f t="shared" si="36"/>
        <v>0</v>
      </c>
      <c r="F107" s="89">
        <f t="shared" si="36"/>
        <v>0</v>
      </c>
      <c r="G107" s="89">
        <f t="shared" si="36"/>
        <v>0</v>
      </c>
      <c r="H107" s="89">
        <f t="shared" si="36"/>
        <v>0</v>
      </c>
      <c r="I107" s="89">
        <f t="shared" si="36"/>
        <v>0</v>
      </c>
      <c r="J107" s="89">
        <f t="shared" si="36"/>
        <v>0</v>
      </c>
      <c r="K107" s="89">
        <f t="shared" si="36"/>
        <v>0</v>
      </c>
      <c r="L107" s="89">
        <f t="shared" si="36"/>
        <v>0</v>
      </c>
      <c r="M107" s="89">
        <f t="shared" si="36"/>
        <v>0</v>
      </c>
      <c r="N107" s="89">
        <f t="shared" si="36"/>
        <v>0</v>
      </c>
      <c r="O107" s="89">
        <f t="shared" si="36"/>
        <v>0</v>
      </c>
      <c r="P107" s="89">
        <f t="shared" si="36"/>
        <v>0</v>
      </c>
      <c r="Q107" s="89">
        <f t="shared" si="36"/>
        <v>0</v>
      </c>
      <c r="R107" s="89">
        <f t="shared" si="36"/>
        <v>0</v>
      </c>
      <c r="S107" s="89">
        <f t="shared" si="36"/>
        <v>0</v>
      </c>
      <c r="T107" s="89">
        <f t="shared" si="36"/>
        <v>0</v>
      </c>
      <c r="U107" s="89">
        <f t="shared" si="36"/>
        <v>0</v>
      </c>
      <c r="V107" s="89">
        <f t="shared" si="36"/>
        <v>0</v>
      </c>
      <c r="W107" s="89">
        <f t="shared" si="36"/>
        <v>0</v>
      </c>
      <c r="X107" s="89">
        <f t="shared" si="36"/>
        <v>0</v>
      </c>
      <c r="Y107" s="89">
        <f t="shared" si="36"/>
        <v>0</v>
      </c>
      <c r="Z107" s="89">
        <f t="shared" si="36"/>
        <v>0</v>
      </c>
      <c r="AA107" s="89">
        <v>177</v>
      </c>
      <c r="AB107" s="89">
        <v>177</v>
      </c>
      <c r="AC107" s="89">
        <v>177</v>
      </c>
      <c r="AD107" s="89">
        <v>177</v>
      </c>
      <c r="AE107" s="89">
        <v>177</v>
      </c>
      <c r="AF107" s="89">
        <v>177</v>
      </c>
      <c r="AG107" s="111"/>
      <c r="AH107" s="48">
        <f t="shared" si="27"/>
        <v>177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35"/>
        <v>0</v>
      </c>
      <c r="C108" s="89">
        <f t="shared" si="36"/>
        <v>0</v>
      </c>
      <c r="D108" s="89">
        <f t="shared" si="36"/>
        <v>0</v>
      </c>
      <c r="E108" s="89">
        <f t="shared" si="36"/>
        <v>0</v>
      </c>
      <c r="F108" s="89">
        <f t="shared" si="36"/>
        <v>0</v>
      </c>
      <c r="G108" s="89">
        <f t="shared" si="36"/>
        <v>0</v>
      </c>
      <c r="H108" s="89">
        <f t="shared" si="36"/>
        <v>0</v>
      </c>
      <c r="I108" s="89">
        <f t="shared" si="36"/>
        <v>0</v>
      </c>
      <c r="J108" s="89">
        <f t="shared" si="36"/>
        <v>0</v>
      </c>
      <c r="K108" s="89">
        <f t="shared" si="36"/>
        <v>0</v>
      </c>
      <c r="L108" s="89">
        <f t="shared" si="36"/>
        <v>0</v>
      </c>
      <c r="M108" s="89">
        <f t="shared" si="36"/>
        <v>0</v>
      </c>
      <c r="N108" s="89">
        <f t="shared" si="36"/>
        <v>0</v>
      </c>
      <c r="O108" s="89">
        <f t="shared" si="36"/>
        <v>0</v>
      </c>
      <c r="P108" s="89">
        <f t="shared" si="36"/>
        <v>0</v>
      </c>
      <c r="Q108" s="89">
        <f t="shared" si="36"/>
        <v>0</v>
      </c>
      <c r="R108" s="89">
        <f t="shared" si="36"/>
        <v>0</v>
      </c>
      <c r="S108" s="89">
        <f t="shared" si="36"/>
        <v>0</v>
      </c>
      <c r="T108" s="89">
        <f t="shared" si="36"/>
        <v>0</v>
      </c>
      <c r="U108" s="89">
        <f t="shared" si="36"/>
        <v>0</v>
      </c>
      <c r="V108" s="89">
        <f t="shared" si="36"/>
        <v>0</v>
      </c>
      <c r="W108" s="89">
        <f t="shared" si="36"/>
        <v>0</v>
      </c>
      <c r="X108" s="89">
        <f t="shared" si="36"/>
        <v>0</v>
      </c>
      <c r="Y108" s="89">
        <f t="shared" si="36"/>
        <v>0</v>
      </c>
      <c r="Z108" s="89">
        <f t="shared" si="36"/>
        <v>0</v>
      </c>
      <c r="AA108" s="89">
        <v>0</v>
      </c>
      <c r="AB108" s="89">
        <v>0</v>
      </c>
      <c r="AC108" s="89">
        <v>0</v>
      </c>
      <c r="AD108" s="89">
        <v>0</v>
      </c>
      <c r="AE108" s="89">
        <v>0</v>
      </c>
      <c r="AF108" s="89"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35"/>
        <v>0</v>
      </c>
      <c r="C109" s="89">
        <f t="shared" si="36"/>
        <v>0</v>
      </c>
      <c r="D109" s="89">
        <f t="shared" si="36"/>
        <v>0</v>
      </c>
      <c r="E109" s="89">
        <f t="shared" si="36"/>
        <v>0</v>
      </c>
      <c r="F109" s="89">
        <f t="shared" si="36"/>
        <v>0</v>
      </c>
      <c r="G109" s="89">
        <f t="shared" si="36"/>
        <v>0</v>
      </c>
      <c r="H109" s="89">
        <f t="shared" si="36"/>
        <v>0</v>
      </c>
      <c r="I109" s="89">
        <f t="shared" si="36"/>
        <v>0</v>
      </c>
      <c r="J109" s="89">
        <f t="shared" si="36"/>
        <v>0</v>
      </c>
      <c r="K109" s="89">
        <f t="shared" si="36"/>
        <v>0</v>
      </c>
      <c r="L109" s="89">
        <f t="shared" si="36"/>
        <v>0</v>
      </c>
      <c r="M109" s="89">
        <f t="shared" si="36"/>
        <v>0</v>
      </c>
      <c r="N109" s="89">
        <f t="shared" si="36"/>
        <v>0</v>
      </c>
      <c r="O109" s="89">
        <f t="shared" si="36"/>
        <v>0</v>
      </c>
      <c r="P109" s="89">
        <f t="shared" si="36"/>
        <v>0</v>
      </c>
      <c r="Q109" s="89">
        <f t="shared" si="36"/>
        <v>0</v>
      </c>
      <c r="R109" s="89">
        <f t="shared" si="36"/>
        <v>0</v>
      </c>
      <c r="S109" s="89">
        <f t="shared" si="36"/>
        <v>0</v>
      </c>
      <c r="T109" s="89">
        <f t="shared" si="36"/>
        <v>0</v>
      </c>
      <c r="U109" s="89">
        <f t="shared" si="36"/>
        <v>0</v>
      </c>
      <c r="V109" s="89">
        <f t="shared" si="36"/>
        <v>0</v>
      </c>
      <c r="W109" s="89">
        <f t="shared" si="36"/>
        <v>0</v>
      </c>
      <c r="X109" s="89">
        <f t="shared" si="36"/>
        <v>0</v>
      </c>
      <c r="Y109" s="89">
        <f t="shared" si="36"/>
        <v>0</v>
      </c>
      <c r="Z109" s="89">
        <f t="shared" si="36"/>
        <v>0</v>
      </c>
      <c r="AA109" s="89">
        <v>0</v>
      </c>
      <c r="AB109" s="89">
        <v>0</v>
      </c>
      <c r="AC109" s="89">
        <v>0</v>
      </c>
      <c r="AD109" s="89">
        <v>0</v>
      </c>
      <c r="AE109" s="89">
        <v>0</v>
      </c>
      <c r="AF109" s="89"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>SUM(B104:B109)</f>
        <v>204</v>
      </c>
      <c r="C110" s="71">
        <f t="shared" ref="C110:Z110" si="38">SUM(C104:C109)</f>
        <v>306</v>
      </c>
      <c r="D110" s="71">
        <f t="shared" si="38"/>
        <v>295</v>
      </c>
      <c r="E110" s="71">
        <f t="shared" si="38"/>
        <v>330</v>
      </c>
      <c r="F110" s="71">
        <f t="shared" si="38"/>
        <v>380</v>
      </c>
      <c r="G110" s="71">
        <f t="shared" si="38"/>
        <v>420</v>
      </c>
      <c r="H110" s="71">
        <f t="shared" si="38"/>
        <v>385</v>
      </c>
      <c r="I110" s="71">
        <f t="shared" si="38"/>
        <v>0</v>
      </c>
      <c r="J110" s="71">
        <f t="shared" si="38"/>
        <v>92</v>
      </c>
      <c r="K110" s="71">
        <f t="shared" si="38"/>
        <v>333</v>
      </c>
      <c r="L110" s="71">
        <f t="shared" si="38"/>
        <v>337</v>
      </c>
      <c r="M110" s="71">
        <f t="shared" si="38"/>
        <v>321</v>
      </c>
      <c r="N110" s="71">
        <f t="shared" si="38"/>
        <v>204.3</v>
      </c>
      <c r="O110" s="71">
        <f t="shared" si="38"/>
        <v>225</v>
      </c>
      <c r="P110" s="71">
        <f t="shared" si="38"/>
        <v>144.9</v>
      </c>
      <c r="Q110" s="71">
        <f t="shared" si="38"/>
        <v>258</v>
      </c>
      <c r="R110" s="71">
        <f t="shared" si="38"/>
        <v>225</v>
      </c>
      <c r="S110" s="71">
        <f t="shared" si="38"/>
        <v>145</v>
      </c>
      <c r="T110" s="71">
        <f t="shared" si="38"/>
        <v>250</v>
      </c>
      <c r="U110" s="71">
        <f t="shared" si="38"/>
        <v>249</v>
      </c>
      <c r="V110" s="71">
        <f t="shared" si="38"/>
        <v>305</v>
      </c>
      <c r="W110" s="71">
        <f t="shared" si="38"/>
        <v>270</v>
      </c>
      <c r="X110" s="71">
        <f t="shared" si="38"/>
        <v>301.2</v>
      </c>
      <c r="Y110" s="71">
        <f t="shared" si="38"/>
        <v>302.39999999999998</v>
      </c>
      <c r="Z110" s="71">
        <f t="shared" si="38"/>
        <v>242</v>
      </c>
      <c r="AA110" s="71">
        <v>177</v>
      </c>
      <c r="AB110" s="71">
        <v>177</v>
      </c>
      <c r="AC110" s="71">
        <v>177</v>
      </c>
      <c r="AD110" s="71">
        <v>177</v>
      </c>
      <c r="AE110" s="71">
        <v>177</v>
      </c>
      <c r="AF110" s="71">
        <v>177</v>
      </c>
      <c r="AG110" s="101"/>
      <c r="AH110" s="48">
        <f t="shared" si="27"/>
        <v>420</v>
      </c>
      <c r="AI110" s="49">
        <f t="shared" si="28"/>
        <v>0</v>
      </c>
    </row>
    <row r="111" spans="1:64" ht="15.75" thickBot="1" x14ac:dyDescent="0.3">
      <c r="A111" s="87" t="s">
        <v>131</v>
      </c>
      <c r="B111" s="71">
        <f>B95-B110</f>
        <v>-186.2</v>
      </c>
      <c r="C111" s="71">
        <f t="shared" ref="C111:Z111" si="39">C95-C110</f>
        <v>-281.7</v>
      </c>
      <c r="D111" s="71">
        <f t="shared" si="39"/>
        <v>-270</v>
      </c>
      <c r="E111" s="71">
        <f t="shared" si="39"/>
        <v>-304</v>
      </c>
      <c r="F111" s="71">
        <f t="shared" si="39"/>
        <v>-350</v>
      </c>
      <c r="G111" s="71">
        <f t="shared" si="39"/>
        <v>-390.2</v>
      </c>
      <c r="H111" s="71">
        <f t="shared" si="39"/>
        <v>-369.3</v>
      </c>
      <c r="I111" s="71">
        <f t="shared" si="39"/>
        <v>137</v>
      </c>
      <c r="J111" s="71">
        <f t="shared" si="39"/>
        <v>-38</v>
      </c>
      <c r="K111" s="71">
        <f t="shared" si="39"/>
        <v>-276</v>
      </c>
      <c r="L111" s="71">
        <f t="shared" si="39"/>
        <v>-280</v>
      </c>
      <c r="M111" s="71">
        <f t="shared" si="39"/>
        <v>-263.7</v>
      </c>
      <c r="N111" s="71">
        <f t="shared" si="39"/>
        <v>-147.70000000000002</v>
      </c>
      <c r="O111" s="71">
        <f t="shared" si="39"/>
        <v>-151.19999999999999</v>
      </c>
      <c r="P111" s="71">
        <f t="shared" si="39"/>
        <v>-72.100000000000009</v>
      </c>
      <c r="Q111" s="71">
        <f t="shared" si="39"/>
        <v>-196.3</v>
      </c>
      <c r="R111" s="71">
        <f t="shared" si="39"/>
        <v>-158.1</v>
      </c>
      <c r="S111" s="71">
        <f t="shared" si="39"/>
        <v>-85</v>
      </c>
      <c r="T111" s="71">
        <f t="shared" si="39"/>
        <v>-250</v>
      </c>
      <c r="U111" s="71">
        <f t="shared" si="39"/>
        <v>-199</v>
      </c>
      <c r="V111" s="71">
        <f t="shared" si="39"/>
        <v>-275</v>
      </c>
      <c r="W111" s="71">
        <f t="shared" si="39"/>
        <v>-236.8</v>
      </c>
      <c r="X111" s="71">
        <f t="shared" si="39"/>
        <v>-271.2</v>
      </c>
      <c r="Y111" s="71">
        <f t="shared" si="39"/>
        <v>-276.7</v>
      </c>
      <c r="Z111" s="71">
        <f t="shared" si="39"/>
        <v>-226.4</v>
      </c>
      <c r="AA111" s="71">
        <v>-120.5</v>
      </c>
      <c r="AB111" s="71">
        <v>-120.5</v>
      </c>
      <c r="AC111" s="71">
        <v>-120.5</v>
      </c>
      <c r="AD111" s="71">
        <v>-120.5</v>
      </c>
      <c r="AE111" s="71">
        <v>-120.5</v>
      </c>
      <c r="AF111" s="71">
        <v>-120.5</v>
      </c>
      <c r="AG111" s="101"/>
      <c r="AH111" s="48">
        <f t="shared" si="27"/>
        <v>137</v>
      </c>
      <c r="AI111" s="49">
        <f t="shared" si="28"/>
        <v>-390.2</v>
      </c>
    </row>
    <row r="112" spans="1:64" x14ac:dyDescent="0.25">
      <c r="A112" s="113" t="s">
        <v>132</v>
      </c>
      <c r="B112" s="114">
        <v>49.987000000000002</v>
      </c>
      <c r="C112" s="114">
        <v>50.027000000000001</v>
      </c>
      <c r="D112" s="114">
        <v>49.975000000000001</v>
      </c>
      <c r="E112" s="114">
        <v>50</v>
      </c>
      <c r="F112" s="114">
        <v>50</v>
      </c>
      <c r="G112" s="114">
        <v>49.993000000000002</v>
      </c>
      <c r="H112" s="114">
        <v>50.036999999999999</v>
      </c>
      <c r="I112" s="114">
        <v>50.064999999999998</v>
      </c>
      <c r="J112" s="114">
        <v>50.033999999999999</v>
      </c>
      <c r="K112" s="114">
        <v>50.042999999999999</v>
      </c>
      <c r="L112" s="114">
        <v>49.962000000000003</v>
      </c>
      <c r="M112" s="114">
        <v>49.911999999999999</v>
      </c>
      <c r="N112" s="114">
        <v>49.948</v>
      </c>
      <c r="O112" s="114">
        <v>50.006</v>
      </c>
      <c r="P112" s="114">
        <v>50.018000000000001</v>
      </c>
      <c r="Q112" s="114">
        <v>49.99</v>
      </c>
      <c r="R112" s="114">
        <v>49.93</v>
      </c>
      <c r="S112" s="114">
        <v>50.051000000000002</v>
      </c>
      <c r="T112" s="114">
        <v>50.000999999999998</v>
      </c>
      <c r="U112" s="114">
        <v>49.94</v>
      </c>
      <c r="V112" s="114">
        <v>49.93</v>
      </c>
      <c r="W112" s="114">
        <v>49.996000000000002</v>
      </c>
      <c r="X112" s="114">
        <v>50.037999999999997</v>
      </c>
      <c r="Y112" s="114">
        <v>50</v>
      </c>
      <c r="Z112" s="114">
        <v>50.106999999999999</v>
      </c>
      <c r="AA112" s="114">
        <v>50.033999999999999</v>
      </c>
      <c r="AB112" s="114">
        <v>49.95</v>
      </c>
      <c r="AC112" s="114">
        <v>49.97</v>
      </c>
      <c r="AD112" s="114">
        <v>50</v>
      </c>
      <c r="AE112" s="114">
        <v>50</v>
      </c>
      <c r="AF112" s="114">
        <v>49.96</v>
      </c>
      <c r="AG112" s="115"/>
      <c r="AH112" s="48">
        <f t="shared" si="27"/>
        <v>50.106999999999999</v>
      </c>
      <c r="AI112" s="49">
        <f t="shared" si="28"/>
        <v>49.911999999999999</v>
      </c>
    </row>
    <row r="113" spans="1:35" x14ac:dyDescent="0.25">
      <c r="A113" s="116" t="s">
        <v>133</v>
      </c>
      <c r="B113" s="76">
        <v>119.4</v>
      </c>
      <c r="C113" s="76">
        <v>123.9</v>
      </c>
      <c r="D113" s="76">
        <v>121</v>
      </c>
      <c r="E113" s="76">
        <v>121</v>
      </c>
      <c r="F113" s="76">
        <v>123.7</v>
      </c>
      <c r="G113" s="76">
        <v>122.5</v>
      </c>
      <c r="H113" s="76">
        <v>122.5</v>
      </c>
      <c r="I113" s="76">
        <v>125</v>
      </c>
      <c r="J113" s="76">
        <v>122.6</v>
      </c>
      <c r="K113" s="76">
        <v>122.6</v>
      </c>
      <c r="L113" s="76">
        <v>120</v>
      </c>
      <c r="M113" s="76">
        <v>118.5</v>
      </c>
      <c r="N113" s="76">
        <v>125.8</v>
      </c>
      <c r="O113" s="76">
        <v>116.5</v>
      </c>
      <c r="P113" s="76">
        <v>119.5</v>
      </c>
      <c r="Q113" s="76">
        <v>118</v>
      </c>
      <c r="R113" s="76">
        <v>118.8</v>
      </c>
      <c r="S113" s="76">
        <v>119.5</v>
      </c>
      <c r="T113" s="76">
        <v>119.6</v>
      </c>
      <c r="U113" s="76">
        <v>120.2</v>
      </c>
      <c r="V113" s="76">
        <v>123.2</v>
      </c>
      <c r="W113" s="76">
        <v>122.5</v>
      </c>
      <c r="X113" s="76">
        <v>122.3</v>
      </c>
      <c r="Y113" s="76">
        <v>123.4</v>
      </c>
      <c r="Z113" s="76">
        <v>123.1</v>
      </c>
      <c r="AA113" s="76">
        <v>121.4</v>
      </c>
      <c r="AB113" s="76">
        <v>123.4</v>
      </c>
      <c r="AC113" s="76">
        <v>123</v>
      </c>
      <c r="AD113" s="76">
        <v>119.9</v>
      </c>
      <c r="AE113" s="76">
        <v>119.9</v>
      </c>
      <c r="AF113" s="76">
        <v>123.4</v>
      </c>
      <c r="AG113" s="117"/>
      <c r="AH113" s="48">
        <f t="shared" si="27"/>
        <v>125.8</v>
      </c>
      <c r="AI113" s="49">
        <f t="shared" si="28"/>
        <v>116.5</v>
      </c>
    </row>
    <row r="114" spans="1:35" x14ac:dyDescent="0.25">
      <c r="A114" s="116" t="s">
        <v>134</v>
      </c>
      <c r="B114" s="76">
        <v>125.8</v>
      </c>
      <c r="C114" s="76">
        <v>128.5</v>
      </c>
      <c r="D114" s="76">
        <v>127.4</v>
      </c>
      <c r="E114" s="76">
        <v>127.4</v>
      </c>
      <c r="F114" s="76">
        <v>129</v>
      </c>
      <c r="G114" s="76">
        <v>129</v>
      </c>
      <c r="H114" s="76">
        <v>129</v>
      </c>
      <c r="I114" s="76">
        <v>129</v>
      </c>
      <c r="J114" s="76">
        <v>126.8</v>
      </c>
      <c r="K114" s="76">
        <v>126.8</v>
      </c>
      <c r="L114" s="76">
        <v>125.5</v>
      </c>
      <c r="M114" s="76">
        <v>123</v>
      </c>
      <c r="N114" s="76">
        <v>127.3</v>
      </c>
      <c r="O114" s="76">
        <v>121.4</v>
      </c>
      <c r="P114" s="76">
        <v>124.1</v>
      </c>
      <c r="Q114" s="76">
        <v>122.8</v>
      </c>
      <c r="R114" s="76">
        <v>122.1</v>
      </c>
      <c r="S114" s="76">
        <v>124</v>
      </c>
      <c r="T114" s="76">
        <v>124.6</v>
      </c>
      <c r="U114" s="76">
        <v>124.5</v>
      </c>
      <c r="V114" s="76">
        <v>126.7</v>
      </c>
      <c r="W114" s="76">
        <v>126.1</v>
      </c>
      <c r="X114" s="76">
        <v>126.3</v>
      </c>
      <c r="Y114" s="76">
        <v>126.9</v>
      </c>
      <c r="Z114" s="76">
        <v>126.5</v>
      </c>
      <c r="AA114" s="76">
        <v>125.1</v>
      </c>
      <c r="AB114" s="76">
        <v>128</v>
      </c>
      <c r="AC114" s="76">
        <v>126.6</v>
      </c>
      <c r="AD114" s="76">
        <v>124.9</v>
      </c>
      <c r="AE114" s="76">
        <v>124.9</v>
      </c>
      <c r="AF114" s="76">
        <v>128</v>
      </c>
      <c r="AG114" s="117"/>
      <c r="AH114" s="48">
        <f t="shared" si="27"/>
        <v>129</v>
      </c>
      <c r="AI114" s="49">
        <f t="shared" si="28"/>
        <v>121.4</v>
      </c>
    </row>
    <row r="115" spans="1:35" x14ac:dyDescent="0.25">
      <c r="A115" s="116" t="s">
        <v>135</v>
      </c>
      <c r="B115" s="76">
        <v>129.9</v>
      </c>
      <c r="C115" s="76">
        <v>131.4</v>
      </c>
      <c r="D115" s="76">
        <v>130.5</v>
      </c>
      <c r="E115" s="76">
        <v>130.5</v>
      </c>
      <c r="F115" s="76">
        <v>131.69999999999999</v>
      </c>
      <c r="G115" s="76">
        <v>131.69999999999999</v>
      </c>
      <c r="H115" s="76">
        <v>131.69999999999999</v>
      </c>
      <c r="I115" s="76">
        <v>131.69999999999999</v>
      </c>
      <c r="J115" s="76">
        <v>126.5</v>
      </c>
      <c r="K115" s="76">
        <v>126.5</v>
      </c>
      <c r="L115" s="76">
        <v>129.69999999999999</v>
      </c>
      <c r="M115" s="76">
        <v>131.30000000000001</v>
      </c>
      <c r="N115" s="76">
        <v>130.80000000000001</v>
      </c>
      <c r="O115" s="76">
        <v>130</v>
      </c>
      <c r="P115" s="76">
        <v>129.30000000000001</v>
      </c>
      <c r="Q115" s="76">
        <v>130.9</v>
      </c>
      <c r="R115" s="76">
        <v>128.80000000000001</v>
      </c>
      <c r="S115" s="76">
        <v>127.5</v>
      </c>
      <c r="T115" s="76">
        <v>130.6</v>
      </c>
      <c r="U115" s="76">
        <v>132.6</v>
      </c>
      <c r="V115" s="76">
        <v>131.19999999999999</v>
      </c>
      <c r="W115" s="76">
        <v>132.1</v>
      </c>
      <c r="X115" s="76">
        <v>131.4</v>
      </c>
      <c r="Y115" s="76">
        <v>131.5</v>
      </c>
      <c r="Z115" s="76">
        <v>129.9</v>
      </c>
      <c r="AA115" s="76">
        <v>128.1</v>
      </c>
      <c r="AB115" s="76">
        <v>128.9</v>
      </c>
      <c r="AC115" s="76">
        <v>127.8</v>
      </c>
      <c r="AD115" s="76">
        <v>127.2</v>
      </c>
      <c r="AE115" s="76">
        <v>127.2</v>
      </c>
      <c r="AF115" s="76">
        <v>130.1</v>
      </c>
      <c r="AG115" s="117"/>
      <c r="AH115" s="48">
        <f t="shared" si="27"/>
        <v>132.6</v>
      </c>
      <c r="AI115" s="49">
        <f t="shared" si="28"/>
        <v>126.5</v>
      </c>
    </row>
    <row r="116" spans="1:35" x14ac:dyDescent="0.25">
      <c r="A116" s="118" t="s">
        <v>136</v>
      </c>
      <c r="B116" s="76">
        <v>132.69999999999999</v>
      </c>
      <c r="C116" s="76">
        <v>134</v>
      </c>
      <c r="D116" s="76">
        <v>131.69999999999999</v>
      </c>
      <c r="E116" s="76">
        <v>131.69999999999999</v>
      </c>
      <c r="F116" s="76">
        <v>132</v>
      </c>
      <c r="G116" s="76">
        <v>132</v>
      </c>
      <c r="H116" s="76">
        <v>132</v>
      </c>
      <c r="I116" s="76">
        <v>132</v>
      </c>
      <c r="J116" s="76">
        <v>125.6</v>
      </c>
      <c r="K116" s="76">
        <v>125.6</v>
      </c>
      <c r="L116" s="76">
        <v>131</v>
      </c>
      <c r="M116" s="76">
        <v>133.69999999999999</v>
      </c>
      <c r="N116" s="76">
        <v>132.19999999999999</v>
      </c>
      <c r="O116" s="76">
        <v>131.6</v>
      </c>
      <c r="P116" s="76">
        <v>131.9</v>
      </c>
      <c r="Q116" s="76">
        <v>132.80000000000001</v>
      </c>
      <c r="R116" s="76">
        <v>132.30000000000001</v>
      </c>
      <c r="S116" s="76">
        <v>129.19999999999999</v>
      </c>
      <c r="T116" s="76">
        <v>132</v>
      </c>
      <c r="U116" s="76">
        <v>133.30000000000001</v>
      </c>
      <c r="V116" s="76">
        <v>132.30000000000001</v>
      </c>
      <c r="W116" s="76">
        <v>133.1</v>
      </c>
      <c r="X116" s="76">
        <v>132.9</v>
      </c>
      <c r="Y116" s="76">
        <v>132.6</v>
      </c>
      <c r="Z116" s="76">
        <v>130</v>
      </c>
      <c r="AA116" s="76">
        <v>128.30000000000001</v>
      </c>
      <c r="AB116" s="76">
        <v>122.7</v>
      </c>
      <c r="AC116" s="76">
        <v>129.30000000000001</v>
      </c>
      <c r="AD116" s="76">
        <v>128.19999999999999</v>
      </c>
      <c r="AE116" s="76">
        <v>128.19999999999999</v>
      </c>
      <c r="AF116" s="76">
        <v>131.9</v>
      </c>
      <c r="AG116" s="117"/>
      <c r="AH116" s="48">
        <f t="shared" si="27"/>
        <v>134</v>
      </c>
      <c r="AI116" s="49">
        <f t="shared" si="28"/>
        <v>122.7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0</v>
      </c>
      <c r="AI117" s="49">
        <f t="shared" si="28"/>
        <v>0</v>
      </c>
    </row>
    <row r="118" spans="1:35" x14ac:dyDescent="0.25">
      <c r="A118" s="116" t="s">
        <v>138</v>
      </c>
      <c r="B118" s="76">
        <v>120.7</v>
      </c>
      <c r="C118" s="76">
        <v>122.3</v>
      </c>
      <c r="D118" s="76">
        <v>128.80000000000001</v>
      </c>
      <c r="E118" s="76">
        <v>128.80000000000001</v>
      </c>
      <c r="F118" s="76">
        <v>127.8</v>
      </c>
      <c r="G118" s="76">
        <v>127.8</v>
      </c>
      <c r="H118" s="76">
        <v>127.8</v>
      </c>
      <c r="I118" s="76">
        <v>127.8</v>
      </c>
      <c r="J118" s="76">
        <v>127.8</v>
      </c>
      <c r="K118" s="76">
        <v>127.8</v>
      </c>
      <c r="L118" s="76">
        <v>124</v>
      </c>
      <c r="M118" s="76">
        <v>122.4</v>
      </c>
      <c r="N118" s="76">
        <v>123.8</v>
      </c>
      <c r="O118" s="76">
        <v>119.5</v>
      </c>
      <c r="P118" s="76">
        <v>118.7</v>
      </c>
      <c r="Q118" s="76">
        <v>120.7</v>
      </c>
      <c r="R118" s="76">
        <v>121.8</v>
      </c>
      <c r="S118" s="76">
        <v>130.19999999999999</v>
      </c>
      <c r="T118" s="76">
        <v>133.9</v>
      </c>
      <c r="U118" s="76">
        <v>121.1</v>
      </c>
      <c r="V118" s="76">
        <v>126.6</v>
      </c>
      <c r="W118" s="76">
        <v>125.1</v>
      </c>
      <c r="X118" s="76">
        <v>121.5</v>
      </c>
      <c r="Y118" s="76">
        <v>125.5</v>
      </c>
      <c r="Z118" s="76">
        <v>126.4</v>
      </c>
      <c r="AA118" s="76">
        <v>125.6</v>
      </c>
      <c r="AB118" s="76">
        <v>125.6</v>
      </c>
      <c r="AC118" s="76">
        <v>127.4</v>
      </c>
      <c r="AD118" s="76">
        <v>122.3</v>
      </c>
      <c r="AE118" s="76">
        <v>122.3</v>
      </c>
      <c r="AF118" s="76">
        <v>130.1</v>
      </c>
      <c r="AG118" s="117"/>
      <c r="AH118" s="48">
        <f t="shared" si="27"/>
        <v>133.9</v>
      </c>
      <c r="AI118" s="49">
        <f t="shared" si="28"/>
        <v>118.7</v>
      </c>
    </row>
    <row r="119" spans="1:35" ht="15.75" thickBot="1" x14ac:dyDescent="0.3">
      <c r="A119" s="116" t="s">
        <v>139</v>
      </c>
      <c r="B119" s="105">
        <v>63.2</v>
      </c>
      <c r="C119" s="105">
        <v>64.8</v>
      </c>
      <c r="D119" s="105">
        <v>64.400000000000006</v>
      </c>
      <c r="E119" s="105">
        <v>64.400000000000006</v>
      </c>
      <c r="F119" s="105">
        <v>65</v>
      </c>
      <c r="G119" s="105">
        <v>65</v>
      </c>
      <c r="H119" s="105">
        <v>65</v>
      </c>
      <c r="I119" s="105">
        <v>65</v>
      </c>
      <c r="J119" s="105">
        <v>65</v>
      </c>
      <c r="K119" s="105">
        <v>65</v>
      </c>
      <c r="L119" s="105">
        <v>64</v>
      </c>
      <c r="M119" s="105">
        <v>62</v>
      </c>
      <c r="N119" s="105">
        <v>64.2</v>
      </c>
      <c r="O119" s="105">
        <v>61.3</v>
      </c>
      <c r="P119" s="105">
        <v>62.4</v>
      </c>
      <c r="Q119" s="105">
        <v>61.9</v>
      </c>
      <c r="R119" s="105">
        <v>61.2</v>
      </c>
      <c r="S119" s="105">
        <v>62.5</v>
      </c>
      <c r="T119" s="105">
        <v>62.7</v>
      </c>
      <c r="U119" s="105">
        <v>62.8</v>
      </c>
      <c r="V119" s="105">
        <v>63.7</v>
      </c>
      <c r="W119" s="105">
        <v>63.6</v>
      </c>
      <c r="X119" s="105">
        <v>63.9</v>
      </c>
      <c r="Y119" s="105">
        <v>64.3</v>
      </c>
      <c r="Z119" s="105">
        <v>64.099999999999994</v>
      </c>
      <c r="AA119" s="105">
        <v>63.4</v>
      </c>
      <c r="AB119" s="105">
        <v>64.099999999999994</v>
      </c>
      <c r="AC119" s="105">
        <v>64.099999999999994</v>
      </c>
      <c r="AD119" s="105">
        <v>63.1</v>
      </c>
      <c r="AE119" s="105">
        <v>63.1</v>
      </c>
      <c r="AF119" s="105">
        <v>63.1</v>
      </c>
      <c r="AG119" s="121"/>
      <c r="AH119" s="48">
        <f t="shared" si="27"/>
        <v>65</v>
      </c>
      <c r="AI119" s="49">
        <f t="shared" si="28"/>
        <v>61.2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76.939999999999984</v>
      </c>
      <c r="C121" s="124">
        <f t="shared" ref="C121:O121" si="40">SUM(C25,C31,C34:C35,C69,C71:C72,C74,C76,C122:C126,C158,C164,C170,C179,C181,C193,C200,C203:C204,C211,C213,C215,C219:C221,C223:C225,C230,C236:C237,C239:C241,C249,C254)</f>
        <v>97.04</v>
      </c>
      <c r="D121" s="124">
        <f t="shared" si="40"/>
        <v>74.039999999999949</v>
      </c>
      <c r="E121" s="124">
        <f t="shared" si="40"/>
        <v>67.240000000000009</v>
      </c>
      <c r="F121" s="124">
        <f t="shared" si="40"/>
        <v>69.34</v>
      </c>
      <c r="G121" s="124">
        <f t="shared" si="40"/>
        <v>61.539999999999949</v>
      </c>
      <c r="H121" s="124">
        <f t="shared" si="40"/>
        <v>71.739999999999995</v>
      </c>
      <c r="I121" s="124">
        <f t="shared" si="40"/>
        <v>134.33999999999997</v>
      </c>
      <c r="J121" s="124">
        <f t="shared" si="40"/>
        <v>164.03999999999996</v>
      </c>
      <c r="K121" s="124">
        <f t="shared" si="40"/>
        <v>100.73999999999998</v>
      </c>
      <c r="L121" s="124">
        <f t="shared" si="40"/>
        <v>103.84000000000003</v>
      </c>
      <c r="M121" s="124">
        <f t="shared" si="40"/>
        <v>140.34</v>
      </c>
      <c r="N121" s="124">
        <f t="shared" si="40"/>
        <v>242.44000000000003</v>
      </c>
      <c r="O121" s="124">
        <f t="shared" si="40"/>
        <v>118.54000000000003</v>
      </c>
      <c r="P121" s="124">
        <v>42</v>
      </c>
      <c r="Q121" s="124">
        <f t="shared" ref="Q121:X121" si="41">SUM(Q25,Q31,Q34:Q35,Q69,Q71:Q72,Q74,Q76,Q122:Q126,Q158,Q164,Q170,Q179,Q181,Q193,Q200,Q203:Q204,Q211,Q213,Q215,Q219:Q221,Q223:Q225,Q230,Q236:Q237,Q239:Q241,Q249,Q254)</f>
        <v>144.24</v>
      </c>
      <c r="R121" s="124">
        <f t="shared" si="41"/>
        <v>155.94</v>
      </c>
      <c r="S121" s="124">
        <f t="shared" si="41"/>
        <v>146.94</v>
      </c>
      <c r="T121" s="124">
        <f t="shared" si="41"/>
        <v>154.23999999999998</v>
      </c>
      <c r="U121" s="124">
        <f t="shared" si="41"/>
        <v>138.84</v>
      </c>
      <c r="V121" s="124">
        <f t="shared" si="41"/>
        <v>139.34</v>
      </c>
      <c r="W121" s="124">
        <f t="shared" si="41"/>
        <v>136.24</v>
      </c>
      <c r="X121" s="124">
        <f t="shared" si="41"/>
        <v>141.14000000000001</v>
      </c>
      <c r="Y121" s="124">
        <f>SUM(Y23,Y29,Y40:Y41,Y69,Y71:Y72,Y74,Y76,Y122:Y126,Y151,Y157,Y163,Y172,Y174,Y186,Y193,Y196:Y197,Y204,Y206,Y208,Y212:Y214,Y216:Y218,Y223,Y229:Y230,Y232:Y234,Y242,Y247)</f>
        <v>186.10000000000002</v>
      </c>
      <c r="Z121" s="124">
        <f>SUM(Z23,Z29,Z40:Z41,Z69,Z71:Z72,Z74,Z76,Z122:Z126,Z151,Z157,Z163,Z172,Z174,Z186,Z193,Z196:Z197,Z204,Z206,Z208,Z212:Z214,Z216:Z218,Z223,Z229:Z230,Z232:Z234,Z242,Z247)</f>
        <v>207.4</v>
      </c>
      <c r="AA121" s="124">
        <v>240.16749999999999</v>
      </c>
      <c r="AB121" s="124">
        <v>240.16749999999999</v>
      </c>
      <c r="AC121" s="124">
        <v>240.16749999999999</v>
      </c>
      <c r="AD121" s="124">
        <v>240.16749999999999</v>
      </c>
      <c r="AE121" s="124">
        <v>240.16749999999999</v>
      </c>
      <c r="AF121" s="124">
        <v>240.16749999999999</v>
      </c>
      <c r="AG121" s="125"/>
      <c r="AH121" s="48">
        <f t="shared" si="27"/>
        <v>242.44000000000003</v>
      </c>
      <c r="AI121" s="49">
        <f t="shared" si="28"/>
        <v>42</v>
      </c>
    </row>
    <row r="122" spans="1:35" x14ac:dyDescent="0.25">
      <c r="A122" s="126" t="s">
        <v>142</v>
      </c>
      <c r="B122" s="127">
        <v>42.9</v>
      </c>
      <c r="C122" s="127">
        <v>58.8</v>
      </c>
      <c r="D122" s="127">
        <v>58</v>
      </c>
      <c r="E122" s="127">
        <v>55.4</v>
      </c>
      <c r="F122" s="127">
        <v>55.6</v>
      </c>
      <c r="G122" s="127">
        <v>56.2</v>
      </c>
      <c r="H122" s="127">
        <v>56.8</v>
      </c>
      <c r="I122" s="127">
        <v>62.3</v>
      </c>
      <c r="J122" s="127">
        <v>62.3</v>
      </c>
      <c r="K122" s="127">
        <v>48.9</v>
      </c>
      <c r="L122" s="127">
        <v>38.200000000000003</v>
      </c>
      <c r="M122" s="127">
        <v>43.6</v>
      </c>
      <c r="N122" s="127">
        <v>86.9</v>
      </c>
      <c r="O122" s="127">
        <v>32.299999999999997</v>
      </c>
      <c r="P122" s="127">
        <v>34.799999999999997</v>
      </c>
      <c r="Q122" s="127">
        <v>51.3</v>
      </c>
      <c r="R122" s="127">
        <v>51.3</v>
      </c>
      <c r="S122" s="127">
        <v>34.799999999999997</v>
      </c>
      <c r="T122" s="127">
        <v>53.2</v>
      </c>
      <c r="U122" s="127">
        <v>44</v>
      </c>
      <c r="V122" s="127">
        <v>46.3</v>
      </c>
      <c r="W122" s="127">
        <v>45.6</v>
      </c>
      <c r="X122" s="127">
        <v>52.4</v>
      </c>
      <c r="Y122" s="127">
        <v>53</v>
      </c>
      <c r="Z122" s="127">
        <v>60.9</v>
      </c>
      <c r="AA122" s="127">
        <v>67.099999999999994</v>
      </c>
      <c r="AB122" s="127">
        <v>55</v>
      </c>
      <c r="AC122" s="127">
        <v>54.8</v>
      </c>
      <c r="AD122" s="127">
        <v>57.3</v>
      </c>
      <c r="AE122" s="127">
        <v>57.3</v>
      </c>
      <c r="AF122" s="127">
        <v>69.3</v>
      </c>
      <c r="AG122" s="128">
        <v>75</v>
      </c>
      <c r="AH122" s="48">
        <f t="shared" si="27"/>
        <v>86.9</v>
      </c>
      <c r="AI122" s="49">
        <f t="shared" si="28"/>
        <v>32.299999999999997</v>
      </c>
    </row>
    <row r="123" spans="1:35" x14ac:dyDescent="0.25">
      <c r="A123" s="129" t="s">
        <v>143</v>
      </c>
      <c r="B123" s="130">
        <v>63.6</v>
      </c>
      <c r="C123" s="130">
        <v>86.8</v>
      </c>
      <c r="D123" s="130">
        <v>85.1</v>
      </c>
      <c r="E123" s="130">
        <v>83.4</v>
      </c>
      <c r="F123" s="130">
        <v>81.2</v>
      </c>
      <c r="G123" s="130">
        <v>82.6</v>
      </c>
      <c r="H123" s="130">
        <v>82.2</v>
      </c>
      <c r="I123" s="130">
        <v>91.5</v>
      </c>
      <c r="J123" s="130">
        <v>91.5</v>
      </c>
      <c r="K123" s="130">
        <v>67.8</v>
      </c>
      <c r="L123" s="130">
        <v>55.3</v>
      </c>
      <c r="M123" s="130">
        <v>61.6</v>
      </c>
      <c r="N123" s="130">
        <v>116.7</v>
      </c>
      <c r="O123" s="130">
        <v>48.8</v>
      </c>
      <c r="P123" s="130">
        <v>46.8</v>
      </c>
      <c r="Q123" s="130">
        <v>71.099999999999994</v>
      </c>
      <c r="R123" s="130">
        <v>71.2</v>
      </c>
      <c r="S123" s="130">
        <v>48.5</v>
      </c>
      <c r="T123" s="130">
        <v>76.5</v>
      </c>
      <c r="U123" s="130">
        <v>63</v>
      </c>
      <c r="V123" s="130">
        <v>71</v>
      </c>
      <c r="W123" s="130">
        <v>69</v>
      </c>
      <c r="X123" s="130">
        <v>76.8</v>
      </c>
      <c r="Y123" s="130">
        <v>79</v>
      </c>
      <c r="Z123" s="130">
        <v>88.3</v>
      </c>
      <c r="AA123" s="130">
        <v>96</v>
      </c>
      <c r="AB123" s="130">
        <v>80.599999999999994</v>
      </c>
      <c r="AC123" s="130">
        <v>81</v>
      </c>
      <c r="AD123" s="130">
        <v>85.4</v>
      </c>
      <c r="AE123" s="130">
        <v>85.4</v>
      </c>
      <c r="AF123" s="130">
        <v>98.8</v>
      </c>
      <c r="AG123" s="128">
        <v>240</v>
      </c>
      <c r="AH123" s="48">
        <f t="shared" si="27"/>
        <v>116.7</v>
      </c>
      <c r="AI123" s="49">
        <f t="shared" si="28"/>
        <v>46.8</v>
      </c>
    </row>
    <row r="124" spans="1:35" x14ac:dyDescent="0.25">
      <c r="A124" s="129" t="s">
        <v>144</v>
      </c>
      <c r="B124" s="130">
        <v>-135.5</v>
      </c>
      <c r="C124" s="130">
        <v>-156</v>
      </c>
      <c r="D124" s="130">
        <v>-168.9</v>
      </c>
      <c r="E124" s="130">
        <v>-168</v>
      </c>
      <c r="F124" s="130">
        <v>-168</v>
      </c>
      <c r="G124" s="130">
        <v>-172</v>
      </c>
      <c r="H124" s="130">
        <v>-164</v>
      </c>
      <c r="I124" s="130">
        <v>-100</v>
      </c>
      <c r="J124" s="130">
        <v>-100</v>
      </c>
      <c r="K124" s="130">
        <v>-120</v>
      </c>
      <c r="L124" s="130">
        <v>-108</v>
      </c>
      <c r="M124" s="130">
        <v>-100</v>
      </c>
      <c r="N124" s="130">
        <v>-112</v>
      </c>
      <c r="O124" s="130">
        <v>-101</v>
      </c>
      <c r="P124" s="130">
        <v>-32</v>
      </c>
      <c r="Q124" s="130">
        <v>-112</v>
      </c>
      <c r="R124" s="130">
        <f>-48.1-54.2</f>
        <v>-102.30000000000001</v>
      </c>
      <c r="S124" s="130">
        <f>-36.2-40.6</f>
        <v>-76.800000000000011</v>
      </c>
      <c r="T124" s="130">
        <f>-52.6-57.7</f>
        <v>-110.30000000000001</v>
      </c>
      <c r="U124" s="130">
        <f>-45.7-51</f>
        <v>-96.7</v>
      </c>
      <c r="V124" s="130">
        <f>-46.4-52.7</f>
        <v>-99.1</v>
      </c>
      <c r="W124" s="130">
        <f>-46.9-51.1</f>
        <v>-98</v>
      </c>
      <c r="X124" s="130">
        <f>-52-56</f>
        <v>-108</v>
      </c>
      <c r="Y124" s="130">
        <f>-47.9-52.3</f>
        <v>-100.19999999999999</v>
      </c>
      <c r="Z124" s="130">
        <f>-46.7-51</f>
        <v>-97.7</v>
      </c>
      <c r="AA124" s="130">
        <v>-102.69999999999999</v>
      </c>
      <c r="AB124" s="130">
        <v>-96.7</v>
      </c>
      <c r="AC124" s="130">
        <v>-104.8</v>
      </c>
      <c r="AD124" s="130">
        <v>-123.2</v>
      </c>
      <c r="AE124" s="130">
        <v>-123.2</v>
      </c>
      <c r="AF124" s="130">
        <v>-157</v>
      </c>
      <c r="AG124" s="128">
        <v>240</v>
      </c>
      <c r="AH124" s="48">
        <f t="shared" si="27"/>
        <v>-32</v>
      </c>
      <c r="AI124" s="49">
        <f t="shared" si="28"/>
        <v>-172</v>
      </c>
    </row>
    <row r="125" spans="1:35" ht="15.75" thickBot="1" x14ac:dyDescent="0.3">
      <c r="A125" s="129" t="s">
        <v>145</v>
      </c>
      <c r="B125" s="130">
        <v>-20.7</v>
      </c>
      <c r="C125" s="130">
        <v>-19.2</v>
      </c>
      <c r="D125" s="130">
        <v>-26.8</v>
      </c>
      <c r="E125" s="130">
        <v>-27.5</v>
      </c>
      <c r="F125" s="130">
        <v>-23.4</v>
      </c>
      <c r="G125" s="130">
        <v>-29.2</v>
      </c>
      <c r="H125" s="130">
        <v>-27.2</v>
      </c>
      <c r="I125" s="130">
        <v>-6.8</v>
      </c>
      <c r="J125" s="130">
        <v>-6.8</v>
      </c>
      <c r="K125" s="130">
        <v>-19.899999999999999</v>
      </c>
      <c r="L125" s="130">
        <v>-8</v>
      </c>
      <c r="M125" s="130">
        <v>3.4</v>
      </c>
      <c r="N125" s="130">
        <v>19.100000000000001</v>
      </c>
      <c r="O125" s="130">
        <v>6.7</v>
      </c>
      <c r="P125" s="130">
        <v>8.1</v>
      </c>
      <c r="Q125" s="130">
        <v>2.1</v>
      </c>
      <c r="R125" s="130">
        <v>9.1999999999999993</v>
      </c>
      <c r="S125" s="130">
        <v>15.7</v>
      </c>
      <c r="T125" s="130">
        <v>10.1</v>
      </c>
      <c r="U125" s="130">
        <v>10.199999999999999</v>
      </c>
      <c r="V125" s="130">
        <v>6.2</v>
      </c>
      <c r="W125" s="130">
        <v>5.6</v>
      </c>
      <c r="X125" s="130">
        <v>7.4</v>
      </c>
      <c r="Y125" s="130">
        <v>12.5</v>
      </c>
      <c r="Z125" s="130">
        <v>14.1</v>
      </c>
      <c r="AA125" s="130">
        <v>13.1</v>
      </c>
      <c r="AB125" s="130">
        <v>11.3</v>
      </c>
      <c r="AC125" s="130">
        <v>6.9</v>
      </c>
      <c r="AD125" s="130">
        <v>-7.1</v>
      </c>
      <c r="AE125" s="130">
        <v>-7.1</v>
      </c>
      <c r="AF125" s="130">
        <v>-16.100000000000001</v>
      </c>
      <c r="AG125" s="128">
        <v>60</v>
      </c>
      <c r="AH125" s="48">
        <f t="shared" si="27"/>
        <v>19.100000000000001</v>
      </c>
      <c r="AI125" s="49">
        <f t="shared" si="28"/>
        <v>-29.2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0</v>
      </c>
      <c r="AI126" s="49">
        <f t="shared" si="28"/>
        <v>0</v>
      </c>
    </row>
    <row r="127" spans="1:35" x14ac:dyDescent="0.25">
      <c r="A127" s="129" t="s">
        <v>147</v>
      </c>
      <c r="B127" s="131">
        <v>98.7</v>
      </c>
      <c r="C127" s="131">
        <v>78</v>
      </c>
      <c r="D127" s="131">
        <v>79.3</v>
      </c>
      <c r="E127" s="131">
        <v>79.599999999999994</v>
      </c>
      <c r="F127" s="131">
        <v>71.8</v>
      </c>
      <c r="G127" s="131">
        <v>72.7</v>
      </c>
      <c r="H127" s="131">
        <v>78.7</v>
      </c>
      <c r="I127" s="131">
        <v>22</v>
      </c>
      <c r="J127" s="131">
        <v>22</v>
      </c>
      <c r="K127" s="131">
        <v>99.3</v>
      </c>
      <c r="L127" s="131">
        <v>101.6</v>
      </c>
      <c r="M127" s="131">
        <v>110.5</v>
      </c>
      <c r="N127" s="131">
        <v>53.1</v>
      </c>
      <c r="O127" s="131">
        <v>109.7</v>
      </c>
      <c r="P127" s="131">
        <v>121</v>
      </c>
      <c r="Q127" s="131">
        <v>106</v>
      </c>
      <c r="R127" s="131">
        <v>102</v>
      </c>
      <c r="S127" s="131">
        <v>114</v>
      </c>
      <c r="T127" s="131">
        <v>95.9</v>
      </c>
      <c r="U127" s="131">
        <v>100.2</v>
      </c>
      <c r="V127" s="131">
        <v>98.3</v>
      </c>
      <c r="W127" s="131">
        <v>101.7</v>
      </c>
      <c r="X127" s="131">
        <v>97.8</v>
      </c>
      <c r="Y127" s="131">
        <v>97.8</v>
      </c>
      <c r="Z127" s="131">
        <v>102.9</v>
      </c>
      <c r="AA127" s="131">
        <v>108.5</v>
      </c>
      <c r="AB127" s="131">
        <v>102.2</v>
      </c>
      <c r="AC127" s="131">
        <v>100.8</v>
      </c>
      <c r="AD127" s="131">
        <v>99.6</v>
      </c>
      <c r="AE127" s="131">
        <v>99.6</v>
      </c>
      <c r="AF127" s="131">
        <v>62.1</v>
      </c>
      <c r="AG127" s="132"/>
      <c r="AH127" s="48"/>
      <c r="AI127" s="49"/>
    </row>
    <row r="128" spans="1:35" x14ac:dyDescent="0.25">
      <c r="A128" s="129" t="s">
        <v>148</v>
      </c>
      <c r="B128" s="131">
        <v>48.7</v>
      </c>
      <c r="C128" s="131">
        <v>28</v>
      </c>
      <c r="D128" s="131">
        <v>43.7</v>
      </c>
      <c r="E128" s="131">
        <v>48.4</v>
      </c>
      <c r="F128" s="131">
        <v>41.3</v>
      </c>
      <c r="G128" s="131">
        <v>41.1</v>
      </c>
      <c r="H128" s="131">
        <v>35.799999999999997</v>
      </c>
      <c r="I128" s="131">
        <v>-41</v>
      </c>
      <c r="J128" s="131">
        <v>-41</v>
      </c>
      <c r="K128" s="131">
        <v>33</v>
      </c>
      <c r="L128" s="131">
        <v>37.5</v>
      </c>
      <c r="M128" s="131">
        <v>37</v>
      </c>
      <c r="N128" s="131">
        <v>-58.9</v>
      </c>
      <c r="O128" s="131">
        <v>46.5</v>
      </c>
      <c r="P128" s="131">
        <v>48</v>
      </c>
      <c r="Q128" s="131">
        <v>31.7</v>
      </c>
      <c r="R128" s="131">
        <v>29.4</v>
      </c>
      <c r="S128" s="131">
        <v>37.4</v>
      </c>
      <c r="T128" s="131">
        <v>18.100000000000001</v>
      </c>
      <c r="U128" s="131">
        <v>25.5</v>
      </c>
      <c r="V128" s="131">
        <v>11.2</v>
      </c>
      <c r="W128" s="131">
        <v>16.899999999999999</v>
      </c>
      <c r="X128" s="131">
        <v>10</v>
      </c>
      <c r="Y128" s="131">
        <v>3.5</v>
      </c>
      <c r="Z128" s="131">
        <v>-8.4</v>
      </c>
      <c r="AA128" s="131">
        <v>-10</v>
      </c>
      <c r="AB128" s="131">
        <v>3.2</v>
      </c>
      <c r="AC128" s="131">
        <v>8.1</v>
      </c>
      <c r="AD128" s="131">
        <v>18.600000000000001</v>
      </c>
      <c r="AE128" s="131">
        <v>18.600000000000001</v>
      </c>
      <c r="AF128" s="131">
        <v>-8.6999999999999993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87.5</v>
      </c>
      <c r="C129" s="131">
        <v>52.5</v>
      </c>
      <c r="D129" s="131">
        <v>55.9</v>
      </c>
      <c r="E129" s="131">
        <v>52.3</v>
      </c>
      <c r="F129" s="131">
        <v>43.8</v>
      </c>
      <c r="G129" s="131">
        <v>35.299999999999997</v>
      </c>
      <c r="H129" s="131">
        <v>34.200000000000003</v>
      </c>
      <c r="I129" s="131">
        <v>19</v>
      </c>
      <c r="J129" s="131">
        <v>19</v>
      </c>
      <c r="K129" s="131">
        <v>63.6</v>
      </c>
      <c r="L129" s="131">
        <v>63.9</v>
      </c>
      <c r="M129" s="131">
        <v>77.8</v>
      </c>
      <c r="N129" s="131">
        <v>15.9</v>
      </c>
      <c r="O129" s="131">
        <v>95.2</v>
      </c>
      <c r="P129" s="131">
        <v>95.2</v>
      </c>
      <c r="Q129" s="131">
        <v>80.2</v>
      </c>
      <c r="R129" s="131">
        <v>85.6</v>
      </c>
      <c r="S129" s="131">
        <v>95</v>
      </c>
      <c r="T129" s="131">
        <v>75</v>
      </c>
      <c r="U129" s="131">
        <v>71.2</v>
      </c>
      <c r="V129" s="131">
        <v>63.7</v>
      </c>
      <c r="W129" s="131">
        <v>71.400000000000006</v>
      </c>
      <c r="X129" s="131">
        <v>69.2</v>
      </c>
      <c r="Y129" s="131">
        <v>68.400000000000006</v>
      </c>
      <c r="Z129" s="131">
        <v>66.400000000000006</v>
      </c>
      <c r="AA129" s="131">
        <v>81.5</v>
      </c>
      <c r="AB129" s="131">
        <v>79.400000000000006</v>
      </c>
      <c r="AC129" s="131">
        <v>75.7</v>
      </c>
      <c r="AD129" s="131">
        <v>80.599999999999994</v>
      </c>
      <c r="AE129" s="131">
        <v>80.599999999999994</v>
      </c>
      <c r="AF129" s="131">
        <v>53.9</v>
      </c>
      <c r="AG129" s="128"/>
      <c r="AH129" s="48">
        <f>MAX(B129:AF129)</f>
        <v>95.2</v>
      </c>
      <c r="AI129" s="49">
        <f>MIN(B129:AF129)</f>
        <v>15.9</v>
      </c>
    </row>
    <row r="130" spans="1:37" x14ac:dyDescent="0.25">
      <c r="A130" s="126" t="s">
        <v>150</v>
      </c>
      <c r="B130" s="131">
        <v>-265.5</v>
      </c>
      <c r="C130" s="131">
        <v>-285.60000000000002</v>
      </c>
      <c r="D130" s="131">
        <v>-288.89999999999998</v>
      </c>
      <c r="E130" s="131">
        <v>-298.5</v>
      </c>
      <c r="F130" s="131">
        <v>-310</v>
      </c>
      <c r="G130" s="131">
        <v>-325</v>
      </c>
      <c r="H130" s="131">
        <v>-325.39999999999998</v>
      </c>
      <c r="I130" s="131">
        <v>-50</v>
      </c>
      <c r="J130" s="131">
        <v>-50</v>
      </c>
      <c r="K130" s="131">
        <v>-288</v>
      </c>
      <c r="L130" s="131">
        <v>-285.60000000000002</v>
      </c>
      <c r="M130" s="131">
        <v>-289.10000000000002</v>
      </c>
      <c r="N130" s="131">
        <v>-117</v>
      </c>
      <c r="O130" s="131">
        <v>-235.2</v>
      </c>
      <c r="P130" s="131">
        <v>-235.2</v>
      </c>
      <c r="Q130" s="131">
        <v>-266.10000000000002</v>
      </c>
      <c r="R130" s="131">
        <v>-273</v>
      </c>
      <c r="S130" s="131">
        <v>-258</v>
      </c>
      <c r="T130" s="131">
        <v>-276</v>
      </c>
      <c r="U130" s="131">
        <v>-268.7</v>
      </c>
      <c r="V130" s="131">
        <v>-277</v>
      </c>
      <c r="W130" s="131">
        <v>-272.10000000000002</v>
      </c>
      <c r="X130" s="131">
        <v>-274.3</v>
      </c>
      <c r="Y130" s="131">
        <v>-276.3</v>
      </c>
      <c r="Z130" s="131">
        <v>-274.89999999999998</v>
      </c>
      <c r="AA130" s="131">
        <v>-270</v>
      </c>
      <c r="AB130" s="131">
        <v>-269.60000000000002</v>
      </c>
      <c r="AC130" s="131">
        <v>-267.89999999999998</v>
      </c>
      <c r="AD130" s="131">
        <v>-269.8</v>
      </c>
      <c r="AE130" s="131">
        <v>-269.8</v>
      </c>
      <c r="AF130" s="131">
        <v>-309.5</v>
      </c>
      <c r="AG130" s="128"/>
      <c r="AH130" s="48">
        <f>MAX(B130:AF130)</f>
        <v>-50</v>
      </c>
      <c r="AI130" s="49">
        <f>MIN(B130:AF130)</f>
        <v>-325.39999999999998</v>
      </c>
    </row>
    <row r="131" spans="1:37" x14ac:dyDescent="0.25">
      <c r="A131" s="129" t="s">
        <v>151</v>
      </c>
      <c r="B131" s="119">
        <v>42.7</v>
      </c>
      <c r="C131" s="119">
        <v>44.1</v>
      </c>
      <c r="D131" s="119">
        <v>46.5</v>
      </c>
      <c r="E131" s="119">
        <v>50.5</v>
      </c>
      <c r="F131" s="119">
        <v>48.3</v>
      </c>
      <c r="G131" s="119">
        <v>22.2</v>
      </c>
      <c r="H131" s="119">
        <v>23.7</v>
      </c>
      <c r="I131" s="119">
        <v>50</v>
      </c>
      <c r="J131" s="119">
        <v>50</v>
      </c>
      <c r="K131" s="119">
        <v>9.6999999999999993</v>
      </c>
      <c r="L131" s="119">
        <v>42.4</v>
      </c>
      <c r="M131" s="119">
        <v>-0.7</v>
      </c>
      <c r="N131" s="119">
        <v>31.2</v>
      </c>
      <c r="O131" s="119">
        <v>44.6</v>
      </c>
      <c r="P131" s="119">
        <v>44.6</v>
      </c>
      <c r="Q131" s="119">
        <v>38.6</v>
      </c>
      <c r="R131" s="119">
        <v>37.9</v>
      </c>
      <c r="S131" s="119">
        <v>39.200000000000003</v>
      </c>
      <c r="T131" s="119">
        <v>39.299999999999997</v>
      </c>
      <c r="U131" s="119">
        <v>38.200000000000003</v>
      </c>
      <c r="V131" s="119">
        <v>28.3</v>
      </c>
      <c r="W131" s="119">
        <v>28.4</v>
      </c>
      <c r="X131" s="119">
        <v>31.6</v>
      </c>
      <c r="Y131" s="119">
        <v>19.7</v>
      </c>
      <c r="Z131" s="119">
        <v>-8</v>
      </c>
      <c r="AA131" s="119">
        <v>-14.1</v>
      </c>
      <c r="AB131" s="119">
        <v>-8</v>
      </c>
      <c r="AC131" s="119">
        <v>-7.4</v>
      </c>
      <c r="AD131" s="119">
        <v>-8.5</v>
      </c>
      <c r="AE131" s="119">
        <v>-8.5</v>
      </c>
      <c r="AF131" s="119">
        <v>30.2</v>
      </c>
      <c r="AG131" s="128"/>
      <c r="AH131" s="48">
        <f>MAX(B131:AF131)</f>
        <v>50.5</v>
      </c>
      <c r="AI131" s="49">
        <f>MIN(B131:AF131)</f>
        <v>-14.1</v>
      </c>
    </row>
    <row r="132" spans="1:37" x14ac:dyDescent="0.25">
      <c r="A132" s="129" t="s">
        <v>152</v>
      </c>
      <c r="B132" s="119">
        <v>39.299999999999997</v>
      </c>
      <c r="C132" s="119">
        <v>41.1</v>
      </c>
      <c r="D132" s="119">
        <v>34.9</v>
      </c>
      <c r="E132" s="119">
        <v>30.8</v>
      </c>
      <c r="F132" s="119">
        <v>15.2</v>
      </c>
      <c r="G132" s="119">
        <v>24.1</v>
      </c>
      <c r="H132" s="119">
        <v>54.4</v>
      </c>
      <c r="I132" s="119">
        <v>23.2</v>
      </c>
      <c r="J132" s="119">
        <v>23.2</v>
      </c>
      <c r="K132" s="119">
        <v>48.1</v>
      </c>
      <c r="L132" s="119">
        <v>19.899999999999999</v>
      </c>
      <c r="M132" s="119">
        <v>14.7</v>
      </c>
      <c r="N132" s="119">
        <v>-29</v>
      </c>
      <c r="O132" s="119">
        <v>9.4</v>
      </c>
      <c r="P132" s="119">
        <v>9.4</v>
      </c>
      <c r="Q132" s="119">
        <v>25</v>
      </c>
      <c r="R132" s="119">
        <v>31.3</v>
      </c>
      <c r="S132" s="119">
        <v>48</v>
      </c>
      <c r="T132" s="119">
        <v>32.700000000000003</v>
      </c>
      <c r="U132" s="119">
        <v>35.200000000000003</v>
      </c>
      <c r="V132" s="119">
        <v>28.9</v>
      </c>
      <c r="W132" s="119">
        <v>27.1</v>
      </c>
      <c r="X132" s="119">
        <v>19.399999999999999</v>
      </c>
      <c r="Y132" s="119">
        <v>25.3</v>
      </c>
      <c r="Z132" s="119">
        <v>53.8</v>
      </c>
      <c r="AA132" s="119">
        <v>66.2</v>
      </c>
      <c r="AB132" s="119">
        <v>65.7</v>
      </c>
      <c r="AC132" s="119">
        <v>66</v>
      </c>
      <c r="AD132" s="119">
        <v>68.099999999999994</v>
      </c>
      <c r="AE132" s="119">
        <v>68.099999999999994</v>
      </c>
      <c r="AF132" s="119">
        <v>43.3</v>
      </c>
      <c r="AG132" s="128"/>
      <c r="AH132" s="48">
        <f>MAX(B132:AF132)</f>
        <v>68.099999999999994</v>
      </c>
      <c r="AI132" s="49">
        <f>MIN(B132:AF132)</f>
        <v>-29</v>
      </c>
    </row>
    <row r="133" spans="1:37" ht="15.75" thickBot="1" x14ac:dyDescent="0.3">
      <c r="A133" s="129" t="s">
        <v>153</v>
      </c>
      <c r="B133" s="119">
        <v>50.6</v>
      </c>
      <c r="C133" s="119">
        <v>50.1</v>
      </c>
      <c r="D133" s="119">
        <v>45.3</v>
      </c>
      <c r="E133" s="119">
        <v>43.9</v>
      </c>
      <c r="F133" s="119">
        <v>33.200000000000003</v>
      </c>
      <c r="G133" s="119">
        <v>50</v>
      </c>
      <c r="H133" s="119">
        <v>73.7</v>
      </c>
      <c r="I133" s="119">
        <v>29.5</v>
      </c>
      <c r="J133" s="119">
        <v>29.5</v>
      </c>
      <c r="K133" s="119">
        <v>59.1</v>
      </c>
      <c r="L133" s="119">
        <v>45.4</v>
      </c>
      <c r="M133" s="119">
        <v>55.2</v>
      </c>
      <c r="N133" s="119">
        <v>22</v>
      </c>
      <c r="O133" s="119">
        <v>33.9</v>
      </c>
      <c r="P133" s="119">
        <v>33.9</v>
      </c>
      <c r="Q133" s="119">
        <v>41.8</v>
      </c>
      <c r="R133" s="119">
        <v>57.1</v>
      </c>
      <c r="S133" s="119">
        <v>55</v>
      </c>
      <c r="T133" s="119">
        <v>49.3</v>
      </c>
      <c r="U133" s="119">
        <v>52.5</v>
      </c>
      <c r="V133" s="119">
        <v>47.9</v>
      </c>
      <c r="W133" s="119">
        <v>44.6</v>
      </c>
      <c r="X133" s="119">
        <v>37.299999999999997</v>
      </c>
      <c r="Y133" s="119">
        <v>41.2</v>
      </c>
      <c r="Z133" s="119">
        <v>69.400000000000006</v>
      </c>
      <c r="AA133" s="119">
        <v>77.2</v>
      </c>
      <c r="AB133" s="119">
        <v>82</v>
      </c>
      <c r="AC133" s="119">
        <v>80.400000000000006</v>
      </c>
      <c r="AD133" s="119">
        <v>80.900000000000006</v>
      </c>
      <c r="AE133" s="119">
        <v>80.900000000000006</v>
      </c>
      <c r="AF133" s="119">
        <v>56.9</v>
      </c>
      <c r="AG133" s="128"/>
      <c r="AH133" s="48">
        <f>MAX(B133:AF133)</f>
        <v>82</v>
      </c>
      <c r="AI133" s="49">
        <f>MIN(B133:AF133)</f>
        <v>22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>
        <v>884.8</v>
      </c>
      <c r="F139" s="140">
        <v>885.8</v>
      </c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>
        <v>886.8</v>
      </c>
      <c r="T139" s="140">
        <v>887.3</v>
      </c>
      <c r="U139" s="140">
        <v>886.7</v>
      </c>
      <c r="V139" s="140">
        <v>886.3</v>
      </c>
      <c r="W139" s="140"/>
      <c r="X139" s="140">
        <v>886.8</v>
      </c>
      <c r="Y139" s="140"/>
      <c r="Z139" s="140"/>
      <c r="AA139" s="140"/>
      <c r="AB139" s="140">
        <v>886.6</v>
      </c>
      <c r="AC139" s="140"/>
      <c r="AD139" s="140">
        <v>886.3</v>
      </c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1484.95</v>
      </c>
      <c r="C140" s="142"/>
      <c r="D140" s="142"/>
      <c r="E140" s="142">
        <v>1484.95</v>
      </c>
      <c r="F140" s="142">
        <v>1484.97</v>
      </c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>
        <v>1484.92</v>
      </c>
      <c r="T140" s="142">
        <v>1484.9</v>
      </c>
      <c r="U140" s="142">
        <v>1484.88</v>
      </c>
      <c r="V140" s="142"/>
      <c r="W140" s="142"/>
      <c r="X140" s="142">
        <v>1484.85</v>
      </c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>
        <v>150</v>
      </c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 t="s">
        <v>290</v>
      </c>
      <c r="AB144" s="149">
        <v>70</v>
      </c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>
        <f>30+25+10+25+13+15+17</f>
        <v>135</v>
      </c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>
        <v>100</v>
      </c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2">SUM(B142:B246)</f>
        <v>0</v>
      </c>
      <c r="C247" s="161">
        <f t="shared" si="42"/>
        <v>0</v>
      </c>
      <c r="D247" s="161">
        <f t="shared" si="42"/>
        <v>0</v>
      </c>
      <c r="E247" s="161">
        <f t="shared" si="42"/>
        <v>0</v>
      </c>
      <c r="F247" s="161">
        <f t="shared" si="42"/>
        <v>0</v>
      </c>
      <c r="G247" s="161">
        <f t="shared" si="42"/>
        <v>0</v>
      </c>
      <c r="H247" s="161">
        <f t="shared" si="42"/>
        <v>0</v>
      </c>
      <c r="I247" s="161">
        <f t="shared" si="42"/>
        <v>0</v>
      </c>
      <c r="J247" s="161">
        <f t="shared" si="42"/>
        <v>0</v>
      </c>
      <c r="K247" s="161">
        <f t="shared" si="42"/>
        <v>0</v>
      </c>
      <c r="L247" s="161">
        <f t="shared" si="42"/>
        <v>0</v>
      </c>
      <c r="M247" s="161">
        <f t="shared" si="42"/>
        <v>0</v>
      </c>
      <c r="N247" s="161">
        <f t="shared" si="42"/>
        <v>0</v>
      </c>
      <c r="O247" s="161">
        <f t="shared" si="42"/>
        <v>0</v>
      </c>
      <c r="P247" s="161">
        <f t="shared" si="42"/>
        <v>0</v>
      </c>
      <c r="Q247" s="161">
        <f t="shared" si="42"/>
        <v>0</v>
      </c>
      <c r="R247" s="161">
        <f t="shared" si="42"/>
        <v>0</v>
      </c>
      <c r="S247" s="161">
        <f t="shared" si="42"/>
        <v>0</v>
      </c>
      <c r="T247" s="161">
        <f t="shared" si="42"/>
        <v>0</v>
      </c>
      <c r="U247" s="161">
        <f t="shared" si="42"/>
        <v>0</v>
      </c>
      <c r="V247" s="161">
        <f t="shared" si="42"/>
        <v>0</v>
      </c>
      <c r="W247" s="161">
        <f t="shared" si="42"/>
        <v>0</v>
      </c>
      <c r="X247" s="161">
        <f t="shared" si="42"/>
        <v>0</v>
      </c>
      <c r="Y247" s="161">
        <f t="shared" si="42"/>
        <v>0</v>
      </c>
      <c r="Z247" s="161">
        <f t="shared" si="42"/>
        <v>0</v>
      </c>
      <c r="AA247" s="161">
        <f t="shared" si="42"/>
        <v>0</v>
      </c>
      <c r="AB247" s="161">
        <f t="shared" si="42"/>
        <v>455</v>
      </c>
      <c r="AC247" s="161">
        <f t="shared" si="42"/>
        <v>0</v>
      </c>
      <c r="AD247" s="161">
        <f t="shared" si="42"/>
        <v>0</v>
      </c>
      <c r="AE247" s="161">
        <f t="shared" si="42"/>
        <v>0</v>
      </c>
      <c r="AF247" s="162">
        <f t="shared" si="42"/>
        <v>0</v>
      </c>
      <c r="AG247" s="163">
        <f t="shared" si="42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3">AF249</f>
        <v>0.3</v>
      </c>
      <c r="C249" s="166">
        <v>0.3</v>
      </c>
      <c r="D249" s="166">
        <f t="shared" ref="D249:S254" si="44">C249</f>
        <v>0.3</v>
      </c>
      <c r="E249" s="166">
        <f t="shared" si="44"/>
        <v>0.3</v>
      </c>
      <c r="F249" s="166">
        <f t="shared" si="44"/>
        <v>0.3</v>
      </c>
      <c r="G249" s="166">
        <f t="shared" si="44"/>
        <v>0.3</v>
      </c>
      <c r="H249" s="166">
        <f t="shared" si="44"/>
        <v>0.3</v>
      </c>
      <c r="I249" s="166">
        <f t="shared" si="44"/>
        <v>0.3</v>
      </c>
      <c r="J249" s="166">
        <f t="shared" si="44"/>
        <v>0.3</v>
      </c>
      <c r="K249" s="166">
        <f t="shared" si="44"/>
        <v>0.3</v>
      </c>
      <c r="L249" s="166">
        <f t="shared" si="44"/>
        <v>0.3</v>
      </c>
      <c r="M249" s="166">
        <f t="shared" si="44"/>
        <v>0.3</v>
      </c>
      <c r="N249" s="166">
        <f t="shared" si="44"/>
        <v>0.3</v>
      </c>
      <c r="O249" s="166">
        <f t="shared" si="44"/>
        <v>0.3</v>
      </c>
      <c r="P249" s="166">
        <f t="shared" si="44"/>
        <v>0.3</v>
      </c>
      <c r="Q249" s="166">
        <f t="shared" si="44"/>
        <v>0.3</v>
      </c>
      <c r="R249" s="166">
        <f t="shared" si="44"/>
        <v>0.3</v>
      </c>
      <c r="S249" s="166">
        <f t="shared" si="44"/>
        <v>0.3</v>
      </c>
      <c r="T249" s="166">
        <f t="shared" ref="T249:AF254" si="45">S249</f>
        <v>0.3</v>
      </c>
      <c r="U249" s="166">
        <f t="shared" si="45"/>
        <v>0.3</v>
      </c>
      <c r="V249" s="166">
        <f t="shared" si="45"/>
        <v>0.3</v>
      </c>
      <c r="W249" s="166">
        <f t="shared" si="45"/>
        <v>0.3</v>
      </c>
      <c r="X249" s="166">
        <f t="shared" si="45"/>
        <v>0.3</v>
      </c>
      <c r="Y249" s="166">
        <f t="shared" si="45"/>
        <v>0.3</v>
      </c>
      <c r="Z249" s="166">
        <f t="shared" si="45"/>
        <v>0.3</v>
      </c>
      <c r="AA249" s="166">
        <f t="shared" si="45"/>
        <v>0.3</v>
      </c>
      <c r="AB249" s="166">
        <f t="shared" si="45"/>
        <v>0.3</v>
      </c>
      <c r="AC249" s="166">
        <f t="shared" si="45"/>
        <v>0.3</v>
      </c>
      <c r="AD249" s="166">
        <f t="shared" si="45"/>
        <v>0.3</v>
      </c>
      <c r="AE249" s="166">
        <f t="shared" si="45"/>
        <v>0.3</v>
      </c>
      <c r="AF249" s="166">
        <f t="shared" si="45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3"/>
        <v>0.4</v>
      </c>
      <c r="C250" s="152">
        <v>0.4</v>
      </c>
      <c r="D250" s="152">
        <f t="shared" si="44"/>
        <v>0.4</v>
      </c>
      <c r="E250" s="152">
        <f t="shared" si="44"/>
        <v>0.4</v>
      </c>
      <c r="F250" s="152">
        <f t="shared" si="44"/>
        <v>0.4</v>
      </c>
      <c r="G250" s="152">
        <f t="shared" si="44"/>
        <v>0.4</v>
      </c>
      <c r="H250" s="152">
        <f t="shared" si="44"/>
        <v>0.4</v>
      </c>
      <c r="I250" s="152">
        <f t="shared" si="44"/>
        <v>0.4</v>
      </c>
      <c r="J250" s="152">
        <f t="shared" si="44"/>
        <v>0.4</v>
      </c>
      <c r="K250" s="152">
        <f t="shared" si="44"/>
        <v>0.4</v>
      </c>
      <c r="L250" s="152">
        <f t="shared" si="44"/>
        <v>0.4</v>
      </c>
      <c r="M250" s="152">
        <f t="shared" si="44"/>
        <v>0.4</v>
      </c>
      <c r="N250" s="152">
        <f t="shared" si="44"/>
        <v>0.4</v>
      </c>
      <c r="O250" s="152">
        <f t="shared" si="44"/>
        <v>0.4</v>
      </c>
      <c r="P250" s="152">
        <f t="shared" si="44"/>
        <v>0.4</v>
      </c>
      <c r="Q250" s="152">
        <f t="shared" si="44"/>
        <v>0.4</v>
      </c>
      <c r="R250" s="152">
        <f t="shared" si="44"/>
        <v>0.4</v>
      </c>
      <c r="S250" s="152">
        <f t="shared" si="44"/>
        <v>0.4</v>
      </c>
      <c r="T250" s="152">
        <f t="shared" si="45"/>
        <v>0.4</v>
      </c>
      <c r="U250" s="152">
        <f t="shared" si="45"/>
        <v>0.4</v>
      </c>
      <c r="V250" s="152">
        <f t="shared" si="45"/>
        <v>0.4</v>
      </c>
      <c r="W250" s="152">
        <f t="shared" si="45"/>
        <v>0.4</v>
      </c>
      <c r="X250" s="152">
        <f t="shared" si="45"/>
        <v>0.4</v>
      </c>
      <c r="Y250" s="152">
        <f t="shared" si="45"/>
        <v>0.4</v>
      </c>
      <c r="Z250" s="152">
        <f t="shared" si="45"/>
        <v>0.4</v>
      </c>
      <c r="AA250" s="152">
        <f t="shared" si="45"/>
        <v>0.4</v>
      </c>
      <c r="AB250" s="152">
        <f t="shared" si="45"/>
        <v>0.4</v>
      </c>
      <c r="AC250" s="152">
        <f t="shared" si="45"/>
        <v>0.4</v>
      </c>
      <c r="AD250" s="152">
        <f t="shared" si="45"/>
        <v>0.4</v>
      </c>
      <c r="AE250" s="152">
        <f t="shared" si="45"/>
        <v>0.4</v>
      </c>
      <c r="AF250" s="152">
        <f t="shared" si="45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3"/>
        <v>1.5</v>
      </c>
      <c r="C251" s="152">
        <v>1.5</v>
      </c>
      <c r="D251" s="152">
        <f t="shared" si="44"/>
        <v>1.5</v>
      </c>
      <c r="E251" s="152">
        <f t="shared" si="44"/>
        <v>1.5</v>
      </c>
      <c r="F251" s="152">
        <f t="shared" si="44"/>
        <v>1.5</v>
      </c>
      <c r="G251" s="152">
        <f t="shared" si="44"/>
        <v>1.5</v>
      </c>
      <c r="H251" s="152">
        <f t="shared" si="44"/>
        <v>1.5</v>
      </c>
      <c r="I251" s="152">
        <f t="shared" si="44"/>
        <v>1.5</v>
      </c>
      <c r="J251" s="152">
        <f t="shared" si="44"/>
        <v>1.5</v>
      </c>
      <c r="K251" s="152">
        <f t="shared" si="44"/>
        <v>1.5</v>
      </c>
      <c r="L251" s="152">
        <f t="shared" si="44"/>
        <v>1.5</v>
      </c>
      <c r="M251" s="152">
        <f t="shared" si="44"/>
        <v>1.5</v>
      </c>
      <c r="N251" s="152">
        <f t="shared" si="44"/>
        <v>1.5</v>
      </c>
      <c r="O251" s="152">
        <f t="shared" si="44"/>
        <v>1.5</v>
      </c>
      <c r="P251" s="152">
        <f t="shared" si="44"/>
        <v>1.5</v>
      </c>
      <c r="Q251" s="152">
        <f t="shared" si="44"/>
        <v>1.5</v>
      </c>
      <c r="R251" s="152">
        <f t="shared" si="44"/>
        <v>1.5</v>
      </c>
      <c r="S251" s="152">
        <f t="shared" si="44"/>
        <v>1.5</v>
      </c>
      <c r="T251" s="152">
        <f t="shared" si="45"/>
        <v>1.5</v>
      </c>
      <c r="U251" s="152">
        <f t="shared" si="45"/>
        <v>1.5</v>
      </c>
      <c r="V251" s="152">
        <f t="shared" si="45"/>
        <v>1.5</v>
      </c>
      <c r="W251" s="152">
        <f t="shared" si="45"/>
        <v>1.5</v>
      </c>
      <c r="X251" s="152">
        <f t="shared" si="45"/>
        <v>1.5</v>
      </c>
      <c r="Y251" s="152">
        <f t="shared" si="45"/>
        <v>1.5</v>
      </c>
      <c r="Z251" s="152">
        <f t="shared" si="45"/>
        <v>1.5</v>
      </c>
      <c r="AA251" s="152">
        <f t="shared" si="45"/>
        <v>1.5</v>
      </c>
      <c r="AB251" s="152">
        <f t="shared" si="45"/>
        <v>1.5</v>
      </c>
      <c r="AC251" s="152">
        <f t="shared" si="45"/>
        <v>1.5</v>
      </c>
      <c r="AD251" s="152">
        <f t="shared" si="45"/>
        <v>1.5</v>
      </c>
      <c r="AE251" s="152">
        <f t="shared" si="45"/>
        <v>1.5</v>
      </c>
      <c r="AF251" s="152">
        <f t="shared" si="45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3"/>
        <v>0.3</v>
      </c>
      <c r="C252" s="152">
        <v>0.3</v>
      </c>
      <c r="D252" s="152">
        <f t="shared" si="44"/>
        <v>0.3</v>
      </c>
      <c r="E252" s="152">
        <f t="shared" si="44"/>
        <v>0.3</v>
      </c>
      <c r="F252" s="152">
        <f t="shared" si="44"/>
        <v>0.3</v>
      </c>
      <c r="G252" s="152">
        <f t="shared" si="44"/>
        <v>0.3</v>
      </c>
      <c r="H252" s="152">
        <f t="shared" si="44"/>
        <v>0.3</v>
      </c>
      <c r="I252" s="152">
        <f t="shared" si="44"/>
        <v>0.3</v>
      </c>
      <c r="J252" s="152">
        <f t="shared" si="44"/>
        <v>0.3</v>
      </c>
      <c r="K252" s="152">
        <f t="shared" si="44"/>
        <v>0.3</v>
      </c>
      <c r="L252" s="152">
        <f t="shared" si="44"/>
        <v>0.3</v>
      </c>
      <c r="M252" s="152">
        <f t="shared" si="44"/>
        <v>0.3</v>
      </c>
      <c r="N252" s="152">
        <f t="shared" si="44"/>
        <v>0.3</v>
      </c>
      <c r="O252" s="152">
        <f t="shared" si="44"/>
        <v>0.3</v>
      </c>
      <c r="P252" s="152">
        <f t="shared" si="44"/>
        <v>0.3</v>
      </c>
      <c r="Q252" s="152">
        <f t="shared" si="44"/>
        <v>0.3</v>
      </c>
      <c r="R252" s="152">
        <f t="shared" si="44"/>
        <v>0.3</v>
      </c>
      <c r="S252" s="152">
        <f t="shared" si="44"/>
        <v>0.3</v>
      </c>
      <c r="T252" s="152">
        <f t="shared" si="45"/>
        <v>0.3</v>
      </c>
      <c r="U252" s="152">
        <f t="shared" si="45"/>
        <v>0.3</v>
      </c>
      <c r="V252" s="152">
        <f t="shared" si="45"/>
        <v>0.3</v>
      </c>
      <c r="W252" s="152">
        <f t="shared" si="45"/>
        <v>0.3</v>
      </c>
      <c r="X252" s="152">
        <f t="shared" si="45"/>
        <v>0.3</v>
      </c>
      <c r="Y252" s="152">
        <f t="shared" si="45"/>
        <v>0.3</v>
      </c>
      <c r="Z252" s="152">
        <f t="shared" si="45"/>
        <v>0.3</v>
      </c>
      <c r="AA252" s="152">
        <f t="shared" si="45"/>
        <v>0.3</v>
      </c>
      <c r="AB252" s="152">
        <f t="shared" si="45"/>
        <v>0.3</v>
      </c>
      <c r="AC252" s="152">
        <f t="shared" si="45"/>
        <v>0.3</v>
      </c>
      <c r="AD252" s="152">
        <f t="shared" si="45"/>
        <v>0.3</v>
      </c>
      <c r="AE252" s="152">
        <f t="shared" si="45"/>
        <v>0.3</v>
      </c>
      <c r="AF252" s="152">
        <f t="shared" si="45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3"/>
        <v>0.4</v>
      </c>
      <c r="C253" s="152">
        <v>0.4</v>
      </c>
      <c r="D253" s="152">
        <f t="shared" si="44"/>
        <v>0.4</v>
      </c>
      <c r="E253" s="152">
        <f t="shared" si="44"/>
        <v>0.4</v>
      </c>
      <c r="F253" s="152">
        <f t="shared" si="44"/>
        <v>0.4</v>
      </c>
      <c r="G253" s="152">
        <f t="shared" si="44"/>
        <v>0.4</v>
      </c>
      <c r="H253" s="152">
        <f t="shared" si="44"/>
        <v>0.4</v>
      </c>
      <c r="I253" s="152">
        <f t="shared" si="44"/>
        <v>0.4</v>
      </c>
      <c r="J253" s="152">
        <f t="shared" si="44"/>
        <v>0.4</v>
      </c>
      <c r="K253" s="152">
        <f t="shared" si="44"/>
        <v>0.4</v>
      </c>
      <c r="L253" s="152">
        <f t="shared" si="44"/>
        <v>0.4</v>
      </c>
      <c r="M253" s="152">
        <f t="shared" si="44"/>
        <v>0.4</v>
      </c>
      <c r="N253" s="152">
        <f t="shared" si="44"/>
        <v>0.4</v>
      </c>
      <c r="O253" s="152">
        <f t="shared" si="44"/>
        <v>0.4</v>
      </c>
      <c r="P253" s="152">
        <f t="shared" si="44"/>
        <v>0.4</v>
      </c>
      <c r="Q253" s="152">
        <f t="shared" si="44"/>
        <v>0.4</v>
      </c>
      <c r="R253" s="152">
        <f t="shared" si="44"/>
        <v>0.4</v>
      </c>
      <c r="S253" s="152">
        <f t="shared" si="44"/>
        <v>0.4</v>
      </c>
      <c r="T253" s="152">
        <f t="shared" si="45"/>
        <v>0.4</v>
      </c>
      <c r="U253" s="152">
        <f t="shared" si="45"/>
        <v>0.4</v>
      </c>
      <c r="V253" s="152">
        <f t="shared" si="45"/>
        <v>0.4</v>
      </c>
      <c r="W253" s="152">
        <f t="shared" si="45"/>
        <v>0.4</v>
      </c>
      <c r="X253" s="152">
        <f t="shared" si="45"/>
        <v>0.4</v>
      </c>
      <c r="Y253" s="152">
        <f t="shared" si="45"/>
        <v>0.4</v>
      </c>
      <c r="Z253" s="152">
        <f t="shared" si="45"/>
        <v>0.4</v>
      </c>
      <c r="AA253" s="152">
        <f t="shared" si="45"/>
        <v>0.4</v>
      </c>
      <c r="AB253" s="152">
        <f t="shared" si="45"/>
        <v>0.4</v>
      </c>
      <c r="AC253" s="152">
        <f t="shared" si="45"/>
        <v>0.4</v>
      </c>
      <c r="AD253" s="152">
        <f t="shared" si="45"/>
        <v>0.4</v>
      </c>
      <c r="AE253" s="152">
        <f t="shared" si="45"/>
        <v>0.4</v>
      </c>
      <c r="AF253" s="152">
        <f t="shared" si="45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3"/>
        <v>0.64</v>
      </c>
      <c r="C254" s="157">
        <v>0.64</v>
      </c>
      <c r="D254" s="157">
        <f t="shared" si="44"/>
        <v>0.64</v>
      </c>
      <c r="E254" s="157">
        <f t="shared" si="44"/>
        <v>0.64</v>
      </c>
      <c r="F254" s="157">
        <f t="shared" si="44"/>
        <v>0.64</v>
      </c>
      <c r="G254" s="157">
        <f t="shared" si="44"/>
        <v>0.64</v>
      </c>
      <c r="H254" s="157">
        <f t="shared" si="44"/>
        <v>0.64</v>
      </c>
      <c r="I254" s="157">
        <f t="shared" si="44"/>
        <v>0.64</v>
      </c>
      <c r="J254" s="157">
        <f t="shared" si="44"/>
        <v>0.64</v>
      </c>
      <c r="K254" s="157">
        <f t="shared" si="44"/>
        <v>0.64</v>
      </c>
      <c r="L254" s="157">
        <f t="shared" si="44"/>
        <v>0.64</v>
      </c>
      <c r="M254" s="157">
        <f t="shared" si="44"/>
        <v>0.64</v>
      </c>
      <c r="N254" s="157">
        <f t="shared" si="44"/>
        <v>0.64</v>
      </c>
      <c r="O254" s="157">
        <f t="shared" si="44"/>
        <v>0.64</v>
      </c>
      <c r="P254" s="157">
        <f t="shared" si="44"/>
        <v>0.64</v>
      </c>
      <c r="Q254" s="157">
        <f t="shared" si="44"/>
        <v>0.64</v>
      </c>
      <c r="R254" s="157">
        <f t="shared" si="44"/>
        <v>0.64</v>
      </c>
      <c r="S254" s="157">
        <f t="shared" si="44"/>
        <v>0.64</v>
      </c>
      <c r="T254" s="157">
        <f t="shared" si="45"/>
        <v>0.64</v>
      </c>
      <c r="U254" s="157">
        <f t="shared" si="45"/>
        <v>0.64</v>
      </c>
      <c r="V254" s="157">
        <f t="shared" si="45"/>
        <v>0.64</v>
      </c>
      <c r="W254" s="157">
        <f t="shared" si="45"/>
        <v>0.64</v>
      </c>
      <c r="X254" s="157">
        <f t="shared" si="45"/>
        <v>0.64</v>
      </c>
      <c r="Y254" s="157">
        <f t="shared" si="45"/>
        <v>0.64</v>
      </c>
      <c r="Z254" s="157">
        <f t="shared" si="45"/>
        <v>0.64</v>
      </c>
      <c r="AA254" s="157">
        <f t="shared" si="45"/>
        <v>0.64</v>
      </c>
      <c r="AB254" s="157">
        <f t="shared" si="45"/>
        <v>0.64</v>
      </c>
      <c r="AC254" s="157">
        <f t="shared" si="45"/>
        <v>0.64</v>
      </c>
      <c r="AD254" s="157">
        <f t="shared" si="45"/>
        <v>0.64</v>
      </c>
      <c r="AE254" s="157">
        <f t="shared" si="45"/>
        <v>0.64</v>
      </c>
      <c r="AF254" s="157">
        <f t="shared" si="45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6">SUM(B249:B254)</f>
        <v>3.54</v>
      </c>
      <c r="C255" s="161">
        <f t="shared" si="46"/>
        <v>3.54</v>
      </c>
      <c r="D255" s="161">
        <f t="shared" si="46"/>
        <v>3.54</v>
      </c>
      <c r="E255" s="161">
        <f t="shared" si="46"/>
        <v>3.54</v>
      </c>
      <c r="F255" s="161">
        <f t="shared" si="46"/>
        <v>3.54</v>
      </c>
      <c r="G255" s="161">
        <f t="shared" si="46"/>
        <v>3.54</v>
      </c>
      <c r="H255" s="161">
        <f t="shared" si="46"/>
        <v>3.54</v>
      </c>
      <c r="I255" s="161">
        <f t="shared" si="46"/>
        <v>3.54</v>
      </c>
      <c r="J255" s="161">
        <f t="shared" si="46"/>
        <v>3.54</v>
      </c>
      <c r="K255" s="161">
        <f t="shared" si="46"/>
        <v>3.54</v>
      </c>
      <c r="L255" s="161">
        <f t="shared" si="46"/>
        <v>3.54</v>
      </c>
      <c r="M255" s="161">
        <f t="shared" si="46"/>
        <v>3.54</v>
      </c>
      <c r="N255" s="161">
        <f t="shared" si="46"/>
        <v>3.54</v>
      </c>
      <c r="O255" s="161">
        <f t="shared" si="46"/>
        <v>3.54</v>
      </c>
      <c r="P255" s="161">
        <f t="shared" si="46"/>
        <v>3.54</v>
      </c>
      <c r="Q255" s="161">
        <f t="shared" si="46"/>
        <v>3.54</v>
      </c>
      <c r="R255" s="161">
        <f t="shared" si="46"/>
        <v>3.54</v>
      </c>
      <c r="S255" s="161">
        <f t="shared" si="46"/>
        <v>3.54</v>
      </c>
      <c r="T255" s="161">
        <f t="shared" si="46"/>
        <v>3.54</v>
      </c>
      <c r="U255" s="161">
        <f t="shared" si="46"/>
        <v>3.54</v>
      </c>
      <c r="V255" s="161">
        <f t="shared" si="46"/>
        <v>3.54</v>
      </c>
      <c r="W255" s="161">
        <f t="shared" si="46"/>
        <v>3.54</v>
      </c>
      <c r="X255" s="161">
        <f t="shared" si="46"/>
        <v>3.54</v>
      </c>
      <c r="Y255" s="161">
        <f t="shared" si="46"/>
        <v>3.54</v>
      </c>
      <c r="Z255" s="161">
        <f t="shared" si="46"/>
        <v>3.54</v>
      </c>
      <c r="AA255" s="161">
        <f t="shared" si="46"/>
        <v>3.54</v>
      </c>
      <c r="AB255" s="161">
        <f t="shared" si="46"/>
        <v>3.54</v>
      </c>
      <c r="AC255" s="161">
        <f t="shared" si="46"/>
        <v>3.54</v>
      </c>
      <c r="AD255" s="161">
        <f t="shared" si="46"/>
        <v>3.54</v>
      </c>
      <c r="AE255" s="161">
        <f t="shared" si="46"/>
        <v>3.54</v>
      </c>
      <c r="AF255" s="161">
        <f t="shared" si="46"/>
        <v>3.54</v>
      </c>
      <c r="AG255" s="171">
        <f t="shared" si="46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1971.9399999999998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2080/10/3)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phoneticPr fontId="34" type="noConversion"/>
  <conditionalFormatting sqref="A11:A89 A95:A133 A135:A256">
    <cfRule type="expression" dxfId="3962" priority="80">
      <formula>$AH11=0</formula>
    </cfRule>
  </conditionalFormatting>
  <conditionalFormatting sqref="A89">
    <cfRule type="expression" dxfId="3961" priority="138">
      <formula>$AH94=0</formula>
    </cfRule>
  </conditionalFormatting>
  <conditionalFormatting sqref="A90:A94">
    <cfRule type="expression" dxfId="3960" priority="81">
      <formula>$AH89=0</formula>
    </cfRule>
  </conditionalFormatting>
  <conditionalFormatting sqref="B8">
    <cfRule type="expression" dxfId="3959" priority="134">
      <formula>AND(C$9&gt;=14/24,C$9&lt;20/24)</formula>
    </cfRule>
    <cfRule type="expression" dxfId="3958" priority="135">
      <formula>AND(C$9&gt;=8/24,C$9&lt;14/24)</formula>
    </cfRule>
    <cfRule type="expression" dxfId="3957" priority="136">
      <formula>C$9&lt;8/24</formula>
    </cfRule>
    <cfRule type="expression" dxfId="3956" priority="137">
      <formula>C$9&gt;=20/24</formula>
    </cfRule>
  </conditionalFormatting>
  <conditionalFormatting sqref="B11:R57 S15:Z57 B62:D71 C66:Z77 B72:Q77 S72:AF77 B80:AF102 B9:AF10 B104:AF120 B122:AF140 B247:AF247 B249:B255">
    <cfRule type="expression" dxfId="3955" priority="41">
      <formula>B$9&gt;=20/24</formula>
    </cfRule>
  </conditionalFormatting>
  <conditionalFormatting sqref="B11:R83 AB11:AF83 Y15:Z59 S15:X60 AA15:AA60 T36:Y36 AG61 S61:AA83 F63:AF63 AG65 AG83">
    <cfRule type="expression" dxfId="3954" priority="40">
      <formula>B11&gt;$AG11</formula>
    </cfRule>
  </conditionalFormatting>
  <conditionalFormatting sqref="B9:AF10 B11:R57 S15:Z57 B62:D71 C66:Z77 B72:Q77 S72:AF77 B80:AF102 B104:AF120 B122:AF140 B247:AF247 B249:B255">
    <cfRule type="expression" dxfId="3953" priority="42">
      <formula>AND(B$9&gt;=14/24,B$9&lt;20/24)</formula>
    </cfRule>
    <cfRule type="expression" dxfId="3952" priority="43">
      <formula>AND(B$9&gt;=8/24,B$9&lt;14/24)</formula>
    </cfRule>
    <cfRule type="expression" dxfId="3951" priority="44">
      <formula>B$9&lt;8/24</formula>
    </cfRule>
  </conditionalFormatting>
  <conditionalFormatting sqref="B58:AF60">
    <cfRule type="expression" dxfId="3950" priority="37">
      <formula>B$9&gt;=20/24</formula>
    </cfRule>
    <cfRule type="expression" dxfId="3949" priority="38">
      <formula>AND(B$9&gt;=14/24,B$9&lt;20/24)</formula>
    </cfRule>
    <cfRule type="expression" dxfId="3948" priority="39">
      <formula>AND(B$9&gt;=8/24,B$9&lt;14/24)</formula>
    </cfRule>
    <cfRule type="expression" dxfId="3947" priority="49">
      <formula>B$9&lt;8/24</formula>
    </cfRule>
  </conditionalFormatting>
  <conditionalFormatting sqref="D249:AF255">
    <cfRule type="expression" dxfId="3946" priority="119">
      <formula>D$9&gt;=20/24</formula>
    </cfRule>
    <cfRule type="expression" dxfId="3945" priority="120">
      <formula>AND(D$9&gt;=14/24,D$9&lt;20/24)</formula>
    </cfRule>
    <cfRule type="expression" dxfId="3944" priority="121">
      <formula>AND(D$9&gt;=8/24,D$9&lt;14/24)</formula>
    </cfRule>
    <cfRule type="expression" dxfId="3943" priority="122">
      <formula>D$9&lt;8/24</formula>
    </cfRule>
  </conditionalFormatting>
  <conditionalFormatting sqref="E66:I70 J67:J70 K70:Z70">
    <cfRule type="expression" dxfId="3942" priority="50">
      <formula>E$9&gt;=20/24</formula>
    </cfRule>
    <cfRule type="expression" dxfId="3941" priority="51">
      <formula>AND(E$9&gt;=14/24,E$9&lt;20/24)</formula>
    </cfRule>
    <cfRule type="expression" dxfId="3940" priority="52">
      <formula>AND(E$9&gt;=8/24,E$9&lt;14/24)</formula>
    </cfRule>
    <cfRule type="expression" dxfId="3939" priority="53">
      <formula>E$9&lt;8/24</formula>
    </cfRule>
  </conditionalFormatting>
  <conditionalFormatting sqref="E71:Z71">
    <cfRule type="expression" dxfId="3938" priority="45">
      <formula>E$9&gt;=20/24</formula>
    </cfRule>
    <cfRule type="expression" dxfId="3937" priority="46">
      <formula>AND(E$9&gt;=14/24,E$9&lt;20/24)</formula>
    </cfRule>
    <cfRule type="expression" dxfId="3936" priority="47">
      <formula>AND(E$9&gt;=8/24,E$9&lt;14/24)</formula>
    </cfRule>
    <cfRule type="expression" dxfId="3935" priority="48">
      <formula>E$9&lt;8/24</formula>
    </cfRule>
  </conditionalFormatting>
  <conditionalFormatting sqref="E11:AA11 S12:Z14 AA12:AA57 AB11:AF57">
    <cfRule type="expression" dxfId="3934" priority="55">
      <formula>E$9&gt;=20/24</formula>
    </cfRule>
  </conditionalFormatting>
  <conditionalFormatting sqref="E11:AA11 S12:AA14">
    <cfRule type="expression" dxfId="3933" priority="54">
      <formula>E11&gt;$AG11</formula>
    </cfRule>
  </conditionalFormatting>
  <conditionalFormatting sqref="E11:AA11 AB11:AF57 S12:Z14 AA12:AA57">
    <cfRule type="expression" dxfId="3932" priority="56">
      <formula>AND(E$9&gt;=14/24,E$9&lt;20/24)</formula>
    </cfRule>
    <cfRule type="expression" dxfId="3931" priority="57">
      <formula>AND(E$9&gt;=8/24,E$9&lt;14/24)</formula>
    </cfRule>
    <cfRule type="expression" dxfId="3930" priority="58">
      <formula>E$9&lt;8/24</formula>
    </cfRule>
  </conditionalFormatting>
  <conditionalFormatting sqref="E62:AF65">
    <cfRule type="expression" dxfId="3929" priority="60">
      <formula>E$9&gt;=20/24</formula>
    </cfRule>
    <cfRule type="expression" dxfId="3928" priority="61">
      <formula>AND(E$9&gt;=14/24,E$9&lt;20/24)</formula>
    </cfRule>
    <cfRule type="expression" dxfId="3927" priority="62">
      <formula>AND(E$9&gt;=8/24,E$9&lt;14/24)</formula>
    </cfRule>
    <cfRule type="expression" dxfId="3926" priority="63">
      <formula>E$9&lt;8/24</formula>
    </cfRule>
  </conditionalFormatting>
  <conditionalFormatting sqref="F66:Z68">
    <cfRule type="expression" dxfId="3925" priority="72">
      <formula>F$9&gt;=20/24</formula>
    </cfRule>
    <cfRule type="expression" dxfId="3924" priority="73">
      <formula>AND(F$9&gt;=14/24,F$9&lt;20/24)</formula>
    </cfRule>
    <cfRule type="expression" dxfId="3923" priority="74">
      <formula>AND(F$9&gt;=8/24,F$9&lt;14/24)</formula>
    </cfRule>
    <cfRule type="expression" dxfId="3922" priority="75">
      <formula>F$9&lt;8/24</formula>
    </cfRule>
  </conditionalFormatting>
  <conditionalFormatting sqref="L71:Z71">
    <cfRule type="expression" dxfId="3921" priority="68">
      <formula>L$9&gt;=20/24</formula>
    </cfRule>
    <cfRule type="expression" dxfId="3920" priority="69">
      <formula>AND(L$9&gt;=14/24,L$9&lt;20/24)</formula>
    </cfRule>
    <cfRule type="expression" dxfId="3919" priority="70">
      <formula>AND(L$9&gt;=8/24,L$9&lt;14/24)</formula>
    </cfRule>
    <cfRule type="expression" dxfId="3918" priority="71">
      <formula>L$9&lt;8/24</formula>
    </cfRule>
  </conditionalFormatting>
  <conditionalFormatting sqref="M8 S8 AB8">
    <cfRule type="expression" dxfId="3917" priority="126">
      <formula>AND(N$9&gt;=14/24,N$9&lt;20/24)</formula>
    </cfRule>
    <cfRule type="expression" dxfId="3916" priority="127">
      <formula>AND(N$9&gt;=8/24,N$9&lt;14/24)</formula>
    </cfRule>
    <cfRule type="expression" dxfId="3915" priority="128">
      <formula>N$9&lt;8/24</formula>
    </cfRule>
  </conditionalFormatting>
  <conditionalFormatting sqref="M66:Z70">
    <cfRule type="expression" dxfId="3914" priority="76">
      <formula>M$9&gt;=20/24</formula>
    </cfRule>
    <cfRule type="expression" dxfId="3913" priority="77">
      <formula>AND(M$9&gt;=14/24,M$9&lt;20/24)</formula>
    </cfRule>
    <cfRule type="expression" dxfId="3912" priority="78">
      <formula>AND(M$9&gt;=8/24,M$9&lt;14/24)</formula>
    </cfRule>
    <cfRule type="expression" dxfId="3911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910" priority="125">
      <formula>N$9&gt;=20/24</formula>
    </cfRule>
  </conditionalFormatting>
  <conditionalFormatting sqref="S8">
    <cfRule type="expression" dxfId="3909" priority="112">
      <formula>U$9&gt;=20/24</formula>
    </cfRule>
    <cfRule type="expression" dxfId="3908" priority="113">
      <formula>AND(U$9&gt;=14/24,U$9&lt;20/24)</formula>
    </cfRule>
    <cfRule type="expression" dxfId="3907" priority="114">
      <formula>AND(U$9&gt;=8/24,U$9&lt;14/24)</formula>
    </cfRule>
    <cfRule type="expression" dxfId="3906" priority="115">
      <formula>U$9&lt;8/24</formula>
    </cfRule>
  </conditionalFormatting>
  <conditionalFormatting sqref="T66:AF71">
    <cfRule type="expression" dxfId="3905" priority="64">
      <formula>T$9&gt;=20/24</formula>
    </cfRule>
    <cfRule type="expression" dxfId="3904" priority="65">
      <formula>AND(T$9&gt;=14/24,T$9&lt;20/24)</formula>
    </cfRule>
    <cfRule type="expression" dxfId="3903" priority="66">
      <formula>AND(T$9&gt;=8/24,T$9&lt;14/24)</formula>
    </cfRule>
    <cfRule type="expression" dxfId="3902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60:Z60">
    <cfRule type="expression" dxfId="3901" priority="59">
      <formula>Y60&gt;$AG60</formula>
    </cfRule>
  </conditionalFormatting>
  <conditionalFormatting sqref="AB8">
    <cfRule type="expression" dxfId="3900" priority="108">
      <formula>AD$9&gt;=20/24</formula>
    </cfRule>
    <cfRule type="expression" dxfId="3899" priority="109">
      <formula>AND(AD$9&gt;=14/24,AD$9&lt;20/24)</formula>
    </cfRule>
    <cfRule type="expression" dxfId="3898" priority="110">
      <formula>AND(AD$9&gt;=8/24,AD$9&lt;14/24)</formula>
    </cfRule>
    <cfRule type="expression" dxfId="3897" priority="111">
      <formula>AD$9&lt;8/24</formula>
    </cfRule>
  </conditionalFormatting>
  <conditionalFormatting sqref="AG65">
    <cfRule type="expression" dxfId="3896" priority="87">
      <formula>AG$9&gt;=20/24</formula>
    </cfRule>
    <cfRule type="expression" dxfId="3895" priority="88">
      <formula>AND(AG$9&gt;=14/24,AG$9&lt;20/24)</formula>
    </cfRule>
    <cfRule type="expression" dxfId="3894" priority="89">
      <formula>AND(AG$9&gt;=8/24,AG$9&lt;14/24)</formula>
    </cfRule>
    <cfRule type="expression" dxfId="3893" priority="90">
      <formula>AG$9&lt;8/24</formula>
    </cfRule>
  </conditionalFormatting>
  <conditionalFormatting sqref="AG78:AG79">
    <cfRule type="expression" dxfId="3892" priority="82">
      <formula>AG78&gt;$AG78</formula>
    </cfRule>
  </conditionalFormatting>
  <conditionalFormatting sqref="AG83">
    <cfRule type="expression" dxfId="3891" priority="83">
      <formula>AG$9&gt;=20/24</formula>
    </cfRule>
    <cfRule type="expression" dxfId="3890" priority="84">
      <formula>AND(AG$9&gt;=14/24,AG$9&lt;20/24)</formula>
    </cfRule>
    <cfRule type="expression" dxfId="3889" priority="85">
      <formula>AND(AG$9&gt;=8/24,AG$9&lt;14/24)</formula>
    </cfRule>
    <cfRule type="expression" dxfId="3888" priority="86">
      <formula>AG$9&lt;8/24</formula>
    </cfRule>
  </conditionalFormatting>
  <conditionalFormatting sqref="AG100">
    <cfRule type="expression" dxfId="3887" priority="104">
      <formula>AG$9&gt;=20/24</formula>
    </cfRule>
    <cfRule type="expression" dxfId="3886" priority="105">
      <formula>AND(AG$9&gt;=14/24,AG$9&lt;20/24)</formula>
    </cfRule>
    <cfRule type="expression" dxfId="3885" priority="106">
      <formula>AND(AG$9&gt;=8/24,AG$9&lt;14/24)</formula>
    </cfRule>
    <cfRule type="expression" dxfId="388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883" priority="129">
      <formula>AJ$9&gt;=20/24</formula>
    </cfRule>
    <cfRule type="expression" dxfId="3882" priority="130">
      <formula>AND(AJ$9&gt;=14/24,AJ$9&lt;20/24)</formula>
    </cfRule>
    <cfRule type="expression" dxfId="3881" priority="131">
      <formula>AND(AJ$9&gt;=8/24,AJ$9&lt;14/24)</formula>
    </cfRule>
    <cfRule type="expression" dxfId="3880" priority="132">
      <formula>AJ$9&lt;8/24</formula>
    </cfRule>
  </conditionalFormatting>
  <conditionalFormatting sqref="AL86:AN86 AL92:AN92">
    <cfRule type="expression" dxfId="3879" priority="97">
      <formula>AL$9&gt;=20/24</formula>
    </cfRule>
    <cfRule type="expression" dxfId="3878" priority="98">
      <formula>AND(AL$9&gt;=14/24,AL$9&lt;20/24)</formula>
    </cfRule>
    <cfRule type="expression" dxfId="3877" priority="99">
      <formula>AND(AL$9&gt;=8/24,AL$9&lt;14/24)</formula>
    </cfRule>
    <cfRule type="expression" dxfId="3876" priority="100">
      <formula>AL$9&lt;8/24</formula>
    </cfRule>
  </conditionalFormatting>
  <conditionalFormatting sqref="AM15:AM21 AN16:AR21">
    <cfRule type="expression" dxfId="3875" priority="13">
      <formula>AX$9&gt;=20/24</formula>
    </cfRule>
    <cfRule type="expression" dxfId="3874" priority="14">
      <formula>AND(AX$9&gt;=14/24,AX$9&lt;20/24)</formula>
    </cfRule>
    <cfRule type="expression" dxfId="3873" priority="15">
      <formula>AND(AX$9&gt;=8/24,AX$9&lt;14/24)</formula>
    </cfRule>
    <cfRule type="expression" dxfId="3872" priority="16">
      <formula>AX$9&lt;8/24</formula>
    </cfRule>
  </conditionalFormatting>
  <conditionalFormatting sqref="AN87:AN90">
    <cfRule type="expression" dxfId="3871" priority="93">
      <formula>AN$9&gt;=20/24</formula>
    </cfRule>
    <cfRule type="expression" dxfId="3870" priority="94">
      <formula>AND(AN$9&gt;=14/24,AN$9&lt;20/24)</formula>
    </cfRule>
    <cfRule type="expression" dxfId="3869" priority="95">
      <formula>AND(AN$9&gt;=8/24,AN$9&lt;14/24)</formula>
    </cfRule>
    <cfRule type="expression" dxfId="3868" priority="96">
      <formula>AN$9&lt;8/24</formula>
    </cfRule>
  </conditionalFormatting>
  <conditionalFormatting sqref="AN15:AR15">
    <cfRule type="expression" dxfId="3867" priority="1">
      <formula>U$9&gt;=20/24</formula>
    </cfRule>
    <cfRule type="expression" dxfId="3866" priority="2">
      <formula>AND(U$9&gt;=14/24,U$9&lt;20/24)</formula>
    </cfRule>
    <cfRule type="expression" dxfId="3865" priority="3">
      <formula>AND(U$9&gt;=8/24,U$9&lt;14/24)</formula>
    </cfRule>
    <cfRule type="expression" dxfId="3864" priority="4">
      <formula>U$9&lt;8/24</formula>
    </cfRule>
  </conditionalFormatting>
  <conditionalFormatting sqref="AS15">
    <cfRule type="expression" dxfId="3863" priority="9">
      <formula>AA$9&gt;=20/24</formula>
    </cfRule>
    <cfRule type="expression" dxfId="3862" priority="10">
      <formula>AND(AA$9&gt;=14/24,AA$9&lt;20/24)</formula>
    </cfRule>
    <cfRule type="expression" dxfId="3861" priority="11">
      <formula>AND(AA$9&gt;=8/24,AA$9&lt;14/24)</formula>
    </cfRule>
    <cfRule type="expression" dxfId="3860" priority="12">
      <formula>AA$9&lt;8/24</formula>
    </cfRule>
  </conditionalFormatting>
  <conditionalFormatting sqref="AS16:AS21">
    <cfRule type="expression" dxfId="3859" priority="17">
      <formula>BE$9&gt;=20/24</formula>
    </cfRule>
    <cfRule type="expression" dxfId="3858" priority="18">
      <formula>AND(BE$9&gt;=14/24,BE$9&lt;20/24)</formula>
    </cfRule>
    <cfRule type="expression" dxfId="3857" priority="19">
      <formula>AND(BE$9&gt;=8/24,BE$9&lt;14/24)</formula>
    </cfRule>
    <cfRule type="expression" dxfId="3856" priority="20">
      <formula>BE$9&lt;8/24</formula>
    </cfRule>
  </conditionalFormatting>
  <conditionalFormatting sqref="AT15 AX15:BJ15">
    <cfRule type="expression" dxfId="3855" priority="21">
      <formula>AC$9&gt;=20/24</formula>
    </cfRule>
    <cfRule type="expression" dxfId="3854" priority="22">
      <formula>AND(AC$9&gt;=14/24,AC$9&lt;20/24)</formula>
    </cfRule>
    <cfRule type="expression" dxfId="3853" priority="23">
      <formula>AND(AC$9&gt;=8/24,AC$9&lt;14/24)</formula>
    </cfRule>
    <cfRule type="expression" dxfId="3852" priority="24">
      <formula>AC$9&lt;8/24</formula>
    </cfRule>
  </conditionalFormatting>
  <conditionalFormatting sqref="AT16:AT21">
    <cfRule type="expression" dxfId="3851" priority="25">
      <formula>BG$9&gt;=20/24</formula>
    </cfRule>
    <cfRule type="expression" dxfId="3850" priority="26">
      <formula>AND(BG$9&gt;=14/24,BG$9&lt;20/24)</formula>
    </cfRule>
    <cfRule type="expression" dxfId="3849" priority="27">
      <formula>AND(BG$9&gt;=8/24,BG$9&lt;14/24)</formula>
    </cfRule>
    <cfRule type="expression" dxfId="3848" priority="28">
      <formula>BG$9&lt;8/24</formula>
    </cfRule>
  </conditionalFormatting>
  <conditionalFormatting sqref="AU15:AV15">
    <cfRule type="expression" dxfId="3847" priority="29">
      <formula>AE$9&gt;=20/24</formula>
    </cfRule>
    <cfRule type="expression" dxfId="3846" priority="30">
      <formula>AND(AE$9&gt;=14/24,AE$9&lt;20/24)</formula>
    </cfRule>
    <cfRule type="expression" dxfId="3845" priority="31">
      <formula>AND(AE$9&gt;=8/24,AE$9&lt;14/24)</formula>
    </cfRule>
    <cfRule type="expression" dxfId="3844" priority="32">
      <formula>AE$9&lt;8/24</formula>
    </cfRule>
  </conditionalFormatting>
  <conditionalFormatting sqref="AU16:BJ21">
    <cfRule type="expression" dxfId="3843" priority="33">
      <formula>BI$9&gt;=20/24</formula>
    </cfRule>
    <cfRule type="expression" dxfId="3842" priority="34">
      <formula>AND(BI$9&gt;=14/24,BI$9&lt;20/24)</formula>
    </cfRule>
    <cfRule type="expression" dxfId="3841" priority="35">
      <formula>AND(BI$9&gt;=8/24,BI$9&lt;14/24)</formula>
    </cfRule>
    <cfRule type="expression" dxfId="3840" priority="36">
      <formula>BI$9&lt;8/24</formula>
    </cfRule>
  </conditionalFormatting>
  <conditionalFormatting sqref="AW15">
    <cfRule type="expression" dxfId="3839" priority="5">
      <formula>B$9&gt;=20/24</formula>
    </cfRule>
    <cfRule type="expression" dxfId="3838" priority="6">
      <formula>AND(B$9&gt;=14/24,B$9&lt;20/24)</formula>
    </cfRule>
    <cfRule type="expression" dxfId="3837" priority="7">
      <formula>AND(B$9&gt;=8/24,B$9&lt;14/24)</formula>
    </cfRule>
    <cfRule type="expression" dxfId="383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07DB-A5F5-4656-9252-B3EFED0D5580}">
  <dimension ref="A1:CJ297"/>
  <sheetViews>
    <sheetView zoomScale="106" workbookViewId="0">
      <pane xSplit="1" ySplit="10" topLeftCell="AZ6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G82" sqref="BG82:BL10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2080/10/4</v>
      </c>
      <c r="C4" s="189"/>
      <c r="D4" s="189"/>
      <c r="E4" s="190" t="str">
        <f ca="1">"2080/"&amp;"10/"&amp;INT(MID(CELL("filename",G6),FIND("]",CELL("filename",G6))+1,200))</f>
        <v>2080/10/4</v>
      </c>
      <c r="F4" s="190"/>
      <c r="G4" s="190"/>
      <c r="H4" s="190" t="str">
        <f ca="1">TEXT(E4,"dddd")</f>
        <v>Friday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70.5</v>
      </c>
      <c r="C5" s="30">
        <f t="shared" si="0"/>
        <v>59.3</v>
      </c>
      <c r="D5" s="30">
        <f t="shared" si="0"/>
        <v>56.6</v>
      </c>
      <c r="E5" s="30">
        <f t="shared" si="0"/>
        <v>54.1</v>
      </c>
      <c r="F5" s="30">
        <f t="shared" si="0"/>
        <v>65.599999999999994</v>
      </c>
      <c r="G5" s="30">
        <f t="shared" si="0"/>
        <v>64.2</v>
      </c>
      <c r="H5" s="30">
        <f t="shared" si="0"/>
        <v>56.3</v>
      </c>
      <c r="I5" s="30">
        <f t="shared" si="0"/>
        <v>96.6</v>
      </c>
      <c r="J5" s="30">
        <f t="shared" si="0"/>
        <v>108</v>
      </c>
      <c r="K5" s="30">
        <f t="shared" si="0"/>
        <v>99.9</v>
      </c>
      <c r="L5" s="30">
        <f t="shared" si="0"/>
        <v>103.9</v>
      </c>
      <c r="M5" s="30">
        <f t="shared" si="0"/>
        <v>63</v>
      </c>
      <c r="N5" s="30">
        <f t="shared" si="0"/>
        <v>72</v>
      </c>
      <c r="O5" s="30">
        <f t="shared" si="0"/>
        <v>63.4</v>
      </c>
      <c r="P5" s="30">
        <f t="shared" si="0"/>
        <v>119</v>
      </c>
      <c r="Q5" s="30">
        <f t="shared" si="0"/>
        <v>122.7</v>
      </c>
      <c r="R5" s="30">
        <f t="shared" si="0"/>
        <v>115</v>
      </c>
      <c r="S5" s="30">
        <f t="shared" si="0"/>
        <v>112.9</v>
      </c>
      <c r="T5" s="30">
        <f t="shared" si="0"/>
        <v>103.7</v>
      </c>
      <c r="U5" s="30">
        <f t="shared" si="0"/>
        <v>104.1</v>
      </c>
      <c r="V5" s="30">
        <f t="shared" si="0"/>
        <v>108</v>
      </c>
      <c r="W5" s="30">
        <f t="shared" si="0"/>
        <v>66.5</v>
      </c>
      <c r="X5" s="30">
        <f t="shared" si="0"/>
        <v>56.400000000000006</v>
      </c>
      <c r="Y5" s="30">
        <f t="shared" si="0"/>
        <v>11.3</v>
      </c>
      <c r="Z5" s="30">
        <f t="shared" si="0"/>
        <v>11.3</v>
      </c>
      <c r="AA5" s="30">
        <f t="shared" si="0"/>
        <v>72.099999999999994</v>
      </c>
      <c r="AB5" s="30">
        <f t="shared" si="0"/>
        <v>39.799999999999997</v>
      </c>
      <c r="AC5" s="30">
        <f t="shared" si="0"/>
        <v>47.4</v>
      </c>
      <c r="AD5" s="30">
        <f t="shared" si="0"/>
        <v>47.4</v>
      </c>
      <c r="AE5" s="30">
        <f t="shared" si="0"/>
        <v>98.6</v>
      </c>
      <c r="AF5" s="30">
        <f>B95</f>
        <v>70.5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2127MW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Load=1466</v>
      </c>
      <c r="B7" s="35">
        <f t="shared" ref="B7:AF7" si="1">B103</f>
        <v>1656.6</v>
      </c>
      <c r="C7" s="35">
        <f t="shared" si="1"/>
        <v>1635.6</v>
      </c>
      <c r="D7" s="35">
        <f t="shared" si="1"/>
        <v>1582.1999999999998</v>
      </c>
      <c r="E7" s="35">
        <f t="shared" si="1"/>
        <v>1528.2399999999998</v>
      </c>
      <c r="F7" s="35">
        <f t="shared" si="1"/>
        <v>1488.04</v>
      </c>
      <c r="G7" s="35">
        <f t="shared" si="1"/>
        <v>1490.04</v>
      </c>
      <c r="H7" s="35">
        <f t="shared" si="1"/>
        <v>1498.14</v>
      </c>
      <c r="I7" s="35">
        <f t="shared" si="1"/>
        <v>1522.8400000000001</v>
      </c>
      <c r="J7" s="35">
        <f t="shared" si="1"/>
        <v>1586.94</v>
      </c>
      <c r="K7" s="35">
        <f t="shared" si="1"/>
        <v>1727.6399999999999</v>
      </c>
      <c r="L7" s="35">
        <f t="shared" si="1"/>
        <v>1654.54</v>
      </c>
      <c r="M7" s="35">
        <f t="shared" si="1"/>
        <v>1755.6399999999999</v>
      </c>
      <c r="N7" s="35">
        <f t="shared" si="1"/>
        <v>1738.9399999999998</v>
      </c>
      <c r="O7" s="35">
        <f t="shared" si="1"/>
        <v>1777.4399999999996</v>
      </c>
      <c r="P7" s="35">
        <f t="shared" si="1"/>
        <v>1852.7399999999998</v>
      </c>
      <c r="Q7" s="35">
        <f t="shared" si="1"/>
        <v>1858.08</v>
      </c>
      <c r="R7" s="35">
        <f t="shared" si="1"/>
        <v>1888.7799999999997</v>
      </c>
      <c r="S7" s="35">
        <f t="shared" si="1"/>
        <v>1937.6799999999996</v>
      </c>
      <c r="T7" s="35">
        <f t="shared" si="1"/>
        <v>1860.88</v>
      </c>
      <c r="U7" s="35">
        <f t="shared" si="1"/>
        <v>1809.48</v>
      </c>
      <c r="V7" s="35">
        <f t="shared" si="1"/>
        <v>1716.08</v>
      </c>
      <c r="W7" s="35">
        <f t="shared" si="1"/>
        <v>1665.58</v>
      </c>
      <c r="X7" s="35">
        <f t="shared" si="1"/>
        <v>1655.98</v>
      </c>
      <c r="Y7" s="35">
        <f t="shared" si="1"/>
        <v>1638.44</v>
      </c>
      <c r="Z7" s="35">
        <f t="shared" si="1"/>
        <v>1685.34</v>
      </c>
      <c r="AA7" s="35">
        <f t="shared" si="1"/>
        <v>1682.98</v>
      </c>
      <c r="AB7" s="35">
        <f t="shared" si="1"/>
        <v>1550.08</v>
      </c>
      <c r="AC7" s="35">
        <f t="shared" si="1"/>
        <v>1534.58</v>
      </c>
      <c r="AD7" s="35">
        <f t="shared" si="1"/>
        <v>1526.08</v>
      </c>
      <c r="AE7" s="35">
        <f t="shared" si="1"/>
        <v>1503.98</v>
      </c>
      <c r="AF7" s="35">
        <f t="shared" si="1"/>
        <v>1466.4399999999996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2182.74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1937.68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35.200000000000003</v>
      </c>
      <c r="C11" s="46">
        <v>35.200000000000003</v>
      </c>
      <c r="D11" s="46">
        <v>35.200000000000003</v>
      </c>
      <c r="E11" s="46">
        <v>35.200000000000003</v>
      </c>
      <c r="F11" s="46">
        <v>32.700000000000003</v>
      </c>
      <c r="G11" s="46">
        <v>35.200000000000003</v>
      </c>
      <c r="H11" s="46">
        <v>35.200000000000003</v>
      </c>
      <c r="I11" s="46">
        <v>35.200000000000003</v>
      </c>
      <c r="J11" s="46">
        <v>35.200000000000003</v>
      </c>
      <c r="K11" s="46">
        <v>35.200000000000003</v>
      </c>
      <c r="L11" s="46">
        <v>35.200000000000003</v>
      </c>
      <c r="M11" s="46">
        <v>43.9</v>
      </c>
      <c r="N11" s="46">
        <v>43.9</v>
      </c>
      <c r="O11" s="46">
        <v>43.9</v>
      </c>
      <c r="P11" s="46">
        <v>46.1</v>
      </c>
      <c r="Q11" s="46">
        <v>43.4</v>
      </c>
      <c r="R11" s="46">
        <v>43.4</v>
      </c>
      <c r="S11" s="46">
        <v>43.4</v>
      </c>
      <c r="T11" s="46">
        <v>43.4</v>
      </c>
      <c r="U11" s="46">
        <v>43.4</v>
      </c>
      <c r="V11" s="46">
        <v>43.4</v>
      </c>
      <c r="W11" s="46">
        <v>43.4</v>
      </c>
      <c r="X11" s="46">
        <v>43.4</v>
      </c>
      <c r="Y11" s="46">
        <v>43.4</v>
      </c>
      <c r="Z11" s="46">
        <v>43.4</v>
      </c>
      <c r="AA11" s="46">
        <v>43.4</v>
      </c>
      <c r="AB11" s="46">
        <v>38.299999999999997</v>
      </c>
      <c r="AC11" s="46">
        <v>35.1</v>
      </c>
      <c r="AD11" s="46">
        <v>35.1</v>
      </c>
      <c r="AE11" s="46">
        <v>35.1</v>
      </c>
      <c r="AF11" s="46">
        <v>35.4</v>
      </c>
      <c r="AG11" s="47">
        <v>86</v>
      </c>
      <c r="AH11" s="48">
        <f t="shared" ref="AH11:AH74" si="2">MAX(B11:AF11)</f>
        <v>46.1</v>
      </c>
      <c r="AI11" s="49">
        <f t="shared" ref="AI11:AI74" si="3">MIN(B11:AF11)</f>
        <v>32.700000000000003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49.6</v>
      </c>
      <c r="C12" s="46">
        <v>49.6</v>
      </c>
      <c r="D12" s="46">
        <v>49.6</v>
      </c>
      <c r="E12" s="46">
        <v>49.6</v>
      </c>
      <c r="F12" s="46">
        <v>37.6</v>
      </c>
      <c r="G12" s="46">
        <v>37.6</v>
      </c>
      <c r="H12" s="46">
        <v>37.6</v>
      </c>
      <c r="I12" s="46">
        <v>37.6</v>
      </c>
      <c r="J12" s="46">
        <v>37.6</v>
      </c>
      <c r="K12" s="46">
        <v>37.6</v>
      </c>
      <c r="L12" s="46">
        <v>37.6</v>
      </c>
      <c r="M12" s="46">
        <v>31.8</v>
      </c>
      <c r="N12" s="46">
        <v>31.8</v>
      </c>
      <c r="O12" s="46">
        <v>31.8</v>
      </c>
      <c r="P12" s="46">
        <v>31.8</v>
      </c>
      <c r="Q12" s="46">
        <v>31.6</v>
      </c>
      <c r="R12" s="46">
        <v>31.6</v>
      </c>
      <c r="S12" s="46">
        <v>31.6</v>
      </c>
      <c r="T12" s="46">
        <v>31.6</v>
      </c>
      <c r="U12" s="46">
        <v>31.6</v>
      </c>
      <c r="V12" s="46">
        <v>31.6</v>
      </c>
      <c r="W12" s="46">
        <v>31.6</v>
      </c>
      <c r="X12" s="46">
        <v>31.6</v>
      </c>
      <c r="Y12" s="46">
        <v>31.6</v>
      </c>
      <c r="Z12" s="46">
        <v>31.6</v>
      </c>
      <c r="AA12" s="46">
        <v>31.6</v>
      </c>
      <c r="AB12" s="46">
        <v>31.6</v>
      </c>
      <c r="AC12" s="46">
        <v>31.6</v>
      </c>
      <c r="AD12" s="46">
        <v>31.6</v>
      </c>
      <c r="AE12" s="46">
        <v>31.6</v>
      </c>
      <c r="AF12" s="46">
        <v>51.6</v>
      </c>
      <c r="AG12" s="50">
        <v>77</v>
      </c>
      <c r="AH12" s="48">
        <f t="shared" si="2"/>
        <v>51.6</v>
      </c>
      <c r="AI12" s="49">
        <f t="shared" si="3"/>
        <v>31.6</v>
      </c>
      <c r="AK12" s="51"/>
      <c r="AL12" s="52" t="str">
        <f ca="1">MID(CELL("filename",C7),FIND("]",CELL("filename",C7))+1,600)</f>
        <v>04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52</v>
      </c>
      <c r="C13" s="46">
        <v>52</v>
      </c>
      <c r="D13" s="46">
        <v>52</v>
      </c>
      <c r="E13" s="46">
        <v>52</v>
      </c>
      <c r="F13" s="46">
        <v>29</v>
      </c>
      <c r="G13" s="46">
        <v>67.8</v>
      </c>
      <c r="H13" s="46">
        <v>64.3</v>
      </c>
      <c r="I13" s="46">
        <v>0</v>
      </c>
      <c r="J13" s="46">
        <v>0</v>
      </c>
      <c r="K13" s="46">
        <v>0</v>
      </c>
      <c r="L13" s="46">
        <v>0</v>
      </c>
      <c r="M13" s="46">
        <v>55</v>
      </c>
      <c r="N13" s="46">
        <v>72.8</v>
      </c>
      <c r="O13" s="46">
        <v>72.8</v>
      </c>
      <c r="P13" s="46">
        <v>72.8</v>
      </c>
      <c r="Q13" s="46">
        <v>72.8</v>
      </c>
      <c r="R13" s="46">
        <v>72.8</v>
      </c>
      <c r="S13" s="46">
        <v>72.8</v>
      </c>
      <c r="T13" s="46">
        <v>72.8</v>
      </c>
      <c r="U13" s="46">
        <v>72.8</v>
      </c>
      <c r="V13" s="46">
        <v>72.8</v>
      </c>
      <c r="W13" s="46">
        <v>72.8</v>
      </c>
      <c r="X13" s="46">
        <v>72.8</v>
      </c>
      <c r="Y13" s="46">
        <v>72.8</v>
      </c>
      <c r="Z13" s="46">
        <v>72.8</v>
      </c>
      <c r="AA13" s="46">
        <v>72.8</v>
      </c>
      <c r="AB13" s="46">
        <v>72.8</v>
      </c>
      <c r="AC13" s="46">
        <v>72.8</v>
      </c>
      <c r="AD13" s="46">
        <v>72.8</v>
      </c>
      <c r="AE13" s="46">
        <v>72.8</v>
      </c>
      <c r="AF13" s="46">
        <v>53.9</v>
      </c>
      <c r="AG13" s="50">
        <v>73</v>
      </c>
      <c r="AH13" s="48">
        <f t="shared" si="2"/>
        <v>72.8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40.700000000000003</v>
      </c>
      <c r="C14" s="46">
        <v>40.700000000000003</v>
      </c>
      <c r="D14" s="46">
        <v>40.700000000000003</v>
      </c>
      <c r="E14" s="46">
        <v>40.700000000000003</v>
      </c>
      <c r="F14" s="46">
        <v>41</v>
      </c>
      <c r="G14" s="46">
        <v>41</v>
      </c>
      <c r="H14" s="46">
        <v>41</v>
      </c>
      <c r="I14" s="46">
        <v>41</v>
      </c>
      <c r="J14" s="46">
        <v>41</v>
      </c>
      <c r="K14" s="46">
        <v>41</v>
      </c>
      <c r="L14" s="46">
        <v>41</v>
      </c>
      <c r="M14" s="46">
        <v>41</v>
      </c>
      <c r="N14" s="46">
        <v>41</v>
      </c>
      <c r="O14" s="46">
        <v>41</v>
      </c>
      <c r="P14" s="46">
        <v>41</v>
      </c>
      <c r="Q14" s="46">
        <v>40.9</v>
      </c>
      <c r="R14" s="46">
        <v>40.9</v>
      </c>
      <c r="S14" s="46">
        <v>40.9</v>
      </c>
      <c r="T14" s="46">
        <v>40.9</v>
      </c>
      <c r="U14" s="46">
        <v>40.9</v>
      </c>
      <c r="V14" s="46">
        <v>40.9</v>
      </c>
      <c r="W14" s="46">
        <v>40.9</v>
      </c>
      <c r="X14" s="46">
        <v>40.9</v>
      </c>
      <c r="Y14" s="46">
        <v>40.9</v>
      </c>
      <c r="Z14" s="46">
        <v>40.9</v>
      </c>
      <c r="AA14" s="46">
        <v>40.9</v>
      </c>
      <c r="AB14" s="46">
        <v>40.9</v>
      </c>
      <c r="AC14" s="46">
        <v>40.9</v>
      </c>
      <c r="AD14" s="46">
        <v>40.9</v>
      </c>
      <c r="AE14" s="46">
        <v>40.9</v>
      </c>
      <c r="AF14" s="46">
        <v>41.1</v>
      </c>
      <c r="AG14" s="50">
        <v>71</v>
      </c>
      <c r="AH14" s="48">
        <f t="shared" si="2"/>
        <v>41.1</v>
      </c>
      <c r="AI14" s="49">
        <f t="shared" si="3"/>
        <v>40.700000000000003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21.6</v>
      </c>
      <c r="C15" s="46">
        <v>21.6</v>
      </c>
      <c r="D15" s="46">
        <v>21.6</v>
      </c>
      <c r="E15" s="46">
        <v>21.6</v>
      </c>
      <c r="F15" s="46">
        <v>25.4</v>
      </c>
      <c r="G15" s="46">
        <v>25.4</v>
      </c>
      <c r="H15" s="46">
        <v>25.4</v>
      </c>
      <c r="I15" s="46">
        <v>25.4</v>
      </c>
      <c r="J15" s="46">
        <v>25.4</v>
      </c>
      <c r="K15" s="46">
        <v>25.4</v>
      </c>
      <c r="L15" s="46">
        <v>25.4</v>
      </c>
      <c r="M15" s="46">
        <v>25.4</v>
      </c>
      <c r="N15" s="46">
        <v>23.5</v>
      </c>
      <c r="O15" s="46">
        <v>23.5</v>
      </c>
      <c r="P15" s="46">
        <v>23.5</v>
      </c>
      <c r="Q15" s="46">
        <v>24.7</v>
      </c>
      <c r="R15" s="46">
        <v>24.7</v>
      </c>
      <c r="S15" s="46">
        <v>24.7</v>
      </c>
      <c r="T15" s="46">
        <v>24.7</v>
      </c>
      <c r="U15" s="46">
        <v>24.7</v>
      </c>
      <c r="V15" s="46">
        <v>24.7</v>
      </c>
      <c r="W15" s="46">
        <v>24.7</v>
      </c>
      <c r="X15" s="46">
        <v>24.7</v>
      </c>
      <c r="Y15" s="46">
        <v>24.7</v>
      </c>
      <c r="Z15" s="46">
        <v>24.7</v>
      </c>
      <c r="AA15" s="46">
        <v>24.7</v>
      </c>
      <c r="AB15" s="46">
        <v>24.7</v>
      </c>
      <c r="AC15" s="46">
        <v>24.7</v>
      </c>
      <c r="AD15" s="46">
        <v>24.7</v>
      </c>
      <c r="AE15" s="46">
        <v>24.7</v>
      </c>
      <c r="AF15" s="46">
        <v>32.5</v>
      </c>
      <c r="AG15" s="50">
        <v>54</v>
      </c>
      <c r="AH15" s="48">
        <f t="shared" si="2"/>
        <v>32.5</v>
      </c>
      <c r="AI15" s="49">
        <f t="shared" si="3"/>
        <v>21.6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27.2</v>
      </c>
      <c r="C16" s="46">
        <v>27.2</v>
      </c>
      <c r="D16" s="46">
        <v>27.2</v>
      </c>
      <c r="E16" s="46">
        <v>27.2</v>
      </c>
      <c r="F16" s="46">
        <v>27.2</v>
      </c>
      <c r="G16" s="46">
        <v>27.2</v>
      </c>
      <c r="H16" s="46">
        <v>27.2</v>
      </c>
      <c r="I16" s="46">
        <v>27.2</v>
      </c>
      <c r="J16" s="46">
        <v>27.2</v>
      </c>
      <c r="K16" s="46">
        <v>27.2</v>
      </c>
      <c r="L16" s="46">
        <v>27.2</v>
      </c>
      <c r="M16" s="46">
        <v>27.2</v>
      </c>
      <c r="N16" s="46">
        <v>27.2</v>
      </c>
      <c r="O16" s="46">
        <v>27.2</v>
      </c>
      <c r="P16" s="46">
        <v>27.2</v>
      </c>
      <c r="Q16" s="46">
        <v>27.2</v>
      </c>
      <c r="R16" s="46">
        <v>27.2</v>
      </c>
      <c r="S16" s="46">
        <v>27.2</v>
      </c>
      <c r="T16" s="46">
        <v>27.2</v>
      </c>
      <c r="U16" s="46">
        <v>27.2</v>
      </c>
      <c r="V16" s="46">
        <v>27.2</v>
      </c>
      <c r="W16" s="46">
        <v>27.2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26.6</v>
      </c>
      <c r="AG16" s="50">
        <v>54</v>
      </c>
      <c r="AH16" s="48">
        <f t="shared" si="2"/>
        <v>27.2</v>
      </c>
      <c r="AI16" s="49">
        <f t="shared" si="3"/>
        <v>26.6</v>
      </c>
      <c r="AK16" s="51"/>
      <c r="AL16" s="54" t="s">
        <v>7</v>
      </c>
      <c r="AM16" s="59">
        <f t="shared" ref="AM16:AR16" si="4">B61</f>
        <v>896.89999999999975</v>
      </c>
      <c r="AN16" s="59">
        <f t="shared" si="4"/>
        <v>896.89999999999975</v>
      </c>
      <c r="AO16" s="59">
        <f t="shared" si="4"/>
        <v>896.89999999999975</v>
      </c>
      <c r="AP16" s="59">
        <f t="shared" si="4"/>
        <v>896.89999999999975</v>
      </c>
      <c r="AQ16" s="59">
        <f t="shared" si="4"/>
        <v>855.19999999999993</v>
      </c>
      <c r="AR16" s="59">
        <f t="shared" si="4"/>
        <v>896.49999999999989</v>
      </c>
      <c r="AS16" s="59">
        <f>I61</f>
        <v>778.69999999999993</v>
      </c>
      <c r="AT16" s="59">
        <f>K61</f>
        <v>828.69999999999993</v>
      </c>
      <c r="AU16" s="59">
        <f t="shared" ref="AU16:BD16" si="5">M61</f>
        <v>894.5999999999998</v>
      </c>
      <c r="AV16" s="59">
        <f t="shared" si="5"/>
        <v>910.49999999999989</v>
      </c>
      <c r="AW16" s="59">
        <f t="shared" si="5"/>
        <v>910.49999999999989</v>
      </c>
      <c r="AX16" s="59">
        <f t="shared" si="5"/>
        <v>912.69999999999982</v>
      </c>
      <c r="AY16" s="59">
        <f t="shared" si="5"/>
        <v>888.43999999999983</v>
      </c>
      <c r="AZ16" s="59">
        <f t="shared" si="5"/>
        <v>888.43999999999983</v>
      </c>
      <c r="BA16" s="59">
        <f t="shared" si="5"/>
        <v>888.43999999999983</v>
      </c>
      <c r="BB16" s="59">
        <f t="shared" si="5"/>
        <v>888.43999999999983</v>
      </c>
      <c r="BC16" s="59">
        <f t="shared" si="5"/>
        <v>888.43999999999983</v>
      </c>
      <c r="BD16" s="59">
        <f t="shared" si="5"/>
        <v>888.43999999999983</v>
      </c>
      <c r="BE16" s="60">
        <f>X61</f>
        <v>888.43999999999983</v>
      </c>
      <c r="BF16" s="60">
        <f>Z61</f>
        <v>888.43999999999983</v>
      </c>
      <c r="BG16" s="60">
        <f>AB61</f>
        <v>883.3399999999998</v>
      </c>
      <c r="BH16" s="60">
        <f>AD61</f>
        <v>880.13999999999976</v>
      </c>
      <c r="BI16" s="60">
        <f>AE61</f>
        <v>880.13999999999976</v>
      </c>
      <c r="BJ16" s="60">
        <f>AF61</f>
        <v>912.89999999999975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39</v>
      </c>
      <c r="C17" s="46">
        <v>39</v>
      </c>
      <c r="D17" s="46">
        <v>39</v>
      </c>
      <c r="E17" s="46">
        <v>39</v>
      </c>
      <c r="F17" s="46">
        <v>40</v>
      </c>
      <c r="G17" s="46">
        <v>40</v>
      </c>
      <c r="H17" s="46">
        <v>40</v>
      </c>
      <c r="I17" s="46">
        <v>40</v>
      </c>
      <c r="J17" s="46">
        <v>40</v>
      </c>
      <c r="K17" s="46">
        <v>40</v>
      </c>
      <c r="L17" s="46">
        <v>40</v>
      </c>
      <c r="M17" s="46">
        <v>40</v>
      </c>
      <c r="N17" s="46">
        <v>47</v>
      </c>
      <c r="O17" s="46">
        <v>47</v>
      </c>
      <c r="P17" s="46">
        <v>47</v>
      </c>
      <c r="Q17" s="46">
        <v>36</v>
      </c>
      <c r="R17" s="46">
        <v>36</v>
      </c>
      <c r="S17" s="46">
        <v>36</v>
      </c>
      <c r="T17" s="46">
        <v>36</v>
      </c>
      <c r="U17" s="46">
        <v>36</v>
      </c>
      <c r="V17" s="46">
        <v>36</v>
      </c>
      <c r="W17" s="46">
        <v>36</v>
      </c>
      <c r="X17" s="46">
        <v>36</v>
      </c>
      <c r="Y17" s="46">
        <v>36</v>
      </c>
      <c r="Z17" s="46">
        <v>36</v>
      </c>
      <c r="AA17" s="46">
        <v>36</v>
      </c>
      <c r="AB17" s="46">
        <v>36</v>
      </c>
      <c r="AC17" s="46">
        <v>36</v>
      </c>
      <c r="AD17" s="46">
        <v>36</v>
      </c>
      <c r="AE17" s="46">
        <v>36</v>
      </c>
      <c r="AF17" s="46">
        <v>40.6</v>
      </c>
      <c r="AG17" s="47">
        <v>52.4</v>
      </c>
      <c r="AH17" s="48">
        <f t="shared" si="2"/>
        <v>47</v>
      </c>
      <c r="AI17" s="49">
        <f t="shared" si="3"/>
        <v>36</v>
      </c>
      <c r="AK17" s="51"/>
      <c r="AL17" s="54" t="s">
        <v>27</v>
      </c>
      <c r="AM17" s="59">
        <f t="shared" ref="AM17:AR17" si="6">B65</f>
        <v>532.79999999999995</v>
      </c>
      <c r="AN17" s="59">
        <f t="shared" si="6"/>
        <v>532.79999999999995</v>
      </c>
      <c r="AO17" s="59">
        <f t="shared" si="6"/>
        <v>532.9</v>
      </c>
      <c r="AP17" s="59">
        <f t="shared" si="6"/>
        <v>532.9</v>
      </c>
      <c r="AQ17" s="59">
        <f t="shared" si="6"/>
        <v>532.9</v>
      </c>
      <c r="AR17" s="59">
        <f t="shared" si="6"/>
        <v>532.9</v>
      </c>
      <c r="AS17" s="59">
        <f>I65</f>
        <v>532.9</v>
      </c>
      <c r="AT17" s="59">
        <f>K65</f>
        <v>532.9</v>
      </c>
      <c r="AU17" s="59">
        <f t="shared" ref="AU17:BD17" si="7">M65</f>
        <v>536.79999999999995</v>
      </c>
      <c r="AV17" s="59">
        <f t="shared" si="7"/>
        <v>536.79999999999995</v>
      </c>
      <c r="AW17" s="59">
        <f t="shared" si="7"/>
        <v>536.79999999999995</v>
      </c>
      <c r="AX17" s="59">
        <f t="shared" si="7"/>
        <v>536.79999999999995</v>
      </c>
      <c r="AY17" s="59">
        <f t="shared" si="7"/>
        <v>536.5</v>
      </c>
      <c r="AZ17" s="59">
        <f t="shared" si="7"/>
        <v>536.5</v>
      </c>
      <c r="BA17" s="59">
        <f t="shared" si="7"/>
        <v>536.5</v>
      </c>
      <c r="BB17" s="59">
        <f t="shared" si="7"/>
        <v>536.5</v>
      </c>
      <c r="BC17" s="59">
        <f t="shared" si="7"/>
        <v>521</v>
      </c>
      <c r="BD17" s="59">
        <f t="shared" si="7"/>
        <v>461</v>
      </c>
      <c r="BE17" s="60">
        <f>X65</f>
        <v>496.1</v>
      </c>
      <c r="BF17" s="60">
        <f>Z65</f>
        <v>496.1</v>
      </c>
      <c r="BG17" s="60">
        <f>AB65</f>
        <v>456.5</v>
      </c>
      <c r="BH17" s="60">
        <f>AD65</f>
        <v>456.5</v>
      </c>
      <c r="BI17" s="60">
        <f>AE65</f>
        <v>456.5</v>
      </c>
      <c r="BJ17" s="60">
        <f>AF65</f>
        <v>536.5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50.4</v>
      </c>
      <c r="Q18" s="46">
        <v>50.4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46">
        <v>50.4</v>
      </c>
      <c r="AB18" s="46">
        <v>50.4</v>
      </c>
      <c r="AC18" s="46">
        <v>50.4</v>
      </c>
      <c r="AD18" s="46">
        <v>50.4</v>
      </c>
      <c r="AE18" s="46">
        <v>50.4</v>
      </c>
      <c r="AF18" s="46">
        <v>50.4</v>
      </c>
      <c r="AG18" s="50">
        <v>50</v>
      </c>
      <c r="AH18" s="48">
        <f t="shared" si="2"/>
        <v>50.4</v>
      </c>
      <c r="AI18" s="49">
        <f t="shared" si="3"/>
        <v>50.4</v>
      </c>
      <c r="AK18" s="51"/>
      <c r="AL18" s="54" t="s">
        <v>29</v>
      </c>
      <c r="AM18" s="59">
        <f t="shared" ref="AM18:AR18" si="8">B79</f>
        <v>412.80000000000007</v>
      </c>
      <c r="AN18" s="59">
        <f t="shared" si="8"/>
        <v>412.80000000000007</v>
      </c>
      <c r="AO18" s="59">
        <f t="shared" si="8"/>
        <v>412.80000000000007</v>
      </c>
      <c r="AP18" s="59">
        <f t="shared" si="8"/>
        <v>410.84000000000009</v>
      </c>
      <c r="AQ18" s="59">
        <f t="shared" si="8"/>
        <v>410.84000000000009</v>
      </c>
      <c r="AR18" s="59">
        <f t="shared" si="8"/>
        <v>402.04000000000008</v>
      </c>
      <c r="AS18" s="59">
        <f>I79</f>
        <v>402.04000000000008</v>
      </c>
      <c r="AT18" s="59">
        <f>K79</f>
        <v>402.04000000000008</v>
      </c>
      <c r="AU18" s="59">
        <f t="shared" ref="AU18:BD18" si="9">M79</f>
        <v>425.94000000000005</v>
      </c>
      <c r="AV18" s="59">
        <f t="shared" si="9"/>
        <v>427.34000000000009</v>
      </c>
      <c r="AW18" s="59">
        <f t="shared" si="9"/>
        <v>428.54000000000008</v>
      </c>
      <c r="AX18" s="59">
        <f t="shared" si="9"/>
        <v>428.54000000000008</v>
      </c>
      <c r="AY18" s="59">
        <f t="shared" si="9"/>
        <v>420.84000000000003</v>
      </c>
      <c r="AZ18" s="59">
        <f t="shared" si="9"/>
        <v>433.84000000000003</v>
      </c>
      <c r="BA18" s="59">
        <f t="shared" si="9"/>
        <v>437.74</v>
      </c>
      <c r="BB18" s="59">
        <f t="shared" si="9"/>
        <v>431.74</v>
      </c>
      <c r="BC18" s="59">
        <f t="shared" si="9"/>
        <v>429.94</v>
      </c>
      <c r="BD18" s="59">
        <f t="shared" si="9"/>
        <v>427.74</v>
      </c>
      <c r="BE18" s="60">
        <f>X79</f>
        <v>409.64000000000004</v>
      </c>
      <c r="BF18" s="60">
        <f>Z79</f>
        <v>411.5</v>
      </c>
      <c r="BG18" s="60">
        <f>AB79</f>
        <v>427.64000000000004</v>
      </c>
      <c r="BH18" s="60">
        <f>AD79</f>
        <v>427.64000000000004</v>
      </c>
      <c r="BI18" s="60">
        <f>AE79</f>
        <v>427.64000000000004</v>
      </c>
      <c r="BJ18" s="60">
        <f>AF79</f>
        <v>368.44000000000005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70.5</v>
      </c>
      <c r="AN19" s="59">
        <f t="shared" si="10"/>
        <v>70.5</v>
      </c>
      <c r="AO19" s="59">
        <f t="shared" si="10"/>
        <v>59.3</v>
      </c>
      <c r="AP19" s="59">
        <f t="shared" si="10"/>
        <v>56.6</v>
      </c>
      <c r="AQ19" s="59">
        <f t="shared" si="10"/>
        <v>54.1</v>
      </c>
      <c r="AR19" s="59">
        <f t="shared" si="10"/>
        <v>65.599999999999994</v>
      </c>
      <c r="AS19" s="59">
        <f>I95</f>
        <v>56.3</v>
      </c>
      <c r="AT19" s="59">
        <f>K95</f>
        <v>108</v>
      </c>
      <c r="AU19" s="59">
        <f t="shared" ref="AU19:BD19" si="11">M95</f>
        <v>103.9</v>
      </c>
      <c r="AV19" s="59">
        <f t="shared" si="11"/>
        <v>63</v>
      </c>
      <c r="AW19" s="59">
        <f t="shared" si="11"/>
        <v>72</v>
      </c>
      <c r="AX19" s="59">
        <f t="shared" si="11"/>
        <v>63.4</v>
      </c>
      <c r="AY19" s="59">
        <f t="shared" si="11"/>
        <v>119</v>
      </c>
      <c r="AZ19" s="59">
        <f t="shared" si="11"/>
        <v>122.7</v>
      </c>
      <c r="BA19" s="59">
        <f t="shared" si="11"/>
        <v>115</v>
      </c>
      <c r="BB19" s="59">
        <f t="shared" si="11"/>
        <v>112.9</v>
      </c>
      <c r="BC19" s="59">
        <f t="shared" si="11"/>
        <v>103.7</v>
      </c>
      <c r="BD19" s="59">
        <f t="shared" si="11"/>
        <v>104.1</v>
      </c>
      <c r="BE19" s="60">
        <f>X95</f>
        <v>66.5</v>
      </c>
      <c r="BF19" s="60">
        <f>Z95</f>
        <v>11.3</v>
      </c>
      <c r="BG19" s="60">
        <f>AB95</f>
        <v>72.099999999999994</v>
      </c>
      <c r="BH19" s="60">
        <f>AD95</f>
        <v>47.4</v>
      </c>
      <c r="BI19" s="60">
        <f>AE95</f>
        <v>47.4</v>
      </c>
      <c r="BJ19" s="60">
        <f>AF95</f>
        <v>98.6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42.4</v>
      </c>
      <c r="C20" s="46">
        <v>42.4</v>
      </c>
      <c r="D20" s="46">
        <v>42.4</v>
      </c>
      <c r="E20" s="46">
        <v>42.4</v>
      </c>
      <c r="F20" s="46">
        <v>36.299999999999997</v>
      </c>
      <c r="G20" s="46">
        <v>36.299999999999997</v>
      </c>
      <c r="H20" s="46">
        <v>36.299999999999997</v>
      </c>
      <c r="I20" s="46">
        <v>36.299999999999997</v>
      </c>
      <c r="J20" s="46">
        <v>36.299999999999997</v>
      </c>
      <c r="K20" s="46">
        <v>36.299999999999997</v>
      </c>
      <c r="L20" s="46">
        <v>36.299999999999997</v>
      </c>
      <c r="M20" s="46">
        <v>36.299999999999997</v>
      </c>
      <c r="N20" s="46">
        <v>31.3</v>
      </c>
      <c r="O20" s="46">
        <v>31.3</v>
      </c>
      <c r="P20" s="46">
        <v>31.3</v>
      </c>
      <c r="Q20" s="46">
        <v>30.9</v>
      </c>
      <c r="R20" s="46">
        <v>30.9</v>
      </c>
      <c r="S20" s="46">
        <v>30.9</v>
      </c>
      <c r="T20" s="46">
        <v>30.9</v>
      </c>
      <c r="U20" s="46">
        <v>30.9</v>
      </c>
      <c r="V20" s="46">
        <v>30.9</v>
      </c>
      <c r="W20" s="46">
        <v>30.9</v>
      </c>
      <c r="X20" s="46">
        <v>30.9</v>
      </c>
      <c r="Y20" s="46">
        <v>30.9</v>
      </c>
      <c r="Z20" s="46">
        <v>30.9</v>
      </c>
      <c r="AA20" s="46">
        <v>30.9</v>
      </c>
      <c r="AB20" s="46">
        <v>30.9</v>
      </c>
      <c r="AC20" s="46">
        <v>30.9</v>
      </c>
      <c r="AD20" s="46">
        <v>30.9</v>
      </c>
      <c r="AE20" s="46">
        <v>30.9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30.9</v>
      </c>
      <c r="AK20" s="51"/>
      <c r="AL20" s="54" t="s">
        <v>33</v>
      </c>
      <c r="AM20" s="59">
        <f t="shared" ref="AM20:AR20" si="12">B83</f>
        <v>21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25.2</v>
      </c>
      <c r="AT20" s="59">
        <f>K83</f>
        <v>0</v>
      </c>
      <c r="AU20" s="59">
        <f t="shared" ref="AU20:BD20" si="13">M83</f>
        <v>15.3</v>
      </c>
      <c r="AV20" s="59">
        <f t="shared" si="13"/>
        <v>32.6</v>
      </c>
      <c r="AW20" s="59">
        <f t="shared" si="13"/>
        <v>32.6</v>
      </c>
      <c r="AX20" s="59">
        <f t="shared" si="13"/>
        <v>41.3</v>
      </c>
      <c r="AY20" s="59">
        <f t="shared" si="13"/>
        <v>41.300000000000004</v>
      </c>
      <c r="AZ20" s="59">
        <f t="shared" si="13"/>
        <v>41.300000000000004</v>
      </c>
      <c r="BA20" s="59">
        <f t="shared" si="13"/>
        <v>41.300000000000004</v>
      </c>
      <c r="BB20" s="59">
        <f t="shared" si="13"/>
        <v>41.300000000000004</v>
      </c>
      <c r="BC20" s="59">
        <f t="shared" si="13"/>
        <v>27.400000000000002</v>
      </c>
      <c r="BD20" s="59">
        <f t="shared" si="13"/>
        <v>32.800000000000004</v>
      </c>
      <c r="BE20" s="60">
        <f>X83</f>
        <v>26.299999999999997</v>
      </c>
      <c r="BF20" s="60">
        <f>Z83</f>
        <v>0</v>
      </c>
      <c r="BG20" s="60">
        <f>AB83</f>
        <v>24.9</v>
      </c>
      <c r="BH20" s="60">
        <f>AD83</f>
        <v>22.099999999999998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100</v>
      </c>
      <c r="AN21" s="59">
        <f t="shared" si="14"/>
        <v>100</v>
      </c>
      <c r="AO21" s="59">
        <f t="shared" si="14"/>
        <v>100</v>
      </c>
      <c r="AP21" s="59">
        <f t="shared" si="14"/>
        <v>80</v>
      </c>
      <c r="AQ21" s="59">
        <f t="shared" si="14"/>
        <v>80</v>
      </c>
      <c r="AR21" s="59">
        <f t="shared" si="14"/>
        <v>70</v>
      </c>
      <c r="AS21" s="59">
        <f>I101</f>
        <v>150</v>
      </c>
      <c r="AT21" s="59">
        <f>K101</f>
        <v>150</v>
      </c>
      <c r="AU21" s="59">
        <f t="shared" ref="AU21:BD21" si="15">M101</f>
        <v>150</v>
      </c>
      <c r="AV21" s="59">
        <f t="shared" si="15"/>
        <v>100</v>
      </c>
      <c r="AW21" s="59">
        <f t="shared" si="15"/>
        <v>100</v>
      </c>
      <c r="AX21" s="59">
        <f t="shared" si="15"/>
        <v>200</v>
      </c>
      <c r="AY21" s="59">
        <f t="shared" si="15"/>
        <v>150</v>
      </c>
      <c r="AZ21" s="59">
        <f t="shared" si="15"/>
        <v>150</v>
      </c>
      <c r="BA21" s="59">
        <f t="shared" si="15"/>
        <v>150</v>
      </c>
      <c r="BB21" s="59">
        <f t="shared" si="15"/>
        <v>150</v>
      </c>
      <c r="BC21" s="59">
        <f t="shared" si="15"/>
        <v>150</v>
      </c>
      <c r="BD21" s="59">
        <f t="shared" si="15"/>
        <v>150</v>
      </c>
      <c r="BE21" s="60">
        <f>X101</f>
        <v>150</v>
      </c>
      <c r="BF21" s="60">
        <f>Z101</f>
        <v>150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39</v>
      </c>
      <c r="C22" s="46">
        <v>39</v>
      </c>
      <c r="D22" s="46">
        <v>39</v>
      </c>
      <c r="E22" s="46">
        <v>39</v>
      </c>
      <c r="F22" s="46">
        <v>39</v>
      </c>
      <c r="G22" s="46">
        <v>39</v>
      </c>
      <c r="H22" s="46">
        <v>39</v>
      </c>
      <c r="I22" s="46">
        <v>39</v>
      </c>
      <c r="J22" s="46">
        <v>39</v>
      </c>
      <c r="K22" s="46">
        <v>39</v>
      </c>
      <c r="L22" s="46">
        <v>39</v>
      </c>
      <c r="M22" s="46">
        <v>39</v>
      </c>
      <c r="N22" s="46">
        <v>37.6</v>
      </c>
      <c r="O22" s="46">
        <v>37.6</v>
      </c>
      <c r="P22" s="46">
        <v>37.6</v>
      </c>
      <c r="Q22" s="46">
        <v>34.54</v>
      </c>
      <c r="R22" s="46">
        <v>34.54</v>
      </c>
      <c r="S22" s="46">
        <v>34.54</v>
      </c>
      <c r="T22" s="46">
        <v>34.54</v>
      </c>
      <c r="U22" s="46">
        <v>34.54</v>
      </c>
      <c r="V22" s="46">
        <v>34.54</v>
      </c>
      <c r="W22" s="46">
        <v>34.54</v>
      </c>
      <c r="X22" s="46">
        <v>34.54</v>
      </c>
      <c r="Y22" s="46">
        <v>34.54</v>
      </c>
      <c r="Z22" s="46">
        <v>34.54</v>
      </c>
      <c r="AA22" s="46">
        <v>34.54</v>
      </c>
      <c r="AB22" s="46">
        <v>34.54</v>
      </c>
      <c r="AC22" s="46">
        <v>34.54</v>
      </c>
      <c r="AD22" s="46">
        <v>34.54</v>
      </c>
      <c r="AE22" s="46">
        <v>34.54</v>
      </c>
      <c r="AF22" s="46">
        <v>40</v>
      </c>
      <c r="AG22" s="50">
        <v>38.46</v>
      </c>
      <c r="AH22" s="48">
        <f t="shared" si="2"/>
        <v>40</v>
      </c>
      <c r="AI22" s="49">
        <f t="shared" si="3"/>
        <v>34.54</v>
      </c>
      <c r="AK22" s="51"/>
      <c r="AL22" s="62" t="s">
        <v>37</v>
      </c>
      <c r="AM22" s="63">
        <f t="shared" ref="AM22:BJ22" si="16">SUM(AM16:AM21)</f>
        <v>2034</v>
      </c>
      <c r="AN22" s="63">
        <f t="shared" si="16"/>
        <v>2013</v>
      </c>
      <c r="AO22" s="63">
        <f t="shared" si="16"/>
        <v>2001.8999999999999</v>
      </c>
      <c r="AP22" s="63">
        <f t="shared" si="16"/>
        <v>1977.2399999999998</v>
      </c>
      <c r="AQ22" s="63">
        <f t="shared" si="16"/>
        <v>1933.04</v>
      </c>
      <c r="AR22" s="63">
        <f t="shared" si="16"/>
        <v>1967.04</v>
      </c>
      <c r="AS22" s="63">
        <f t="shared" si="16"/>
        <v>1945.1399999999999</v>
      </c>
      <c r="AT22" s="63">
        <f t="shared" si="16"/>
        <v>2021.6399999999999</v>
      </c>
      <c r="AU22" s="63">
        <f t="shared" si="16"/>
        <v>2126.54</v>
      </c>
      <c r="AV22" s="63">
        <f t="shared" si="16"/>
        <v>2070.2399999999998</v>
      </c>
      <c r="AW22" s="63">
        <f t="shared" si="16"/>
        <v>2080.4399999999996</v>
      </c>
      <c r="AX22" s="63">
        <f t="shared" si="16"/>
        <v>2182.7399999999998</v>
      </c>
      <c r="AY22" s="63">
        <f t="shared" si="16"/>
        <v>2156.08</v>
      </c>
      <c r="AZ22" s="63">
        <f t="shared" si="16"/>
        <v>2172.7799999999997</v>
      </c>
      <c r="BA22" s="63">
        <f t="shared" si="16"/>
        <v>2168.9799999999996</v>
      </c>
      <c r="BB22" s="63">
        <f t="shared" si="16"/>
        <v>2160.88</v>
      </c>
      <c r="BC22" s="63">
        <f t="shared" si="16"/>
        <v>2120.48</v>
      </c>
      <c r="BD22" s="63">
        <f t="shared" si="16"/>
        <v>2064.08</v>
      </c>
      <c r="BE22" s="63">
        <f t="shared" si="16"/>
        <v>2036.98</v>
      </c>
      <c r="BF22" s="63">
        <f t="shared" si="16"/>
        <v>1957.34</v>
      </c>
      <c r="BG22" s="63">
        <f t="shared" si="16"/>
        <v>1864.4799999999998</v>
      </c>
      <c r="BH22" s="63">
        <f t="shared" si="16"/>
        <v>1833.78</v>
      </c>
      <c r="BI22" s="63">
        <f t="shared" si="16"/>
        <v>1811.68</v>
      </c>
      <c r="BJ22" s="63">
        <f t="shared" si="16"/>
        <v>1916.4399999999996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>
        <v>22</v>
      </c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>
        <v>22</v>
      </c>
      <c r="AF23" s="46">
        <v>22</v>
      </c>
      <c r="AG23" s="50">
        <v>38.46</v>
      </c>
      <c r="AH23" s="48">
        <f t="shared" si="2"/>
        <v>22</v>
      </c>
      <c r="AI23" s="49">
        <f t="shared" si="3"/>
        <v>22</v>
      </c>
      <c r="AK23" s="51"/>
      <c r="AL23" s="62" t="s">
        <v>39</v>
      </c>
      <c r="AM23" s="63">
        <f t="shared" ref="AM23:AR23" si="17">B110*-1</f>
        <v>-377.4</v>
      </c>
      <c r="AN23" s="63">
        <f t="shared" si="17"/>
        <v>-377.4</v>
      </c>
      <c r="AO23" s="63">
        <f t="shared" si="17"/>
        <v>-419.7</v>
      </c>
      <c r="AP23" s="63">
        <f t="shared" si="17"/>
        <v>-449</v>
      </c>
      <c r="AQ23" s="63">
        <f t="shared" si="17"/>
        <v>-445</v>
      </c>
      <c r="AR23" s="63">
        <f t="shared" si="17"/>
        <v>-477</v>
      </c>
      <c r="AS23" s="63">
        <f>I110*-1</f>
        <v>-422.3</v>
      </c>
      <c r="AT23" s="63">
        <f>K110*-1</f>
        <v>-294</v>
      </c>
      <c r="AU23" s="63">
        <f t="shared" ref="AU23:BD23" si="18">M110*-1</f>
        <v>-370.9</v>
      </c>
      <c r="AV23" s="63">
        <f t="shared" si="18"/>
        <v>-331.3</v>
      </c>
      <c r="AW23" s="63">
        <f t="shared" si="18"/>
        <v>-303</v>
      </c>
      <c r="AX23" s="63">
        <f t="shared" si="18"/>
        <v>-330</v>
      </c>
      <c r="AY23" s="63">
        <f t="shared" si="18"/>
        <v>-298</v>
      </c>
      <c r="AZ23" s="63">
        <f t="shared" si="18"/>
        <v>-284</v>
      </c>
      <c r="BA23" s="63">
        <f t="shared" si="18"/>
        <v>-231.3</v>
      </c>
      <c r="BB23" s="63">
        <f t="shared" si="18"/>
        <v>-300</v>
      </c>
      <c r="BC23" s="63">
        <f t="shared" si="18"/>
        <v>-311</v>
      </c>
      <c r="BD23" s="63">
        <f t="shared" si="18"/>
        <v>-348</v>
      </c>
      <c r="BE23" s="63">
        <f>X110*-1</f>
        <v>-381</v>
      </c>
      <c r="BF23" s="63">
        <f>Z110*-1</f>
        <v>-272</v>
      </c>
      <c r="BG23" s="63">
        <f>AB110*-1</f>
        <v>-314.39999999999998</v>
      </c>
      <c r="BH23" s="63">
        <f>AD110*-1</f>
        <v>-307.7</v>
      </c>
      <c r="BI23" s="63">
        <f>AE110*-1</f>
        <v>-307.7</v>
      </c>
      <c r="BJ23" s="63">
        <f>AF110*-1</f>
        <v>-450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31</v>
      </c>
      <c r="C24" s="46">
        <v>31</v>
      </c>
      <c r="D24" s="46">
        <v>31</v>
      </c>
      <c r="E24" s="46">
        <v>31</v>
      </c>
      <c r="F24" s="46">
        <v>31</v>
      </c>
      <c r="G24" s="46">
        <v>31</v>
      </c>
      <c r="H24" s="46">
        <v>31</v>
      </c>
      <c r="I24" s="46">
        <v>31</v>
      </c>
      <c r="J24" s="46">
        <v>31</v>
      </c>
      <c r="K24" s="46">
        <v>31</v>
      </c>
      <c r="L24" s="46">
        <v>31</v>
      </c>
      <c r="M24" s="46">
        <v>31</v>
      </c>
      <c r="N24" s="46">
        <v>31</v>
      </c>
      <c r="O24" s="46">
        <v>31</v>
      </c>
      <c r="P24" s="46">
        <v>31</v>
      </c>
      <c r="Q24" s="46">
        <v>31</v>
      </c>
      <c r="R24" s="46">
        <v>31</v>
      </c>
      <c r="S24" s="46">
        <v>31</v>
      </c>
      <c r="T24" s="46">
        <v>31</v>
      </c>
      <c r="U24" s="46">
        <v>31</v>
      </c>
      <c r="V24" s="46">
        <v>31</v>
      </c>
      <c r="W24" s="46">
        <v>31</v>
      </c>
      <c r="X24" s="46">
        <v>31</v>
      </c>
      <c r="Y24" s="46">
        <v>31</v>
      </c>
      <c r="Z24" s="46">
        <v>31</v>
      </c>
      <c r="AA24" s="46">
        <v>31</v>
      </c>
      <c r="AB24" s="46">
        <v>31</v>
      </c>
      <c r="AC24" s="46">
        <v>31</v>
      </c>
      <c r="AD24" s="46">
        <v>31</v>
      </c>
      <c r="AE24" s="46">
        <v>31</v>
      </c>
      <c r="AF24" s="46">
        <v>31</v>
      </c>
      <c r="AG24" s="50">
        <v>36</v>
      </c>
      <c r="AH24" s="48">
        <f t="shared" si="2"/>
        <v>31</v>
      </c>
      <c r="AI24" s="49">
        <f t="shared" si="3"/>
        <v>31</v>
      </c>
      <c r="AK24" s="51"/>
      <c r="AL24" s="62" t="s">
        <v>41</v>
      </c>
      <c r="AM24" s="63">
        <f t="shared" ref="AM24:BJ24" si="19">AM22+AM23</f>
        <v>1656.6</v>
      </c>
      <c r="AN24" s="63">
        <f t="shared" si="19"/>
        <v>1635.6</v>
      </c>
      <c r="AO24" s="63">
        <f t="shared" si="19"/>
        <v>1582.1999999999998</v>
      </c>
      <c r="AP24" s="63">
        <f t="shared" si="19"/>
        <v>1528.2399999999998</v>
      </c>
      <c r="AQ24" s="63">
        <f t="shared" si="19"/>
        <v>1488.04</v>
      </c>
      <c r="AR24" s="63">
        <f t="shared" si="19"/>
        <v>1490.04</v>
      </c>
      <c r="AS24" s="63">
        <f t="shared" si="19"/>
        <v>1522.84</v>
      </c>
      <c r="AT24" s="63">
        <f t="shared" si="19"/>
        <v>1727.6399999999999</v>
      </c>
      <c r="AU24" s="63">
        <f t="shared" si="19"/>
        <v>1755.6399999999999</v>
      </c>
      <c r="AV24" s="63">
        <f t="shared" si="19"/>
        <v>1738.9399999999998</v>
      </c>
      <c r="AW24" s="63">
        <f t="shared" si="19"/>
        <v>1777.4399999999996</v>
      </c>
      <c r="AX24" s="63">
        <f t="shared" si="19"/>
        <v>1852.7399999999998</v>
      </c>
      <c r="AY24" s="63">
        <f t="shared" si="19"/>
        <v>1858.08</v>
      </c>
      <c r="AZ24" s="63">
        <f t="shared" si="19"/>
        <v>1888.7799999999997</v>
      </c>
      <c r="BA24" s="63">
        <f t="shared" si="19"/>
        <v>1937.6799999999996</v>
      </c>
      <c r="BB24" s="63">
        <f t="shared" si="19"/>
        <v>1860.88</v>
      </c>
      <c r="BC24" s="63">
        <f t="shared" si="19"/>
        <v>1809.48</v>
      </c>
      <c r="BD24" s="63">
        <f t="shared" si="19"/>
        <v>1716.08</v>
      </c>
      <c r="BE24" s="63">
        <f t="shared" si="19"/>
        <v>1655.98</v>
      </c>
      <c r="BF24" s="63">
        <f t="shared" si="19"/>
        <v>1685.34</v>
      </c>
      <c r="BG24" s="63">
        <f t="shared" si="19"/>
        <v>1550.08</v>
      </c>
      <c r="BH24" s="63">
        <f t="shared" si="19"/>
        <v>1526.08</v>
      </c>
      <c r="BI24" s="63">
        <f t="shared" si="19"/>
        <v>1503.98</v>
      </c>
      <c r="BJ24" s="63">
        <f t="shared" si="19"/>
        <v>1466.4399999999996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19</v>
      </c>
      <c r="C25" s="46">
        <v>19</v>
      </c>
      <c r="D25" s="46">
        <v>19</v>
      </c>
      <c r="E25" s="46">
        <v>19</v>
      </c>
      <c r="F25" s="46">
        <v>14.8</v>
      </c>
      <c r="G25" s="46">
        <v>14.8</v>
      </c>
      <c r="H25" s="46">
        <v>14.8</v>
      </c>
      <c r="I25" s="46">
        <v>14.8</v>
      </c>
      <c r="J25" s="46">
        <v>14.8</v>
      </c>
      <c r="K25" s="46">
        <v>14.8</v>
      </c>
      <c r="L25" s="46">
        <v>14.8</v>
      </c>
      <c r="M25" s="46">
        <v>14.8</v>
      </c>
      <c r="N25" s="46">
        <v>14.2</v>
      </c>
      <c r="O25" s="46">
        <v>14.2</v>
      </c>
      <c r="P25" s="46">
        <v>14.2</v>
      </c>
      <c r="Q25" s="46">
        <v>14.2</v>
      </c>
      <c r="R25" s="46">
        <v>14.2</v>
      </c>
      <c r="S25" s="46">
        <v>14.2</v>
      </c>
      <c r="T25" s="46">
        <v>14.2</v>
      </c>
      <c r="U25" s="46">
        <v>14.2</v>
      </c>
      <c r="V25" s="46">
        <v>14.2</v>
      </c>
      <c r="W25" s="46">
        <v>14.2</v>
      </c>
      <c r="X25" s="46">
        <v>14.2</v>
      </c>
      <c r="Y25" s="46">
        <v>14.2</v>
      </c>
      <c r="Z25" s="46">
        <v>14.2</v>
      </c>
      <c r="AA25" s="46">
        <v>14.2</v>
      </c>
      <c r="AB25" s="46">
        <v>14.2</v>
      </c>
      <c r="AC25" s="46">
        <v>14.2</v>
      </c>
      <c r="AD25" s="46">
        <v>14.2</v>
      </c>
      <c r="AE25" s="46">
        <v>14.2</v>
      </c>
      <c r="AF25" s="46">
        <v>15</v>
      </c>
      <c r="AG25" s="61">
        <v>30</v>
      </c>
      <c r="AH25" s="48">
        <f t="shared" si="2"/>
        <v>19</v>
      </c>
      <c r="AI25" s="49">
        <f t="shared" si="3"/>
        <v>14.2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18</v>
      </c>
      <c r="C26" s="46">
        <v>18</v>
      </c>
      <c r="D26" s="46">
        <v>18</v>
      </c>
      <c r="E26" s="46">
        <v>18</v>
      </c>
      <c r="F26" s="46">
        <v>19</v>
      </c>
      <c r="G26" s="46">
        <v>19</v>
      </c>
      <c r="H26" s="46">
        <v>19</v>
      </c>
      <c r="I26" s="46">
        <v>19</v>
      </c>
      <c r="J26" s="46">
        <v>19</v>
      </c>
      <c r="K26" s="46">
        <v>19</v>
      </c>
      <c r="L26" s="46">
        <v>19</v>
      </c>
      <c r="M26" s="46">
        <v>19</v>
      </c>
      <c r="N26" s="46">
        <v>19</v>
      </c>
      <c r="O26" s="46">
        <v>19</v>
      </c>
      <c r="P26" s="46">
        <v>19</v>
      </c>
      <c r="Q26" s="46">
        <v>19</v>
      </c>
      <c r="R26" s="46">
        <v>19</v>
      </c>
      <c r="S26" s="46">
        <v>19</v>
      </c>
      <c r="T26" s="46">
        <v>19</v>
      </c>
      <c r="U26" s="46">
        <v>19</v>
      </c>
      <c r="V26" s="46">
        <v>19</v>
      </c>
      <c r="W26" s="46">
        <v>19</v>
      </c>
      <c r="X26" s="46">
        <v>19</v>
      </c>
      <c r="Y26" s="46">
        <v>19</v>
      </c>
      <c r="Z26" s="46">
        <v>19</v>
      </c>
      <c r="AA26" s="46">
        <v>19</v>
      </c>
      <c r="AB26" s="46">
        <v>19</v>
      </c>
      <c r="AC26" s="46">
        <v>19</v>
      </c>
      <c r="AD26" s="46">
        <v>19</v>
      </c>
      <c r="AE26" s="46">
        <v>19</v>
      </c>
      <c r="AF26" s="46">
        <v>19</v>
      </c>
      <c r="AG26" s="50">
        <v>24.2</v>
      </c>
      <c r="AH26" s="48">
        <f t="shared" si="2"/>
        <v>19</v>
      </c>
      <c r="AI26" s="49">
        <f t="shared" si="3"/>
        <v>18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19.8</v>
      </c>
      <c r="C27" s="46">
        <v>19.8</v>
      </c>
      <c r="D27" s="46">
        <v>19.8</v>
      </c>
      <c r="E27" s="46">
        <v>19.8</v>
      </c>
      <c r="F27" s="46">
        <v>19.8</v>
      </c>
      <c r="G27" s="46">
        <v>19.8</v>
      </c>
      <c r="H27" s="46">
        <v>19.8</v>
      </c>
      <c r="I27" s="46">
        <v>19.8</v>
      </c>
      <c r="J27" s="46">
        <v>19.8</v>
      </c>
      <c r="K27" s="46">
        <v>19.8</v>
      </c>
      <c r="L27" s="46">
        <v>19.8</v>
      </c>
      <c r="M27" s="46">
        <v>19.8</v>
      </c>
      <c r="N27" s="46">
        <v>19.8</v>
      </c>
      <c r="O27" s="46">
        <v>19.8</v>
      </c>
      <c r="P27" s="46">
        <v>19.8</v>
      </c>
      <c r="Q27" s="46">
        <v>19.8</v>
      </c>
      <c r="R27" s="46">
        <v>19.8</v>
      </c>
      <c r="S27" s="46">
        <v>19.8</v>
      </c>
      <c r="T27" s="46">
        <v>19.8</v>
      </c>
      <c r="U27" s="46">
        <v>19.8</v>
      </c>
      <c r="V27" s="46">
        <v>19.8</v>
      </c>
      <c r="W27" s="46">
        <v>19.8</v>
      </c>
      <c r="X27" s="46">
        <v>19.8</v>
      </c>
      <c r="Y27" s="46">
        <v>19.8</v>
      </c>
      <c r="Z27" s="46">
        <v>19.8</v>
      </c>
      <c r="AA27" s="46">
        <v>19.8</v>
      </c>
      <c r="AB27" s="46">
        <v>19.8</v>
      </c>
      <c r="AC27" s="46">
        <v>19.8</v>
      </c>
      <c r="AD27" s="46">
        <v>19.8</v>
      </c>
      <c r="AE27" s="46">
        <v>19.8</v>
      </c>
      <c r="AF27" s="46">
        <v>19.8</v>
      </c>
      <c r="AG27" s="50">
        <v>28</v>
      </c>
      <c r="AH27" s="48">
        <f t="shared" si="2"/>
        <v>19.8</v>
      </c>
      <c r="AI27" s="49">
        <f t="shared" si="3"/>
        <v>19.8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16.399999999999999</v>
      </c>
      <c r="C28" s="46">
        <v>16.399999999999999</v>
      </c>
      <c r="D28" s="46">
        <v>16.399999999999999</v>
      </c>
      <c r="E28" s="46">
        <v>16.399999999999999</v>
      </c>
      <c r="F28" s="46">
        <v>16.399999999999999</v>
      </c>
      <c r="G28" s="46">
        <v>16.399999999999999</v>
      </c>
      <c r="H28" s="46">
        <v>16.399999999999999</v>
      </c>
      <c r="I28" s="46">
        <v>16.399999999999999</v>
      </c>
      <c r="J28" s="46">
        <v>16.399999999999999</v>
      </c>
      <c r="K28" s="46">
        <v>16.399999999999999</v>
      </c>
      <c r="L28" s="46">
        <v>16.399999999999999</v>
      </c>
      <c r="M28" s="46">
        <v>16.399999999999999</v>
      </c>
      <c r="N28" s="46">
        <v>16.399999999999999</v>
      </c>
      <c r="O28" s="46">
        <v>16.399999999999999</v>
      </c>
      <c r="P28" s="46">
        <v>16.399999999999999</v>
      </c>
      <c r="Q28" s="46">
        <v>16.399999999999999</v>
      </c>
      <c r="R28" s="46">
        <v>16.399999999999999</v>
      </c>
      <c r="S28" s="46">
        <v>16.399999999999999</v>
      </c>
      <c r="T28" s="46">
        <v>16.399999999999999</v>
      </c>
      <c r="U28" s="46">
        <v>16.399999999999999</v>
      </c>
      <c r="V28" s="46">
        <v>16.399999999999999</v>
      </c>
      <c r="W28" s="46">
        <v>16.399999999999999</v>
      </c>
      <c r="X28" s="46">
        <v>16.399999999999999</v>
      </c>
      <c r="Y28" s="46">
        <v>16.399999999999999</v>
      </c>
      <c r="Z28" s="46">
        <v>16.399999999999999</v>
      </c>
      <c r="AA28" s="46">
        <v>16.399999999999999</v>
      </c>
      <c r="AB28" s="46">
        <v>16.399999999999999</v>
      </c>
      <c r="AC28" s="46">
        <v>16.399999999999999</v>
      </c>
      <c r="AD28" s="46">
        <v>16.399999999999999</v>
      </c>
      <c r="AE28" s="46">
        <v>16.399999999999999</v>
      </c>
      <c r="AF28" s="46">
        <v>16.399999999999999</v>
      </c>
      <c r="AG28" s="61">
        <v>30</v>
      </c>
      <c r="AH28" s="48">
        <f t="shared" si="2"/>
        <v>16.399999999999999</v>
      </c>
      <c r="AI28" s="49">
        <f t="shared" si="3"/>
        <v>16.399999999999999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20</v>
      </c>
      <c r="C29" s="46">
        <v>20</v>
      </c>
      <c r="D29" s="46">
        <v>20</v>
      </c>
      <c r="E29" s="46">
        <v>20</v>
      </c>
      <c r="F29" s="46">
        <v>20</v>
      </c>
      <c r="G29" s="46">
        <v>20</v>
      </c>
      <c r="H29" s="46">
        <v>20</v>
      </c>
      <c r="I29" s="46">
        <v>20</v>
      </c>
      <c r="J29" s="46">
        <v>20</v>
      </c>
      <c r="K29" s="46">
        <v>20</v>
      </c>
      <c r="L29" s="46">
        <v>20</v>
      </c>
      <c r="M29" s="46">
        <v>20</v>
      </c>
      <c r="N29" s="46">
        <v>20</v>
      </c>
      <c r="O29" s="46">
        <v>20</v>
      </c>
      <c r="P29" s="46">
        <v>20</v>
      </c>
      <c r="Q29" s="46">
        <v>20</v>
      </c>
      <c r="R29" s="46">
        <v>20</v>
      </c>
      <c r="S29" s="46">
        <v>20</v>
      </c>
      <c r="T29" s="46">
        <v>20</v>
      </c>
      <c r="U29" s="46">
        <v>20</v>
      </c>
      <c r="V29" s="46">
        <v>20</v>
      </c>
      <c r="W29" s="46">
        <v>20</v>
      </c>
      <c r="X29" s="46">
        <v>20</v>
      </c>
      <c r="Y29" s="46">
        <v>20</v>
      </c>
      <c r="Z29" s="46">
        <v>20</v>
      </c>
      <c r="AA29" s="46">
        <v>20</v>
      </c>
      <c r="AB29" s="46">
        <v>20</v>
      </c>
      <c r="AC29" s="46">
        <v>20</v>
      </c>
      <c r="AD29" s="46">
        <v>20</v>
      </c>
      <c r="AE29" s="46">
        <v>20</v>
      </c>
      <c r="AF29" s="46">
        <v>20</v>
      </c>
      <c r="AG29" s="50">
        <v>25</v>
      </c>
      <c r="AH29" s="48">
        <f t="shared" si="2"/>
        <v>20</v>
      </c>
      <c r="AI29" s="49">
        <f t="shared" si="3"/>
        <v>20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18.899999999999999</v>
      </c>
      <c r="C32" s="46">
        <v>18.899999999999999</v>
      </c>
      <c r="D32" s="46">
        <v>18.899999999999999</v>
      </c>
      <c r="E32" s="46">
        <v>18.899999999999999</v>
      </c>
      <c r="F32" s="46">
        <v>18.899999999999999</v>
      </c>
      <c r="G32" s="46">
        <v>18.899999999999999</v>
      </c>
      <c r="H32" s="46">
        <v>18.899999999999999</v>
      </c>
      <c r="I32" s="46">
        <v>18.899999999999999</v>
      </c>
      <c r="J32" s="46">
        <v>18.899999999999999</v>
      </c>
      <c r="K32" s="46">
        <v>18.899999999999999</v>
      </c>
      <c r="L32" s="46">
        <v>18.899999999999999</v>
      </c>
      <c r="M32" s="46">
        <v>18.899999999999999</v>
      </c>
      <c r="N32" s="46">
        <v>18.899999999999999</v>
      </c>
      <c r="O32" s="46">
        <v>18.899999999999999</v>
      </c>
      <c r="P32" s="46">
        <v>18.899999999999999</v>
      </c>
      <c r="Q32" s="46">
        <v>18.899999999999999</v>
      </c>
      <c r="R32" s="46">
        <v>18.899999999999999</v>
      </c>
      <c r="S32" s="46">
        <v>18.899999999999999</v>
      </c>
      <c r="T32" s="46">
        <v>18.899999999999999</v>
      </c>
      <c r="U32" s="46">
        <v>18.899999999999999</v>
      </c>
      <c r="V32" s="46">
        <v>18.899999999999999</v>
      </c>
      <c r="W32" s="46">
        <v>18.899999999999999</v>
      </c>
      <c r="X32" s="46">
        <v>18.899999999999999</v>
      </c>
      <c r="Y32" s="46">
        <v>18.899999999999999</v>
      </c>
      <c r="Z32" s="46">
        <v>18.899999999999999</v>
      </c>
      <c r="AA32" s="46">
        <v>18.899999999999999</v>
      </c>
      <c r="AB32" s="46">
        <v>18.899999999999999</v>
      </c>
      <c r="AC32" s="46">
        <v>18.899999999999999</v>
      </c>
      <c r="AD32" s="46">
        <v>18.899999999999999</v>
      </c>
      <c r="AE32" s="46">
        <v>18.899999999999999</v>
      </c>
      <c r="AF32" s="46">
        <v>18.899999999999999</v>
      </c>
      <c r="AG32" s="50">
        <v>25</v>
      </c>
      <c r="AH32" s="48">
        <f t="shared" si="2"/>
        <v>18.899999999999999</v>
      </c>
      <c r="AI32" s="49">
        <f t="shared" si="3"/>
        <v>18.899999999999999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12.4</v>
      </c>
      <c r="C33" s="46">
        <v>12.4</v>
      </c>
      <c r="D33" s="46">
        <v>12.4</v>
      </c>
      <c r="E33" s="46">
        <v>12.4</v>
      </c>
      <c r="F33" s="46">
        <v>12.4</v>
      </c>
      <c r="G33" s="46">
        <v>12.4</v>
      </c>
      <c r="H33" s="46">
        <v>12.4</v>
      </c>
      <c r="I33" s="46">
        <v>12.4</v>
      </c>
      <c r="J33" s="46">
        <v>12.4</v>
      </c>
      <c r="K33" s="46">
        <v>12.4</v>
      </c>
      <c r="L33" s="46">
        <v>12.4</v>
      </c>
      <c r="M33" s="46">
        <v>12.4</v>
      </c>
      <c r="N33" s="46">
        <v>12.4</v>
      </c>
      <c r="O33" s="46">
        <v>12.4</v>
      </c>
      <c r="P33" s="46">
        <v>12.4</v>
      </c>
      <c r="Q33" s="46">
        <v>12.4</v>
      </c>
      <c r="R33" s="46">
        <v>12.4</v>
      </c>
      <c r="S33" s="46">
        <v>12.4</v>
      </c>
      <c r="T33" s="46">
        <v>12.4</v>
      </c>
      <c r="U33" s="46">
        <v>12.4</v>
      </c>
      <c r="V33" s="46">
        <v>12.4</v>
      </c>
      <c r="W33" s="46">
        <v>12.4</v>
      </c>
      <c r="X33" s="46">
        <v>12.4</v>
      </c>
      <c r="Y33" s="46">
        <v>12.4</v>
      </c>
      <c r="Z33" s="46">
        <v>12.4</v>
      </c>
      <c r="AA33" s="46">
        <v>12.4</v>
      </c>
      <c r="AB33" s="46">
        <v>12.4</v>
      </c>
      <c r="AC33" s="46">
        <v>12.4</v>
      </c>
      <c r="AD33" s="46">
        <v>12.4</v>
      </c>
      <c r="AE33" s="46">
        <v>12.4</v>
      </c>
      <c r="AF33" s="46">
        <v>12.4</v>
      </c>
      <c r="AG33" s="50">
        <v>23.5</v>
      </c>
      <c r="AH33" s="48">
        <f t="shared" si="2"/>
        <v>12.4</v>
      </c>
      <c r="AI33" s="49">
        <f t="shared" si="3"/>
        <v>12.4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0</v>
      </c>
      <c r="C36" s="46">
        <v>0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50">
        <v>22</v>
      </c>
      <c r="AH36" s="48">
        <f t="shared" si="2"/>
        <v>0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14.9</v>
      </c>
      <c r="C37" s="46">
        <v>14.9</v>
      </c>
      <c r="D37" s="46">
        <v>14.9</v>
      </c>
      <c r="E37" s="46">
        <v>14.9</v>
      </c>
      <c r="F37" s="46">
        <v>14.9</v>
      </c>
      <c r="G37" s="46">
        <v>14.9</v>
      </c>
      <c r="H37" s="46">
        <v>14.9</v>
      </c>
      <c r="I37" s="46">
        <v>14.9</v>
      </c>
      <c r="J37" s="46">
        <v>14.9</v>
      </c>
      <c r="K37" s="46">
        <v>14.9</v>
      </c>
      <c r="L37" s="46">
        <v>14.9</v>
      </c>
      <c r="M37" s="46">
        <v>14.9</v>
      </c>
      <c r="N37" s="46">
        <v>14.9</v>
      </c>
      <c r="O37" s="46">
        <v>14.9</v>
      </c>
      <c r="P37" s="46">
        <v>14.9</v>
      </c>
      <c r="Q37" s="46">
        <v>14.9</v>
      </c>
      <c r="R37" s="46">
        <v>14.9</v>
      </c>
      <c r="S37" s="46">
        <v>14.9</v>
      </c>
      <c r="T37" s="46">
        <v>14.9</v>
      </c>
      <c r="U37" s="46">
        <v>14.9</v>
      </c>
      <c r="V37" s="46">
        <v>14.9</v>
      </c>
      <c r="W37" s="46">
        <v>14.9</v>
      </c>
      <c r="X37" s="46">
        <v>14.9</v>
      </c>
      <c r="Y37" s="46">
        <v>14.9</v>
      </c>
      <c r="Z37" s="46">
        <v>14.9</v>
      </c>
      <c r="AA37" s="46">
        <v>14.9</v>
      </c>
      <c r="AB37" s="46">
        <v>14.9</v>
      </c>
      <c r="AC37" s="46">
        <v>14.9</v>
      </c>
      <c r="AD37" s="46">
        <v>14.9</v>
      </c>
      <c r="AE37" s="46">
        <v>14.9</v>
      </c>
      <c r="AF37" s="46">
        <v>14.9</v>
      </c>
      <c r="AG37" s="50">
        <v>22</v>
      </c>
      <c r="AH37" s="48">
        <f t="shared" si="2"/>
        <v>14.9</v>
      </c>
      <c r="AI37" s="49">
        <f t="shared" si="3"/>
        <v>14.9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19.899999999999999</v>
      </c>
      <c r="C38" s="46">
        <v>19.899999999999999</v>
      </c>
      <c r="D38" s="46">
        <v>19.899999999999999</v>
      </c>
      <c r="E38" s="46">
        <v>19.899999999999999</v>
      </c>
      <c r="F38" s="46">
        <v>19.899999999999999</v>
      </c>
      <c r="G38" s="46">
        <v>19.899999999999999</v>
      </c>
      <c r="H38" s="46">
        <v>19.899999999999999</v>
      </c>
      <c r="I38" s="46">
        <v>19.899999999999999</v>
      </c>
      <c r="J38" s="46">
        <v>19.899999999999999</v>
      </c>
      <c r="K38" s="46">
        <v>19.899999999999999</v>
      </c>
      <c r="L38" s="46">
        <v>19.899999999999999</v>
      </c>
      <c r="M38" s="46">
        <v>19.899999999999999</v>
      </c>
      <c r="N38" s="46">
        <v>19.899999999999999</v>
      </c>
      <c r="O38" s="46">
        <v>19.899999999999999</v>
      </c>
      <c r="P38" s="46">
        <v>19.899999999999999</v>
      </c>
      <c r="Q38" s="46">
        <v>19.899999999999999</v>
      </c>
      <c r="R38" s="46">
        <v>19.899999999999999</v>
      </c>
      <c r="S38" s="46">
        <v>19.899999999999999</v>
      </c>
      <c r="T38" s="46">
        <v>19.899999999999999</v>
      </c>
      <c r="U38" s="46">
        <v>19.899999999999999</v>
      </c>
      <c r="V38" s="46">
        <v>19.899999999999999</v>
      </c>
      <c r="W38" s="46">
        <v>19.899999999999999</v>
      </c>
      <c r="X38" s="46">
        <v>19.899999999999999</v>
      </c>
      <c r="Y38" s="46">
        <v>19.899999999999999</v>
      </c>
      <c r="Z38" s="46">
        <v>19.899999999999999</v>
      </c>
      <c r="AA38" s="46">
        <v>19.899999999999999</v>
      </c>
      <c r="AB38" s="46">
        <v>19.899999999999999</v>
      </c>
      <c r="AC38" s="46">
        <v>19.899999999999999</v>
      </c>
      <c r="AD38" s="46">
        <v>19.899999999999999</v>
      </c>
      <c r="AE38" s="46">
        <v>19.899999999999999</v>
      </c>
      <c r="AF38" s="46">
        <v>19.899999999999999</v>
      </c>
      <c r="AG38" s="50">
        <v>20</v>
      </c>
      <c r="AH38" s="48">
        <f t="shared" si="2"/>
        <v>19.899999999999999</v>
      </c>
      <c r="AI38" s="49">
        <f t="shared" si="3"/>
        <v>19.899999999999999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12.6</v>
      </c>
      <c r="C40" s="46">
        <v>12.6</v>
      </c>
      <c r="D40" s="46">
        <v>12.6</v>
      </c>
      <c r="E40" s="46">
        <v>12.6</v>
      </c>
      <c r="F40" s="46">
        <v>12.6</v>
      </c>
      <c r="G40" s="46">
        <v>12.6</v>
      </c>
      <c r="H40" s="46">
        <v>12.6</v>
      </c>
      <c r="I40" s="46">
        <v>12.6</v>
      </c>
      <c r="J40" s="46">
        <v>12.6</v>
      </c>
      <c r="K40" s="46">
        <v>12.6</v>
      </c>
      <c r="L40" s="46">
        <v>12.6</v>
      </c>
      <c r="M40" s="46">
        <v>12.6</v>
      </c>
      <c r="N40" s="46">
        <v>12.6</v>
      </c>
      <c r="O40" s="46">
        <v>12.6</v>
      </c>
      <c r="P40" s="46">
        <v>12.6</v>
      </c>
      <c r="Q40" s="46">
        <v>12.6</v>
      </c>
      <c r="R40" s="46">
        <v>12.6</v>
      </c>
      <c r="S40" s="46">
        <v>12.6</v>
      </c>
      <c r="T40" s="46">
        <v>12.6</v>
      </c>
      <c r="U40" s="46">
        <v>12.6</v>
      </c>
      <c r="V40" s="46">
        <v>12.6</v>
      </c>
      <c r="W40" s="46">
        <v>12.6</v>
      </c>
      <c r="X40" s="46">
        <v>12.6</v>
      </c>
      <c r="Y40" s="46">
        <v>12.6</v>
      </c>
      <c r="Z40" s="46">
        <v>12.6</v>
      </c>
      <c r="AA40" s="46">
        <v>12.6</v>
      </c>
      <c r="AB40" s="46">
        <v>12.6</v>
      </c>
      <c r="AC40" s="46">
        <v>12.6</v>
      </c>
      <c r="AD40" s="46">
        <v>12.6</v>
      </c>
      <c r="AE40" s="46">
        <v>12.6</v>
      </c>
      <c r="AF40" s="46">
        <v>12.6</v>
      </c>
      <c r="AG40" s="50">
        <v>18</v>
      </c>
      <c r="AH40" s="48">
        <f t="shared" si="2"/>
        <v>12.6</v>
      </c>
      <c r="AI40" s="49">
        <f t="shared" si="3"/>
        <v>12.6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8</v>
      </c>
      <c r="N44" s="46">
        <v>8</v>
      </c>
      <c r="O44" s="46">
        <v>8</v>
      </c>
      <c r="P44" s="46">
        <v>8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8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3.5</v>
      </c>
      <c r="C58" s="46">
        <v>3.5</v>
      </c>
      <c r="D58" s="46">
        <v>3.5</v>
      </c>
      <c r="E58" s="46">
        <v>3.5</v>
      </c>
      <c r="F58" s="46">
        <v>3.5</v>
      </c>
      <c r="G58" s="46">
        <v>3.5</v>
      </c>
      <c r="H58" s="46">
        <v>3.5</v>
      </c>
      <c r="I58" s="46">
        <v>3.5</v>
      </c>
      <c r="J58" s="46">
        <v>3.5</v>
      </c>
      <c r="K58" s="46">
        <v>3.5</v>
      </c>
      <c r="L58" s="46">
        <v>3.5</v>
      </c>
      <c r="M58" s="46">
        <v>3.5</v>
      </c>
      <c r="N58" s="46">
        <v>3.5</v>
      </c>
      <c r="O58" s="46">
        <v>3.5</v>
      </c>
      <c r="P58" s="46">
        <v>3.5</v>
      </c>
      <c r="Q58" s="46">
        <v>3.5</v>
      </c>
      <c r="R58" s="46">
        <v>3.5</v>
      </c>
      <c r="S58" s="46">
        <v>3.5</v>
      </c>
      <c r="T58" s="46">
        <v>3.5</v>
      </c>
      <c r="U58" s="46">
        <v>3.5</v>
      </c>
      <c r="V58" s="46">
        <v>3.5</v>
      </c>
      <c r="W58" s="46">
        <v>3.5</v>
      </c>
      <c r="X58" s="46">
        <v>3.5</v>
      </c>
      <c r="Y58" s="46">
        <v>3.5</v>
      </c>
      <c r="Z58" s="46">
        <v>3.5</v>
      </c>
      <c r="AA58" s="46">
        <v>3.5</v>
      </c>
      <c r="AB58" s="46">
        <v>3.5</v>
      </c>
      <c r="AC58" s="46">
        <v>3.5</v>
      </c>
      <c r="AD58" s="46">
        <v>3.5</v>
      </c>
      <c r="AE58" s="46">
        <v>3.5</v>
      </c>
      <c r="AF58" s="46">
        <v>3.5</v>
      </c>
      <c r="AG58" s="66">
        <v>10</v>
      </c>
      <c r="AH58" s="48">
        <f t="shared" si="2"/>
        <v>3.5</v>
      </c>
      <c r="AI58" s="49">
        <f t="shared" si="3"/>
        <v>3.5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100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100</v>
      </c>
      <c r="AK59" s="51"/>
    </row>
    <row r="60" spans="1:88" ht="15.75" thickBot="1" x14ac:dyDescent="0.3">
      <c r="A60" s="69" t="s">
        <v>74</v>
      </c>
      <c r="B60" s="68">
        <v>91.2</v>
      </c>
      <c r="C60" s="68">
        <v>91.2</v>
      </c>
      <c r="D60" s="68">
        <v>91.2</v>
      </c>
      <c r="E60" s="68">
        <f>25.7+67.1</f>
        <v>92.8</v>
      </c>
      <c r="F60" s="68">
        <f>25.1+63.9</f>
        <v>89</v>
      </c>
      <c r="G60" s="68">
        <f>26.8+69.7</f>
        <v>96.5</v>
      </c>
      <c r="H60" s="68">
        <f>24+65.4</f>
        <v>89.4</v>
      </c>
      <c r="I60" s="68">
        <v>0</v>
      </c>
      <c r="J60" s="68">
        <v>0</v>
      </c>
      <c r="K60" s="53">
        <v>0</v>
      </c>
      <c r="L60" s="53">
        <v>0</v>
      </c>
      <c r="M60" s="53">
        <v>69</v>
      </c>
      <c r="N60" s="53">
        <v>69</v>
      </c>
      <c r="O60" s="53">
        <v>109.2</v>
      </c>
      <c r="P60" s="53">
        <v>109.2</v>
      </c>
      <c r="Q60" s="53">
        <v>111</v>
      </c>
      <c r="R60" s="53">
        <v>105</v>
      </c>
      <c r="S60" s="53">
        <v>77.099999999999994</v>
      </c>
      <c r="T60" s="53">
        <v>70.099999999999994</v>
      </c>
      <c r="U60" s="53">
        <v>66.5</v>
      </c>
      <c r="V60" s="53">
        <v>85</v>
      </c>
      <c r="W60" s="53">
        <v>85</v>
      </c>
      <c r="X60" s="53">
        <v>72</v>
      </c>
      <c r="Y60" s="53">
        <v>69</v>
      </c>
      <c r="Z60" s="53">
        <v>95</v>
      </c>
      <c r="AA60" s="53">
        <v>95</v>
      </c>
      <c r="AB60" s="68">
        <f>86.5+35.5</f>
        <v>122</v>
      </c>
      <c r="AC60" s="68">
        <f>84.4+33.2</f>
        <v>117.60000000000001</v>
      </c>
      <c r="AD60" s="68">
        <f>89.6+36.1</f>
        <v>125.69999999999999</v>
      </c>
      <c r="AE60" s="68">
        <f>89.6+36.1</f>
        <v>125.69999999999999</v>
      </c>
      <c r="AF60" s="68">
        <f>37.7+91.4</f>
        <v>129.10000000000002</v>
      </c>
      <c r="AG60" s="66">
        <v>240</v>
      </c>
      <c r="AH60" s="48">
        <f t="shared" si="2"/>
        <v>129.10000000000002</v>
      </c>
      <c r="AI60" s="49">
        <f t="shared" si="3"/>
        <v>0</v>
      </c>
      <c r="AK60" s="51"/>
    </row>
    <row r="61" spans="1:88" ht="15.75" thickBot="1" x14ac:dyDescent="0.3">
      <c r="A61" s="70" t="s">
        <v>75</v>
      </c>
      <c r="B61" s="71">
        <f t="shared" ref="B61:AG61" si="20">SUM(B11:B59)</f>
        <v>896.89999999999975</v>
      </c>
      <c r="C61" s="71">
        <f t="shared" si="20"/>
        <v>896.89999999999975</v>
      </c>
      <c r="D61" s="71">
        <f t="shared" si="20"/>
        <v>896.89999999999975</v>
      </c>
      <c r="E61" s="71">
        <f t="shared" si="20"/>
        <v>896.89999999999975</v>
      </c>
      <c r="F61" s="71">
        <f t="shared" si="20"/>
        <v>855.19999999999993</v>
      </c>
      <c r="G61" s="71">
        <f t="shared" si="20"/>
        <v>896.49999999999989</v>
      </c>
      <c r="H61" s="71">
        <f t="shared" si="20"/>
        <v>892.99999999999989</v>
      </c>
      <c r="I61" s="71">
        <f t="shared" si="20"/>
        <v>778.69999999999993</v>
      </c>
      <c r="J61" s="71">
        <f t="shared" si="20"/>
        <v>828.69999999999993</v>
      </c>
      <c r="K61" s="71">
        <f t="shared" si="20"/>
        <v>828.69999999999993</v>
      </c>
      <c r="L61" s="71">
        <f t="shared" si="20"/>
        <v>828.69999999999993</v>
      </c>
      <c r="M61" s="71">
        <f t="shared" si="20"/>
        <v>894.5999999999998</v>
      </c>
      <c r="N61" s="71">
        <f t="shared" si="20"/>
        <v>910.49999999999989</v>
      </c>
      <c r="O61" s="71">
        <f t="shared" si="20"/>
        <v>910.49999999999989</v>
      </c>
      <c r="P61" s="71">
        <f t="shared" si="20"/>
        <v>912.69999999999982</v>
      </c>
      <c r="Q61" s="71">
        <f t="shared" si="20"/>
        <v>888.43999999999983</v>
      </c>
      <c r="R61" s="71">
        <f t="shared" si="20"/>
        <v>888.43999999999983</v>
      </c>
      <c r="S61" s="71">
        <f t="shared" si="20"/>
        <v>888.43999999999983</v>
      </c>
      <c r="T61" s="71">
        <f t="shared" si="20"/>
        <v>888.43999999999983</v>
      </c>
      <c r="U61" s="71">
        <f t="shared" si="20"/>
        <v>888.43999999999983</v>
      </c>
      <c r="V61" s="71">
        <f t="shared" si="20"/>
        <v>888.43999999999983</v>
      </c>
      <c r="W61" s="71">
        <f t="shared" si="20"/>
        <v>888.43999999999983</v>
      </c>
      <c r="X61" s="71">
        <f t="shared" si="20"/>
        <v>888.43999999999983</v>
      </c>
      <c r="Y61" s="71">
        <f t="shared" si="20"/>
        <v>888.43999999999983</v>
      </c>
      <c r="Z61" s="71">
        <f t="shared" si="20"/>
        <v>888.43999999999983</v>
      </c>
      <c r="AA61" s="71">
        <f t="shared" si="20"/>
        <v>888.43999999999983</v>
      </c>
      <c r="AB61" s="71">
        <f t="shared" si="20"/>
        <v>883.3399999999998</v>
      </c>
      <c r="AC61" s="71">
        <f t="shared" si="20"/>
        <v>880.13999999999976</v>
      </c>
      <c r="AD61" s="71">
        <f t="shared" si="20"/>
        <v>880.13999999999976</v>
      </c>
      <c r="AE61" s="71">
        <f>SUM(AE11:AE59)</f>
        <v>880.13999999999976</v>
      </c>
      <c r="AF61" s="71">
        <f>SUM(AF11:AF59)</f>
        <v>912.89999999999975</v>
      </c>
      <c r="AG61" s="71">
        <f t="shared" si="20"/>
        <v>1466.0300000000002</v>
      </c>
      <c r="AH61" s="48">
        <f t="shared" si="2"/>
        <v>912.89999999999975</v>
      </c>
      <c r="AI61" s="49">
        <f t="shared" si="3"/>
        <v>778.69999999999993</v>
      </c>
      <c r="AK61" s="51"/>
    </row>
    <row r="62" spans="1:88" x14ac:dyDescent="0.25">
      <c r="A62" s="73" t="s">
        <v>76</v>
      </c>
      <c r="B62" s="46">
        <v>460.3</v>
      </c>
      <c r="C62" s="46">
        <v>460.3</v>
      </c>
      <c r="D62" s="46">
        <v>460.4</v>
      </c>
      <c r="E62" s="46">
        <v>460.4</v>
      </c>
      <c r="F62" s="46">
        <v>460.4</v>
      </c>
      <c r="G62" s="46">
        <v>460.4</v>
      </c>
      <c r="H62" s="46">
        <v>460.4</v>
      </c>
      <c r="I62" s="46">
        <v>460.4</v>
      </c>
      <c r="J62" s="46">
        <v>460.4</v>
      </c>
      <c r="K62" s="46">
        <v>460.4</v>
      </c>
      <c r="L62" s="46">
        <v>460</v>
      </c>
      <c r="M62" s="46">
        <v>460.3</v>
      </c>
      <c r="N62" s="46">
        <v>460.3</v>
      </c>
      <c r="O62" s="46">
        <v>460.3</v>
      </c>
      <c r="P62" s="46">
        <v>460.3</v>
      </c>
      <c r="Q62" s="74">
        <v>460</v>
      </c>
      <c r="R62" s="74">
        <v>460</v>
      </c>
      <c r="S62" s="74">
        <v>460</v>
      </c>
      <c r="T62" s="74">
        <v>460</v>
      </c>
      <c r="U62" s="74">
        <v>460</v>
      </c>
      <c r="V62" s="74">
        <v>400</v>
      </c>
      <c r="W62" s="74">
        <v>400</v>
      </c>
      <c r="X62" s="74">
        <v>420</v>
      </c>
      <c r="Y62" s="74">
        <v>420</v>
      </c>
      <c r="Z62" s="74">
        <v>420</v>
      </c>
      <c r="AA62" s="74">
        <v>420</v>
      </c>
      <c r="AB62" s="46">
        <v>380</v>
      </c>
      <c r="AC62" s="46">
        <v>380</v>
      </c>
      <c r="AD62" s="46">
        <v>380</v>
      </c>
      <c r="AE62" s="46">
        <v>380</v>
      </c>
      <c r="AF62" s="46">
        <v>460</v>
      </c>
      <c r="AG62" s="61">
        <v>456</v>
      </c>
      <c r="AH62" s="48">
        <f t="shared" si="2"/>
        <v>460.4</v>
      </c>
      <c r="AI62" s="49">
        <f t="shared" si="3"/>
        <v>380</v>
      </c>
      <c r="AK62" s="51"/>
    </row>
    <row r="63" spans="1:88" x14ac:dyDescent="0.25">
      <c r="A63" s="75" t="s">
        <v>77</v>
      </c>
      <c r="B63" s="76">
        <v>50</v>
      </c>
      <c r="C63" s="76">
        <v>50</v>
      </c>
      <c r="D63" s="76">
        <v>50</v>
      </c>
      <c r="E63" s="76">
        <v>50</v>
      </c>
      <c r="F63" s="76">
        <v>50</v>
      </c>
      <c r="G63" s="76">
        <v>50</v>
      </c>
      <c r="H63" s="76">
        <v>50</v>
      </c>
      <c r="I63" s="76">
        <v>50</v>
      </c>
      <c r="J63" s="76">
        <v>50</v>
      </c>
      <c r="K63" s="76">
        <v>50</v>
      </c>
      <c r="L63" s="76">
        <v>50</v>
      </c>
      <c r="M63" s="76">
        <v>54</v>
      </c>
      <c r="N63" s="76">
        <v>54</v>
      </c>
      <c r="O63" s="76">
        <v>54</v>
      </c>
      <c r="P63" s="76">
        <v>54</v>
      </c>
      <c r="Q63" s="76">
        <v>54</v>
      </c>
      <c r="R63" s="76">
        <v>54</v>
      </c>
      <c r="S63" s="76">
        <v>54</v>
      </c>
      <c r="T63" s="76">
        <v>54</v>
      </c>
      <c r="U63" s="76">
        <v>54</v>
      </c>
      <c r="V63" s="76">
        <v>54</v>
      </c>
      <c r="W63" s="76">
        <v>54</v>
      </c>
      <c r="X63" s="76">
        <v>54</v>
      </c>
      <c r="Y63" s="76">
        <v>54</v>
      </c>
      <c r="Z63" s="76">
        <v>54</v>
      </c>
      <c r="AA63" s="76">
        <v>54</v>
      </c>
      <c r="AB63" s="76">
        <v>54</v>
      </c>
      <c r="AC63" s="76">
        <v>54</v>
      </c>
      <c r="AD63" s="76">
        <v>54</v>
      </c>
      <c r="AE63" s="76">
        <v>54</v>
      </c>
      <c r="AF63" s="76">
        <v>54</v>
      </c>
      <c r="AG63" s="66">
        <v>60</v>
      </c>
      <c r="AH63" s="48">
        <f t="shared" si="2"/>
        <v>54</v>
      </c>
      <c r="AI63" s="49">
        <f t="shared" si="3"/>
        <v>50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7</v>
      </c>
      <c r="V64" s="78">
        <v>7</v>
      </c>
      <c r="W64" s="78">
        <v>7</v>
      </c>
      <c r="X64" s="78">
        <v>22.1</v>
      </c>
      <c r="Y64" s="78">
        <v>22.1</v>
      </c>
      <c r="Z64" s="78">
        <v>22.1</v>
      </c>
      <c r="AA64" s="78">
        <v>22.1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7</v>
      </c>
      <c r="AK64" s="51"/>
    </row>
    <row r="65" spans="1:75" ht="15.75" thickBot="1" x14ac:dyDescent="0.3">
      <c r="A65" s="80" t="s">
        <v>79</v>
      </c>
      <c r="B65" s="71">
        <f t="shared" ref="B65:AG65" si="21">SUM(B62:B64)</f>
        <v>532.79999999999995</v>
      </c>
      <c r="C65" s="71">
        <f t="shared" si="21"/>
        <v>532.79999999999995</v>
      </c>
      <c r="D65" s="71">
        <f t="shared" si="21"/>
        <v>532.9</v>
      </c>
      <c r="E65" s="71">
        <f t="shared" si="21"/>
        <v>532.9</v>
      </c>
      <c r="F65" s="71">
        <f t="shared" si="21"/>
        <v>532.9</v>
      </c>
      <c r="G65" s="71">
        <f t="shared" si="21"/>
        <v>532.9</v>
      </c>
      <c r="H65" s="71">
        <f t="shared" si="21"/>
        <v>532.9</v>
      </c>
      <c r="I65" s="71">
        <f t="shared" si="21"/>
        <v>532.9</v>
      </c>
      <c r="J65" s="71">
        <f t="shared" si="21"/>
        <v>532.9</v>
      </c>
      <c r="K65" s="71">
        <f t="shared" si="21"/>
        <v>532.9</v>
      </c>
      <c r="L65" s="71">
        <f t="shared" si="21"/>
        <v>532.5</v>
      </c>
      <c r="M65" s="71">
        <f t="shared" si="21"/>
        <v>536.79999999999995</v>
      </c>
      <c r="N65" s="71">
        <f t="shared" si="21"/>
        <v>536.79999999999995</v>
      </c>
      <c r="O65" s="71">
        <f t="shared" si="21"/>
        <v>536.79999999999995</v>
      </c>
      <c r="P65" s="71">
        <f t="shared" si="21"/>
        <v>536.79999999999995</v>
      </c>
      <c r="Q65" s="71">
        <f t="shared" si="21"/>
        <v>536.5</v>
      </c>
      <c r="R65" s="71">
        <f t="shared" si="21"/>
        <v>536.5</v>
      </c>
      <c r="S65" s="71">
        <f t="shared" si="21"/>
        <v>536.5</v>
      </c>
      <c r="T65" s="71">
        <f t="shared" si="21"/>
        <v>536.5</v>
      </c>
      <c r="U65" s="71">
        <f>SUM(U62:U64)</f>
        <v>521</v>
      </c>
      <c r="V65" s="71">
        <f t="shared" si="21"/>
        <v>461</v>
      </c>
      <c r="W65" s="71">
        <f t="shared" si="21"/>
        <v>461</v>
      </c>
      <c r="X65" s="71">
        <f t="shared" si="21"/>
        <v>496.1</v>
      </c>
      <c r="Y65" s="71">
        <f t="shared" si="21"/>
        <v>496.1</v>
      </c>
      <c r="Z65" s="71">
        <f t="shared" si="21"/>
        <v>496.1</v>
      </c>
      <c r="AA65" s="71">
        <f t="shared" si="21"/>
        <v>496.1</v>
      </c>
      <c r="AB65" s="71">
        <f t="shared" si="21"/>
        <v>456.5</v>
      </c>
      <c r="AC65" s="71">
        <f t="shared" si="21"/>
        <v>456.5</v>
      </c>
      <c r="AD65" s="71">
        <f t="shared" si="21"/>
        <v>456.5</v>
      </c>
      <c r="AE65" s="71">
        <f>SUM(AE62:AE64)</f>
        <v>456.5</v>
      </c>
      <c r="AF65" s="71">
        <f>SUM(AF62:AF64)</f>
        <v>536.5</v>
      </c>
      <c r="AG65" s="72">
        <f t="shared" si="21"/>
        <v>538.1</v>
      </c>
      <c r="AH65" s="48">
        <f t="shared" si="2"/>
        <v>536.79999999999995</v>
      </c>
      <c r="AI65" s="49">
        <f t="shared" si="3"/>
        <v>456.5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145.30000000000001</v>
      </c>
      <c r="C66" s="46">
        <v>145.30000000000001</v>
      </c>
      <c r="D66" s="46">
        <v>145.30000000000001</v>
      </c>
      <c r="E66" s="46">
        <v>145.30000000000001</v>
      </c>
      <c r="F66" s="46">
        <v>145.30000000000001</v>
      </c>
      <c r="G66" s="46">
        <v>145.30000000000001</v>
      </c>
      <c r="H66" s="46">
        <v>145.30000000000001</v>
      </c>
      <c r="I66" s="46">
        <v>145.30000000000001</v>
      </c>
      <c r="J66" s="46">
        <v>145.30000000000001</v>
      </c>
      <c r="K66" s="46">
        <v>145.30000000000001</v>
      </c>
      <c r="L66" s="46">
        <v>145.30000000000001</v>
      </c>
      <c r="M66" s="46">
        <v>145.30000000000001</v>
      </c>
      <c r="N66" s="46">
        <v>145.30000000000001</v>
      </c>
      <c r="O66" s="46">
        <v>145.30000000000001</v>
      </c>
      <c r="P66" s="46">
        <v>145.30000000000001</v>
      </c>
      <c r="Q66" s="46">
        <v>145</v>
      </c>
      <c r="R66" s="46">
        <v>145</v>
      </c>
      <c r="S66" s="46">
        <v>145</v>
      </c>
      <c r="T66" s="46">
        <v>145</v>
      </c>
      <c r="U66" s="46">
        <v>145</v>
      </c>
      <c r="V66" s="46">
        <v>145</v>
      </c>
      <c r="W66" s="46">
        <v>145</v>
      </c>
      <c r="X66" s="46">
        <v>145</v>
      </c>
      <c r="Y66" s="46">
        <v>145</v>
      </c>
      <c r="Z66" s="46">
        <v>145</v>
      </c>
      <c r="AA66" s="46">
        <v>145</v>
      </c>
      <c r="AB66" s="46">
        <v>145</v>
      </c>
      <c r="AC66" s="46">
        <v>145</v>
      </c>
      <c r="AD66" s="46">
        <v>145</v>
      </c>
      <c r="AE66" s="46">
        <v>145</v>
      </c>
      <c r="AF66" s="46">
        <v>145</v>
      </c>
      <c r="AG66" s="61">
        <v>144</v>
      </c>
      <c r="AH66" s="48">
        <f t="shared" si="2"/>
        <v>145.30000000000001</v>
      </c>
      <c r="AI66" s="49">
        <f t="shared" si="3"/>
        <v>145</v>
      </c>
      <c r="AK66" s="51"/>
      <c r="AY66" s="1" t="s">
        <v>86</v>
      </c>
      <c r="AZ66" s="82">
        <f>ROUND(C84,0)</f>
        <v>14</v>
      </c>
      <c r="BA66" s="81">
        <f t="shared" ref="BA66:BD70" si="22">D84</f>
        <v>9.3000000000000007</v>
      </c>
      <c r="BB66" s="81">
        <f t="shared" si="22"/>
        <v>7.9</v>
      </c>
      <c r="BC66" s="81">
        <f t="shared" si="22"/>
        <v>7.7</v>
      </c>
      <c r="BD66" s="81">
        <f t="shared" si="22"/>
        <v>14.6</v>
      </c>
      <c r="BE66" s="82">
        <f>I84</f>
        <v>2.8</v>
      </c>
      <c r="BF66" s="82">
        <f>K84</f>
        <v>54.2</v>
      </c>
      <c r="BG66" s="82">
        <f t="shared" ref="BG66:BP70" si="23">M84</f>
        <v>59</v>
      </c>
      <c r="BH66" s="82">
        <f t="shared" si="23"/>
        <v>63</v>
      </c>
      <c r="BI66" s="82">
        <f t="shared" si="23"/>
        <v>72</v>
      </c>
      <c r="BJ66" s="82">
        <f t="shared" si="23"/>
        <v>63.4</v>
      </c>
      <c r="BK66" s="82">
        <f t="shared" si="23"/>
        <v>69.7</v>
      </c>
      <c r="BL66" s="82">
        <f t="shared" si="23"/>
        <v>73.7</v>
      </c>
      <c r="BM66" s="82">
        <f t="shared" si="23"/>
        <v>64.599999999999994</v>
      </c>
      <c r="BN66" s="82">
        <f t="shared" si="23"/>
        <v>60</v>
      </c>
      <c r="BO66" s="82">
        <f t="shared" si="23"/>
        <v>48.2</v>
      </c>
      <c r="BP66" s="82">
        <f t="shared" si="23"/>
        <v>63.9</v>
      </c>
      <c r="BQ66" s="82">
        <f>X84</f>
        <v>19.5</v>
      </c>
      <c r="BR66" s="82">
        <f>Z84</f>
        <v>11.3</v>
      </c>
      <c r="BS66" s="81">
        <f>AB84</f>
        <v>33.200000000000003</v>
      </c>
      <c r="BT66" s="81">
        <f t="shared" ref="BT66:BV70" si="24">AD84</f>
        <v>47.4</v>
      </c>
      <c r="BU66" s="81">
        <f t="shared" si="24"/>
        <v>47.4</v>
      </c>
      <c r="BV66" s="81">
        <f t="shared" si="24"/>
        <v>46</v>
      </c>
      <c r="BW66" s="81">
        <f>B84</f>
        <v>13.5</v>
      </c>
    </row>
    <row r="67" spans="1:75" x14ac:dyDescent="0.25">
      <c r="A67" s="65" t="s">
        <v>81</v>
      </c>
      <c r="B67" s="76">
        <v>68.900000000000006</v>
      </c>
      <c r="C67" s="76">
        <v>68.900000000000006</v>
      </c>
      <c r="D67" s="76">
        <v>68.900000000000006</v>
      </c>
      <c r="E67" s="76">
        <v>68.900000000000006</v>
      </c>
      <c r="F67" s="76">
        <v>68.900000000000006</v>
      </c>
      <c r="G67" s="76">
        <v>68.900000000000006</v>
      </c>
      <c r="H67" s="76">
        <v>68.900000000000006</v>
      </c>
      <c r="I67" s="76">
        <v>68.900000000000006</v>
      </c>
      <c r="J67" s="76">
        <v>68.900000000000006</v>
      </c>
      <c r="K67" s="76">
        <v>68.900000000000006</v>
      </c>
      <c r="L67" s="76">
        <v>68.900000000000006</v>
      </c>
      <c r="M67" s="76">
        <v>68.900000000000006</v>
      </c>
      <c r="N67" s="76">
        <v>68.900000000000006</v>
      </c>
      <c r="O67" s="76">
        <v>68.900000000000006</v>
      </c>
      <c r="P67" s="76">
        <v>68.900000000000006</v>
      </c>
      <c r="Q67" s="76">
        <v>70.599999999999994</v>
      </c>
      <c r="R67" s="76">
        <v>70.599999999999994</v>
      </c>
      <c r="S67" s="76">
        <v>70.599999999999994</v>
      </c>
      <c r="T67" s="76">
        <v>70.599999999999994</v>
      </c>
      <c r="U67" s="76">
        <v>70.599999999999994</v>
      </c>
      <c r="V67" s="76">
        <v>70.599999999999994</v>
      </c>
      <c r="W67" s="76">
        <v>70.599999999999994</v>
      </c>
      <c r="X67" s="76">
        <v>70.599999999999994</v>
      </c>
      <c r="Y67" s="76">
        <v>70.599999999999994</v>
      </c>
      <c r="Z67" s="76">
        <v>70.599999999999994</v>
      </c>
      <c r="AA67" s="76">
        <v>70.599999999999994</v>
      </c>
      <c r="AB67" s="76">
        <v>70.599999999999994</v>
      </c>
      <c r="AC67" s="76">
        <v>70.599999999999994</v>
      </c>
      <c r="AD67" s="76">
        <v>70.599999999999994</v>
      </c>
      <c r="AE67" s="76">
        <v>70.599999999999994</v>
      </c>
      <c r="AF67" s="76">
        <v>70.599999999999994</v>
      </c>
      <c r="AG67" s="66">
        <v>70</v>
      </c>
      <c r="AH67" s="48">
        <f t="shared" si="2"/>
        <v>70.599999999999994</v>
      </c>
      <c r="AI67" s="49">
        <f t="shared" si="3"/>
        <v>68.900000000000006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>
        <v>68.5</v>
      </c>
      <c r="C68" s="76">
        <v>68.5</v>
      </c>
      <c r="D68" s="76">
        <v>68.5</v>
      </c>
      <c r="E68" s="76">
        <v>68.5</v>
      </c>
      <c r="F68" s="76">
        <v>68.5</v>
      </c>
      <c r="G68" s="76">
        <v>68.5</v>
      </c>
      <c r="H68" s="76">
        <v>68.5</v>
      </c>
      <c r="I68" s="76">
        <v>68.5</v>
      </c>
      <c r="J68" s="76">
        <v>68.5</v>
      </c>
      <c r="K68" s="76">
        <v>68.5</v>
      </c>
      <c r="L68" s="76">
        <v>68.5</v>
      </c>
      <c r="M68" s="76">
        <v>68.5</v>
      </c>
      <c r="N68" s="76">
        <v>68.5</v>
      </c>
      <c r="O68" s="76">
        <v>68.5</v>
      </c>
      <c r="P68" s="76">
        <v>68.5</v>
      </c>
      <c r="Q68" s="76">
        <v>67.900000000000006</v>
      </c>
      <c r="R68" s="76">
        <v>67.900000000000006</v>
      </c>
      <c r="S68" s="76">
        <v>67.900000000000006</v>
      </c>
      <c r="T68" s="76">
        <v>67.900000000000006</v>
      </c>
      <c r="U68" s="76">
        <v>67.900000000000006</v>
      </c>
      <c r="V68" s="76">
        <v>67.900000000000006</v>
      </c>
      <c r="W68" s="76">
        <v>67.900000000000006</v>
      </c>
      <c r="X68" s="76">
        <v>67.900000000000006</v>
      </c>
      <c r="Y68" s="76">
        <v>67.900000000000006</v>
      </c>
      <c r="Z68" s="76">
        <v>67.900000000000006</v>
      </c>
      <c r="AA68" s="76">
        <v>67.900000000000006</v>
      </c>
      <c r="AB68" s="76">
        <v>68.900000000000006</v>
      </c>
      <c r="AC68" s="76">
        <v>68.900000000000006</v>
      </c>
      <c r="AD68" s="76">
        <v>68.900000000000006</v>
      </c>
      <c r="AE68" s="76">
        <v>68.900000000000006</v>
      </c>
      <c r="AF68" s="76">
        <v>68.900000000000006</v>
      </c>
      <c r="AG68" s="66">
        <v>69</v>
      </c>
      <c r="AH68" s="48">
        <f t="shared" si="2"/>
        <v>68.900000000000006</v>
      </c>
      <c r="AI68" s="49">
        <f t="shared" si="3"/>
        <v>67.900000000000006</v>
      </c>
      <c r="AK68" s="51"/>
      <c r="AL68" s="83"/>
      <c r="AO68" s="83"/>
      <c r="AY68" s="1" t="s">
        <v>90</v>
      </c>
      <c r="AZ68" s="82">
        <f>ROUND(C86,0)</f>
        <v>-377</v>
      </c>
      <c r="BA68" s="81">
        <f t="shared" si="22"/>
        <v>-419.7</v>
      </c>
      <c r="BB68" s="81">
        <f t="shared" si="22"/>
        <v>-449</v>
      </c>
      <c r="BC68" s="81">
        <f t="shared" si="22"/>
        <v>-445</v>
      </c>
      <c r="BD68" s="81">
        <f t="shared" si="22"/>
        <v>-477</v>
      </c>
      <c r="BE68" s="82">
        <f>I86</f>
        <v>-422.3</v>
      </c>
      <c r="BF68" s="82">
        <f>K86</f>
        <v>-294</v>
      </c>
      <c r="BG68" s="82">
        <f t="shared" si="23"/>
        <v>-370.9</v>
      </c>
      <c r="BH68" s="82">
        <f t="shared" si="23"/>
        <v>-331.3</v>
      </c>
      <c r="BI68" s="82">
        <f t="shared" si="23"/>
        <v>-303</v>
      </c>
      <c r="BJ68" s="82">
        <f t="shared" si="23"/>
        <v>-330</v>
      </c>
      <c r="BK68" s="82">
        <f t="shared" si="23"/>
        <v>-298</v>
      </c>
      <c r="BL68" s="82">
        <f t="shared" si="23"/>
        <v>-284</v>
      </c>
      <c r="BM68" s="82">
        <f t="shared" si="23"/>
        <v>-231.3</v>
      </c>
      <c r="BN68" s="82">
        <f t="shared" si="23"/>
        <v>-300</v>
      </c>
      <c r="BO68" s="82">
        <f t="shared" si="23"/>
        <v>-311</v>
      </c>
      <c r="BP68" s="82">
        <f t="shared" si="23"/>
        <v>-348</v>
      </c>
      <c r="BQ68" s="82">
        <f>X86</f>
        <v>-381</v>
      </c>
      <c r="BR68" s="82">
        <f>Z86</f>
        <v>-272</v>
      </c>
      <c r="BS68" s="81">
        <f>AB86</f>
        <v>-314.39999999999998</v>
      </c>
      <c r="BT68" s="81">
        <f t="shared" si="24"/>
        <v>-307.7</v>
      </c>
      <c r="BU68" s="81">
        <f t="shared" si="24"/>
        <v>-307.7</v>
      </c>
      <c r="BV68" s="81">
        <f t="shared" si="24"/>
        <v>-450</v>
      </c>
      <c r="BW68" s="81">
        <f>B86</f>
        <v>-377.4</v>
      </c>
    </row>
    <row r="69" spans="1:75" s="83" customFormat="1" x14ac:dyDescent="0.25">
      <c r="A69" s="65" t="s">
        <v>83</v>
      </c>
      <c r="B69" s="76">
        <v>58.5</v>
      </c>
      <c r="C69" s="76">
        <v>58.5</v>
      </c>
      <c r="D69" s="76">
        <v>58.5</v>
      </c>
      <c r="E69" s="76">
        <v>58.5</v>
      </c>
      <c r="F69" s="76">
        <v>58.5</v>
      </c>
      <c r="G69" s="76">
        <v>58.5</v>
      </c>
      <c r="H69" s="76">
        <v>58.5</v>
      </c>
      <c r="I69" s="76">
        <v>58.5</v>
      </c>
      <c r="J69" s="76">
        <v>58.5</v>
      </c>
      <c r="K69" s="76">
        <v>58.5</v>
      </c>
      <c r="L69" s="76">
        <v>58.5</v>
      </c>
      <c r="M69" s="76">
        <v>58.5</v>
      </c>
      <c r="N69" s="76">
        <v>58.5</v>
      </c>
      <c r="O69" s="76">
        <v>58.5</v>
      </c>
      <c r="P69" s="76">
        <v>58.5</v>
      </c>
      <c r="Q69" s="76">
        <v>60.4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76">
        <v>60.4</v>
      </c>
      <c r="AB69" s="76">
        <v>60.4</v>
      </c>
      <c r="AC69" s="76">
        <v>60.4</v>
      </c>
      <c r="AD69" s="76">
        <v>60.4</v>
      </c>
      <c r="AE69" s="76">
        <v>60.4</v>
      </c>
      <c r="AF69" s="76">
        <v>0</v>
      </c>
      <c r="AG69" s="66">
        <v>60</v>
      </c>
      <c r="AH69" s="48">
        <f t="shared" si="2"/>
        <v>60.4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>
        <v>23.8</v>
      </c>
      <c r="C70" s="46">
        <v>23.8</v>
      </c>
      <c r="D70" s="46">
        <v>23.8</v>
      </c>
      <c r="E70" s="46">
        <v>23.8</v>
      </c>
      <c r="F70" s="46">
        <v>23.8</v>
      </c>
      <c r="G70" s="46">
        <v>15</v>
      </c>
      <c r="H70" s="46">
        <v>15</v>
      </c>
      <c r="I70" s="46">
        <v>15</v>
      </c>
      <c r="J70" s="46">
        <v>15</v>
      </c>
      <c r="K70" s="46">
        <v>15</v>
      </c>
      <c r="L70" s="46">
        <v>15</v>
      </c>
      <c r="M70" s="46">
        <v>29</v>
      </c>
      <c r="N70" s="46">
        <v>29</v>
      </c>
      <c r="O70" s="46">
        <v>29</v>
      </c>
      <c r="P70" s="46">
        <v>29</v>
      </c>
      <c r="Q70" s="76">
        <v>28.5</v>
      </c>
      <c r="R70" s="76">
        <v>28.5</v>
      </c>
      <c r="S70" s="76">
        <v>27.7</v>
      </c>
      <c r="T70" s="76">
        <v>27.7</v>
      </c>
      <c r="U70" s="76">
        <v>27.7</v>
      </c>
      <c r="V70" s="76">
        <v>27.7</v>
      </c>
      <c r="W70" s="76">
        <v>10.1</v>
      </c>
      <c r="X70" s="76">
        <v>10.1</v>
      </c>
      <c r="Y70" s="76">
        <v>10.1</v>
      </c>
      <c r="Z70" s="76">
        <v>10.1</v>
      </c>
      <c r="AA70" s="76">
        <v>10.1</v>
      </c>
      <c r="AB70" s="76">
        <v>27.6</v>
      </c>
      <c r="AC70" s="76">
        <v>27.6</v>
      </c>
      <c r="AD70" s="76">
        <v>27.6</v>
      </c>
      <c r="AE70" s="76">
        <v>27.6</v>
      </c>
      <c r="AF70" s="76">
        <v>27.6</v>
      </c>
      <c r="AG70" s="66">
        <v>30</v>
      </c>
      <c r="AH70" s="48">
        <f t="shared" si="2"/>
        <v>29</v>
      </c>
      <c r="AI70" s="49">
        <f t="shared" si="3"/>
        <v>10.1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1.4</v>
      </c>
      <c r="N71" s="46">
        <v>2.8</v>
      </c>
      <c r="O71" s="46">
        <v>4</v>
      </c>
      <c r="P71" s="46">
        <v>4</v>
      </c>
      <c r="Q71" s="76">
        <v>6</v>
      </c>
      <c r="R71" s="76">
        <v>6.3</v>
      </c>
      <c r="S71" s="76">
        <v>11</v>
      </c>
      <c r="T71" s="76">
        <v>5</v>
      </c>
      <c r="U71" s="76">
        <v>3.2</v>
      </c>
      <c r="V71" s="76">
        <v>1</v>
      </c>
      <c r="W71" s="76">
        <v>0.7</v>
      </c>
      <c r="X71" s="76">
        <v>0.5</v>
      </c>
      <c r="Y71" s="76">
        <v>0.4</v>
      </c>
      <c r="Z71" s="76">
        <v>0.4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10.6</v>
      </c>
      <c r="C72" s="76">
        <v>10.6</v>
      </c>
      <c r="D72" s="76">
        <v>10.6</v>
      </c>
      <c r="E72" s="76">
        <v>10.6</v>
      </c>
      <c r="F72" s="76">
        <v>10.6</v>
      </c>
      <c r="G72" s="76">
        <v>10.6</v>
      </c>
      <c r="H72" s="76">
        <v>10.6</v>
      </c>
      <c r="I72" s="76">
        <v>10.6</v>
      </c>
      <c r="J72" s="76">
        <v>10.6</v>
      </c>
      <c r="K72" s="76">
        <v>10.6</v>
      </c>
      <c r="L72" s="76">
        <v>10.6</v>
      </c>
      <c r="M72" s="76">
        <v>10.6</v>
      </c>
      <c r="N72" s="76">
        <v>10.6</v>
      </c>
      <c r="O72" s="76">
        <v>10.6</v>
      </c>
      <c r="P72" s="76">
        <v>10.6</v>
      </c>
      <c r="Q72" s="76">
        <v>7.8</v>
      </c>
      <c r="R72" s="76">
        <v>13</v>
      </c>
      <c r="S72" s="76">
        <v>13</v>
      </c>
      <c r="T72" s="76">
        <v>13</v>
      </c>
      <c r="U72" s="76">
        <v>13</v>
      </c>
      <c r="V72" s="76">
        <v>13</v>
      </c>
      <c r="W72" s="76">
        <v>13</v>
      </c>
      <c r="X72" s="76">
        <v>13</v>
      </c>
      <c r="Y72" s="76">
        <v>13</v>
      </c>
      <c r="Z72" s="76">
        <v>13</v>
      </c>
      <c r="AA72" s="76">
        <v>13</v>
      </c>
      <c r="AB72" s="76">
        <v>13</v>
      </c>
      <c r="AC72" s="76">
        <v>13</v>
      </c>
      <c r="AD72" s="76">
        <v>13</v>
      </c>
      <c r="AE72" s="76">
        <v>13</v>
      </c>
      <c r="AF72" s="76">
        <v>12.7</v>
      </c>
      <c r="AG72" s="66">
        <v>24</v>
      </c>
      <c r="AH72" s="48">
        <f t="shared" si="2"/>
        <v>13</v>
      </c>
      <c r="AI72" s="49">
        <f t="shared" si="3"/>
        <v>7.8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6">VALUE(AZ66)</f>
        <v>14</v>
      </c>
      <c r="BA73" s="82">
        <f t="shared" si="26"/>
        <v>9.3000000000000007</v>
      </c>
      <c r="BB73" s="82">
        <f t="shared" si="26"/>
        <v>7.9</v>
      </c>
      <c r="BC73" s="82">
        <f t="shared" si="26"/>
        <v>7.7</v>
      </c>
      <c r="BD73" s="82">
        <f t="shared" si="26"/>
        <v>14.6</v>
      </c>
      <c r="BE73" s="82">
        <f t="shared" si="26"/>
        <v>2.8</v>
      </c>
      <c r="BF73" s="82">
        <f t="shared" si="26"/>
        <v>54.2</v>
      </c>
      <c r="BG73" s="82">
        <f t="shared" si="26"/>
        <v>59</v>
      </c>
      <c r="BH73" s="82">
        <f t="shared" si="26"/>
        <v>63</v>
      </c>
      <c r="BI73" s="82">
        <f t="shared" si="26"/>
        <v>72</v>
      </c>
      <c r="BJ73" s="82">
        <f t="shared" si="26"/>
        <v>63.4</v>
      </c>
      <c r="BK73" s="82">
        <f t="shared" si="26"/>
        <v>69.7</v>
      </c>
      <c r="BL73" s="82">
        <f t="shared" si="26"/>
        <v>73.7</v>
      </c>
      <c r="BM73" s="82">
        <f t="shared" si="26"/>
        <v>64.599999999999994</v>
      </c>
      <c r="BN73" s="82">
        <f t="shared" si="26"/>
        <v>60</v>
      </c>
      <c r="BO73" s="82">
        <f t="shared" si="26"/>
        <v>48.2</v>
      </c>
      <c r="BP73" s="82">
        <f t="shared" si="26"/>
        <v>63.9</v>
      </c>
      <c r="BQ73" s="82">
        <f t="shared" si="26"/>
        <v>19.5</v>
      </c>
      <c r="BR73" s="82">
        <f t="shared" si="26"/>
        <v>11.3</v>
      </c>
      <c r="BS73" s="82">
        <f t="shared" si="26"/>
        <v>33.200000000000003</v>
      </c>
      <c r="BT73" s="82">
        <f t="shared" si="26"/>
        <v>47.4</v>
      </c>
      <c r="BU73" s="82">
        <f t="shared" si="26"/>
        <v>47.4</v>
      </c>
      <c r="BV73" s="82">
        <f t="shared" si="26"/>
        <v>46</v>
      </c>
      <c r="BW73" s="82">
        <f t="shared" si="26"/>
        <v>13.5</v>
      </c>
    </row>
    <row r="74" spans="1:75" x14ac:dyDescent="0.25">
      <c r="A74" s="65" t="s">
        <v>91</v>
      </c>
      <c r="B74" s="76">
        <v>7.4</v>
      </c>
      <c r="C74" s="76">
        <v>7.4</v>
      </c>
      <c r="D74" s="76">
        <v>7.4</v>
      </c>
      <c r="E74" s="76">
        <v>7.4</v>
      </c>
      <c r="F74" s="76">
        <v>7.4</v>
      </c>
      <c r="G74" s="76">
        <v>7.4</v>
      </c>
      <c r="H74" s="76">
        <v>7.4</v>
      </c>
      <c r="I74" s="76">
        <v>7.4</v>
      </c>
      <c r="J74" s="76">
        <v>7.4</v>
      </c>
      <c r="K74" s="76">
        <v>7.4</v>
      </c>
      <c r="L74" s="76">
        <v>7.4</v>
      </c>
      <c r="M74" s="76">
        <v>7.4</v>
      </c>
      <c r="N74" s="76">
        <v>7.4</v>
      </c>
      <c r="O74" s="76">
        <v>7.4</v>
      </c>
      <c r="P74" s="76">
        <v>7.4</v>
      </c>
      <c r="Q74" s="76">
        <v>7.5</v>
      </c>
      <c r="R74" s="76">
        <v>5.2</v>
      </c>
      <c r="S74" s="76">
        <v>5.2</v>
      </c>
      <c r="T74" s="76">
        <v>5.2</v>
      </c>
      <c r="U74" s="76">
        <v>5.2</v>
      </c>
      <c r="V74" s="76">
        <v>5.2</v>
      </c>
      <c r="W74" s="76">
        <v>5.2</v>
      </c>
      <c r="X74" s="76">
        <v>5.2</v>
      </c>
      <c r="Y74" s="76">
        <v>5.2</v>
      </c>
      <c r="Z74" s="76">
        <v>5.2</v>
      </c>
      <c r="AA74" s="76">
        <v>5.2</v>
      </c>
      <c r="AB74" s="76">
        <v>5.2</v>
      </c>
      <c r="AC74" s="76">
        <v>5.2</v>
      </c>
      <c r="AD74" s="76">
        <v>5.2</v>
      </c>
      <c r="AE74" s="76">
        <v>5.2</v>
      </c>
      <c r="AF74" s="76">
        <v>9</v>
      </c>
      <c r="AG74" s="66">
        <v>14.1</v>
      </c>
      <c r="AH74" s="48">
        <f t="shared" si="2"/>
        <v>9</v>
      </c>
      <c r="AI74" s="49">
        <f t="shared" si="3"/>
        <v>5.2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>
        <v>5.5</v>
      </c>
      <c r="C75" s="76">
        <v>5.5</v>
      </c>
      <c r="D75" s="76">
        <v>5.5</v>
      </c>
      <c r="E75" s="76">
        <v>5.5</v>
      </c>
      <c r="F75" s="76">
        <v>5.5</v>
      </c>
      <c r="G75" s="76">
        <v>5.5</v>
      </c>
      <c r="H75" s="76">
        <v>5.5</v>
      </c>
      <c r="I75" s="76">
        <v>5.5</v>
      </c>
      <c r="J75" s="76">
        <v>5.5</v>
      </c>
      <c r="K75" s="76">
        <v>5.5</v>
      </c>
      <c r="L75" s="76">
        <v>5.5</v>
      </c>
      <c r="M75" s="76">
        <v>14</v>
      </c>
      <c r="N75" s="76">
        <v>14</v>
      </c>
      <c r="O75" s="76">
        <v>14</v>
      </c>
      <c r="P75" s="76">
        <v>14</v>
      </c>
      <c r="Q75" s="76">
        <v>13.8</v>
      </c>
      <c r="R75" s="76">
        <v>13.6</v>
      </c>
      <c r="S75" s="76">
        <v>13.6</v>
      </c>
      <c r="T75" s="76">
        <v>13.6</v>
      </c>
      <c r="U75" s="76">
        <v>13.6</v>
      </c>
      <c r="V75" s="76">
        <v>13.6</v>
      </c>
      <c r="W75" s="76">
        <v>13.6</v>
      </c>
      <c r="X75" s="76">
        <v>13.6</v>
      </c>
      <c r="Y75" s="76">
        <v>13.6</v>
      </c>
      <c r="Z75" s="76">
        <v>13.6</v>
      </c>
      <c r="AA75" s="76">
        <v>13.6</v>
      </c>
      <c r="AB75" s="76">
        <v>13.6</v>
      </c>
      <c r="AC75" s="76">
        <v>13.6</v>
      </c>
      <c r="AD75" s="76">
        <v>13.6</v>
      </c>
      <c r="AE75" s="76">
        <v>13.6</v>
      </c>
      <c r="AF75" s="76">
        <v>11.3</v>
      </c>
      <c r="AG75" s="66">
        <v>14</v>
      </c>
      <c r="AH75" s="48">
        <f t="shared" ref="AH75:AH126" si="27">MAX(B75:AF75)</f>
        <v>14</v>
      </c>
      <c r="AI75" s="49">
        <f t="shared" ref="AI75:AI126" si="28">MIN(B75:AF75)</f>
        <v>5.5</v>
      </c>
      <c r="AK75" s="51"/>
      <c r="AZ75" s="82">
        <f t="shared" si="26"/>
        <v>-377</v>
      </c>
      <c r="BA75" s="82">
        <f t="shared" si="26"/>
        <v>-419.7</v>
      </c>
      <c r="BB75" s="82">
        <f t="shared" si="26"/>
        <v>-449</v>
      </c>
      <c r="BC75" s="82">
        <f t="shared" si="26"/>
        <v>-445</v>
      </c>
      <c r="BD75" s="82">
        <f t="shared" si="26"/>
        <v>-477</v>
      </c>
      <c r="BE75" s="82">
        <f t="shared" si="26"/>
        <v>-422.3</v>
      </c>
      <c r="BF75" s="82">
        <f t="shared" si="26"/>
        <v>-294</v>
      </c>
      <c r="BG75" s="82">
        <f t="shared" si="26"/>
        <v>-370.9</v>
      </c>
      <c r="BH75" s="82">
        <f t="shared" si="26"/>
        <v>-331.3</v>
      </c>
      <c r="BI75" s="82">
        <f t="shared" si="26"/>
        <v>-303</v>
      </c>
      <c r="BJ75" s="82">
        <f t="shared" si="26"/>
        <v>-330</v>
      </c>
      <c r="BK75" s="82">
        <f t="shared" si="26"/>
        <v>-298</v>
      </c>
      <c r="BL75" s="82">
        <f t="shared" si="26"/>
        <v>-284</v>
      </c>
      <c r="BM75" s="82">
        <f t="shared" si="26"/>
        <v>-231.3</v>
      </c>
      <c r="BN75" s="82">
        <f t="shared" si="26"/>
        <v>-300</v>
      </c>
      <c r="BO75" s="82">
        <f t="shared" si="26"/>
        <v>-311</v>
      </c>
      <c r="BP75" s="82">
        <f t="shared" si="26"/>
        <v>-348</v>
      </c>
      <c r="BQ75" s="82">
        <f t="shared" si="26"/>
        <v>-381</v>
      </c>
      <c r="BR75" s="82">
        <f t="shared" si="26"/>
        <v>-272</v>
      </c>
      <c r="BS75" s="82">
        <f t="shared" si="26"/>
        <v>-314.39999999999998</v>
      </c>
      <c r="BT75" s="82">
        <f t="shared" si="26"/>
        <v>-307.7</v>
      </c>
      <c r="BU75" s="82">
        <f t="shared" si="26"/>
        <v>-307.7</v>
      </c>
      <c r="BV75" s="82">
        <f t="shared" si="26"/>
        <v>-450</v>
      </c>
      <c r="BW75" s="82">
        <f t="shared" si="26"/>
        <v>-377.4</v>
      </c>
    </row>
    <row r="76" spans="1:75" x14ac:dyDescent="0.25">
      <c r="A76" s="65" t="s">
        <v>95</v>
      </c>
      <c r="B76" s="76">
        <v>9</v>
      </c>
      <c r="C76" s="76">
        <v>9</v>
      </c>
      <c r="D76" s="76">
        <v>9</v>
      </c>
      <c r="E76" s="76">
        <v>9</v>
      </c>
      <c r="F76" s="76">
        <v>9</v>
      </c>
      <c r="G76" s="76">
        <v>9</v>
      </c>
      <c r="H76" s="76">
        <v>9</v>
      </c>
      <c r="I76" s="76">
        <v>9</v>
      </c>
      <c r="J76" s="76">
        <v>9</v>
      </c>
      <c r="K76" s="76">
        <v>9</v>
      </c>
      <c r="L76" s="76">
        <v>9</v>
      </c>
      <c r="M76" s="76">
        <v>9</v>
      </c>
      <c r="N76" s="76">
        <v>9</v>
      </c>
      <c r="O76" s="76">
        <v>9</v>
      </c>
      <c r="P76" s="76">
        <v>9</v>
      </c>
      <c r="Q76" s="76">
        <v>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7"/>
        <v>10</v>
      </c>
      <c r="AI76" s="49">
        <f t="shared" si="28"/>
        <v>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7"/>
        <v>6</v>
      </c>
      <c r="AI77" s="49">
        <f t="shared" si="28"/>
        <v>6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5.5</v>
      </c>
      <c r="C78" s="85">
        <v>5.5</v>
      </c>
      <c r="D78" s="85">
        <v>5.5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 t="shared" ref="B79:AG79" si="29">SUM(B66:B78)</f>
        <v>412.80000000000007</v>
      </c>
      <c r="C79" s="71">
        <f t="shared" si="29"/>
        <v>412.80000000000007</v>
      </c>
      <c r="D79" s="71">
        <f t="shared" si="29"/>
        <v>412.80000000000007</v>
      </c>
      <c r="E79" s="71">
        <f t="shared" si="29"/>
        <v>410.84000000000009</v>
      </c>
      <c r="F79" s="71">
        <f t="shared" si="29"/>
        <v>410.84000000000009</v>
      </c>
      <c r="G79" s="71">
        <f t="shared" si="29"/>
        <v>402.04000000000008</v>
      </c>
      <c r="H79" s="71">
        <f t="shared" si="29"/>
        <v>402.04000000000008</v>
      </c>
      <c r="I79" s="71">
        <f t="shared" si="29"/>
        <v>402.04000000000008</v>
      </c>
      <c r="J79" s="71">
        <f t="shared" si="29"/>
        <v>402.04000000000008</v>
      </c>
      <c r="K79" s="71">
        <f t="shared" si="29"/>
        <v>402.04000000000008</v>
      </c>
      <c r="L79" s="71">
        <f t="shared" si="29"/>
        <v>402.04000000000008</v>
      </c>
      <c r="M79" s="71">
        <f t="shared" si="29"/>
        <v>425.94000000000005</v>
      </c>
      <c r="N79" s="71">
        <f t="shared" si="29"/>
        <v>427.34000000000009</v>
      </c>
      <c r="O79" s="71">
        <f t="shared" si="29"/>
        <v>428.54000000000008</v>
      </c>
      <c r="P79" s="71">
        <f t="shared" si="29"/>
        <v>428.54000000000008</v>
      </c>
      <c r="Q79" s="71">
        <f t="shared" si="29"/>
        <v>420.84000000000003</v>
      </c>
      <c r="R79" s="71">
        <f t="shared" si="29"/>
        <v>433.84000000000003</v>
      </c>
      <c r="S79" s="71">
        <f t="shared" si="29"/>
        <v>437.74</v>
      </c>
      <c r="T79" s="71">
        <f t="shared" si="29"/>
        <v>431.74</v>
      </c>
      <c r="U79" s="71">
        <f t="shared" si="29"/>
        <v>429.94</v>
      </c>
      <c r="V79" s="71">
        <f t="shared" si="29"/>
        <v>427.74</v>
      </c>
      <c r="W79" s="71">
        <f t="shared" si="29"/>
        <v>409.84000000000003</v>
      </c>
      <c r="X79" s="71">
        <f t="shared" si="29"/>
        <v>409.64000000000004</v>
      </c>
      <c r="Y79" s="71">
        <f t="shared" si="29"/>
        <v>409.5</v>
      </c>
      <c r="Z79" s="71">
        <f t="shared" si="29"/>
        <v>411.5</v>
      </c>
      <c r="AA79" s="71">
        <f t="shared" si="29"/>
        <v>409.14000000000004</v>
      </c>
      <c r="AB79" s="71">
        <f t="shared" si="29"/>
        <v>427.64000000000004</v>
      </c>
      <c r="AC79" s="71">
        <f t="shared" si="29"/>
        <v>427.64000000000004</v>
      </c>
      <c r="AD79" s="71">
        <f t="shared" si="29"/>
        <v>427.64000000000004</v>
      </c>
      <c r="AE79" s="71">
        <f>SUM(AE66:AE78)</f>
        <v>427.64000000000004</v>
      </c>
      <c r="AF79" s="71">
        <f>SUM(AF66:AF78)</f>
        <v>368.44000000000005</v>
      </c>
      <c r="AG79" s="72">
        <f t="shared" si="29"/>
        <v>489.91</v>
      </c>
      <c r="AH79" s="48">
        <f t="shared" si="27"/>
        <v>437.74</v>
      </c>
      <c r="AI79" s="49">
        <f t="shared" si="28"/>
        <v>368.44000000000005</v>
      </c>
      <c r="AK79" s="51"/>
      <c r="AY79" s="82"/>
    </row>
    <row r="80" spans="1:75" x14ac:dyDescent="0.25">
      <c r="A80" s="45" t="s">
        <v>100</v>
      </c>
      <c r="B80" s="46">
        <v>14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20</v>
      </c>
      <c r="J80" s="46">
        <v>0</v>
      </c>
      <c r="K80" s="46">
        <v>0</v>
      </c>
      <c r="L80" s="46">
        <v>13.3</v>
      </c>
      <c r="M80" s="46">
        <v>10</v>
      </c>
      <c r="N80" s="46">
        <v>20.5</v>
      </c>
      <c r="O80" s="46">
        <v>20.5</v>
      </c>
      <c r="P80" s="46">
        <v>24.8</v>
      </c>
      <c r="Q80" s="46">
        <v>24</v>
      </c>
      <c r="R80" s="46">
        <v>24</v>
      </c>
      <c r="S80" s="46">
        <v>24</v>
      </c>
      <c r="T80" s="46">
        <v>24</v>
      </c>
      <c r="U80" s="46">
        <v>14</v>
      </c>
      <c r="V80" s="46">
        <v>20.100000000000001</v>
      </c>
      <c r="W80" s="46">
        <v>13.6</v>
      </c>
      <c r="X80" s="46">
        <v>13.6</v>
      </c>
      <c r="Y80" s="46">
        <v>0</v>
      </c>
      <c r="Z80" s="46">
        <v>0</v>
      </c>
      <c r="AA80" s="46"/>
      <c r="AB80" s="46">
        <v>13.7</v>
      </c>
      <c r="AC80" s="46">
        <v>14</v>
      </c>
      <c r="AD80" s="46">
        <v>13.9</v>
      </c>
      <c r="AE80" s="46">
        <v>0</v>
      </c>
      <c r="AF80" s="46">
        <v>0</v>
      </c>
      <c r="AG80" s="61">
        <v>60</v>
      </c>
      <c r="AH80" s="48">
        <f t="shared" si="27"/>
        <v>24.8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5.0999999999999996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3.8</v>
      </c>
      <c r="J81" s="76">
        <v>9.4</v>
      </c>
      <c r="K81" s="76">
        <v>0</v>
      </c>
      <c r="L81" s="76">
        <v>5.9</v>
      </c>
      <c r="M81" s="76">
        <v>3.9</v>
      </c>
      <c r="N81" s="76">
        <v>8.9</v>
      </c>
      <c r="O81" s="76">
        <v>8.9</v>
      </c>
      <c r="P81" s="76">
        <v>12.1</v>
      </c>
      <c r="Q81" s="76">
        <v>12.7</v>
      </c>
      <c r="R81" s="76">
        <v>12.7</v>
      </c>
      <c r="S81" s="76">
        <v>12.7</v>
      </c>
      <c r="T81" s="76">
        <v>12.7</v>
      </c>
      <c r="U81" s="76">
        <v>9.8000000000000007</v>
      </c>
      <c r="V81" s="76">
        <v>9.3000000000000007</v>
      </c>
      <c r="W81" s="76">
        <v>9.3000000000000007</v>
      </c>
      <c r="X81" s="76">
        <v>9.3000000000000007</v>
      </c>
      <c r="Y81" s="76">
        <v>0</v>
      </c>
      <c r="Z81" s="76">
        <v>0</v>
      </c>
      <c r="AA81" s="76"/>
      <c r="AB81" s="76">
        <v>8.1999999999999993</v>
      </c>
      <c r="AC81" s="76">
        <v>4.8</v>
      </c>
      <c r="AD81" s="76">
        <v>6</v>
      </c>
      <c r="AE81" s="76">
        <v>0</v>
      </c>
      <c r="AF81" s="76">
        <v>0</v>
      </c>
      <c r="AG81" s="66">
        <v>32</v>
      </c>
      <c r="AH81" s="48">
        <f t="shared" si="27"/>
        <v>12.7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1.9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1.4</v>
      </c>
      <c r="J82" s="78">
        <v>3.4</v>
      </c>
      <c r="K82" s="78">
        <v>0</v>
      </c>
      <c r="L82" s="78">
        <v>2.2000000000000002</v>
      </c>
      <c r="M82" s="78">
        <v>1.4</v>
      </c>
      <c r="N82" s="78">
        <v>3.2</v>
      </c>
      <c r="O82" s="78">
        <v>3.2</v>
      </c>
      <c r="P82" s="78">
        <v>4.4000000000000004</v>
      </c>
      <c r="Q82" s="78">
        <v>4.5999999999999996</v>
      </c>
      <c r="R82" s="78">
        <v>4.5999999999999996</v>
      </c>
      <c r="S82" s="78">
        <v>4.5999999999999996</v>
      </c>
      <c r="T82" s="78">
        <v>4.5999999999999996</v>
      </c>
      <c r="U82" s="78">
        <v>3.6</v>
      </c>
      <c r="V82" s="78">
        <v>3.4</v>
      </c>
      <c r="W82" s="78">
        <v>3.4</v>
      </c>
      <c r="X82" s="78">
        <v>3.4</v>
      </c>
      <c r="Y82" s="78">
        <v>0</v>
      </c>
      <c r="Z82" s="78">
        <v>0</v>
      </c>
      <c r="AA82" s="78"/>
      <c r="AB82" s="78">
        <v>3</v>
      </c>
      <c r="AC82" s="78">
        <v>1.7</v>
      </c>
      <c r="AD82" s="78">
        <v>2.2000000000000002</v>
      </c>
      <c r="AE82" s="78">
        <v>0</v>
      </c>
      <c r="AF82" s="78">
        <v>0</v>
      </c>
      <c r="AG82" s="79">
        <v>14</v>
      </c>
      <c r="AH82" s="48">
        <f t="shared" si="27"/>
        <v>4.5999999999999996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14</v>
      </c>
      <c r="BH82" s="82">
        <v>0</v>
      </c>
      <c r="BI82" s="82">
        <v>-377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D83" si="30">B80+B81+B82</f>
        <v>21</v>
      </c>
      <c r="C83" s="71">
        <f t="shared" si="30"/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25.2</v>
      </c>
      <c r="J83" s="71">
        <f t="shared" si="30"/>
        <v>12.8</v>
      </c>
      <c r="K83" s="71">
        <f t="shared" si="30"/>
        <v>0</v>
      </c>
      <c r="L83" s="71">
        <f t="shared" si="30"/>
        <v>21.400000000000002</v>
      </c>
      <c r="M83" s="71">
        <f t="shared" si="30"/>
        <v>15.3</v>
      </c>
      <c r="N83" s="71">
        <f t="shared" si="30"/>
        <v>32.6</v>
      </c>
      <c r="O83" s="71">
        <f t="shared" si="30"/>
        <v>32.6</v>
      </c>
      <c r="P83" s="71">
        <f t="shared" si="30"/>
        <v>41.3</v>
      </c>
      <c r="Q83" s="71">
        <f t="shared" si="30"/>
        <v>41.300000000000004</v>
      </c>
      <c r="R83" s="71">
        <f t="shared" si="30"/>
        <v>41.300000000000004</v>
      </c>
      <c r="S83" s="71">
        <f t="shared" si="30"/>
        <v>41.300000000000004</v>
      </c>
      <c r="T83" s="71">
        <f t="shared" si="30"/>
        <v>41.300000000000004</v>
      </c>
      <c r="U83" s="71">
        <f t="shared" si="30"/>
        <v>27.400000000000002</v>
      </c>
      <c r="V83" s="71">
        <f t="shared" si="30"/>
        <v>32.800000000000004</v>
      </c>
      <c r="W83" s="71">
        <f t="shared" si="30"/>
        <v>26.299999999999997</v>
      </c>
      <c r="X83" s="71">
        <f t="shared" si="30"/>
        <v>26.299999999999997</v>
      </c>
      <c r="Y83" s="71">
        <f t="shared" si="30"/>
        <v>0</v>
      </c>
      <c r="Z83" s="71">
        <f t="shared" si="30"/>
        <v>0</v>
      </c>
      <c r="AA83" s="71">
        <f t="shared" si="30"/>
        <v>0</v>
      </c>
      <c r="AB83" s="71">
        <f t="shared" si="30"/>
        <v>24.9</v>
      </c>
      <c r="AC83" s="71">
        <f t="shared" si="30"/>
        <v>20.5</v>
      </c>
      <c r="AD83" s="71">
        <f t="shared" si="30"/>
        <v>22.099999999999998</v>
      </c>
      <c r="AE83" s="71">
        <f>AE80+AE81+AE82</f>
        <v>0</v>
      </c>
      <c r="AF83" s="71">
        <f>AF80+AF81+AF82</f>
        <v>0</v>
      </c>
      <c r="AG83" s="72">
        <f>SUM(AG80:AG82)</f>
        <v>106</v>
      </c>
      <c r="AH83" s="48">
        <f t="shared" si="27"/>
        <v>41.300000000000004</v>
      </c>
      <c r="AI83" s="49">
        <f t="shared" si="28"/>
        <v>0</v>
      </c>
      <c r="AK83" s="51"/>
      <c r="AY83" s="82"/>
      <c r="BF83" s="81"/>
      <c r="BG83" s="82">
        <v>9.3000000000000007</v>
      </c>
      <c r="BH83" s="82">
        <v>0</v>
      </c>
      <c r="BI83" s="82">
        <v>-419.7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13.5</v>
      </c>
      <c r="C84" s="46">
        <v>13.5</v>
      </c>
      <c r="D84" s="46">
        <v>9.3000000000000007</v>
      </c>
      <c r="E84" s="46">
        <v>7.9</v>
      </c>
      <c r="F84" s="46">
        <v>7.7</v>
      </c>
      <c r="G84" s="46">
        <v>14.6</v>
      </c>
      <c r="H84" s="46">
        <v>9.9</v>
      </c>
      <c r="I84" s="46">
        <v>2.8</v>
      </c>
      <c r="J84" s="46">
        <v>44.7</v>
      </c>
      <c r="K84" s="46">
        <v>54.2</v>
      </c>
      <c r="L84" s="46">
        <v>50</v>
      </c>
      <c r="M84" s="46">
        <v>59</v>
      </c>
      <c r="N84" s="46">
        <v>63</v>
      </c>
      <c r="O84" s="46">
        <v>72</v>
      </c>
      <c r="P84" s="46">
        <v>63.4</v>
      </c>
      <c r="Q84" s="46">
        <v>69.7</v>
      </c>
      <c r="R84" s="46">
        <v>73.7</v>
      </c>
      <c r="S84" s="46">
        <v>64.599999999999994</v>
      </c>
      <c r="T84" s="46">
        <v>60</v>
      </c>
      <c r="U84" s="46">
        <v>48.2</v>
      </c>
      <c r="V84" s="46">
        <v>63.9</v>
      </c>
      <c r="W84" s="46">
        <v>59.7</v>
      </c>
      <c r="X84" s="46">
        <v>19.5</v>
      </c>
      <c r="Y84" s="46">
        <v>14.3</v>
      </c>
      <c r="Z84" s="46">
        <v>11.3</v>
      </c>
      <c r="AA84" s="46">
        <v>11.3</v>
      </c>
      <c r="AB84" s="46">
        <v>33.200000000000003</v>
      </c>
      <c r="AC84" s="46">
        <v>39.799999999999997</v>
      </c>
      <c r="AD84" s="46">
        <v>47.4</v>
      </c>
      <c r="AE84" s="46">
        <v>47.4</v>
      </c>
      <c r="AF84" s="46">
        <v>46</v>
      </c>
      <c r="AG84" s="61"/>
      <c r="AH84" s="48">
        <f t="shared" si="27"/>
        <v>73.7</v>
      </c>
      <c r="AI84" s="49">
        <f t="shared" si="28"/>
        <v>2.8</v>
      </c>
      <c r="AK84" s="51"/>
      <c r="AY84" s="82"/>
      <c r="BF84" s="81"/>
      <c r="BG84" s="82">
        <v>7.9</v>
      </c>
      <c r="BH84" s="82">
        <v>0</v>
      </c>
      <c r="BI84" s="82">
        <v>-449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7.7</v>
      </c>
      <c r="BH85" s="82">
        <v>0</v>
      </c>
      <c r="BI85" s="82">
        <v>-445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-377.4</v>
      </c>
      <c r="C86" s="76">
        <v>-377.4</v>
      </c>
      <c r="D86" s="76">
        <v>-419.7</v>
      </c>
      <c r="E86" s="76">
        <v>-449</v>
      </c>
      <c r="F86" s="76">
        <v>-445</v>
      </c>
      <c r="G86" s="76">
        <v>-477</v>
      </c>
      <c r="H86" s="76">
        <v>-454</v>
      </c>
      <c r="I86" s="76">
        <v>-422.3</v>
      </c>
      <c r="J86" s="76">
        <v>-436.1</v>
      </c>
      <c r="K86" s="76">
        <v>-294</v>
      </c>
      <c r="L86" s="76">
        <v>-380</v>
      </c>
      <c r="M86" s="76">
        <v>-370.9</v>
      </c>
      <c r="N86" s="76">
        <v>-331.3</v>
      </c>
      <c r="O86" s="76">
        <v>-303</v>
      </c>
      <c r="P86" s="76">
        <v>-330</v>
      </c>
      <c r="Q86" s="76">
        <v>-298</v>
      </c>
      <c r="R86" s="76">
        <v>-284</v>
      </c>
      <c r="S86" s="76">
        <v>-231.3</v>
      </c>
      <c r="T86" s="76">
        <v>-300</v>
      </c>
      <c r="U86" s="76">
        <v>-311</v>
      </c>
      <c r="V86" s="76">
        <v>-348</v>
      </c>
      <c r="W86" s="76">
        <v>-378</v>
      </c>
      <c r="X86" s="76">
        <v>-381</v>
      </c>
      <c r="Y86" s="76">
        <v>-362</v>
      </c>
      <c r="Z86" s="76">
        <v>-272</v>
      </c>
      <c r="AA86" s="76">
        <v>-272</v>
      </c>
      <c r="AB86" s="76">
        <v>-314.39999999999998</v>
      </c>
      <c r="AC86" s="76">
        <v>-290</v>
      </c>
      <c r="AD86" s="76">
        <v>-307.7</v>
      </c>
      <c r="AE86" s="76">
        <v>-307.7</v>
      </c>
      <c r="AF86" s="76">
        <v>-450</v>
      </c>
      <c r="AG86" s="88"/>
      <c r="AH86" s="48">
        <f t="shared" si="27"/>
        <v>-231.3</v>
      </c>
      <c r="AI86" s="49">
        <f t="shared" si="28"/>
        <v>-477</v>
      </c>
      <c r="AK86" s="92"/>
      <c r="AL86" s="93"/>
      <c r="AM86" s="93"/>
      <c r="AN86" s="94"/>
      <c r="AY86" s="82"/>
      <c r="BF86" s="82"/>
      <c r="BG86" s="82">
        <v>14.6</v>
      </c>
      <c r="BH86" s="82">
        <v>0</v>
      </c>
      <c r="BI86" s="82">
        <v>-477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2.8</v>
      </c>
      <c r="BH87" s="82">
        <v>0</v>
      </c>
      <c r="BI87" s="82">
        <v>-422.3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54.2</v>
      </c>
      <c r="BH88" s="82">
        <v>0</v>
      </c>
      <c r="BI88" s="82">
        <v>-294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57</v>
      </c>
      <c r="C89" s="90">
        <v>57</v>
      </c>
      <c r="D89" s="90">
        <v>50</v>
      </c>
      <c r="E89" s="90">
        <v>48.7</v>
      </c>
      <c r="F89" s="90">
        <v>46.4</v>
      </c>
      <c r="G89" s="90">
        <v>51</v>
      </c>
      <c r="H89" s="90">
        <v>54.3</v>
      </c>
      <c r="I89" s="90">
        <v>53.5</v>
      </c>
      <c r="J89" s="90">
        <v>51.9</v>
      </c>
      <c r="K89" s="90">
        <v>53.8</v>
      </c>
      <c r="L89" s="90">
        <v>49.9</v>
      </c>
      <c r="M89" s="90">
        <v>44.9</v>
      </c>
      <c r="N89" s="90">
        <v>0</v>
      </c>
      <c r="O89" s="90">
        <v>0</v>
      </c>
      <c r="P89" s="90">
        <v>0</v>
      </c>
      <c r="Q89" s="90">
        <v>49.3</v>
      </c>
      <c r="R89" s="90">
        <v>49</v>
      </c>
      <c r="S89" s="90">
        <v>50.4</v>
      </c>
      <c r="T89" s="90">
        <v>52.9</v>
      </c>
      <c r="U89" s="90">
        <v>55.5</v>
      </c>
      <c r="V89" s="90">
        <v>40.200000000000003</v>
      </c>
      <c r="W89" s="90">
        <v>48.3</v>
      </c>
      <c r="X89" s="90">
        <v>47</v>
      </c>
      <c r="Y89" s="90">
        <v>42.1</v>
      </c>
      <c r="Z89" s="90">
        <v>0</v>
      </c>
      <c r="AA89" s="90">
        <v>0</v>
      </c>
      <c r="AB89" s="90">
        <v>38.9</v>
      </c>
      <c r="AC89" s="90"/>
      <c r="AD89" s="90"/>
      <c r="AE89" s="90"/>
      <c r="AF89" s="90">
        <v>52.6</v>
      </c>
      <c r="AG89" s="88"/>
      <c r="AH89" s="48">
        <f>MAX(B89:AF89)</f>
        <v>57</v>
      </c>
      <c r="AI89" s="49">
        <f t="shared" si="28"/>
        <v>0</v>
      </c>
      <c r="AK89" s="99"/>
      <c r="AL89" s="46"/>
      <c r="AM89" s="46"/>
      <c r="AN89" s="100"/>
      <c r="AY89" s="82"/>
      <c r="BF89" s="82"/>
      <c r="BG89" s="82">
        <v>59</v>
      </c>
      <c r="BH89" s="82">
        <v>0</v>
      </c>
      <c r="BI89" s="82">
        <v>-370.9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4"/>
      <c r="AY90" s="82"/>
      <c r="BF90" s="82"/>
      <c r="BG90" s="82">
        <v>63</v>
      </c>
      <c r="BH90" s="82">
        <v>0</v>
      </c>
      <c r="BI90" s="82">
        <v>-331.3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5"/>
      <c r="BF91" s="82"/>
      <c r="BG91" s="82">
        <v>72</v>
      </c>
      <c r="BH91" s="82">
        <v>0</v>
      </c>
      <c r="BI91" s="82">
        <v>-303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63.4</v>
      </c>
      <c r="BH92" s="82">
        <v>0</v>
      </c>
      <c r="BI92" s="82">
        <v>-330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69.7</v>
      </c>
      <c r="BH93" s="82">
        <v>0</v>
      </c>
      <c r="BI93" s="82">
        <v>-298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73.7</v>
      </c>
      <c r="BH94" s="82">
        <v>0</v>
      </c>
      <c r="BI94" s="82">
        <v>-284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:AD95" si="31">SUMIF(B84:B94,"&gt;0")</f>
        <v>70.5</v>
      </c>
      <c r="C95" s="71">
        <f t="shared" si="31"/>
        <v>70.5</v>
      </c>
      <c r="D95" s="71">
        <f t="shared" si="31"/>
        <v>59.3</v>
      </c>
      <c r="E95" s="71">
        <f t="shared" si="31"/>
        <v>56.6</v>
      </c>
      <c r="F95" s="71">
        <f t="shared" si="31"/>
        <v>54.1</v>
      </c>
      <c r="G95" s="71">
        <f t="shared" si="31"/>
        <v>65.599999999999994</v>
      </c>
      <c r="H95" s="71">
        <f t="shared" si="31"/>
        <v>64.2</v>
      </c>
      <c r="I95" s="71">
        <f t="shared" si="31"/>
        <v>56.3</v>
      </c>
      <c r="J95" s="71">
        <f t="shared" si="31"/>
        <v>96.6</v>
      </c>
      <c r="K95" s="71">
        <f t="shared" si="31"/>
        <v>108</v>
      </c>
      <c r="L95" s="71">
        <f t="shared" si="31"/>
        <v>99.9</v>
      </c>
      <c r="M95" s="71">
        <f t="shared" si="31"/>
        <v>103.9</v>
      </c>
      <c r="N95" s="71">
        <f t="shared" si="31"/>
        <v>63</v>
      </c>
      <c r="O95" s="71">
        <f t="shared" si="31"/>
        <v>72</v>
      </c>
      <c r="P95" s="71">
        <f t="shared" si="31"/>
        <v>63.4</v>
      </c>
      <c r="Q95" s="71">
        <f t="shared" si="31"/>
        <v>119</v>
      </c>
      <c r="R95" s="71">
        <f t="shared" si="31"/>
        <v>122.7</v>
      </c>
      <c r="S95" s="71">
        <f t="shared" si="31"/>
        <v>115</v>
      </c>
      <c r="T95" s="71">
        <f t="shared" si="31"/>
        <v>112.9</v>
      </c>
      <c r="U95" s="71">
        <f>SUMIF(U84:U94,"&gt;0")</f>
        <v>103.7</v>
      </c>
      <c r="V95" s="71">
        <f t="shared" si="31"/>
        <v>104.1</v>
      </c>
      <c r="W95" s="71">
        <f t="shared" si="31"/>
        <v>108</v>
      </c>
      <c r="X95" s="71">
        <f t="shared" si="31"/>
        <v>66.5</v>
      </c>
      <c r="Y95" s="71">
        <f t="shared" si="31"/>
        <v>56.400000000000006</v>
      </c>
      <c r="Z95" s="71">
        <f t="shared" si="31"/>
        <v>11.3</v>
      </c>
      <c r="AA95" s="71">
        <f t="shared" si="31"/>
        <v>11.3</v>
      </c>
      <c r="AB95" s="71">
        <f t="shared" si="31"/>
        <v>72.099999999999994</v>
      </c>
      <c r="AC95" s="71">
        <f t="shared" si="31"/>
        <v>39.799999999999997</v>
      </c>
      <c r="AD95" s="71">
        <f t="shared" si="31"/>
        <v>47.4</v>
      </c>
      <c r="AE95" s="71">
        <f>SUMIF(AE84:AE94,"&gt;0")</f>
        <v>47.4</v>
      </c>
      <c r="AF95" s="71">
        <f>SUMIF(AF84:AF94,"&gt;0")</f>
        <v>98.6</v>
      </c>
      <c r="AG95" s="101">
        <f>SUM(AG84:AG94)</f>
        <v>0</v>
      </c>
      <c r="AH95" s="48">
        <f t="shared" si="27"/>
        <v>122.7</v>
      </c>
      <c r="AI95" s="49">
        <f t="shared" si="28"/>
        <v>11.3</v>
      </c>
      <c r="BF95" s="82"/>
      <c r="BG95" s="82">
        <v>64.599999999999994</v>
      </c>
      <c r="BH95" s="82">
        <v>0</v>
      </c>
      <c r="BI95" s="82">
        <v>-231.3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60</v>
      </c>
      <c r="BH96" s="82">
        <v>0</v>
      </c>
      <c r="BI96" s="82">
        <v>-300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48.2</v>
      </c>
      <c r="BH97" s="82">
        <v>0</v>
      </c>
      <c r="BI97" s="82">
        <v>-311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63.9</v>
      </c>
      <c r="BH98" s="82">
        <v>0</v>
      </c>
      <c r="BI98" s="82">
        <v>-348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19.5</v>
      </c>
      <c r="BH99" s="82">
        <v>0</v>
      </c>
      <c r="BI99" s="82">
        <v>-381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2">B61+B65+B83+B79+B95+B99</f>
        <v>1934</v>
      </c>
      <c r="C100" s="108">
        <f t="shared" si="32"/>
        <v>1913</v>
      </c>
      <c r="D100" s="108">
        <f t="shared" si="32"/>
        <v>1901.8999999999999</v>
      </c>
      <c r="E100" s="108">
        <f t="shared" si="32"/>
        <v>1897.2399999999998</v>
      </c>
      <c r="F100" s="108">
        <f t="shared" si="32"/>
        <v>1853.04</v>
      </c>
      <c r="G100" s="108">
        <f t="shared" si="32"/>
        <v>1897.04</v>
      </c>
      <c r="H100" s="108">
        <f t="shared" si="32"/>
        <v>1892.14</v>
      </c>
      <c r="I100" s="108">
        <f t="shared" si="32"/>
        <v>1795.14</v>
      </c>
      <c r="J100" s="108">
        <f t="shared" si="32"/>
        <v>1873.04</v>
      </c>
      <c r="K100" s="108">
        <f t="shared" si="32"/>
        <v>1871.6399999999999</v>
      </c>
      <c r="L100" s="108">
        <f t="shared" si="32"/>
        <v>1884.54</v>
      </c>
      <c r="M100" s="108">
        <f t="shared" si="32"/>
        <v>1976.5399999999997</v>
      </c>
      <c r="N100" s="108">
        <f t="shared" si="32"/>
        <v>1970.2399999999998</v>
      </c>
      <c r="O100" s="108">
        <f t="shared" si="32"/>
        <v>1980.4399999999996</v>
      </c>
      <c r="P100" s="108">
        <f t="shared" si="32"/>
        <v>1982.7399999999998</v>
      </c>
      <c r="Q100" s="108">
        <f t="shared" si="32"/>
        <v>2006.08</v>
      </c>
      <c r="R100" s="108">
        <f t="shared" si="32"/>
        <v>2022.78</v>
      </c>
      <c r="S100" s="108">
        <f t="shared" si="32"/>
        <v>2018.9799999999998</v>
      </c>
      <c r="T100" s="108">
        <f t="shared" si="32"/>
        <v>2010.8799999999999</v>
      </c>
      <c r="U100" s="108">
        <f t="shared" si="32"/>
        <v>1970.48</v>
      </c>
      <c r="V100" s="108">
        <f t="shared" si="32"/>
        <v>1914.0799999999997</v>
      </c>
      <c r="W100" s="108">
        <f t="shared" si="32"/>
        <v>1893.58</v>
      </c>
      <c r="X100" s="108">
        <f t="shared" si="32"/>
        <v>1886.98</v>
      </c>
      <c r="Y100" s="108">
        <f t="shared" si="32"/>
        <v>1850.44</v>
      </c>
      <c r="Z100" s="108">
        <f t="shared" si="32"/>
        <v>1807.34</v>
      </c>
      <c r="AA100" s="108">
        <f t="shared" si="32"/>
        <v>1804.98</v>
      </c>
      <c r="AB100" s="108">
        <f t="shared" si="32"/>
        <v>1864.4799999999998</v>
      </c>
      <c r="AC100" s="108">
        <f t="shared" si="32"/>
        <v>1824.58</v>
      </c>
      <c r="AD100" s="108">
        <f t="shared" si="32"/>
        <v>1833.78</v>
      </c>
      <c r="AE100" s="108">
        <f>AE61+AE65+AE83+AE79+AE95+AE99</f>
        <v>1811.68</v>
      </c>
      <c r="AF100" s="108">
        <f>AF61+AF65+AF83+AF79+AF95+AF99</f>
        <v>1916.4399999999996</v>
      </c>
      <c r="AG100" s="72">
        <f t="shared" si="32"/>
        <v>2655.44</v>
      </c>
      <c r="AH100" s="48">
        <f t="shared" si="27"/>
        <v>2022.78</v>
      </c>
      <c r="AI100" s="49">
        <f t="shared" si="28"/>
        <v>1795.14</v>
      </c>
      <c r="BF100" s="81"/>
      <c r="BG100" s="82">
        <v>11.3</v>
      </c>
      <c r="BH100" s="82">
        <v>0</v>
      </c>
      <c r="BI100" s="82">
        <v>-272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100</v>
      </c>
      <c r="C101" s="110">
        <v>100</v>
      </c>
      <c r="D101" s="110">
        <v>100</v>
      </c>
      <c r="E101" s="110">
        <v>80</v>
      </c>
      <c r="F101" s="110">
        <v>80</v>
      </c>
      <c r="G101" s="110">
        <v>70</v>
      </c>
      <c r="H101" s="110">
        <v>60</v>
      </c>
      <c r="I101" s="110">
        <v>150</v>
      </c>
      <c r="J101" s="110">
        <v>150</v>
      </c>
      <c r="K101" s="110">
        <v>150</v>
      </c>
      <c r="L101" s="110">
        <v>150</v>
      </c>
      <c r="M101" s="110">
        <v>150</v>
      </c>
      <c r="N101" s="110">
        <v>100</v>
      </c>
      <c r="O101" s="110">
        <v>100</v>
      </c>
      <c r="P101" s="110">
        <v>200</v>
      </c>
      <c r="Q101" s="110">
        <v>150</v>
      </c>
      <c r="R101" s="110">
        <v>150</v>
      </c>
      <c r="S101" s="110">
        <v>150</v>
      </c>
      <c r="T101" s="110">
        <v>150</v>
      </c>
      <c r="U101" s="110">
        <v>150</v>
      </c>
      <c r="V101" s="110">
        <v>150</v>
      </c>
      <c r="W101" s="110">
        <v>150</v>
      </c>
      <c r="X101" s="110">
        <v>150</v>
      </c>
      <c r="Y101" s="110">
        <v>150</v>
      </c>
      <c r="Z101" s="110">
        <v>150</v>
      </c>
      <c r="AA101" s="110">
        <v>150</v>
      </c>
      <c r="AB101" s="110">
        <v>0</v>
      </c>
      <c r="AC101" s="110">
        <v>0</v>
      </c>
      <c r="AD101" s="110">
        <v>0</v>
      </c>
      <c r="AE101" s="110">
        <v>0</v>
      </c>
      <c r="AF101" s="110">
        <v>0</v>
      </c>
      <c r="AG101" s="101"/>
      <c r="AH101" s="48">
        <f t="shared" si="27"/>
        <v>200</v>
      </c>
      <c r="AI101" s="49">
        <f t="shared" si="28"/>
        <v>0</v>
      </c>
      <c r="BF101" s="81"/>
      <c r="BG101" s="82">
        <v>33.200000000000003</v>
      </c>
      <c r="BH101" s="82">
        <v>0</v>
      </c>
      <c r="BI101" s="82">
        <v>-314.39999999999998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AD102" si="33">B100+B101</f>
        <v>2034</v>
      </c>
      <c r="C102" s="108">
        <f t="shared" si="33"/>
        <v>2013</v>
      </c>
      <c r="D102" s="108">
        <f t="shared" si="33"/>
        <v>2001.8999999999999</v>
      </c>
      <c r="E102" s="108">
        <f t="shared" si="33"/>
        <v>1977.2399999999998</v>
      </c>
      <c r="F102" s="108">
        <f t="shared" si="33"/>
        <v>1933.04</v>
      </c>
      <c r="G102" s="108">
        <f t="shared" si="33"/>
        <v>1967.04</v>
      </c>
      <c r="H102" s="108">
        <f t="shared" si="33"/>
        <v>1952.14</v>
      </c>
      <c r="I102" s="108">
        <f t="shared" si="33"/>
        <v>1945.14</v>
      </c>
      <c r="J102" s="108">
        <f t="shared" si="33"/>
        <v>2023.04</v>
      </c>
      <c r="K102" s="108">
        <f t="shared" si="33"/>
        <v>2021.6399999999999</v>
      </c>
      <c r="L102" s="108">
        <f t="shared" si="33"/>
        <v>2034.54</v>
      </c>
      <c r="M102" s="108">
        <f t="shared" si="33"/>
        <v>2126.54</v>
      </c>
      <c r="N102" s="108">
        <f t="shared" si="33"/>
        <v>2070.2399999999998</v>
      </c>
      <c r="O102" s="108">
        <f t="shared" si="33"/>
        <v>2080.4399999999996</v>
      </c>
      <c r="P102" s="108">
        <f t="shared" si="33"/>
        <v>2182.7399999999998</v>
      </c>
      <c r="Q102" s="108">
        <f t="shared" si="33"/>
        <v>2156.08</v>
      </c>
      <c r="R102" s="108">
        <f t="shared" si="33"/>
        <v>2172.7799999999997</v>
      </c>
      <c r="S102" s="108">
        <f t="shared" si="33"/>
        <v>2168.9799999999996</v>
      </c>
      <c r="T102" s="108">
        <f t="shared" si="33"/>
        <v>2160.88</v>
      </c>
      <c r="U102" s="108">
        <f t="shared" si="33"/>
        <v>2120.48</v>
      </c>
      <c r="V102" s="108">
        <f t="shared" si="33"/>
        <v>2064.08</v>
      </c>
      <c r="W102" s="108">
        <f t="shared" si="33"/>
        <v>2043.58</v>
      </c>
      <c r="X102" s="108">
        <f t="shared" si="33"/>
        <v>2036.98</v>
      </c>
      <c r="Y102" s="108">
        <f t="shared" si="33"/>
        <v>2000.44</v>
      </c>
      <c r="Z102" s="108">
        <f t="shared" si="33"/>
        <v>1957.34</v>
      </c>
      <c r="AA102" s="108">
        <f t="shared" si="33"/>
        <v>1954.98</v>
      </c>
      <c r="AB102" s="108">
        <f t="shared" si="33"/>
        <v>1864.4799999999998</v>
      </c>
      <c r="AC102" s="108">
        <f t="shared" si="33"/>
        <v>1824.58</v>
      </c>
      <c r="AD102" s="108">
        <f t="shared" si="33"/>
        <v>1833.78</v>
      </c>
      <c r="AE102" s="108">
        <f>AE100+AE101</f>
        <v>1811.68</v>
      </c>
      <c r="AF102" s="108">
        <f>AF100+AF101</f>
        <v>1916.4399999999996</v>
      </c>
      <c r="AG102" s="101">
        <f>AG99+AG95+AG83+AG79+AG61+AG101</f>
        <v>2117.34</v>
      </c>
      <c r="AH102" s="48">
        <f t="shared" si="27"/>
        <v>2182.7399999999998</v>
      </c>
      <c r="AI102" s="49">
        <f t="shared" si="28"/>
        <v>1811.68</v>
      </c>
      <c r="BF102" s="81"/>
      <c r="BG102" s="82">
        <v>47.4</v>
      </c>
      <c r="BH102" s="82">
        <v>0</v>
      </c>
      <c r="BI102" s="82">
        <v>-307.7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AD103" si="34">B102-(B110)</f>
        <v>1656.6</v>
      </c>
      <c r="C103" s="108">
        <f t="shared" si="34"/>
        <v>1635.6</v>
      </c>
      <c r="D103" s="108">
        <f t="shared" si="34"/>
        <v>1582.1999999999998</v>
      </c>
      <c r="E103" s="108">
        <f t="shared" si="34"/>
        <v>1528.2399999999998</v>
      </c>
      <c r="F103" s="108">
        <f t="shared" si="34"/>
        <v>1488.04</v>
      </c>
      <c r="G103" s="108">
        <f t="shared" si="34"/>
        <v>1490.04</v>
      </c>
      <c r="H103" s="108">
        <f t="shared" si="34"/>
        <v>1498.14</v>
      </c>
      <c r="I103" s="108">
        <f t="shared" si="34"/>
        <v>1522.8400000000001</v>
      </c>
      <c r="J103" s="108">
        <f t="shared" si="34"/>
        <v>1586.94</v>
      </c>
      <c r="K103" s="108">
        <f t="shared" si="34"/>
        <v>1727.6399999999999</v>
      </c>
      <c r="L103" s="108">
        <f t="shared" si="34"/>
        <v>1654.54</v>
      </c>
      <c r="M103" s="108">
        <f t="shared" si="34"/>
        <v>1755.6399999999999</v>
      </c>
      <c r="N103" s="108">
        <f t="shared" si="34"/>
        <v>1738.9399999999998</v>
      </c>
      <c r="O103" s="108">
        <f t="shared" si="34"/>
        <v>1777.4399999999996</v>
      </c>
      <c r="P103" s="108">
        <f t="shared" si="34"/>
        <v>1852.7399999999998</v>
      </c>
      <c r="Q103" s="108">
        <f t="shared" si="34"/>
        <v>1858.08</v>
      </c>
      <c r="R103" s="108">
        <f t="shared" si="34"/>
        <v>1888.7799999999997</v>
      </c>
      <c r="S103" s="108">
        <f t="shared" si="34"/>
        <v>1937.6799999999996</v>
      </c>
      <c r="T103" s="108">
        <f t="shared" si="34"/>
        <v>1860.88</v>
      </c>
      <c r="U103" s="108">
        <f t="shared" si="34"/>
        <v>1809.48</v>
      </c>
      <c r="V103" s="108">
        <f t="shared" si="34"/>
        <v>1716.08</v>
      </c>
      <c r="W103" s="108">
        <f t="shared" si="34"/>
        <v>1665.58</v>
      </c>
      <c r="X103" s="108">
        <f t="shared" si="34"/>
        <v>1655.98</v>
      </c>
      <c r="Y103" s="108">
        <f t="shared" si="34"/>
        <v>1638.44</v>
      </c>
      <c r="Z103" s="108">
        <f t="shared" si="34"/>
        <v>1685.34</v>
      </c>
      <c r="AA103" s="108">
        <f t="shared" si="34"/>
        <v>1682.98</v>
      </c>
      <c r="AB103" s="108">
        <f t="shared" si="34"/>
        <v>1550.08</v>
      </c>
      <c r="AC103" s="108">
        <f t="shared" si="34"/>
        <v>1534.58</v>
      </c>
      <c r="AD103" s="108">
        <f t="shared" si="34"/>
        <v>1526.08</v>
      </c>
      <c r="AE103" s="108">
        <f>AE102-(AE110)</f>
        <v>1503.98</v>
      </c>
      <c r="AF103" s="108">
        <f>AF102-(AF110)</f>
        <v>1466.4399999999996</v>
      </c>
      <c r="AG103" s="101"/>
      <c r="AH103" s="48">
        <f t="shared" si="27"/>
        <v>1937.6799999999996</v>
      </c>
      <c r="AI103" s="49">
        <f t="shared" si="28"/>
        <v>1466.4399999999996</v>
      </c>
      <c r="BF103" s="81"/>
      <c r="BG103" s="82">
        <v>47.4</v>
      </c>
      <c r="BH103" s="82">
        <v>0</v>
      </c>
      <c r="BI103" s="82">
        <v>-307.7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v>0</v>
      </c>
      <c r="C104" s="89">
        <v>0</v>
      </c>
      <c r="D104" s="89">
        <v>0</v>
      </c>
      <c r="E104" s="89">
        <f t="shared" ref="B104:AD109" si="35">IF(E84&lt;0,E84*-1,0)</f>
        <v>0</v>
      </c>
      <c r="F104" s="89">
        <f t="shared" si="35"/>
        <v>0</v>
      </c>
      <c r="G104" s="89">
        <f t="shared" si="35"/>
        <v>0</v>
      </c>
      <c r="H104" s="89">
        <f t="shared" si="35"/>
        <v>0</v>
      </c>
      <c r="I104" s="89">
        <f t="shared" si="35"/>
        <v>0</v>
      </c>
      <c r="J104" s="89">
        <f t="shared" si="35"/>
        <v>0</v>
      </c>
      <c r="K104" s="89">
        <f t="shared" si="35"/>
        <v>0</v>
      </c>
      <c r="L104" s="89">
        <f t="shared" si="35"/>
        <v>0</v>
      </c>
      <c r="M104" s="89">
        <f t="shared" si="35"/>
        <v>0</v>
      </c>
      <c r="N104" s="89">
        <f t="shared" si="35"/>
        <v>0</v>
      </c>
      <c r="O104" s="89">
        <f t="shared" si="35"/>
        <v>0</v>
      </c>
      <c r="P104" s="89">
        <f t="shared" si="35"/>
        <v>0</v>
      </c>
      <c r="Q104" s="89">
        <f t="shared" si="35"/>
        <v>0</v>
      </c>
      <c r="R104" s="89">
        <f t="shared" si="35"/>
        <v>0</v>
      </c>
      <c r="S104" s="89">
        <f t="shared" si="35"/>
        <v>0</v>
      </c>
      <c r="T104" s="89">
        <f t="shared" si="35"/>
        <v>0</v>
      </c>
      <c r="U104" s="89">
        <f t="shared" si="35"/>
        <v>0</v>
      </c>
      <c r="V104" s="89">
        <f t="shared" si="35"/>
        <v>0</v>
      </c>
      <c r="W104" s="89">
        <f t="shared" si="35"/>
        <v>0</v>
      </c>
      <c r="X104" s="89">
        <f t="shared" si="35"/>
        <v>0</v>
      </c>
      <c r="Y104" s="89">
        <f t="shared" si="35"/>
        <v>0</v>
      </c>
      <c r="Z104" s="89">
        <f t="shared" si="35"/>
        <v>0</v>
      </c>
      <c r="AA104" s="89">
        <f t="shared" si="35"/>
        <v>0</v>
      </c>
      <c r="AB104" s="89">
        <f t="shared" si="35"/>
        <v>0</v>
      </c>
      <c r="AC104" s="89">
        <f t="shared" si="35"/>
        <v>0</v>
      </c>
      <c r="AD104" s="89">
        <f t="shared" si="35"/>
        <v>0</v>
      </c>
      <c r="AE104" s="89">
        <f t="shared" ref="AE104:AF109" si="36">IF(AE84&lt;0,AE84*-1,0)</f>
        <v>0</v>
      </c>
      <c r="AF104" s="89">
        <f t="shared" si="36"/>
        <v>0</v>
      </c>
      <c r="AG104" s="61"/>
      <c r="AH104" s="48">
        <f t="shared" si="27"/>
        <v>0</v>
      </c>
      <c r="AI104" s="49">
        <f t="shared" si="28"/>
        <v>0</v>
      </c>
      <c r="BG104" s="82">
        <v>46</v>
      </c>
      <c r="BH104" s="82">
        <v>0</v>
      </c>
      <c r="BI104" s="82">
        <v>-450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v>0</v>
      </c>
      <c r="C105" s="89">
        <v>0</v>
      </c>
      <c r="D105" s="89">
        <v>0</v>
      </c>
      <c r="E105" s="89">
        <f t="shared" ref="E105:Q105" si="37">IF(E85&lt;0,E85*-1,0)</f>
        <v>0</v>
      </c>
      <c r="F105" s="89">
        <f t="shared" si="37"/>
        <v>0</v>
      </c>
      <c r="G105" s="89">
        <f t="shared" si="37"/>
        <v>0</v>
      </c>
      <c r="H105" s="89">
        <f t="shared" si="37"/>
        <v>0</v>
      </c>
      <c r="I105" s="89">
        <f t="shared" si="37"/>
        <v>0</v>
      </c>
      <c r="J105" s="89">
        <f t="shared" si="37"/>
        <v>0</v>
      </c>
      <c r="K105" s="89">
        <f t="shared" si="37"/>
        <v>0</v>
      </c>
      <c r="L105" s="89">
        <f t="shared" si="37"/>
        <v>0</v>
      </c>
      <c r="M105" s="89">
        <f t="shared" si="37"/>
        <v>0</v>
      </c>
      <c r="N105" s="89">
        <f t="shared" si="37"/>
        <v>0</v>
      </c>
      <c r="O105" s="89">
        <f t="shared" si="37"/>
        <v>0</v>
      </c>
      <c r="P105" s="89">
        <f t="shared" si="37"/>
        <v>0</v>
      </c>
      <c r="Q105" s="89">
        <f t="shared" si="37"/>
        <v>0</v>
      </c>
      <c r="R105" s="89">
        <f t="shared" si="35"/>
        <v>0</v>
      </c>
      <c r="S105" s="89">
        <f t="shared" si="35"/>
        <v>0</v>
      </c>
      <c r="T105" s="89">
        <f t="shared" si="35"/>
        <v>0</v>
      </c>
      <c r="U105" s="89">
        <f t="shared" si="35"/>
        <v>0</v>
      </c>
      <c r="V105" s="89">
        <f t="shared" si="35"/>
        <v>0</v>
      </c>
      <c r="W105" s="89">
        <f t="shared" si="35"/>
        <v>0</v>
      </c>
      <c r="X105" s="89">
        <f t="shared" si="35"/>
        <v>0</v>
      </c>
      <c r="Y105" s="89">
        <f t="shared" si="35"/>
        <v>0</v>
      </c>
      <c r="Z105" s="89">
        <f t="shared" si="35"/>
        <v>0</v>
      </c>
      <c r="AA105" s="89">
        <f t="shared" si="35"/>
        <v>0</v>
      </c>
      <c r="AB105" s="89">
        <f t="shared" si="35"/>
        <v>0</v>
      </c>
      <c r="AC105" s="89">
        <f t="shared" si="35"/>
        <v>0</v>
      </c>
      <c r="AD105" s="89">
        <f t="shared" si="35"/>
        <v>0</v>
      </c>
      <c r="AE105" s="89">
        <f t="shared" si="36"/>
        <v>0</v>
      </c>
      <c r="AF105" s="89">
        <f t="shared" si="36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13.5</v>
      </c>
      <c r="BH105" s="82">
        <v>0</v>
      </c>
      <c r="BI105" s="82">
        <v>-377.4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5"/>
        <v>377.4</v>
      </c>
      <c r="C106" s="89">
        <f t="shared" si="35"/>
        <v>377.4</v>
      </c>
      <c r="D106" s="89">
        <f t="shared" si="35"/>
        <v>419.7</v>
      </c>
      <c r="E106" s="89">
        <f t="shared" si="35"/>
        <v>449</v>
      </c>
      <c r="F106" s="89">
        <f t="shared" si="35"/>
        <v>445</v>
      </c>
      <c r="G106" s="89">
        <f t="shared" si="35"/>
        <v>477</v>
      </c>
      <c r="H106" s="89">
        <f t="shared" si="35"/>
        <v>454</v>
      </c>
      <c r="I106" s="89">
        <f t="shared" si="35"/>
        <v>422.3</v>
      </c>
      <c r="J106" s="89">
        <f t="shared" si="35"/>
        <v>436.1</v>
      </c>
      <c r="K106" s="89">
        <f t="shared" si="35"/>
        <v>294</v>
      </c>
      <c r="L106" s="89">
        <f t="shared" si="35"/>
        <v>380</v>
      </c>
      <c r="M106" s="89">
        <f t="shared" si="35"/>
        <v>370.9</v>
      </c>
      <c r="N106" s="89">
        <f t="shared" si="35"/>
        <v>331.3</v>
      </c>
      <c r="O106" s="89">
        <f t="shared" si="35"/>
        <v>303</v>
      </c>
      <c r="P106" s="89">
        <f t="shared" si="35"/>
        <v>330</v>
      </c>
      <c r="Q106" s="89">
        <f t="shared" si="35"/>
        <v>298</v>
      </c>
      <c r="R106" s="89">
        <f t="shared" si="35"/>
        <v>284</v>
      </c>
      <c r="S106" s="89">
        <f t="shared" si="35"/>
        <v>231.3</v>
      </c>
      <c r="T106" s="89">
        <f t="shared" si="35"/>
        <v>300</v>
      </c>
      <c r="U106" s="89">
        <f t="shared" si="35"/>
        <v>311</v>
      </c>
      <c r="V106" s="89">
        <f t="shared" si="35"/>
        <v>348</v>
      </c>
      <c r="W106" s="89">
        <f t="shared" si="35"/>
        <v>378</v>
      </c>
      <c r="X106" s="89">
        <f t="shared" si="35"/>
        <v>381</v>
      </c>
      <c r="Y106" s="89">
        <f t="shared" si="35"/>
        <v>362</v>
      </c>
      <c r="Z106" s="89">
        <f t="shared" si="35"/>
        <v>272</v>
      </c>
      <c r="AA106" s="89">
        <f t="shared" si="35"/>
        <v>272</v>
      </c>
      <c r="AB106" s="89">
        <f t="shared" si="35"/>
        <v>314.39999999999998</v>
      </c>
      <c r="AC106" s="89">
        <f t="shared" si="35"/>
        <v>290</v>
      </c>
      <c r="AD106" s="89">
        <f t="shared" si="35"/>
        <v>307.7</v>
      </c>
      <c r="AE106" s="89">
        <f t="shared" si="36"/>
        <v>307.7</v>
      </c>
      <c r="AF106" s="89">
        <f t="shared" si="36"/>
        <v>450</v>
      </c>
      <c r="AG106" s="111"/>
      <c r="AH106" s="48">
        <f t="shared" si="27"/>
        <v>477</v>
      </c>
      <c r="AI106" s="49">
        <f t="shared" si="28"/>
        <v>231.3</v>
      </c>
    </row>
    <row r="107" spans="1:64" x14ac:dyDescent="0.25">
      <c r="A107" s="97" t="s">
        <v>107</v>
      </c>
      <c r="B107" s="89">
        <f t="shared" si="35"/>
        <v>0</v>
      </c>
      <c r="C107" s="89">
        <f t="shared" si="35"/>
        <v>0</v>
      </c>
      <c r="D107" s="89">
        <f t="shared" si="35"/>
        <v>0</v>
      </c>
      <c r="E107" s="89">
        <f t="shared" si="35"/>
        <v>0</v>
      </c>
      <c r="F107" s="89">
        <f t="shared" si="35"/>
        <v>0</v>
      </c>
      <c r="G107" s="89">
        <f t="shared" si="35"/>
        <v>0</v>
      </c>
      <c r="H107" s="89">
        <f t="shared" si="35"/>
        <v>0</v>
      </c>
      <c r="I107" s="89">
        <f t="shared" si="35"/>
        <v>0</v>
      </c>
      <c r="J107" s="89">
        <f t="shared" si="35"/>
        <v>0</v>
      </c>
      <c r="K107" s="89">
        <f t="shared" si="35"/>
        <v>0</v>
      </c>
      <c r="L107" s="89">
        <f t="shared" si="35"/>
        <v>0</v>
      </c>
      <c r="M107" s="89">
        <f t="shared" si="35"/>
        <v>0</v>
      </c>
      <c r="N107" s="89">
        <f t="shared" si="35"/>
        <v>0</v>
      </c>
      <c r="O107" s="89">
        <f t="shared" si="35"/>
        <v>0</v>
      </c>
      <c r="P107" s="89">
        <f t="shared" si="35"/>
        <v>0</v>
      </c>
      <c r="Q107" s="89">
        <f t="shared" si="35"/>
        <v>0</v>
      </c>
      <c r="R107" s="89">
        <f t="shared" si="35"/>
        <v>0</v>
      </c>
      <c r="S107" s="89">
        <f t="shared" si="35"/>
        <v>0</v>
      </c>
      <c r="T107" s="89">
        <f t="shared" si="35"/>
        <v>0</v>
      </c>
      <c r="U107" s="89">
        <f t="shared" si="35"/>
        <v>0</v>
      </c>
      <c r="V107" s="89">
        <f t="shared" si="35"/>
        <v>0</v>
      </c>
      <c r="W107" s="89">
        <f t="shared" si="35"/>
        <v>0</v>
      </c>
      <c r="X107" s="89">
        <f t="shared" si="35"/>
        <v>0</v>
      </c>
      <c r="Y107" s="89">
        <f t="shared" si="35"/>
        <v>0</v>
      </c>
      <c r="Z107" s="89">
        <f t="shared" si="35"/>
        <v>0</v>
      </c>
      <c r="AA107" s="89">
        <f t="shared" si="35"/>
        <v>0</v>
      </c>
      <c r="AB107" s="89">
        <f t="shared" si="35"/>
        <v>0</v>
      </c>
      <c r="AC107" s="89">
        <f t="shared" si="35"/>
        <v>0</v>
      </c>
      <c r="AD107" s="89">
        <f t="shared" si="35"/>
        <v>0</v>
      </c>
      <c r="AE107" s="89">
        <f t="shared" si="36"/>
        <v>0</v>
      </c>
      <c r="AF107" s="89">
        <f t="shared" si="36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v>0</v>
      </c>
      <c r="C108" s="89">
        <v>0</v>
      </c>
      <c r="D108" s="89">
        <v>0</v>
      </c>
      <c r="E108" s="89">
        <f t="shared" si="35"/>
        <v>0</v>
      </c>
      <c r="F108" s="89">
        <f t="shared" si="35"/>
        <v>0</v>
      </c>
      <c r="G108" s="89">
        <f t="shared" si="35"/>
        <v>0</v>
      </c>
      <c r="H108" s="89">
        <f t="shared" si="35"/>
        <v>0</v>
      </c>
      <c r="I108" s="89">
        <f t="shared" si="35"/>
        <v>0</v>
      </c>
      <c r="J108" s="89">
        <f t="shared" si="35"/>
        <v>0</v>
      </c>
      <c r="K108" s="89">
        <f t="shared" si="35"/>
        <v>0</v>
      </c>
      <c r="L108" s="89">
        <f t="shared" si="35"/>
        <v>0</v>
      </c>
      <c r="M108" s="89">
        <f t="shared" si="35"/>
        <v>0</v>
      </c>
      <c r="N108" s="89">
        <f t="shared" si="35"/>
        <v>0</v>
      </c>
      <c r="O108" s="89">
        <f t="shared" si="35"/>
        <v>0</v>
      </c>
      <c r="P108" s="89">
        <f t="shared" si="35"/>
        <v>0</v>
      </c>
      <c r="Q108" s="89">
        <f t="shared" si="35"/>
        <v>0</v>
      </c>
      <c r="R108" s="89">
        <f t="shared" si="35"/>
        <v>0</v>
      </c>
      <c r="S108" s="89">
        <f t="shared" si="35"/>
        <v>0</v>
      </c>
      <c r="T108" s="89">
        <f t="shared" si="35"/>
        <v>0</v>
      </c>
      <c r="U108" s="89">
        <f t="shared" si="35"/>
        <v>0</v>
      </c>
      <c r="V108" s="89">
        <f t="shared" si="35"/>
        <v>0</v>
      </c>
      <c r="W108" s="89">
        <f t="shared" si="35"/>
        <v>0</v>
      </c>
      <c r="X108" s="89">
        <f t="shared" si="35"/>
        <v>0</v>
      </c>
      <c r="Y108" s="89">
        <f t="shared" si="35"/>
        <v>0</v>
      </c>
      <c r="Z108" s="89">
        <f t="shared" si="35"/>
        <v>0</v>
      </c>
      <c r="AA108" s="89">
        <f t="shared" si="35"/>
        <v>0</v>
      </c>
      <c r="AB108" s="89">
        <f t="shared" si="35"/>
        <v>0</v>
      </c>
      <c r="AC108" s="89">
        <f t="shared" si="35"/>
        <v>0</v>
      </c>
      <c r="AD108" s="89">
        <f t="shared" si="35"/>
        <v>0</v>
      </c>
      <c r="AE108" s="89">
        <f t="shared" si="36"/>
        <v>0</v>
      </c>
      <c r="AF108" s="89">
        <f t="shared" si="36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v>0</v>
      </c>
      <c r="C109" s="89">
        <v>0</v>
      </c>
      <c r="D109" s="89">
        <v>0</v>
      </c>
      <c r="E109" s="89">
        <f t="shared" si="35"/>
        <v>0</v>
      </c>
      <c r="F109" s="89">
        <f t="shared" si="35"/>
        <v>0</v>
      </c>
      <c r="G109" s="89">
        <f t="shared" si="35"/>
        <v>0</v>
      </c>
      <c r="H109" s="89">
        <f t="shared" si="35"/>
        <v>0</v>
      </c>
      <c r="I109" s="89">
        <f t="shared" si="35"/>
        <v>0</v>
      </c>
      <c r="J109" s="89">
        <f t="shared" si="35"/>
        <v>0</v>
      </c>
      <c r="K109" s="89">
        <f t="shared" si="35"/>
        <v>0</v>
      </c>
      <c r="L109" s="89">
        <f t="shared" si="35"/>
        <v>0</v>
      </c>
      <c r="M109" s="89">
        <f t="shared" si="35"/>
        <v>0</v>
      </c>
      <c r="N109" s="89">
        <f t="shared" si="35"/>
        <v>0</v>
      </c>
      <c r="O109" s="89">
        <f t="shared" si="35"/>
        <v>0</v>
      </c>
      <c r="P109" s="89">
        <f t="shared" si="35"/>
        <v>0</v>
      </c>
      <c r="Q109" s="89">
        <f t="shared" si="35"/>
        <v>0</v>
      </c>
      <c r="R109" s="89">
        <f t="shared" si="35"/>
        <v>0</v>
      </c>
      <c r="S109" s="89">
        <f t="shared" si="35"/>
        <v>0</v>
      </c>
      <c r="T109" s="89">
        <f t="shared" si="35"/>
        <v>0</v>
      </c>
      <c r="U109" s="89">
        <f t="shared" si="35"/>
        <v>0</v>
      </c>
      <c r="V109" s="89">
        <f t="shared" si="35"/>
        <v>0</v>
      </c>
      <c r="W109" s="89">
        <f t="shared" si="35"/>
        <v>0</v>
      </c>
      <c r="X109" s="89">
        <f t="shared" si="35"/>
        <v>0</v>
      </c>
      <c r="Y109" s="89">
        <f t="shared" si="35"/>
        <v>0</v>
      </c>
      <c r="Z109" s="89">
        <f t="shared" si="35"/>
        <v>0</v>
      </c>
      <c r="AA109" s="89">
        <f t="shared" si="35"/>
        <v>0</v>
      </c>
      <c r="AB109" s="89">
        <f t="shared" si="35"/>
        <v>0</v>
      </c>
      <c r="AC109" s="89">
        <f t="shared" si="35"/>
        <v>0</v>
      </c>
      <c r="AD109" s="89">
        <f t="shared" si="35"/>
        <v>0</v>
      </c>
      <c r="AE109" s="89">
        <f t="shared" si="36"/>
        <v>0</v>
      </c>
      <c r="AF109" s="89">
        <f t="shared" si="36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 t="shared" ref="B110:AD110" si="38">SUM(B104:B109)</f>
        <v>377.4</v>
      </c>
      <c r="C110" s="71">
        <f t="shared" si="38"/>
        <v>377.4</v>
      </c>
      <c r="D110" s="71">
        <f t="shared" si="38"/>
        <v>419.7</v>
      </c>
      <c r="E110" s="71">
        <f t="shared" si="38"/>
        <v>449</v>
      </c>
      <c r="F110" s="71">
        <f t="shared" si="38"/>
        <v>445</v>
      </c>
      <c r="G110" s="71">
        <f t="shared" si="38"/>
        <v>477</v>
      </c>
      <c r="H110" s="71">
        <f t="shared" si="38"/>
        <v>454</v>
      </c>
      <c r="I110" s="71">
        <f t="shared" si="38"/>
        <v>422.3</v>
      </c>
      <c r="J110" s="71">
        <f t="shared" si="38"/>
        <v>436.1</v>
      </c>
      <c r="K110" s="71">
        <f t="shared" si="38"/>
        <v>294</v>
      </c>
      <c r="L110" s="71">
        <f t="shared" si="38"/>
        <v>380</v>
      </c>
      <c r="M110" s="71">
        <f t="shared" si="38"/>
        <v>370.9</v>
      </c>
      <c r="N110" s="71">
        <f t="shared" si="38"/>
        <v>331.3</v>
      </c>
      <c r="O110" s="71">
        <f t="shared" si="38"/>
        <v>303</v>
      </c>
      <c r="P110" s="71">
        <f t="shared" si="38"/>
        <v>330</v>
      </c>
      <c r="Q110" s="71">
        <f t="shared" si="38"/>
        <v>298</v>
      </c>
      <c r="R110" s="71">
        <f t="shared" si="38"/>
        <v>284</v>
      </c>
      <c r="S110" s="71">
        <f t="shared" si="38"/>
        <v>231.3</v>
      </c>
      <c r="T110" s="71">
        <f t="shared" si="38"/>
        <v>300</v>
      </c>
      <c r="U110" s="71">
        <f t="shared" si="38"/>
        <v>311</v>
      </c>
      <c r="V110" s="71">
        <f t="shared" si="38"/>
        <v>348</v>
      </c>
      <c r="W110" s="71">
        <f t="shared" si="38"/>
        <v>378</v>
      </c>
      <c r="X110" s="71">
        <f t="shared" si="38"/>
        <v>381</v>
      </c>
      <c r="Y110" s="71">
        <f t="shared" si="38"/>
        <v>362</v>
      </c>
      <c r="Z110" s="71">
        <f t="shared" si="38"/>
        <v>272</v>
      </c>
      <c r="AA110" s="71">
        <f t="shared" si="38"/>
        <v>272</v>
      </c>
      <c r="AB110" s="71">
        <f t="shared" si="38"/>
        <v>314.39999999999998</v>
      </c>
      <c r="AC110" s="71">
        <f t="shared" si="38"/>
        <v>290</v>
      </c>
      <c r="AD110" s="71">
        <f t="shared" si="38"/>
        <v>307.7</v>
      </c>
      <c r="AE110" s="71">
        <f>SUM(AE104:AE109)</f>
        <v>307.7</v>
      </c>
      <c r="AF110" s="71">
        <f>SUM(AF104:AF109)</f>
        <v>450</v>
      </c>
      <c r="AG110" s="101"/>
      <c r="AH110" s="48">
        <f t="shared" si="27"/>
        <v>477</v>
      </c>
      <c r="AI110" s="49">
        <f t="shared" si="28"/>
        <v>231.3</v>
      </c>
    </row>
    <row r="111" spans="1:64" ht="15.75" thickBot="1" x14ac:dyDescent="0.3">
      <c r="A111" s="87" t="s">
        <v>131</v>
      </c>
      <c r="B111" s="71">
        <f t="shared" ref="B111:AD111" si="39">B95-B110</f>
        <v>-306.89999999999998</v>
      </c>
      <c r="C111" s="71">
        <f t="shared" si="39"/>
        <v>-306.89999999999998</v>
      </c>
      <c r="D111" s="71">
        <f t="shared" si="39"/>
        <v>-360.4</v>
      </c>
      <c r="E111" s="71">
        <f t="shared" si="39"/>
        <v>-392.4</v>
      </c>
      <c r="F111" s="71">
        <f t="shared" si="39"/>
        <v>-390.9</v>
      </c>
      <c r="G111" s="71">
        <f t="shared" si="39"/>
        <v>-411.4</v>
      </c>
      <c r="H111" s="71">
        <f t="shared" si="39"/>
        <v>-389.8</v>
      </c>
      <c r="I111" s="71">
        <f t="shared" si="39"/>
        <v>-366</v>
      </c>
      <c r="J111" s="71">
        <f t="shared" si="39"/>
        <v>-339.5</v>
      </c>
      <c r="K111" s="71">
        <f t="shared" si="39"/>
        <v>-186</v>
      </c>
      <c r="L111" s="71">
        <f t="shared" si="39"/>
        <v>-280.10000000000002</v>
      </c>
      <c r="M111" s="71">
        <f t="shared" si="39"/>
        <v>-267</v>
      </c>
      <c r="N111" s="71">
        <f t="shared" si="39"/>
        <v>-268.3</v>
      </c>
      <c r="O111" s="71">
        <f t="shared" si="39"/>
        <v>-231</v>
      </c>
      <c r="P111" s="71">
        <f t="shared" si="39"/>
        <v>-266.60000000000002</v>
      </c>
      <c r="Q111" s="71">
        <f t="shared" si="39"/>
        <v>-179</v>
      </c>
      <c r="R111" s="71">
        <f t="shared" si="39"/>
        <v>-161.30000000000001</v>
      </c>
      <c r="S111" s="71">
        <f t="shared" si="39"/>
        <v>-116.30000000000001</v>
      </c>
      <c r="T111" s="71">
        <f t="shared" si="39"/>
        <v>-187.1</v>
      </c>
      <c r="U111" s="71">
        <f t="shared" si="39"/>
        <v>-207.3</v>
      </c>
      <c r="V111" s="71">
        <f t="shared" si="39"/>
        <v>-243.9</v>
      </c>
      <c r="W111" s="71">
        <f t="shared" si="39"/>
        <v>-270</v>
      </c>
      <c r="X111" s="71">
        <f t="shared" si="39"/>
        <v>-314.5</v>
      </c>
      <c r="Y111" s="71">
        <f t="shared" si="39"/>
        <v>-305.60000000000002</v>
      </c>
      <c r="Z111" s="71">
        <f t="shared" si="39"/>
        <v>-260.7</v>
      </c>
      <c r="AA111" s="71">
        <f t="shared" si="39"/>
        <v>-260.7</v>
      </c>
      <c r="AB111" s="71">
        <f t="shared" si="39"/>
        <v>-242.29999999999998</v>
      </c>
      <c r="AC111" s="71">
        <f t="shared" si="39"/>
        <v>-250.2</v>
      </c>
      <c r="AD111" s="71">
        <f t="shared" si="39"/>
        <v>-260.3</v>
      </c>
      <c r="AE111" s="71">
        <f>AE95-AE110</f>
        <v>-260.3</v>
      </c>
      <c r="AF111" s="71">
        <f>AF95-AF110</f>
        <v>-351.4</v>
      </c>
      <c r="AG111" s="101"/>
      <c r="AH111" s="48">
        <f t="shared" si="27"/>
        <v>-116.30000000000001</v>
      </c>
      <c r="AI111" s="49">
        <f t="shared" si="28"/>
        <v>-411.4</v>
      </c>
    </row>
    <row r="112" spans="1:64" x14ac:dyDescent="0.25">
      <c r="A112" s="113" t="s">
        <v>132</v>
      </c>
      <c r="B112" s="114">
        <v>50.06</v>
      </c>
      <c r="C112" s="114">
        <v>50.06</v>
      </c>
      <c r="D112" s="114">
        <v>50.01</v>
      </c>
      <c r="E112" s="114">
        <v>50.018000000000001</v>
      </c>
      <c r="F112" s="114">
        <v>50.064999999999998</v>
      </c>
      <c r="G112" s="114">
        <v>49.988999999999997</v>
      </c>
      <c r="H112" s="114">
        <v>49.994</v>
      </c>
      <c r="I112" s="114">
        <v>49.963999999999999</v>
      </c>
      <c r="J112" s="114">
        <v>49.953000000000003</v>
      </c>
      <c r="K112" s="114">
        <v>50.033999999999999</v>
      </c>
      <c r="L112" s="114">
        <v>50.006</v>
      </c>
      <c r="M112" s="114">
        <v>50.161999999999999</v>
      </c>
      <c r="N112" s="114">
        <v>50.085999999999999</v>
      </c>
      <c r="O112" s="114">
        <v>50.055999999999997</v>
      </c>
      <c r="P112" s="114">
        <v>50.027999999999999</v>
      </c>
      <c r="Q112" s="114">
        <v>49.935000000000002</v>
      </c>
      <c r="R112" s="114">
        <v>50.057000000000002</v>
      </c>
      <c r="S112" s="114">
        <v>50.067</v>
      </c>
      <c r="T112" s="114">
        <v>50.045999999999999</v>
      </c>
      <c r="U112" s="114">
        <v>50.052999999999997</v>
      </c>
      <c r="V112" s="114">
        <v>50.014000000000003</v>
      </c>
      <c r="W112" s="114">
        <v>50</v>
      </c>
      <c r="X112" s="114">
        <v>50.051000000000002</v>
      </c>
      <c r="Y112" s="114">
        <v>50.106000000000002</v>
      </c>
      <c r="Z112" s="114">
        <v>49.991999999999997</v>
      </c>
      <c r="AA112" s="114"/>
      <c r="AB112" s="114">
        <v>49.999000000000002</v>
      </c>
      <c r="AC112" s="114">
        <v>49.857999999999997</v>
      </c>
      <c r="AD112" s="114">
        <v>49.899000000000001</v>
      </c>
      <c r="AE112" s="114">
        <v>49.899000000000001</v>
      </c>
      <c r="AF112" s="114">
        <v>50</v>
      </c>
      <c r="AG112" s="115"/>
      <c r="AH112" s="48">
        <f t="shared" si="27"/>
        <v>50.161999999999999</v>
      </c>
      <c r="AI112" s="49">
        <f t="shared" si="28"/>
        <v>49.857999999999997</v>
      </c>
    </row>
    <row r="113" spans="1:35" x14ac:dyDescent="0.25">
      <c r="A113" s="116" t="s">
        <v>133</v>
      </c>
      <c r="B113" s="76">
        <v>117.9</v>
      </c>
      <c r="C113" s="76">
        <v>117.9</v>
      </c>
      <c r="D113" s="76">
        <v>117.9</v>
      </c>
      <c r="E113" s="76">
        <v>119.4</v>
      </c>
      <c r="F113" s="76">
        <v>119.4</v>
      </c>
      <c r="G113" s="76">
        <v>119.7</v>
      </c>
      <c r="H113" s="76">
        <v>120.3</v>
      </c>
      <c r="I113" s="76">
        <v>121.9</v>
      </c>
      <c r="J113" s="76">
        <v>121.4</v>
      </c>
      <c r="K113" s="76">
        <v>120.7</v>
      </c>
      <c r="L113" s="76">
        <v>121.4</v>
      </c>
      <c r="M113" s="76">
        <v>120.5</v>
      </c>
      <c r="N113" s="76">
        <v>118.9</v>
      </c>
      <c r="O113" s="76">
        <v>118.2</v>
      </c>
      <c r="P113" s="76">
        <v>119.1</v>
      </c>
      <c r="Q113" s="76">
        <v>119</v>
      </c>
      <c r="R113" s="76">
        <v>119.8</v>
      </c>
      <c r="S113" s="76">
        <v>118.8</v>
      </c>
      <c r="T113" s="76">
        <v>121</v>
      </c>
      <c r="U113" s="76">
        <v>120.8</v>
      </c>
      <c r="V113" s="76">
        <v>122.6</v>
      </c>
      <c r="W113" s="76">
        <v>123.5</v>
      </c>
      <c r="X113" s="76">
        <v>124.4</v>
      </c>
      <c r="Y113" s="76">
        <v>123</v>
      </c>
      <c r="Z113" s="76">
        <v>121.8</v>
      </c>
      <c r="AA113" s="76"/>
      <c r="AB113" s="76">
        <v>123</v>
      </c>
      <c r="AC113" s="76">
        <v>122.6</v>
      </c>
      <c r="AD113" s="76">
        <v>123.4</v>
      </c>
      <c r="AE113" s="76">
        <v>123.4</v>
      </c>
      <c r="AF113" s="76">
        <v>121</v>
      </c>
      <c r="AG113" s="117"/>
      <c r="AH113" s="48">
        <f t="shared" si="27"/>
        <v>124.4</v>
      </c>
      <c r="AI113" s="49">
        <f t="shared" si="28"/>
        <v>117.9</v>
      </c>
    </row>
    <row r="114" spans="1:35" x14ac:dyDescent="0.25">
      <c r="A114" s="116" t="s">
        <v>134</v>
      </c>
      <c r="B114" s="76">
        <v>125.2</v>
      </c>
      <c r="C114" s="76">
        <v>125.2</v>
      </c>
      <c r="D114" s="76">
        <v>125.2</v>
      </c>
      <c r="E114" s="76">
        <v>125.9</v>
      </c>
      <c r="F114" s="76">
        <v>126</v>
      </c>
      <c r="G114" s="76">
        <v>126.4</v>
      </c>
      <c r="H114" s="76">
        <v>126.3</v>
      </c>
      <c r="I114" s="76">
        <v>126.8</v>
      </c>
      <c r="J114" s="76">
        <v>125.9</v>
      </c>
      <c r="K114" s="76">
        <v>125.7</v>
      </c>
      <c r="L114" s="76">
        <v>125.3</v>
      </c>
      <c r="M114" s="76">
        <v>124.6</v>
      </c>
      <c r="N114" s="76">
        <v>123.5</v>
      </c>
      <c r="O114" s="76">
        <v>123.2</v>
      </c>
      <c r="P114" s="76">
        <v>123.4</v>
      </c>
      <c r="Q114" s="76">
        <v>123</v>
      </c>
      <c r="R114" s="76">
        <v>123.6</v>
      </c>
      <c r="S114" s="76">
        <v>123.2</v>
      </c>
      <c r="T114" s="76">
        <v>124.8</v>
      </c>
      <c r="U114" s="76">
        <v>124.4</v>
      </c>
      <c r="V114" s="76">
        <v>126.1</v>
      </c>
      <c r="W114" s="76">
        <v>126.7</v>
      </c>
      <c r="X114" s="76">
        <v>127.3</v>
      </c>
      <c r="Y114" s="76">
        <v>126.3</v>
      </c>
      <c r="Z114" s="76">
        <v>125.3</v>
      </c>
      <c r="AA114" s="76"/>
      <c r="AB114" s="76">
        <v>126.7</v>
      </c>
      <c r="AC114" s="76">
        <v>126.2</v>
      </c>
      <c r="AD114" s="76">
        <v>127.6</v>
      </c>
      <c r="AE114" s="76">
        <v>127.6</v>
      </c>
      <c r="AF114" s="76">
        <v>126.5</v>
      </c>
      <c r="AG114" s="117"/>
      <c r="AH114" s="48">
        <f t="shared" si="27"/>
        <v>127.6</v>
      </c>
      <c r="AI114" s="49">
        <f t="shared" si="28"/>
        <v>123</v>
      </c>
    </row>
    <row r="115" spans="1:35" x14ac:dyDescent="0.25">
      <c r="A115" s="116" t="s">
        <v>135</v>
      </c>
      <c r="B115" s="76">
        <v>131.69999999999999</v>
      </c>
      <c r="C115" s="76">
        <v>131.69999999999999</v>
      </c>
      <c r="D115" s="76">
        <v>131.69999999999999</v>
      </c>
      <c r="E115" s="76">
        <v>131.30000000000001</v>
      </c>
      <c r="F115" s="76">
        <v>131.9</v>
      </c>
      <c r="G115" s="76">
        <v>132</v>
      </c>
      <c r="H115" s="76">
        <v>132.5</v>
      </c>
      <c r="I115" s="76">
        <v>138.1</v>
      </c>
      <c r="J115" s="76">
        <v>137.19999999999999</v>
      </c>
      <c r="K115" s="76">
        <v>133.9</v>
      </c>
      <c r="L115" s="76">
        <v>134.4</v>
      </c>
      <c r="M115" s="76">
        <v>128.80000000000001</v>
      </c>
      <c r="N115" s="76">
        <v>130.5</v>
      </c>
      <c r="O115" s="76">
        <v>129.19999999999999</v>
      </c>
      <c r="P115" s="76">
        <v>130.19999999999999</v>
      </c>
      <c r="Q115" s="76">
        <v>129.80000000000001</v>
      </c>
      <c r="R115" s="76">
        <v>130</v>
      </c>
      <c r="S115" s="76">
        <v>128.9</v>
      </c>
      <c r="T115" s="76">
        <v>129.80000000000001</v>
      </c>
      <c r="U115" s="76">
        <v>126.5</v>
      </c>
      <c r="V115" s="76">
        <v>130</v>
      </c>
      <c r="W115" s="76">
        <v>130.9</v>
      </c>
      <c r="X115" s="76">
        <v>132.6</v>
      </c>
      <c r="Y115" s="76">
        <v>130.1</v>
      </c>
      <c r="Z115" s="76">
        <v>129.69999999999999</v>
      </c>
      <c r="AA115" s="76"/>
      <c r="AB115" s="76">
        <v>131.4</v>
      </c>
      <c r="AC115" s="76">
        <v>130.30000000000001</v>
      </c>
      <c r="AD115" s="76">
        <v>131.19999999999999</v>
      </c>
      <c r="AE115" s="76">
        <v>131.19999999999999</v>
      </c>
      <c r="AF115" s="76">
        <v>133.1</v>
      </c>
      <c r="AG115" s="117"/>
      <c r="AH115" s="48">
        <f t="shared" si="27"/>
        <v>138.1</v>
      </c>
      <c r="AI115" s="49">
        <f t="shared" si="28"/>
        <v>126.5</v>
      </c>
    </row>
    <row r="116" spans="1:35" x14ac:dyDescent="0.25">
      <c r="A116" s="118" t="s">
        <v>136</v>
      </c>
      <c r="B116" s="76">
        <v>133.69999999999999</v>
      </c>
      <c r="C116" s="76">
        <v>133.69999999999999</v>
      </c>
      <c r="D116" s="76">
        <v>133.69999999999999</v>
      </c>
      <c r="E116" s="76">
        <v>133.5</v>
      </c>
      <c r="F116" s="76">
        <v>135.1</v>
      </c>
      <c r="G116" s="76">
        <v>134.9</v>
      </c>
      <c r="H116" s="76">
        <v>134.80000000000001</v>
      </c>
      <c r="I116" s="76">
        <v>0</v>
      </c>
      <c r="J116" s="76">
        <v>135.69999999999999</v>
      </c>
      <c r="K116" s="76">
        <v>131.6</v>
      </c>
      <c r="L116" s="76">
        <v>131.9</v>
      </c>
      <c r="M116" s="76">
        <v>130.19999999999999</v>
      </c>
      <c r="N116" s="76">
        <v>130.69999999999999</v>
      </c>
      <c r="O116" s="76">
        <v>130</v>
      </c>
      <c r="P116" s="76">
        <v>130.69999999999999</v>
      </c>
      <c r="Q116" s="76">
        <v>129.9</v>
      </c>
      <c r="R116" s="76">
        <v>130</v>
      </c>
      <c r="S116" s="76">
        <v>128.80000000000001</v>
      </c>
      <c r="T116" s="76">
        <v>131.19999999999999</v>
      </c>
      <c r="U116" s="76">
        <v>126.7</v>
      </c>
      <c r="V116" s="76">
        <v>129.5</v>
      </c>
      <c r="W116" s="76">
        <v>130.9</v>
      </c>
      <c r="X116" s="76">
        <v>132.5</v>
      </c>
      <c r="Y116" s="76">
        <v>129.80000000000001</v>
      </c>
      <c r="Z116" s="76">
        <v>129</v>
      </c>
      <c r="AA116" s="76"/>
      <c r="AB116" s="76">
        <v>132.30000000000001</v>
      </c>
      <c r="AC116" s="76">
        <v>131.4</v>
      </c>
      <c r="AD116" s="76">
        <v>132.80000000000001</v>
      </c>
      <c r="AE116" s="76">
        <v>132.80000000000001</v>
      </c>
      <c r="AF116" s="76">
        <v>134.19999999999999</v>
      </c>
      <c r="AG116" s="117"/>
      <c r="AH116" s="48">
        <f t="shared" si="27"/>
        <v>135.69999999999999</v>
      </c>
      <c r="AI116" s="49">
        <f t="shared" si="28"/>
        <v>0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0</v>
      </c>
      <c r="AI117" s="49">
        <f t="shared" si="28"/>
        <v>0</v>
      </c>
    </row>
    <row r="118" spans="1:35" x14ac:dyDescent="0.25">
      <c r="A118" s="116" t="s">
        <v>138</v>
      </c>
      <c r="B118" s="76">
        <v>123.5</v>
      </c>
      <c r="C118" s="76">
        <v>123.5</v>
      </c>
      <c r="D118" s="76">
        <v>123.5</v>
      </c>
      <c r="E118" s="76">
        <v>126.7</v>
      </c>
      <c r="F118" s="76">
        <v>123.2</v>
      </c>
      <c r="G118" s="76">
        <v>123.9</v>
      </c>
      <c r="H118" s="76">
        <v>125.1</v>
      </c>
      <c r="I118" s="76">
        <v>127</v>
      </c>
      <c r="J118" s="76">
        <v>130.69999999999999</v>
      </c>
      <c r="K118" s="76">
        <v>127.7</v>
      </c>
      <c r="L118" s="76">
        <v>124</v>
      </c>
      <c r="M118" s="76">
        <v>125.3</v>
      </c>
      <c r="N118" s="76">
        <v>120.6</v>
      </c>
      <c r="O118" s="76">
        <v>119.1</v>
      </c>
      <c r="P118" s="76">
        <v>120.5</v>
      </c>
      <c r="Q118" s="76">
        <v>124</v>
      </c>
      <c r="R118" s="76">
        <v>122.6</v>
      </c>
      <c r="S118" s="76">
        <v>119.9</v>
      </c>
      <c r="T118" s="76">
        <v>128.1</v>
      </c>
      <c r="U118" s="76">
        <v>126.6</v>
      </c>
      <c r="V118" s="76">
        <v>124.5</v>
      </c>
      <c r="W118" s="76">
        <v>123.2</v>
      </c>
      <c r="X118" s="76">
        <v>125.4</v>
      </c>
      <c r="Y118" s="76">
        <v>126.9</v>
      </c>
      <c r="Z118" s="76">
        <v>119</v>
      </c>
      <c r="AA118" s="76"/>
      <c r="AB118" s="76">
        <v>120.1</v>
      </c>
      <c r="AC118" s="76">
        <v>121.6</v>
      </c>
      <c r="AD118" s="76">
        <v>125.4</v>
      </c>
      <c r="AE118" s="76">
        <v>125.4</v>
      </c>
      <c r="AF118" s="76">
        <v>124</v>
      </c>
      <c r="AG118" s="117"/>
      <c r="AH118" s="48">
        <f t="shared" si="27"/>
        <v>130.69999999999999</v>
      </c>
      <c r="AI118" s="49">
        <f t="shared" si="28"/>
        <v>119</v>
      </c>
    </row>
    <row r="119" spans="1:35" ht="15.75" thickBot="1" x14ac:dyDescent="0.3">
      <c r="A119" s="116" t="s">
        <v>139</v>
      </c>
      <c r="B119" s="105">
        <v>62.9</v>
      </c>
      <c r="C119" s="105">
        <v>62.9</v>
      </c>
      <c r="D119" s="105">
        <v>62.9</v>
      </c>
      <c r="E119" s="105">
        <v>63.3</v>
      </c>
      <c r="F119" s="105">
        <v>63.5</v>
      </c>
      <c r="G119" s="105">
        <v>63.4</v>
      </c>
      <c r="H119" s="105">
        <v>63.1</v>
      </c>
      <c r="I119" s="105">
        <v>63.7</v>
      </c>
      <c r="J119" s="105">
        <v>62.9</v>
      </c>
      <c r="K119" s="105">
        <v>63.4</v>
      </c>
      <c r="L119" s="105">
        <v>63.1</v>
      </c>
      <c r="M119" s="105">
        <v>62.6</v>
      </c>
      <c r="N119" s="105">
        <v>62.4</v>
      </c>
      <c r="O119" s="105">
        <v>62</v>
      </c>
      <c r="P119" s="105">
        <v>62.4</v>
      </c>
      <c r="Q119" s="105">
        <v>62.3</v>
      </c>
      <c r="R119" s="105">
        <v>62.3</v>
      </c>
      <c r="S119" s="105">
        <v>62</v>
      </c>
      <c r="T119" s="105">
        <v>62.9</v>
      </c>
      <c r="U119" s="105">
        <v>62.8</v>
      </c>
      <c r="V119" s="105">
        <v>64</v>
      </c>
      <c r="W119" s="105">
        <v>64.099999999999994</v>
      </c>
      <c r="X119" s="105">
        <v>64.7</v>
      </c>
      <c r="Y119" s="105">
        <v>63.8</v>
      </c>
      <c r="Z119" s="105">
        <v>63</v>
      </c>
      <c r="AA119" s="105"/>
      <c r="AB119" s="105">
        <v>64.2</v>
      </c>
      <c r="AC119" s="105">
        <v>64</v>
      </c>
      <c r="AD119" s="105">
        <v>64.599999999999994</v>
      </c>
      <c r="AE119" s="105">
        <v>64.599999999999994</v>
      </c>
      <c r="AF119" s="105">
        <v>64.2</v>
      </c>
      <c r="AG119" s="121"/>
      <c r="AH119" s="48">
        <f t="shared" si="27"/>
        <v>64.7</v>
      </c>
      <c r="AI119" s="49">
        <f t="shared" si="28"/>
        <v>62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v>240.16749999999999</v>
      </c>
      <c r="C121" s="124">
        <v>240.16749999999999</v>
      </c>
      <c r="D121" s="124">
        <v>240.16749999999999</v>
      </c>
      <c r="E121" s="124">
        <f t="shared" ref="E121:O121" si="40">SUM(E25,E31,E34:E35,E69,E71:E72,E74,E76,E122:E126,E158,E164,E170,E179,E181,E193,E200,E203:E204,E211,E213,E215,E219:E221,E223:E225,E230,E236:E237,E239:E241,E249,E254)</f>
        <v>109.54</v>
      </c>
      <c r="F121" s="124">
        <f t="shared" si="40"/>
        <v>107.94000000000001</v>
      </c>
      <c r="G121" s="124">
        <f t="shared" si="40"/>
        <v>43.14</v>
      </c>
      <c r="H121" s="124">
        <f t="shared" si="40"/>
        <v>54.139999999999993</v>
      </c>
      <c r="I121" s="124">
        <f t="shared" si="40"/>
        <v>77.34</v>
      </c>
      <c r="J121" s="124">
        <f t="shared" si="40"/>
        <v>106.83999999999999</v>
      </c>
      <c r="K121" s="124">
        <f t="shared" si="40"/>
        <v>131.44</v>
      </c>
      <c r="L121" s="124">
        <f t="shared" si="40"/>
        <v>142.33999999999997</v>
      </c>
      <c r="M121" s="124">
        <f t="shared" si="40"/>
        <v>156.74</v>
      </c>
      <c r="N121" s="124">
        <f t="shared" si="40"/>
        <v>116.74000000000001</v>
      </c>
      <c r="O121" s="124">
        <f t="shared" si="40"/>
        <v>155.14000000000001</v>
      </c>
      <c r="P121" s="124">
        <v>42</v>
      </c>
      <c r="Q121" s="124">
        <f t="shared" ref="Q121:X121" si="41">SUM(Q25,Q31,Q34:Q35,Q69,Q71:Q72,Q74,Q76,Q122:Q126,Q158,Q164,Q170,Q179,Q181,Q193,Q200,Q203:Q204,Q211,Q213,Q215,Q219:Q221,Q223:Q225,Q230,Q236:Q237,Q239:Q241,Q249,Q254)</f>
        <v>136.23999999999998</v>
      </c>
      <c r="R121" s="124">
        <f t="shared" si="41"/>
        <v>143.14000000000001</v>
      </c>
      <c r="S121" s="124">
        <f t="shared" si="41"/>
        <v>163.14000000000001</v>
      </c>
      <c r="T121" s="124">
        <f t="shared" si="41"/>
        <v>165.04</v>
      </c>
      <c r="U121" s="124">
        <f t="shared" si="41"/>
        <v>183.14</v>
      </c>
      <c r="V121" s="124">
        <f t="shared" si="41"/>
        <v>182.33999999999997</v>
      </c>
      <c r="W121" s="124">
        <f t="shared" si="41"/>
        <v>180.14000000000001</v>
      </c>
      <c r="X121" s="124">
        <f t="shared" si="41"/>
        <v>168.23999999999998</v>
      </c>
      <c r="Y121" s="124">
        <f>SUM(Y23,Y29,Y40:Y41,Y69,Y71:Y72,Y74,Y76,Y122:Y126,Y151,Y157,Y163,Y172,Y174,Y186,Y193,Y196:Y197,Y204,Y206,Y208,Y212:Y214,Y216:Y218,Y223,Y229:Y230,Y232:Y234,Y242,Y247)</f>
        <v>188.69999999999996</v>
      </c>
      <c r="Z121" s="124">
        <f>SUM(Z23,Z29,Z40:Z41,Z69,Z71:Z72,Z74,Z76,Z122:Z126,Z151,Z157,Z163,Z172,Z174,Z186,Z193,Z196:Z197,Z204,Z206,Z208,Z212:Z214,Z216:Z218,Z223,Z229:Z230,Z232:Z234,Z242,Z247)</f>
        <v>178.39999999999998</v>
      </c>
      <c r="AA121" s="124">
        <f t="shared" ref="AA121:AF121" si="42">SUM(AA25,AA31,AA34:AA35,AA69,AA71:AA72,AA74,AA76,AA122:AA126,AA158,AA164,AA170,AA179,AA181,AA193,AA200,AA203:AA204,AA211,AA213,AA215,AA219:AA221,AA223:AA225,AA230,AA236:AA237,AA239:AA241,AA249,AA254)</f>
        <v>119.74</v>
      </c>
      <c r="AB121" s="124">
        <f t="shared" si="42"/>
        <v>181.03999999999996</v>
      </c>
      <c r="AC121" s="124">
        <f t="shared" si="42"/>
        <v>172.93999999999997</v>
      </c>
      <c r="AD121" s="124">
        <f t="shared" si="42"/>
        <v>158.44</v>
      </c>
      <c r="AE121" s="124">
        <f t="shared" si="42"/>
        <v>119.74</v>
      </c>
      <c r="AF121" s="124">
        <f t="shared" si="42"/>
        <v>64.539999999999964</v>
      </c>
      <c r="AG121" s="125"/>
      <c r="AH121" s="48">
        <f t="shared" si="27"/>
        <v>240.16749999999999</v>
      </c>
      <c r="AI121" s="49">
        <f t="shared" si="28"/>
        <v>42</v>
      </c>
    </row>
    <row r="122" spans="1:35" x14ac:dyDescent="0.25">
      <c r="A122" s="126" t="s">
        <v>142</v>
      </c>
      <c r="B122" s="127">
        <v>68.400000000000006</v>
      </c>
      <c r="C122" s="127">
        <v>68.400000000000006</v>
      </c>
      <c r="D122" s="127">
        <v>68.400000000000006</v>
      </c>
      <c r="E122" s="127">
        <v>62.4</v>
      </c>
      <c r="F122" s="127">
        <v>63.9</v>
      </c>
      <c r="G122" s="127">
        <v>56.1</v>
      </c>
      <c r="H122" s="127">
        <v>59.7</v>
      </c>
      <c r="I122" s="127">
        <v>57.1</v>
      </c>
      <c r="J122" s="127">
        <v>69.900000000000006</v>
      </c>
      <c r="K122" s="127">
        <v>54.2</v>
      </c>
      <c r="L122" s="127">
        <v>55.4</v>
      </c>
      <c r="M122" s="127">
        <v>68.599999999999994</v>
      </c>
      <c r="N122" s="127">
        <v>49.4</v>
      </c>
      <c r="O122" s="127">
        <v>57</v>
      </c>
      <c r="P122" s="127">
        <v>75</v>
      </c>
      <c r="Q122" s="127">
        <v>42.3</v>
      </c>
      <c r="R122" s="127">
        <v>41.9</v>
      </c>
      <c r="S122" s="127">
        <v>46.4</v>
      </c>
      <c r="T122" s="127">
        <v>51.1</v>
      </c>
      <c r="U122" s="127">
        <v>69.400000000000006</v>
      </c>
      <c r="V122" s="127">
        <v>76.099999999999994</v>
      </c>
      <c r="W122" s="127">
        <v>76.900000000000006</v>
      </c>
      <c r="X122" s="127">
        <v>67.3</v>
      </c>
      <c r="Y122" s="127">
        <v>68.5</v>
      </c>
      <c r="Z122" s="127">
        <v>52</v>
      </c>
      <c r="AA122" s="127"/>
      <c r="AB122" s="127">
        <v>74.599999999999994</v>
      </c>
      <c r="AC122" s="127">
        <v>65.2</v>
      </c>
      <c r="AD122" s="127">
        <v>55.9</v>
      </c>
      <c r="AE122" s="127"/>
      <c r="AF122" s="127">
        <v>80.8</v>
      </c>
      <c r="AG122" s="128">
        <v>75</v>
      </c>
      <c r="AH122" s="48">
        <f t="shared" si="27"/>
        <v>80.8</v>
      </c>
      <c r="AI122" s="49">
        <f t="shared" si="28"/>
        <v>41.9</v>
      </c>
    </row>
    <row r="123" spans="1:35" x14ac:dyDescent="0.25">
      <c r="A123" s="129" t="s">
        <v>143</v>
      </c>
      <c r="B123" s="130">
        <v>97.1</v>
      </c>
      <c r="C123" s="130">
        <v>97.1</v>
      </c>
      <c r="D123" s="130">
        <v>97.1</v>
      </c>
      <c r="E123" s="130">
        <v>87.6</v>
      </c>
      <c r="F123" s="130">
        <v>88.9</v>
      </c>
      <c r="G123" s="130">
        <v>80.599999999999994</v>
      </c>
      <c r="H123" s="130">
        <v>85</v>
      </c>
      <c r="I123" s="130">
        <v>83.1</v>
      </c>
      <c r="J123" s="130">
        <v>99.2</v>
      </c>
      <c r="K123" s="130">
        <v>76.5</v>
      </c>
      <c r="L123" s="130">
        <v>74.599999999999994</v>
      </c>
      <c r="M123" s="130">
        <v>95</v>
      </c>
      <c r="N123" s="130">
        <v>67.900000000000006</v>
      </c>
      <c r="O123" s="130">
        <v>79.3</v>
      </c>
      <c r="P123" s="130">
        <v>98.7</v>
      </c>
      <c r="Q123" s="130">
        <v>59.7</v>
      </c>
      <c r="R123" s="130">
        <v>61.4</v>
      </c>
      <c r="S123" s="130">
        <v>69.5</v>
      </c>
      <c r="T123" s="130">
        <v>75.099999999999994</v>
      </c>
      <c r="U123" s="130">
        <v>96.8</v>
      </c>
      <c r="V123" s="130">
        <v>108.5</v>
      </c>
      <c r="W123" s="130">
        <v>107.7</v>
      </c>
      <c r="X123" s="130">
        <v>97.1</v>
      </c>
      <c r="Y123" s="130">
        <v>96.7</v>
      </c>
      <c r="Z123" s="130">
        <v>74</v>
      </c>
      <c r="AA123" s="130"/>
      <c r="AB123" s="130">
        <v>107.9</v>
      </c>
      <c r="AC123" s="130">
        <v>98.7</v>
      </c>
      <c r="AD123" s="130">
        <v>83.3</v>
      </c>
      <c r="AE123" s="130"/>
      <c r="AF123" s="130">
        <v>117.9</v>
      </c>
      <c r="AG123" s="128">
        <v>240</v>
      </c>
      <c r="AH123" s="48">
        <f t="shared" si="27"/>
        <v>117.9</v>
      </c>
      <c r="AI123" s="49">
        <f t="shared" si="28"/>
        <v>59.7</v>
      </c>
    </row>
    <row r="124" spans="1:35" x14ac:dyDescent="0.25">
      <c r="A124" s="129" t="s">
        <v>144</v>
      </c>
      <c r="B124" s="130">
        <v>-164.1</v>
      </c>
      <c r="C124" s="130">
        <v>-164.1</v>
      </c>
      <c r="D124" s="130">
        <v>-164.1</v>
      </c>
      <c r="E124" s="130">
        <f>-71.4-75.3</f>
        <v>-146.69999999999999</v>
      </c>
      <c r="F124" s="130">
        <f>-70.2-74.7</f>
        <v>-144.9</v>
      </c>
      <c r="G124" s="130">
        <f>-85.5-88.6</f>
        <v>-174.1</v>
      </c>
      <c r="H124" s="130">
        <f>-84-87.9</f>
        <v>-171.9</v>
      </c>
      <c r="I124" s="130">
        <f>-76.4-81.6</f>
        <v>-158</v>
      </c>
      <c r="J124" s="130">
        <f>-78.6-82.6</f>
        <v>-161.19999999999999</v>
      </c>
      <c r="K124" s="130">
        <f>-55.2-60.5</f>
        <v>-115.7</v>
      </c>
      <c r="L124" s="130">
        <f>-50.7-55.7</f>
        <v>-106.4</v>
      </c>
      <c r="M124" s="130">
        <v>-127</v>
      </c>
      <c r="N124" s="130">
        <v>-120</v>
      </c>
      <c r="O124" s="130">
        <v>-115.2</v>
      </c>
      <c r="P124" s="130">
        <v>-129</v>
      </c>
      <c r="Q124" s="130">
        <v>-95.9</v>
      </c>
      <c r="R124" s="130">
        <v>-103</v>
      </c>
      <c r="S124" s="130">
        <v>-99</v>
      </c>
      <c r="T124" s="130">
        <v>-100</v>
      </c>
      <c r="U124" s="130">
        <v>-115</v>
      </c>
      <c r="V124" s="130">
        <v>-133</v>
      </c>
      <c r="W124" s="130">
        <v>-130</v>
      </c>
      <c r="X124" s="130">
        <v>-125</v>
      </c>
      <c r="Y124" s="130">
        <v>-126</v>
      </c>
      <c r="Z124" s="130">
        <v>-98</v>
      </c>
      <c r="AA124" s="130"/>
      <c r="AB124" s="130">
        <f>-57.6-64.4</f>
        <v>-122</v>
      </c>
      <c r="AC124" s="130">
        <f>-52.6-59.2</f>
        <v>-111.80000000000001</v>
      </c>
      <c r="AD124" s="130">
        <f>-48-54</f>
        <v>-102</v>
      </c>
      <c r="AE124" s="130"/>
      <c r="AF124" s="130">
        <f>-84.8-89</f>
        <v>-173.8</v>
      </c>
      <c r="AG124" s="128">
        <v>240</v>
      </c>
      <c r="AH124" s="48">
        <f t="shared" si="27"/>
        <v>-95.9</v>
      </c>
      <c r="AI124" s="49">
        <f t="shared" si="28"/>
        <v>-174.1</v>
      </c>
    </row>
    <row r="125" spans="1:35" ht="15.75" thickBot="1" x14ac:dyDescent="0.3">
      <c r="A125" s="129" t="s">
        <v>145</v>
      </c>
      <c r="B125" s="130">
        <v>-25.6</v>
      </c>
      <c r="C125" s="130">
        <v>-25.6</v>
      </c>
      <c r="D125" s="130">
        <v>-25.6</v>
      </c>
      <c r="E125" s="130">
        <v>-15.2</v>
      </c>
      <c r="F125" s="130">
        <v>-17.2</v>
      </c>
      <c r="G125" s="130">
        <v>-36.700000000000003</v>
      </c>
      <c r="H125" s="130">
        <v>-35.9</v>
      </c>
      <c r="I125" s="130">
        <v>-22.1</v>
      </c>
      <c r="J125" s="130">
        <v>-18.3</v>
      </c>
      <c r="K125" s="130">
        <v>-0.8</v>
      </c>
      <c r="L125" s="130">
        <v>1.5</v>
      </c>
      <c r="M125" s="130">
        <v>1.5</v>
      </c>
      <c r="N125" s="130">
        <v>0</v>
      </c>
      <c r="O125" s="130">
        <v>13.4</v>
      </c>
      <c r="P125" s="130">
        <v>12.5</v>
      </c>
      <c r="Q125" s="130">
        <v>17.3</v>
      </c>
      <c r="R125" s="130">
        <v>16.8</v>
      </c>
      <c r="S125" s="130">
        <v>15.5</v>
      </c>
      <c r="T125" s="130">
        <v>14.1</v>
      </c>
      <c r="U125" s="130">
        <v>9</v>
      </c>
      <c r="V125" s="130">
        <v>10</v>
      </c>
      <c r="W125" s="130">
        <v>5.0999999999999996</v>
      </c>
      <c r="X125" s="130">
        <v>8.6</v>
      </c>
      <c r="Y125" s="130">
        <v>1.1000000000000001</v>
      </c>
      <c r="Z125" s="130">
        <v>2</v>
      </c>
      <c r="AA125" s="130"/>
      <c r="AB125" s="130">
        <v>0.8</v>
      </c>
      <c r="AC125" s="130">
        <v>1.1000000000000001</v>
      </c>
      <c r="AD125" s="130">
        <v>1.5</v>
      </c>
      <c r="AE125" s="130"/>
      <c r="AF125" s="130">
        <v>-24</v>
      </c>
      <c r="AG125" s="128">
        <v>60</v>
      </c>
      <c r="AH125" s="48">
        <f t="shared" si="27"/>
        <v>17.3</v>
      </c>
      <c r="AI125" s="49">
        <f t="shared" si="28"/>
        <v>-36.700000000000003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0</v>
      </c>
      <c r="AI126" s="49">
        <f t="shared" si="28"/>
        <v>0</v>
      </c>
    </row>
    <row r="127" spans="1:35" x14ac:dyDescent="0.25">
      <c r="A127" s="129" t="s">
        <v>147</v>
      </c>
      <c r="B127" s="131">
        <v>56.9</v>
      </c>
      <c r="C127" s="131">
        <v>56.9</v>
      </c>
      <c r="D127" s="131">
        <v>56.9</v>
      </c>
      <c r="E127" s="131">
        <v>36.6</v>
      </c>
      <c r="F127" s="131">
        <v>36.4</v>
      </c>
      <c r="G127" s="131">
        <v>78.7</v>
      </c>
      <c r="H127" s="131">
        <v>81.2</v>
      </c>
      <c r="I127" s="131">
        <v>82.9</v>
      </c>
      <c r="J127" s="131">
        <v>80.599999999999994</v>
      </c>
      <c r="K127" s="131">
        <v>103.8</v>
      </c>
      <c r="L127" s="131">
        <v>102.7</v>
      </c>
      <c r="M127" s="131">
        <v>102.7</v>
      </c>
      <c r="N127" s="131">
        <v>110.9</v>
      </c>
      <c r="O127" s="131">
        <v>106.5</v>
      </c>
      <c r="P127" s="131">
        <v>117</v>
      </c>
      <c r="Q127" s="131">
        <v>108</v>
      </c>
      <c r="R127" s="131">
        <v>108.7</v>
      </c>
      <c r="S127" s="131">
        <v>106.5</v>
      </c>
      <c r="T127" s="131">
        <v>101.1</v>
      </c>
      <c r="U127" s="131">
        <v>91</v>
      </c>
      <c r="V127" s="131">
        <v>89</v>
      </c>
      <c r="W127" s="131">
        <v>88</v>
      </c>
      <c r="X127" s="131">
        <v>88.1</v>
      </c>
      <c r="Y127" s="131">
        <v>92</v>
      </c>
      <c r="Z127" s="131">
        <v>110</v>
      </c>
      <c r="AA127" s="131"/>
      <c r="AB127" s="131">
        <v>88.3</v>
      </c>
      <c r="AC127" s="131">
        <v>77.3</v>
      </c>
      <c r="AD127" s="131">
        <v>72.599999999999994</v>
      </c>
      <c r="AE127" s="131"/>
      <c r="AF127" s="131">
        <v>77.400000000000006</v>
      </c>
      <c r="AG127" s="132"/>
      <c r="AH127" s="48"/>
      <c r="AI127" s="49"/>
    </row>
    <row r="128" spans="1:35" x14ac:dyDescent="0.25">
      <c r="A128" s="129" t="s">
        <v>148</v>
      </c>
      <c r="B128" s="131">
        <v>-6.7</v>
      </c>
      <c r="C128" s="131">
        <v>-6.7</v>
      </c>
      <c r="D128" s="131">
        <v>-6.7</v>
      </c>
      <c r="E128" s="131">
        <v>-10.6</v>
      </c>
      <c r="F128" s="131">
        <v>-11.3</v>
      </c>
      <c r="G128" s="131">
        <v>42.3</v>
      </c>
      <c r="H128" s="131">
        <v>38.1</v>
      </c>
      <c r="I128" s="131">
        <v>30.5</v>
      </c>
      <c r="J128" s="131">
        <v>14.3</v>
      </c>
      <c r="K128" s="131">
        <v>25.2</v>
      </c>
      <c r="L128" s="131">
        <v>17.600000000000001</v>
      </c>
      <c r="M128" s="131">
        <v>17.600000000000001</v>
      </c>
      <c r="N128" s="131">
        <v>26.2</v>
      </c>
      <c r="O128" s="131">
        <v>18.7</v>
      </c>
      <c r="P128" s="131">
        <v>19</v>
      </c>
      <c r="Q128" s="131">
        <v>26.1</v>
      </c>
      <c r="R128" s="131">
        <v>30.1</v>
      </c>
      <c r="S128" s="131">
        <v>30.2</v>
      </c>
      <c r="T128" s="131">
        <v>26</v>
      </c>
      <c r="U128" s="131">
        <v>-4</v>
      </c>
      <c r="V128" s="131">
        <v>-9</v>
      </c>
      <c r="W128" s="131">
        <v>-18</v>
      </c>
      <c r="X128" s="131">
        <v>-5.6</v>
      </c>
      <c r="Y128" s="131">
        <v>-5</v>
      </c>
      <c r="Z128" s="131">
        <v>12</v>
      </c>
      <c r="AA128" s="131"/>
      <c r="AB128" s="131">
        <v>-22.4</v>
      </c>
      <c r="AC128" s="131">
        <v>-19.8</v>
      </c>
      <c r="AD128" s="131">
        <v>-17.100000000000001</v>
      </c>
      <c r="AE128" s="131"/>
      <c r="AF128" s="131">
        <v>33.9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52.9</v>
      </c>
      <c r="C129" s="131">
        <v>52.9</v>
      </c>
      <c r="D129" s="131">
        <v>52.9</v>
      </c>
      <c r="E129" s="131">
        <v>75.5</v>
      </c>
      <c r="F129" s="131">
        <v>86.9</v>
      </c>
      <c r="G129" s="131">
        <v>61.2</v>
      </c>
      <c r="H129" s="131">
        <v>65.7</v>
      </c>
      <c r="I129" s="131">
        <v>53.8</v>
      </c>
      <c r="J129" s="131">
        <v>50.5</v>
      </c>
      <c r="K129" s="131">
        <v>80.7</v>
      </c>
      <c r="L129" s="131">
        <v>75.400000000000006</v>
      </c>
      <c r="M129" s="131">
        <v>75.400000000000006</v>
      </c>
      <c r="N129" s="131">
        <v>83</v>
      </c>
      <c r="O129" s="131">
        <v>87.3</v>
      </c>
      <c r="P129" s="131">
        <v>95</v>
      </c>
      <c r="Q129" s="131">
        <v>88</v>
      </c>
      <c r="R129" s="131">
        <v>91.9</v>
      </c>
      <c r="S129" s="131">
        <v>88</v>
      </c>
      <c r="T129" s="131">
        <v>76.099999999999994</v>
      </c>
      <c r="U129" s="131">
        <v>55</v>
      </c>
      <c r="V129" s="131">
        <v>53</v>
      </c>
      <c r="W129" s="131">
        <v>48</v>
      </c>
      <c r="X129" s="131">
        <v>49</v>
      </c>
      <c r="Y129" s="131">
        <v>50</v>
      </c>
      <c r="Z129" s="131">
        <v>76</v>
      </c>
      <c r="AA129" s="131"/>
      <c r="AB129" s="131">
        <v>72.400000000000006</v>
      </c>
      <c r="AC129" s="131">
        <v>84.3</v>
      </c>
      <c r="AD129" s="131">
        <v>88.5</v>
      </c>
      <c r="AE129" s="131"/>
      <c r="AF129" s="131">
        <v>58.5</v>
      </c>
      <c r="AG129" s="128"/>
      <c r="AH129" s="48">
        <f>MAX(B129:AF129)</f>
        <v>95</v>
      </c>
      <c r="AI129" s="49">
        <f>MIN(B129:AF129)</f>
        <v>48</v>
      </c>
    </row>
    <row r="130" spans="1:37" x14ac:dyDescent="0.25">
      <c r="A130" s="126" t="s">
        <v>150</v>
      </c>
      <c r="B130" s="131">
        <v>-315.2</v>
      </c>
      <c r="C130" s="131">
        <v>-315.2</v>
      </c>
      <c r="D130" s="131">
        <v>-315.2</v>
      </c>
      <c r="E130" s="131">
        <v>-348.9</v>
      </c>
      <c r="F130" s="131">
        <v>-343.9</v>
      </c>
      <c r="G130" s="131">
        <v>-300</v>
      </c>
      <c r="H130" s="131">
        <v>-295.5</v>
      </c>
      <c r="I130" s="131">
        <v>-301.60000000000002</v>
      </c>
      <c r="J130" s="131">
        <v>-300</v>
      </c>
      <c r="K130" s="131">
        <v>-274</v>
      </c>
      <c r="L130" s="131">
        <v>-275</v>
      </c>
      <c r="M130" s="131">
        <v>-275</v>
      </c>
      <c r="N130" s="131">
        <v>-260</v>
      </c>
      <c r="O130" s="131">
        <v>-263.5</v>
      </c>
      <c r="P130" s="131">
        <v>-270.60000000000002</v>
      </c>
      <c r="Q130" s="131">
        <v>-257.8</v>
      </c>
      <c r="R130" s="131">
        <v>-261</v>
      </c>
      <c r="S130" s="131">
        <v>-262.39999999999998</v>
      </c>
      <c r="T130" s="131">
        <v>-268</v>
      </c>
      <c r="U130" s="131">
        <v>-267</v>
      </c>
      <c r="V130" s="131">
        <v>-269</v>
      </c>
      <c r="W130" s="131">
        <v>-273</v>
      </c>
      <c r="X130" s="131">
        <v>-285</v>
      </c>
      <c r="Y130" s="131">
        <v>-283</v>
      </c>
      <c r="Z130" s="131">
        <v>-265</v>
      </c>
      <c r="AA130" s="131"/>
      <c r="AB130" s="131">
        <v>-264.89999999999998</v>
      </c>
      <c r="AC130" s="131">
        <v>-275.89999999999998</v>
      </c>
      <c r="AD130" s="131">
        <v>-280.10000000000002</v>
      </c>
      <c r="AE130" s="131"/>
      <c r="AF130" s="131">
        <v>-276</v>
      </c>
      <c r="AG130" s="128"/>
      <c r="AH130" s="48">
        <f>MAX(B130:AF130)</f>
        <v>-257.8</v>
      </c>
      <c r="AI130" s="49">
        <f>MIN(B130:AF130)</f>
        <v>-348.9</v>
      </c>
    </row>
    <row r="131" spans="1:37" x14ac:dyDescent="0.25">
      <c r="A131" s="129" t="s">
        <v>151</v>
      </c>
      <c r="B131" s="119">
        <v>51.5</v>
      </c>
      <c r="C131" s="119">
        <v>51.5</v>
      </c>
      <c r="D131" s="119">
        <v>51.5</v>
      </c>
      <c r="E131" s="119">
        <v>68.2</v>
      </c>
      <c r="F131" s="119">
        <v>70</v>
      </c>
      <c r="G131" s="119">
        <v>82.5</v>
      </c>
      <c r="H131" s="119">
        <v>72.7</v>
      </c>
      <c r="I131" s="119">
        <v>10.6</v>
      </c>
      <c r="J131" s="119">
        <v>-1.5</v>
      </c>
      <c r="K131" s="119">
        <v>-16.899999999999999</v>
      </c>
      <c r="L131" s="119">
        <v>-19.899999999999999</v>
      </c>
      <c r="M131" s="119">
        <v>-19.899999999999999</v>
      </c>
      <c r="N131" s="119">
        <v>57.8</v>
      </c>
      <c r="O131" s="119">
        <v>67.8</v>
      </c>
      <c r="P131" s="119">
        <v>67.8</v>
      </c>
      <c r="Q131" s="119">
        <v>68.5</v>
      </c>
      <c r="R131" s="119">
        <v>61</v>
      </c>
      <c r="S131" s="119">
        <v>38</v>
      </c>
      <c r="T131" s="119">
        <v>32</v>
      </c>
      <c r="U131" s="119">
        <v>35</v>
      </c>
      <c r="V131" s="119">
        <v>39.1</v>
      </c>
      <c r="W131" s="119">
        <v>43</v>
      </c>
      <c r="X131" s="119">
        <v>24</v>
      </c>
      <c r="Y131" s="119">
        <v>18</v>
      </c>
      <c r="Z131" s="119">
        <v>21</v>
      </c>
      <c r="AA131" s="119"/>
      <c r="AB131" s="119">
        <v>65.3</v>
      </c>
      <c r="AC131" s="119">
        <v>58</v>
      </c>
      <c r="AD131" s="119"/>
      <c r="AE131" s="119"/>
      <c r="AF131" s="119">
        <v>100</v>
      </c>
      <c r="AG131" s="128"/>
      <c r="AH131" s="48">
        <f>MAX(B131:AF131)</f>
        <v>100</v>
      </c>
      <c r="AI131" s="49">
        <f>MIN(B131:AF131)</f>
        <v>-19.899999999999999</v>
      </c>
    </row>
    <row r="132" spans="1:37" x14ac:dyDescent="0.25">
      <c r="A132" s="129" t="s">
        <v>152</v>
      </c>
      <c r="B132" s="119">
        <v>18.600000000000001</v>
      </c>
      <c r="C132" s="119">
        <v>18.600000000000001</v>
      </c>
      <c r="D132" s="119">
        <v>18.600000000000001</v>
      </c>
      <c r="E132" s="119">
        <v>5.4</v>
      </c>
      <c r="F132" s="119">
        <v>-13.8</v>
      </c>
      <c r="G132" s="119">
        <v>-42.9</v>
      </c>
      <c r="H132" s="119">
        <v>-33.799999999999997</v>
      </c>
      <c r="I132" s="119">
        <v>-6.2</v>
      </c>
      <c r="J132" s="119">
        <v>-6.7</v>
      </c>
      <c r="K132" s="119">
        <v>-9.4</v>
      </c>
      <c r="L132" s="119">
        <v>-15.4</v>
      </c>
      <c r="M132" s="119">
        <v>-15.4</v>
      </c>
      <c r="N132" s="119">
        <v>-22.8</v>
      </c>
      <c r="O132" s="119">
        <v>-25.3</v>
      </c>
      <c r="P132" s="119">
        <v>-17.899999999999999</v>
      </c>
      <c r="Q132" s="119">
        <v>-19.2</v>
      </c>
      <c r="R132" s="119">
        <v>-8.9</v>
      </c>
      <c r="S132" s="119">
        <v>9</v>
      </c>
      <c r="T132" s="119">
        <v>8</v>
      </c>
      <c r="U132" s="119">
        <v>7</v>
      </c>
      <c r="V132" s="119">
        <v>4</v>
      </c>
      <c r="W132" s="119">
        <v>1.1000000000000001</v>
      </c>
      <c r="X132" s="119">
        <v>-2.2999999999999998</v>
      </c>
      <c r="Y132" s="119">
        <v>14</v>
      </c>
      <c r="Z132" s="119">
        <v>21</v>
      </c>
      <c r="AA132" s="119"/>
      <c r="AB132" s="119">
        <v>-3.3</v>
      </c>
      <c r="AC132" s="119">
        <v>5.7</v>
      </c>
      <c r="AD132" s="119">
        <v>-3.4</v>
      </c>
      <c r="AE132" s="119"/>
      <c r="AF132" s="119">
        <v>-45.5</v>
      </c>
      <c r="AG132" s="128"/>
      <c r="AH132" s="48">
        <f>MAX(B132:AF132)</f>
        <v>21</v>
      </c>
      <c r="AI132" s="49">
        <f>MIN(B132:AF132)</f>
        <v>-45.5</v>
      </c>
    </row>
    <row r="133" spans="1:37" ht="15.75" thickBot="1" x14ac:dyDescent="0.3">
      <c r="A133" s="129" t="s">
        <v>153</v>
      </c>
      <c r="B133" s="119">
        <v>32.799999999999997</v>
      </c>
      <c r="C133" s="119">
        <v>32.799999999999997</v>
      </c>
      <c r="D133" s="119">
        <v>32.799999999999997</v>
      </c>
      <c r="E133" s="119">
        <v>23.5</v>
      </c>
      <c r="F133" s="119">
        <v>3.7</v>
      </c>
      <c r="G133" s="119">
        <v>-26</v>
      </c>
      <c r="H133" s="119">
        <v>-9.8000000000000007</v>
      </c>
      <c r="I133" s="119">
        <v>30.3</v>
      </c>
      <c r="J133" s="119">
        <v>18.600000000000001</v>
      </c>
      <c r="K133" s="119">
        <v>33</v>
      </c>
      <c r="L133" s="119">
        <v>-1.6</v>
      </c>
      <c r="M133" s="119">
        <v>-1.6</v>
      </c>
      <c r="N133" s="119">
        <v>4.4000000000000004</v>
      </c>
      <c r="O133" s="119">
        <v>-2.1</v>
      </c>
      <c r="P133" s="119">
        <v>3.2</v>
      </c>
      <c r="Q133" s="119">
        <v>0.3</v>
      </c>
      <c r="R133" s="119">
        <v>10.4</v>
      </c>
      <c r="S133" s="119">
        <v>28</v>
      </c>
      <c r="T133" s="119">
        <v>24</v>
      </c>
      <c r="U133" s="119">
        <v>28.2</v>
      </c>
      <c r="V133" s="119">
        <v>28</v>
      </c>
      <c r="W133" s="119">
        <v>24</v>
      </c>
      <c r="X133" s="119">
        <v>16.2</v>
      </c>
      <c r="Y133" s="119">
        <v>34</v>
      </c>
      <c r="Z133" s="119">
        <v>35</v>
      </c>
      <c r="AA133" s="119"/>
      <c r="AB133" s="119">
        <v>9</v>
      </c>
      <c r="AC133" s="119">
        <v>20.8</v>
      </c>
      <c r="AD133" s="119">
        <v>11.7</v>
      </c>
      <c r="AE133" s="119"/>
      <c r="AF133" s="119">
        <v>-31.4</v>
      </c>
      <c r="AG133" s="128"/>
      <c r="AH133" s="48">
        <f>MAX(B133:AF133)</f>
        <v>35</v>
      </c>
      <c r="AI133" s="49">
        <f>MIN(B133:AF133)</f>
        <v>-31.4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>
        <v>1984.9</v>
      </c>
      <c r="V135" s="137">
        <v>1984.9</v>
      </c>
      <c r="W135" s="137"/>
      <c r="X135" s="137"/>
      <c r="Y135" s="137"/>
      <c r="Z135" s="137"/>
      <c r="AA135" s="119"/>
      <c r="AB135" s="137">
        <v>1985.25</v>
      </c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>
        <v>886.1</v>
      </c>
      <c r="R139" s="140">
        <v>885.5</v>
      </c>
      <c r="S139" s="140">
        <v>885.1</v>
      </c>
      <c r="T139" s="140"/>
      <c r="U139" s="140"/>
      <c r="V139" s="140"/>
      <c r="W139" s="140"/>
      <c r="X139" s="140"/>
      <c r="Y139" s="140"/>
      <c r="Z139" s="140"/>
      <c r="AA139" s="140"/>
      <c r="AB139" s="140">
        <v>884.4</v>
      </c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1484.8</v>
      </c>
      <c r="C140" s="142"/>
      <c r="D140" s="142"/>
      <c r="E140" s="142">
        <v>1484.86</v>
      </c>
      <c r="F140" s="142">
        <v>1484.89</v>
      </c>
      <c r="G140" s="142">
        <v>1984.92</v>
      </c>
      <c r="H140" s="142"/>
      <c r="I140" s="142">
        <v>1984.97</v>
      </c>
      <c r="J140" s="142"/>
      <c r="K140" s="142">
        <v>1485.01</v>
      </c>
      <c r="L140" s="142"/>
      <c r="M140" s="142"/>
      <c r="N140" s="142"/>
      <c r="O140" s="142"/>
      <c r="P140" s="142"/>
      <c r="Q140" s="142">
        <v>1485.07</v>
      </c>
      <c r="R140" s="142">
        <v>1485.07</v>
      </c>
      <c r="S140" s="142">
        <v>1485.07</v>
      </c>
      <c r="T140" s="142"/>
      <c r="U140" s="142"/>
      <c r="V140" s="142"/>
      <c r="W140" s="142"/>
      <c r="X140" s="142"/>
      <c r="Y140" s="142"/>
      <c r="Z140" s="142"/>
      <c r="AA140" s="142"/>
      <c r="AB140" s="142">
        <v>1485.06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3">SUM(B142:B246)</f>
        <v>0</v>
      </c>
      <c r="C247" s="161">
        <f t="shared" si="43"/>
        <v>0</v>
      </c>
      <c r="D247" s="161">
        <f t="shared" si="43"/>
        <v>0</v>
      </c>
      <c r="E247" s="161">
        <f t="shared" si="43"/>
        <v>0</v>
      </c>
      <c r="F247" s="161">
        <f t="shared" si="43"/>
        <v>0</v>
      </c>
      <c r="G247" s="161">
        <f t="shared" si="43"/>
        <v>0</v>
      </c>
      <c r="H247" s="161">
        <f t="shared" si="43"/>
        <v>0</v>
      </c>
      <c r="I247" s="161">
        <f t="shared" si="43"/>
        <v>0</v>
      </c>
      <c r="J247" s="161">
        <f t="shared" si="43"/>
        <v>0</v>
      </c>
      <c r="K247" s="161">
        <f t="shared" si="43"/>
        <v>0</v>
      </c>
      <c r="L247" s="161">
        <f t="shared" si="43"/>
        <v>0</v>
      </c>
      <c r="M247" s="161">
        <f t="shared" si="43"/>
        <v>0</v>
      </c>
      <c r="N247" s="161">
        <f t="shared" si="43"/>
        <v>0</v>
      </c>
      <c r="O247" s="161">
        <f t="shared" si="43"/>
        <v>0</v>
      </c>
      <c r="P247" s="161">
        <f t="shared" si="43"/>
        <v>0</v>
      </c>
      <c r="Q247" s="161">
        <f t="shared" si="43"/>
        <v>0</v>
      </c>
      <c r="R247" s="161">
        <f t="shared" si="43"/>
        <v>0</v>
      </c>
      <c r="S247" s="161">
        <f t="shared" si="43"/>
        <v>0</v>
      </c>
      <c r="T247" s="161">
        <f t="shared" si="43"/>
        <v>0</v>
      </c>
      <c r="U247" s="161">
        <f t="shared" si="43"/>
        <v>0</v>
      </c>
      <c r="V247" s="161">
        <f t="shared" si="43"/>
        <v>0</v>
      </c>
      <c r="W247" s="161">
        <f t="shared" si="43"/>
        <v>0</v>
      </c>
      <c r="X247" s="161">
        <f t="shared" si="43"/>
        <v>0</v>
      </c>
      <c r="Y247" s="161">
        <f t="shared" si="43"/>
        <v>0</v>
      </c>
      <c r="Z247" s="161">
        <f t="shared" si="43"/>
        <v>0</v>
      </c>
      <c r="AA247" s="161">
        <f t="shared" si="43"/>
        <v>0</v>
      </c>
      <c r="AB247" s="161">
        <f t="shared" si="43"/>
        <v>0</v>
      </c>
      <c r="AC247" s="161">
        <f t="shared" si="43"/>
        <v>0</v>
      </c>
      <c r="AD247" s="161">
        <f t="shared" si="43"/>
        <v>0</v>
      </c>
      <c r="AE247" s="161">
        <f t="shared" si="43"/>
        <v>0</v>
      </c>
      <c r="AF247" s="162">
        <f t="shared" si="43"/>
        <v>0</v>
      </c>
      <c r="AG247" s="163">
        <f t="shared" si="43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4">AF249</f>
        <v>0.3</v>
      </c>
      <c r="C249" s="166">
        <v>0.3</v>
      </c>
      <c r="D249" s="166">
        <f t="shared" ref="D249:S254" si="45">C249</f>
        <v>0.3</v>
      </c>
      <c r="E249" s="166">
        <f t="shared" si="45"/>
        <v>0.3</v>
      </c>
      <c r="F249" s="166">
        <f t="shared" si="45"/>
        <v>0.3</v>
      </c>
      <c r="G249" s="166">
        <f t="shared" si="45"/>
        <v>0.3</v>
      </c>
      <c r="H249" s="166">
        <f t="shared" si="45"/>
        <v>0.3</v>
      </c>
      <c r="I249" s="166">
        <f t="shared" si="45"/>
        <v>0.3</v>
      </c>
      <c r="J249" s="166">
        <f t="shared" si="45"/>
        <v>0.3</v>
      </c>
      <c r="K249" s="166">
        <f t="shared" si="45"/>
        <v>0.3</v>
      </c>
      <c r="L249" s="166">
        <f t="shared" si="45"/>
        <v>0.3</v>
      </c>
      <c r="M249" s="166">
        <f t="shared" si="45"/>
        <v>0.3</v>
      </c>
      <c r="N249" s="166">
        <f t="shared" si="45"/>
        <v>0.3</v>
      </c>
      <c r="O249" s="166">
        <f t="shared" si="45"/>
        <v>0.3</v>
      </c>
      <c r="P249" s="166">
        <f t="shared" si="45"/>
        <v>0.3</v>
      </c>
      <c r="Q249" s="166">
        <f t="shared" si="45"/>
        <v>0.3</v>
      </c>
      <c r="R249" s="166">
        <f t="shared" si="45"/>
        <v>0.3</v>
      </c>
      <c r="S249" s="166">
        <f t="shared" si="45"/>
        <v>0.3</v>
      </c>
      <c r="T249" s="166">
        <f t="shared" ref="T249:AF254" si="46">S249</f>
        <v>0.3</v>
      </c>
      <c r="U249" s="166">
        <f t="shared" si="46"/>
        <v>0.3</v>
      </c>
      <c r="V249" s="166">
        <f t="shared" si="46"/>
        <v>0.3</v>
      </c>
      <c r="W249" s="166">
        <f t="shared" si="46"/>
        <v>0.3</v>
      </c>
      <c r="X249" s="166">
        <f t="shared" si="46"/>
        <v>0.3</v>
      </c>
      <c r="Y249" s="166">
        <f t="shared" si="46"/>
        <v>0.3</v>
      </c>
      <c r="Z249" s="166">
        <f t="shared" si="46"/>
        <v>0.3</v>
      </c>
      <c r="AA249" s="166">
        <f t="shared" si="46"/>
        <v>0.3</v>
      </c>
      <c r="AB249" s="166">
        <f t="shared" si="46"/>
        <v>0.3</v>
      </c>
      <c r="AC249" s="166">
        <f t="shared" si="46"/>
        <v>0.3</v>
      </c>
      <c r="AD249" s="166">
        <f t="shared" si="46"/>
        <v>0.3</v>
      </c>
      <c r="AE249" s="166">
        <f t="shared" si="46"/>
        <v>0.3</v>
      </c>
      <c r="AF249" s="166">
        <f t="shared" si="46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4"/>
        <v>0.4</v>
      </c>
      <c r="C250" s="152">
        <v>0.4</v>
      </c>
      <c r="D250" s="152">
        <f t="shared" si="45"/>
        <v>0.4</v>
      </c>
      <c r="E250" s="152">
        <f t="shared" si="45"/>
        <v>0.4</v>
      </c>
      <c r="F250" s="152">
        <f t="shared" si="45"/>
        <v>0.4</v>
      </c>
      <c r="G250" s="152">
        <f t="shared" si="45"/>
        <v>0.4</v>
      </c>
      <c r="H250" s="152">
        <f t="shared" si="45"/>
        <v>0.4</v>
      </c>
      <c r="I250" s="152">
        <f t="shared" si="45"/>
        <v>0.4</v>
      </c>
      <c r="J250" s="152">
        <f t="shared" si="45"/>
        <v>0.4</v>
      </c>
      <c r="K250" s="152">
        <f t="shared" si="45"/>
        <v>0.4</v>
      </c>
      <c r="L250" s="152">
        <f t="shared" si="45"/>
        <v>0.4</v>
      </c>
      <c r="M250" s="152">
        <f t="shared" si="45"/>
        <v>0.4</v>
      </c>
      <c r="N250" s="152">
        <f t="shared" si="45"/>
        <v>0.4</v>
      </c>
      <c r="O250" s="152">
        <f t="shared" si="45"/>
        <v>0.4</v>
      </c>
      <c r="P250" s="152">
        <f t="shared" si="45"/>
        <v>0.4</v>
      </c>
      <c r="Q250" s="152">
        <f t="shared" si="45"/>
        <v>0.4</v>
      </c>
      <c r="R250" s="152">
        <f t="shared" si="45"/>
        <v>0.4</v>
      </c>
      <c r="S250" s="152">
        <f t="shared" si="45"/>
        <v>0.4</v>
      </c>
      <c r="T250" s="152">
        <f t="shared" si="46"/>
        <v>0.4</v>
      </c>
      <c r="U250" s="152">
        <f t="shared" si="46"/>
        <v>0.4</v>
      </c>
      <c r="V250" s="152">
        <f t="shared" si="46"/>
        <v>0.4</v>
      </c>
      <c r="W250" s="152">
        <f t="shared" si="46"/>
        <v>0.4</v>
      </c>
      <c r="X250" s="152">
        <f t="shared" si="46"/>
        <v>0.4</v>
      </c>
      <c r="Y250" s="152">
        <f t="shared" si="46"/>
        <v>0.4</v>
      </c>
      <c r="Z250" s="152">
        <f t="shared" si="46"/>
        <v>0.4</v>
      </c>
      <c r="AA250" s="152">
        <f t="shared" si="46"/>
        <v>0.4</v>
      </c>
      <c r="AB250" s="152">
        <f t="shared" si="46"/>
        <v>0.4</v>
      </c>
      <c r="AC250" s="152">
        <f t="shared" si="46"/>
        <v>0.4</v>
      </c>
      <c r="AD250" s="152">
        <f t="shared" si="46"/>
        <v>0.4</v>
      </c>
      <c r="AE250" s="152">
        <f t="shared" si="46"/>
        <v>0.4</v>
      </c>
      <c r="AF250" s="152">
        <f t="shared" si="46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4"/>
        <v>1.5</v>
      </c>
      <c r="C251" s="152">
        <v>1.5</v>
      </c>
      <c r="D251" s="152">
        <f t="shared" si="45"/>
        <v>1.5</v>
      </c>
      <c r="E251" s="152">
        <f t="shared" si="45"/>
        <v>1.5</v>
      </c>
      <c r="F251" s="152">
        <f t="shared" si="45"/>
        <v>1.5</v>
      </c>
      <c r="G251" s="152">
        <f t="shared" si="45"/>
        <v>1.5</v>
      </c>
      <c r="H251" s="152">
        <f t="shared" si="45"/>
        <v>1.5</v>
      </c>
      <c r="I251" s="152">
        <f t="shared" si="45"/>
        <v>1.5</v>
      </c>
      <c r="J251" s="152">
        <f t="shared" si="45"/>
        <v>1.5</v>
      </c>
      <c r="K251" s="152">
        <f t="shared" si="45"/>
        <v>1.5</v>
      </c>
      <c r="L251" s="152">
        <f t="shared" si="45"/>
        <v>1.5</v>
      </c>
      <c r="M251" s="152">
        <f t="shared" si="45"/>
        <v>1.5</v>
      </c>
      <c r="N251" s="152">
        <f t="shared" si="45"/>
        <v>1.5</v>
      </c>
      <c r="O251" s="152">
        <f t="shared" si="45"/>
        <v>1.5</v>
      </c>
      <c r="P251" s="152">
        <f t="shared" si="45"/>
        <v>1.5</v>
      </c>
      <c r="Q251" s="152">
        <f t="shared" si="45"/>
        <v>1.5</v>
      </c>
      <c r="R251" s="152">
        <f t="shared" si="45"/>
        <v>1.5</v>
      </c>
      <c r="S251" s="152">
        <f t="shared" si="45"/>
        <v>1.5</v>
      </c>
      <c r="T251" s="152">
        <f t="shared" si="46"/>
        <v>1.5</v>
      </c>
      <c r="U251" s="152">
        <f t="shared" si="46"/>
        <v>1.5</v>
      </c>
      <c r="V251" s="152">
        <f t="shared" si="46"/>
        <v>1.5</v>
      </c>
      <c r="W251" s="152">
        <f t="shared" si="46"/>
        <v>1.5</v>
      </c>
      <c r="X251" s="152">
        <f t="shared" si="46"/>
        <v>1.5</v>
      </c>
      <c r="Y251" s="152">
        <f t="shared" si="46"/>
        <v>1.5</v>
      </c>
      <c r="Z251" s="152">
        <f t="shared" si="46"/>
        <v>1.5</v>
      </c>
      <c r="AA251" s="152">
        <f t="shared" si="46"/>
        <v>1.5</v>
      </c>
      <c r="AB251" s="152">
        <f t="shared" si="46"/>
        <v>1.5</v>
      </c>
      <c r="AC251" s="152">
        <f t="shared" si="46"/>
        <v>1.5</v>
      </c>
      <c r="AD251" s="152">
        <f t="shared" si="46"/>
        <v>1.5</v>
      </c>
      <c r="AE251" s="152">
        <f t="shared" si="46"/>
        <v>1.5</v>
      </c>
      <c r="AF251" s="152">
        <f t="shared" si="46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4"/>
        <v>0.3</v>
      </c>
      <c r="C252" s="152">
        <v>0.3</v>
      </c>
      <c r="D252" s="152">
        <f t="shared" si="45"/>
        <v>0.3</v>
      </c>
      <c r="E252" s="152">
        <f t="shared" si="45"/>
        <v>0.3</v>
      </c>
      <c r="F252" s="152">
        <f t="shared" si="45"/>
        <v>0.3</v>
      </c>
      <c r="G252" s="152">
        <f t="shared" si="45"/>
        <v>0.3</v>
      </c>
      <c r="H252" s="152">
        <f t="shared" si="45"/>
        <v>0.3</v>
      </c>
      <c r="I252" s="152">
        <f t="shared" si="45"/>
        <v>0.3</v>
      </c>
      <c r="J252" s="152">
        <f t="shared" si="45"/>
        <v>0.3</v>
      </c>
      <c r="K252" s="152">
        <f t="shared" si="45"/>
        <v>0.3</v>
      </c>
      <c r="L252" s="152">
        <f t="shared" si="45"/>
        <v>0.3</v>
      </c>
      <c r="M252" s="152">
        <f t="shared" si="45"/>
        <v>0.3</v>
      </c>
      <c r="N252" s="152">
        <f t="shared" si="45"/>
        <v>0.3</v>
      </c>
      <c r="O252" s="152">
        <f t="shared" si="45"/>
        <v>0.3</v>
      </c>
      <c r="P252" s="152">
        <f t="shared" si="45"/>
        <v>0.3</v>
      </c>
      <c r="Q252" s="152">
        <f t="shared" si="45"/>
        <v>0.3</v>
      </c>
      <c r="R252" s="152">
        <f t="shared" si="45"/>
        <v>0.3</v>
      </c>
      <c r="S252" s="152">
        <f t="shared" si="45"/>
        <v>0.3</v>
      </c>
      <c r="T252" s="152">
        <f t="shared" si="46"/>
        <v>0.3</v>
      </c>
      <c r="U252" s="152">
        <f t="shared" si="46"/>
        <v>0.3</v>
      </c>
      <c r="V252" s="152">
        <f t="shared" si="46"/>
        <v>0.3</v>
      </c>
      <c r="W252" s="152">
        <f t="shared" si="46"/>
        <v>0.3</v>
      </c>
      <c r="X252" s="152">
        <f t="shared" si="46"/>
        <v>0.3</v>
      </c>
      <c r="Y252" s="152">
        <f t="shared" si="46"/>
        <v>0.3</v>
      </c>
      <c r="Z252" s="152">
        <f t="shared" si="46"/>
        <v>0.3</v>
      </c>
      <c r="AA252" s="152">
        <f t="shared" si="46"/>
        <v>0.3</v>
      </c>
      <c r="AB252" s="152">
        <f t="shared" si="46"/>
        <v>0.3</v>
      </c>
      <c r="AC252" s="152">
        <f t="shared" si="46"/>
        <v>0.3</v>
      </c>
      <c r="AD252" s="152">
        <f t="shared" si="46"/>
        <v>0.3</v>
      </c>
      <c r="AE252" s="152">
        <f t="shared" si="46"/>
        <v>0.3</v>
      </c>
      <c r="AF252" s="152">
        <f t="shared" si="46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4"/>
        <v>0.4</v>
      </c>
      <c r="C253" s="152">
        <v>0.4</v>
      </c>
      <c r="D253" s="152">
        <f t="shared" si="45"/>
        <v>0.4</v>
      </c>
      <c r="E253" s="152">
        <f t="shared" si="45"/>
        <v>0.4</v>
      </c>
      <c r="F253" s="152">
        <f t="shared" si="45"/>
        <v>0.4</v>
      </c>
      <c r="G253" s="152">
        <f t="shared" si="45"/>
        <v>0.4</v>
      </c>
      <c r="H253" s="152">
        <f t="shared" si="45"/>
        <v>0.4</v>
      </c>
      <c r="I253" s="152">
        <f t="shared" si="45"/>
        <v>0.4</v>
      </c>
      <c r="J253" s="152">
        <f t="shared" si="45"/>
        <v>0.4</v>
      </c>
      <c r="K253" s="152">
        <f t="shared" si="45"/>
        <v>0.4</v>
      </c>
      <c r="L253" s="152">
        <f t="shared" si="45"/>
        <v>0.4</v>
      </c>
      <c r="M253" s="152">
        <f t="shared" si="45"/>
        <v>0.4</v>
      </c>
      <c r="N253" s="152">
        <f t="shared" si="45"/>
        <v>0.4</v>
      </c>
      <c r="O253" s="152">
        <f t="shared" si="45"/>
        <v>0.4</v>
      </c>
      <c r="P253" s="152">
        <f t="shared" si="45"/>
        <v>0.4</v>
      </c>
      <c r="Q253" s="152">
        <f t="shared" si="45"/>
        <v>0.4</v>
      </c>
      <c r="R253" s="152">
        <f t="shared" si="45"/>
        <v>0.4</v>
      </c>
      <c r="S253" s="152">
        <f t="shared" si="45"/>
        <v>0.4</v>
      </c>
      <c r="T253" s="152">
        <f t="shared" si="46"/>
        <v>0.4</v>
      </c>
      <c r="U253" s="152">
        <f t="shared" si="46"/>
        <v>0.4</v>
      </c>
      <c r="V253" s="152">
        <f t="shared" si="46"/>
        <v>0.4</v>
      </c>
      <c r="W253" s="152">
        <f t="shared" si="46"/>
        <v>0.4</v>
      </c>
      <c r="X253" s="152">
        <f t="shared" si="46"/>
        <v>0.4</v>
      </c>
      <c r="Y253" s="152">
        <f t="shared" si="46"/>
        <v>0.4</v>
      </c>
      <c r="Z253" s="152">
        <f t="shared" si="46"/>
        <v>0.4</v>
      </c>
      <c r="AA253" s="152">
        <f t="shared" si="46"/>
        <v>0.4</v>
      </c>
      <c r="AB253" s="152">
        <f t="shared" si="46"/>
        <v>0.4</v>
      </c>
      <c r="AC253" s="152">
        <f t="shared" si="46"/>
        <v>0.4</v>
      </c>
      <c r="AD253" s="152">
        <f t="shared" si="46"/>
        <v>0.4</v>
      </c>
      <c r="AE253" s="152">
        <f t="shared" si="46"/>
        <v>0.4</v>
      </c>
      <c r="AF253" s="152">
        <f t="shared" si="46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4"/>
        <v>0.64</v>
      </c>
      <c r="C254" s="157">
        <v>0.64</v>
      </c>
      <c r="D254" s="157">
        <f t="shared" si="45"/>
        <v>0.64</v>
      </c>
      <c r="E254" s="157">
        <f t="shared" si="45"/>
        <v>0.64</v>
      </c>
      <c r="F254" s="157">
        <f t="shared" si="45"/>
        <v>0.64</v>
      </c>
      <c r="G254" s="157">
        <f t="shared" si="45"/>
        <v>0.64</v>
      </c>
      <c r="H254" s="157">
        <f t="shared" si="45"/>
        <v>0.64</v>
      </c>
      <c r="I254" s="157">
        <f t="shared" si="45"/>
        <v>0.64</v>
      </c>
      <c r="J254" s="157">
        <f t="shared" si="45"/>
        <v>0.64</v>
      </c>
      <c r="K254" s="157">
        <f t="shared" si="45"/>
        <v>0.64</v>
      </c>
      <c r="L254" s="157">
        <f t="shared" si="45"/>
        <v>0.64</v>
      </c>
      <c r="M254" s="157">
        <f t="shared" si="45"/>
        <v>0.64</v>
      </c>
      <c r="N254" s="157">
        <f t="shared" si="45"/>
        <v>0.64</v>
      </c>
      <c r="O254" s="157">
        <f t="shared" si="45"/>
        <v>0.64</v>
      </c>
      <c r="P254" s="157">
        <f t="shared" si="45"/>
        <v>0.64</v>
      </c>
      <c r="Q254" s="157">
        <f t="shared" si="45"/>
        <v>0.64</v>
      </c>
      <c r="R254" s="157">
        <f t="shared" si="45"/>
        <v>0.64</v>
      </c>
      <c r="S254" s="157">
        <f t="shared" si="45"/>
        <v>0.64</v>
      </c>
      <c r="T254" s="157">
        <f t="shared" si="46"/>
        <v>0.64</v>
      </c>
      <c r="U254" s="157">
        <f t="shared" si="46"/>
        <v>0.64</v>
      </c>
      <c r="V254" s="157">
        <f t="shared" si="46"/>
        <v>0.64</v>
      </c>
      <c r="W254" s="157">
        <f t="shared" si="46"/>
        <v>0.64</v>
      </c>
      <c r="X254" s="157">
        <f t="shared" si="46"/>
        <v>0.64</v>
      </c>
      <c r="Y254" s="157">
        <f t="shared" si="46"/>
        <v>0.64</v>
      </c>
      <c r="Z254" s="157">
        <f t="shared" si="46"/>
        <v>0.64</v>
      </c>
      <c r="AA254" s="157">
        <f t="shared" si="46"/>
        <v>0.64</v>
      </c>
      <c r="AB254" s="157">
        <f t="shared" si="46"/>
        <v>0.64</v>
      </c>
      <c r="AC254" s="157">
        <f t="shared" si="46"/>
        <v>0.64</v>
      </c>
      <c r="AD254" s="157">
        <f t="shared" si="46"/>
        <v>0.64</v>
      </c>
      <c r="AE254" s="157">
        <f t="shared" si="46"/>
        <v>0.64</v>
      </c>
      <c r="AF254" s="157">
        <f t="shared" si="46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7">SUM(B249:B254)</f>
        <v>3.54</v>
      </c>
      <c r="C255" s="161">
        <f t="shared" si="47"/>
        <v>3.54</v>
      </c>
      <c r="D255" s="161">
        <f t="shared" si="47"/>
        <v>3.54</v>
      </c>
      <c r="E255" s="161">
        <f t="shared" si="47"/>
        <v>3.54</v>
      </c>
      <c r="F255" s="161">
        <f t="shared" si="47"/>
        <v>3.54</v>
      </c>
      <c r="G255" s="161">
        <f t="shared" si="47"/>
        <v>3.54</v>
      </c>
      <c r="H255" s="161">
        <f t="shared" si="47"/>
        <v>3.54</v>
      </c>
      <c r="I255" s="161">
        <f t="shared" si="47"/>
        <v>3.54</v>
      </c>
      <c r="J255" s="161">
        <f t="shared" si="47"/>
        <v>3.54</v>
      </c>
      <c r="K255" s="161">
        <f t="shared" si="47"/>
        <v>3.54</v>
      </c>
      <c r="L255" s="161">
        <f t="shared" si="47"/>
        <v>3.54</v>
      </c>
      <c r="M255" s="161">
        <f t="shared" si="47"/>
        <v>3.54</v>
      </c>
      <c r="N255" s="161">
        <f t="shared" si="47"/>
        <v>3.54</v>
      </c>
      <c r="O255" s="161">
        <f t="shared" si="47"/>
        <v>3.54</v>
      </c>
      <c r="P255" s="161">
        <f t="shared" si="47"/>
        <v>3.54</v>
      </c>
      <c r="Q255" s="161">
        <f t="shared" si="47"/>
        <v>3.54</v>
      </c>
      <c r="R255" s="161">
        <f t="shared" si="47"/>
        <v>3.54</v>
      </c>
      <c r="S255" s="161">
        <f t="shared" si="47"/>
        <v>3.54</v>
      </c>
      <c r="T255" s="161">
        <f t="shared" si="47"/>
        <v>3.54</v>
      </c>
      <c r="U255" s="161">
        <f t="shared" si="47"/>
        <v>3.54</v>
      </c>
      <c r="V255" s="161">
        <f t="shared" si="47"/>
        <v>3.54</v>
      </c>
      <c r="W255" s="161">
        <f t="shared" si="47"/>
        <v>3.54</v>
      </c>
      <c r="X255" s="161">
        <f t="shared" si="47"/>
        <v>3.54</v>
      </c>
      <c r="Y255" s="161">
        <f t="shared" si="47"/>
        <v>3.54</v>
      </c>
      <c r="Z255" s="161">
        <f t="shared" si="47"/>
        <v>3.54</v>
      </c>
      <c r="AA255" s="161">
        <f t="shared" si="47"/>
        <v>3.54</v>
      </c>
      <c r="AB255" s="161">
        <f t="shared" si="47"/>
        <v>3.54</v>
      </c>
      <c r="AC255" s="161">
        <f t="shared" si="47"/>
        <v>3.54</v>
      </c>
      <c r="AD255" s="161">
        <f t="shared" si="47"/>
        <v>3.54</v>
      </c>
      <c r="AE255" s="161">
        <f t="shared" si="47"/>
        <v>3.54</v>
      </c>
      <c r="AF255" s="161">
        <f t="shared" si="47"/>
        <v>3.54</v>
      </c>
      <c r="AG255" s="171">
        <f t="shared" si="47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2126.54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2080/10/4)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3835" priority="80">
      <formula>$AH11=0</formula>
    </cfRule>
  </conditionalFormatting>
  <conditionalFormatting sqref="A89">
    <cfRule type="expression" dxfId="3834" priority="138">
      <formula>$AH94=0</formula>
    </cfRule>
  </conditionalFormatting>
  <conditionalFormatting sqref="A90:A94">
    <cfRule type="expression" dxfId="3833" priority="81">
      <formula>$AH89=0</formula>
    </cfRule>
  </conditionalFormatting>
  <conditionalFormatting sqref="B8">
    <cfRule type="expression" dxfId="3832" priority="134">
      <formula>AND(C$9&gt;=14/24,C$9&lt;20/24)</formula>
    </cfRule>
    <cfRule type="expression" dxfId="3831" priority="135">
      <formula>AND(C$9&gt;=8/24,C$9&lt;14/24)</formula>
    </cfRule>
    <cfRule type="expression" dxfId="3830" priority="136">
      <formula>C$9&lt;8/24</formula>
    </cfRule>
    <cfRule type="expression" dxfId="3829" priority="137">
      <formula>C$9&gt;=20/24</formula>
    </cfRule>
  </conditionalFormatting>
  <conditionalFormatting sqref="B11:O57 P12:P57 Q15:AF57 B62:D65 C63:L63 C66:D71 B66:B77 E66:P77 C72:AF77 B80:AF102 B9:AF10 B104:AF120 B122:AF134 B135:AA135 AC135:AF135 B136:AF140 B247:AF247 B249:B255">
    <cfRule type="expression" dxfId="3828" priority="41">
      <formula>B$9&gt;=20/24</formula>
    </cfRule>
  </conditionalFormatting>
  <conditionalFormatting sqref="B9:AF10 B11:O57 P12:P57 Q15:AF57 B62:D65 C63:L63 C66:D71 B66:B77 E66:P77 C72:AF77 B80:AF102 B104:AF120 B122:AF134 B135:AA135 AC135:AF135 B136:AF140 B247:AF247 B249:B255">
    <cfRule type="expression" dxfId="3827" priority="42">
      <formula>AND(B$9&gt;=14/24,B$9&lt;20/24)</formula>
    </cfRule>
    <cfRule type="expression" dxfId="3826" priority="43">
      <formula>AND(B$9&gt;=8/24,B$9&lt;14/24)</formula>
    </cfRule>
    <cfRule type="expression" dxfId="3825" priority="44">
      <formula>B$9&lt;8/24</formula>
    </cfRule>
  </conditionalFormatting>
  <conditionalFormatting sqref="B11:AF83 AG61 AG65 AG83">
    <cfRule type="expression" dxfId="3824" priority="40">
      <formula>B11&gt;$AG11</formula>
    </cfRule>
  </conditionalFormatting>
  <conditionalFormatting sqref="B58:AF60">
    <cfRule type="expression" dxfId="3823" priority="37">
      <formula>B$9&gt;=20/24</formula>
    </cfRule>
    <cfRule type="expression" dxfId="3822" priority="38">
      <formula>AND(B$9&gt;=14/24,B$9&lt;20/24)</formula>
    </cfRule>
    <cfRule type="expression" dxfId="3821" priority="39">
      <formula>AND(B$9&gt;=8/24,B$9&lt;14/24)</formula>
    </cfRule>
    <cfRule type="expression" dxfId="3820" priority="49">
      <formula>B$9&lt;8/24</formula>
    </cfRule>
  </conditionalFormatting>
  <conditionalFormatting sqref="D249:AF255">
    <cfRule type="expression" dxfId="3819" priority="119">
      <formula>D$9&gt;=20/24</formula>
    </cfRule>
    <cfRule type="expression" dxfId="3818" priority="120">
      <formula>AND(D$9&gt;=14/24,D$9&lt;20/24)</formula>
    </cfRule>
    <cfRule type="expression" dxfId="3817" priority="121">
      <formula>AND(D$9&gt;=8/24,D$9&lt;14/24)</formula>
    </cfRule>
    <cfRule type="expression" dxfId="3816" priority="122">
      <formula>D$9&lt;8/24</formula>
    </cfRule>
  </conditionalFormatting>
  <conditionalFormatting sqref="E66:P71">
    <cfRule type="expression" dxfId="3815" priority="45">
      <formula>E$9&gt;=20/24</formula>
    </cfRule>
    <cfRule type="expression" dxfId="3814" priority="46">
      <formula>AND(E$9&gt;=14/24,E$9&lt;20/24)</formula>
    </cfRule>
    <cfRule type="expression" dxfId="3813" priority="47">
      <formula>AND(E$9&gt;=8/24,E$9&lt;14/24)</formula>
    </cfRule>
    <cfRule type="expression" dxfId="3812" priority="48">
      <formula>E$9&lt;8/24</formula>
    </cfRule>
  </conditionalFormatting>
  <conditionalFormatting sqref="E62:AF65">
    <cfRule type="expression" dxfId="3811" priority="60">
      <formula>E$9&gt;=20/24</formula>
    </cfRule>
    <cfRule type="expression" dxfId="3810" priority="61">
      <formula>AND(E$9&gt;=14/24,E$9&lt;20/24)</formula>
    </cfRule>
    <cfRule type="expression" dxfId="3809" priority="62">
      <formula>AND(E$9&gt;=8/24,E$9&lt;14/24)</formula>
    </cfRule>
    <cfRule type="expression" dxfId="3808" priority="63">
      <formula>E$9&lt;8/24</formula>
    </cfRule>
  </conditionalFormatting>
  <conditionalFormatting sqref="F66:P68">
    <cfRule type="expression" dxfId="3807" priority="72">
      <formula>F$9&gt;=20/24</formula>
    </cfRule>
    <cfRule type="expression" dxfId="3806" priority="73">
      <formula>AND(F$9&gt;=14/24,F$9&lt;20/24)</formula>
    </cfRule>
    <cfRule type="expression" dxfId="3805" priority="74">
      <formula>AND(F$9&gt;=8/24,F$9&lt;14/24)</formula>
    </cfRule>
    <cfRule type="expression" dxfId="3804" priority="75">
      <formula>F$9&lt;8/24</formula>
    </cfRule>
  </conditionalFormatting>
  <conditionalFormatting sqref="L71:AF71">
    <cfRule type="expression" dxfId="3803" priority="68">
      <formula>L$9&gt;=20/24</formula>
    </cfRule>
    <cfRule type="expression" dxfId="3802" priority="69">
      <formula>AND(L$9&gt;=14/24,L$9&lt;20/24)</formula>
    </cfRule>
    <cfRule type="expression" dxfId="3801" priority="70">
      <formula>AND(L$9&gt;=8/24,L$9&lt;14/24)</formula>
    </cfRule>
    <cfRule type="expression" dxfId="3800" priority="71">
      <formula>L$9&lt;8/24</formula>
    </cfRule>
  </conditionalFormatting>
  <conditionalFormatting sqref="M8 S8 AB8">
    <cfRule type="expression" dxfId="3799" priority="126">
      <formula>AND(N$9&gt;=14/24,N$9&lt;20/24)</formula>
    </cfRule>
    <cfRule type="expression" dxfId="3798" priority="127">
      <formula>AND(N$9&gt;=8/24,N$9&lt;14/24)</formula>
    </cfRule>
    <cfRule type="expression" dxfId="3797" priority="128">
      <formula>N$9&lt;8/24</formula>
    </cfRule>
  </conditionalFormatting>
  <conditionalFormatting sqref="M66:AF70">
    <cfRule type="expression" dxfId="3796" priority="76">
      <formula>M$9&gt;=20/24</formula>
    </cfRule>
    <cfRule type="expression" dxfId="3795" priority="77">
      <formula>AND(M$9&gt;=14/24,M$9&lt;20/24)</formula>
    </cfRule>
    <cfRule type="expression" dxfId="3794" priority="78">
      <formula>AND(M$9&gt;=8/24,M$9&lt;14/24)</formula>
    </cfRule>
    <cfRule type="expression" dxfId="3793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P11:Q11 R11:AF14 Q12:Q14">
    <cfRule type="expression" dxfId="3792" priority="55">
      <formula>P$9&gt;=20/24</formula>
    </cfRule>
    <cfRule type="expression" dxfId="3791" priority="56">
      <formula>AND(P$9&gt;=14/24,P$9&lt;20/24)</formula>
    </cfRule>
    <cfRule type="expression" dxfId="3790" priority="57">
      <formula>AND(P$9&gt;=8/24,P$9&lt;14/24)</formula>
    </cfRule>
    <cfRule type="expression" dxfId="3789" priority="58">
      <formula>P$9&lt;8/24</formula>
    </cfRule>
  </conditionalFormatting>
  <conditionalFormatting sqref="S8 AB8 M8">
    <cfRule type="expression" dxfId="3788" priority="125">
      <formula>N$9&gt;=20/24</formula>
    </cfRule>
  </conditionalFormatting>
  <conditionalFormatting sqref="S8">
    <cfRule type="expression" dxfId="3787" priority="112">
      <formula>U$9&gt;=20/24</formula>
    </cfRule>
    <cfRule type="expression" dxfId="3786" priority="113">
      <formula>AND(U$9&gt;=14/24,U$9&lt;20/24)</formula>
    </cfRule>
    <cfRule type="expression" dxfId="3785" priority="114">
      <formula>AND(U$9&gt;=8/24,U$9&lt;14/24)</formula>
    </cfRule>
    <cfRule type="expression" dxfId="3784" priority="115">
      <formula>U$9&lt;8/24</formula>
    </cfRule>
  </conditionalFormatting>
  <conditionalFormatting sqref="T66:AF71">
    <cfRule type="expression" dxfId="3783" priority="64">
      <formula>T$9&gt;=20/24</formula>
    </cfRule>
    <cfRule type="expression" dxfId="3782" priority="65">
      <formula>AND(T$9&gt;=14/24,T$9&lt;20/24)</formula>
    </cfRule>
    <cfRule type="expression" dxfId="3781" priority="66">
      <formula>AND(T$9&gt;=8/24,T$9&lt;14/24)</formula>
    </cfRule>
    <cfRule type="expression" dxfId="3780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779" priority="108">
      <formula>AD$9&gt;=20/24</formula>
    </cfRule>
    <cfRule type="expression" dxfId="3778" priority="109">
      <formula>AND(AD$9&gt;=14/24,AD$9&lt;20/24)</formula>
    </cfRule>
    <cfRule type="expression" dxfId="3777" priority="110">
      <formula>AND(AD$9&gt;=8/24,AD$9&lt;14/24)</formula>
    </cfRule>
    <cfRule type="expression" dxfId="3776" priority="111">
      <formula>AD$9&lt;8/24</formula>
    </cfRule>
  </conditionalFormatting>
  <conditionalFormatting sqref="AB135">
    <cfRule type="expression" dxfId="3775" priority="149">
      <formula>AA$9&gt;=20/24</formula>
    </cfRule>
    <cfRule type="expression" dxfId="3774" priority="153">
      <formula>AND(AA$9&gt;=14/24,AA$9&lt;20/24)</formula>
    </cfRule>
    <cfRule type="expression" dxfId="3773" priority="154">
      <formula>AND(AA$9&gt;=8/24,AA$9&lt;14/24)</formula>
    </cfRule>
    <cfRule type="expression" dxfId="3772" priority="155">
      <formula>AA$9&lt;8/24</formula>
    </cfRule>
  </conditionalFormatting>
  <conditionalFormatting sqref="AG65">
    <cfRule type="expression" dxfId="3771" priority="87">
      <formula>AG$9&gt;=20/24</formula>
    </cfRule>
    <cfRule type="expression" dxfId="3770" priority="88">
      <formula>AND(AG$9&gt;=14/24,AG$9&lt;20/24)</formula>
    </cfRule>
    <cfRule type="expression" dxfId="3769" priority="89">
      <formula>AND(AG$9&gt;=8/24,AG$9&lt;14/24)</formula>
    </cfRule>
    <cfRule type="expression" dxfId="3768" priority="90">
      <formula>AG$9&lt;8/24</formula>
    </cfRule>
  </conditionalFormatting>
  <conditionalFormatting sqref="AG78:AG79">
    <cfRule type="expression" dxfId="3767" priority="82">
      <formula>AG78&gt;$AG78</formula>
    </cfRule>
  </conditionalFormatting>
  <conditionalFormatting sqref="AG83">
    <cfRule type="expression" dxfId="3766" priority="83">
      <formula>AG$9&gt;=20/24</formula>
    </cfRule>
    <cfRule type="expression" dxfId="3765" priority="84">
      <formula>AND(AG$9&gt;=14/24,AG$9&lt;20/24)</formula>
    </cfRule>
    <cfRule type="expression" dxfId="3764" priority="85">
      <formula>AND(AG$9&gt;=8/24,AG$9&lt;14/24)</formula>
    </cfRule>
    <cfRule type="expression" dxfId="3763" priority="86">
      <formula>AG$9&lt;8/24</formula>
    </cfRule>
  </conditionalFormatting>
  <conditionalFormatting sqref="AG100">
    <cfRule type="expression" dxfId="3762" priority="104">
      <formula>AG$9&gt;=20/24</formula>
    </cfRule>
    <cfRule type="expression" dxfId="3761" priority="105">
      <formula>AND(AG$9&gt;=14/24,AG$9&lt;20/24)</formula>
    </cfRule>
    <cfRule type="expression" dxfId="3760" priority="106">
      <formula>AND(AG$9&gt;=8/24,AG$9&lt;14/24)</formula>
    </cfRule>
    <cfRule type="expression" dxfId="3759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758" priority="129">
      <formula>AJ$9&gt;=20/24</formula>
    </cfRule>
    <cfRule type="expression" dxfId="3757" priority="130">
      <formula>AND(AJ$9&gt;=14/24,AJ$9&lt;20/24)</formula>
    </cfRule>
    <cfRule type="expression" dxfId="3756" priority="131">
      <formula>AND(AJ$9&gt;=8/24,AJ$9&lt;14/24)</formula>
    </cfRule>
    <cfRule type="expression" dxfId="3755" priority="132">
      <formula>AJ$9&lt;8/24</formula>
    </cfRule>
  </conditionalFormatting>
  <conditionalFormatting sqref="AL86:AN86 AL92:AN92">
    <cfRule type="expression" dxfId="3754" priority="97">
      <formula>AL$9&gt;=20/24</formula>
    </cfRule>
    <cfRule type="expression" dxfId="3753" priority="98">
      <formula>AND(AL$9&gt;=14/24,AL$9&lt;20/24)</formula>
    </cfRule>
    <cfRule type="expression" dxfId="3752" priority="99">
      <formula>AND(AL$9&gt;=8/24,AL$9&lt;14/24)</formula>
    </cfRule>
    <cfRule type="expression" dxfId="3751" priority="100">
      <formula>AL$9&lt;8/24</formula>
    </cfRule>
  </conditionalFormatting>
  <conditionalFormatting sqref="AM15:AM21 AN16:AR21">
    <cfRule type="expression" dxfId="3750" priority="13">
      <formula>AX$9&gt;=20/24</formula>
    </cfRule>
    <cfRule type="expression" dxfId="3749" priority="14">
      <formula>AND(AX$9&gt;=14/24,AX$9&lt;20/24)</formula>
    </cfRule>
    <cfRule type="expression" dxfId="3748" priority="15">
      <formula>AND(AX$9&gt;=8/24,AX$9&lt;14/24)</formula>
    </cfRule>
    <cfRule type="expression" dxfId="3747" priority="16">
      <formula>AX$9&lt;8/24</formula>
    </cfRule>
  </conditionalFormatting>
  <conditionalFormatting sqref="AN87:AN90">
    <cfRule type="expression" dxfId="3746" priority="93">
      <formula>AN$9&gt;=20/24</formula>
    </cfRule>
    <cfRule type="expression" dxfId="3745" priority="94">
      <formula>AND(AN$9&gt;=14/24,AN$9&lt;20/24)</formula>
    </cfRule>
    <cfRule type="expression" dxfId="3744" priority="95">
      <formula>AND(AN$9&gt;=8/24,AN$9&lt;14/24)</formula>
    </cfRule>
    <cfRule type="expression" dxfId="3743" priority="96">
      <formula>AN$9&lt;8/24</formula>
    </cfRule>
  </conditionalFormatting>
  <conditionalFormatting sqref="AN15:AR15">
    <cfRule type="expression" dxfId="3742" priority="1">
      <formula>U$9&gt;=20/24</formula>
    </cfRule>
    <cfRule type="expression" dxfId="3741" priority="2">
      <formula>AND(U$9&gt;=14/24,U$9&lt;20/24)</formula>
    </cfRule>
    <cfRule type="expression" dxfId="3740" priority="3">
      <formula>AND(U$9&gt;=8/24,U$9&lt;14/24)</formula>
    </cfRule>
    <cfRule type="expression" dxfId="3739" priority="4">
      <formula>U$9&lt;8/24</formula>
    </cfRule>
  </conditionalFormatting>
  <conditionalFormatting sqref="AS15">
    <cfRule type="expression" dxfId="3738" priority="9">
      <formula>AA$9&gt;=20/24</formula>
    </cfRule>
    <cfRule type="expression" dxfId="3737" priority="10">
      <formula>AND(AA$9&gt;=14/24,AA$9&lt;20/24)</formula>
    </cfRule>
    <cfRule type="expression" dxfId="3736" priority="11">
      <formula>AND(AA$9&gt;=8/24,AA$9&lt;14/24)</formula>
    </cfRule>
    <cfRule type="expression" dxfId="3735" priority="12">
      <formula>AA$9&lt;8/24</formula>
    </cfRule>
  </conditionalFormatting>
  <conditionalFormatting sqref="AS16:AS21">
    <cfRule type="expression" dxfId="3734" priority="17">
      <formula>BE$9&gt;=20/24</formula>
    </cfRule>
    <cfRule type="expression" dxfId="3733" priority="18">
      <formula>AND(BE$9&gt;=14/24,BE$9&lt;20/24)</formula>
    </cfRule>
    <cfRule type="expression" dxfId="3732" priority="19">
      <formula>AND(BE$9&gt;=8/24,BE$9&lt;14/24)</formula>
    </cfRule>
    <cfRule type="expression" dxfId="3731" priority="20">
      <formula>BE$9&lt;8/24</formula>
    </cfRule>
  </conditionalFormatting>
  <conditionalFormatting sqref="AT15 AX15:BJ15">
    <cfRule type="expression" dxfId="3730" priority="21">
      <formula>AC$9&gt;=20/24</formula>
    </cfRule>
    <cfRule type="expression" dxfId="3729" priority="22">
      <formula>AND(AC$9&gt;=14/24,AC$9&lt;20/24)</formula>
    </cfRule>
    <cfRule type="expression" dxfId="3728" priority="23">
      <formula>AND(AC$9&gt;=8/24,AC$9&lt;14/24)</formula>
    </cfRule>
    <cfRule type="expression" dxfId="3727" priority="24">
      <formula>AC$9&lt;8/24</formula>
    </cfRule>
  </conditionalFormatting>
  <conditionalFormatting sqref="AT16:AT21">
    <cfRule type="expression" dxfId="3726" priority="25">
      <formula>BG$9&gt;=20/24</formula>
    </cfRule>
    <cfRule type="expression" dxfId="3725" priority="26">
      <formula>AND(BG$9&gt;=14/24,BG$9&lt;20/24)</formula>
    </cfRule>
    <cfRule type="expression" dxfId="3724" priority="27">
      <formula>AND(BG$9&gt;=8/24,BG$9&lt;14/24)</formula>
    </cfRule>
    <cfRule type="expression" dxfId="3723" priority="28">
      <formula>BG$9&lt;8/24</formula>
    </cfRule>
  </conditionalFormatting>
  <conditionalFormatting sqref="AU15:AV15">
    <cfRule type="expression" dxfId="3722" priority="29">
      <formula>AE$9&gt;=20/24</formula>
    </cfRule>
    <cfRule type="expression" dxfId="3721" priority="30">
      <formula>AND(AE$9&gt;=14/24,AE$9&lt;20/24)</formula>
    </cfRule>
    <cfRule type="expression" dxfId="3720" priority="31">
      <formula>AND(AE$9&gt;=8/24,AE$9&lt;14/24)</formula>
    </cfRule>
    <cfRule type="expression" dxfId="3719" priority="32">
      <formula>AE$9&lt;8/24</formula>
    </cfRule>
  </conditionalFormatting>
  <conditionalFormatting sqref="AU16:BJ21">
    <cfRule type="expression" dxfId="3718" priority="33">
      <formula>BI$9&gt;=20/24</formula>
    </cfRule>
    <cfRule type="expression" dxfId="3717" priority="34">
      <formula>AND(BI$9&gt;=14/24,BI$9&lt;20/24)</formula>
    </cfRule>
    <cfRule type="expression" dxfId="3716" priority="35">
      <formula>AND(BI$9&gt;=8/24,BI$9&lt;14/24)</formula>
    </cfRule>
    <cfRule type="expression" dxfId="3715" priority="36">
      <formula>BI$9&lt;8/24</formula>
    </cfRule>
  </conditionalFormatting>
  <conditionalFormatting sqref="AW15">
    <cfRule type="expression" dxfId="3714" priority="5">
      <formula>B$9&gt;=20/24</formula>
    </cfRule>
    <cfRule type="expression" dxfId="3713" priority="6">
      <formula>AND(B$9&gt;=14/24,B$9&lt;20/24)</formula>
    </cfRule>
    <cfRule type="expression" dxfId="3712" priority="7">
      <formula>AND(B$9&gt;=8/24,B$9&lt;14/24)</formula>
    </cfRule>
    <cfRule type="expression" dxfId="371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EA90-7395-4AD0-BA3C-2E4E77BA65D7}">
  <dimension ref="A1:CJ297"/>
  <sheetViews>
    <sheetView zoomScale="106" workbookViewId="0">
      <pane xSplit="1" ySplit="10" topLeftCell="B73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Z86" sqref="Z86:AB8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2080/10/5</v>
      </c>
      <c r="C4" s="189"/>
      <c r="D4" s="189"/>
      <c r="E4" s="190" t="str">
        <f ca="1">"2080/"&amp;"10/"&amp;INT(MID(CELL("filename",G6),FIND("]",CELL("filename",G6))+1,200))</f>
        <v>2080/10/5</v>
      </c>
      <c r="F4" s="190"/>
      <c r="G4" s="190"/>
      <c r="H4" s="190" t="str">
        <f ca="1">TEXT(E4,"dddd")</f>
        <v>Saturday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45</v>
      </c>
      <c r="C5" s="30">
        <f t="shared" si="0"/>
        <v>49.6</v>
      </c>
      <c r="D5" s="30">
        <f t="shared" si="0"/>
        <v>45.3</v>
      </c>
      <c r="E5" s="30">
        <f t="shared" si="0"/>
        <v>5</v>
      </c>
      <c r="F5" s="30">
        <f t="shared" si="0"/>
        <v>3.7</v>
      </c>
      <c r="G5" s="30">
        <f t="shared" si="0"/>
        <v>4</v>
      </c>
      <c r="H5" s="30">
        <f t="shared" si="0"/>
        <v>10</v>
      </c>
      <c r="I5" s="30">
        <f t="shared" si="0"/>
        <v>34</v>
      </c>
      <c r="J5" s="30">
        <f t="shared" si="0"/>
        <v>36</v>
      </c>
      <c r="K5" s="30">
        <f t="shared" si="0"/>
        <v>46</v>
      </c>
      <c r="L5" s="30">
        <f t="shared" si="0"/>
        <v>67.900000000000006</v>
      </c>
      <c r="M5" s="30">
        <f t="shared" si="0"/>
        <v>67</v>
      </c>
      <c r="N5" s="30">
        <f t="shared" si="0"/>
        <v>115.7</v>
      </c>
      <c r="O5" s="30">
        <f t="shared" si="0"/>
        <v>102.7</v>
      </c>
      <c r="P5" s="30">
        <f t="shared" si="0"/>
        <v>105.8</v>
      </c>
      <c r="Q5" s="30">
        <f t="shared" si="0"/>
        <v>115</v>
      </c>
      <c r="R5" s="30">
        <f t="shared" si="0"/>
        <v>108.1</v>
      </c>
      <c r="S5" s="30">
        <f t="shared" si="0"/>
        <v>117.5</v>
      </c>
      <c r="T5" s="30">
        <f t="shared" si="0"/>
        <v>111.30000000000001</v>
      </c>
      <c r="U5" s="30">
        <f t="shared" si="0"/>
        <v>106.1</v>
      </c>
      <c r="V5" s="30">
        <f t="shared" si="0"/>
        <v>107</v>
      </c>
      <c r="W5" s="30">
        <f t="shared" si="0"/>
        <v>47.3</v>
      </c>
      <c r="X5" s="30">
        <f t="shared" si="0"/>
        <v>47.900000000000006</v>
      </c>
      <c r="Y5" s="30">
        <f t="shared" si="0"/>
        <v>53.1</v>
      </c>
      <c r="Z5" s="30">
        <f t="shared" si="0"/>
        <v>6.1</v>
      </c>
      <c r="AA5" s="30">
        <f t="shared" si="0"/>
        <v>11</v>
      </c>
      <c r="AB5" s="30">
        <f t="shared" si="0"/>
        <v>11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96.6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2042MW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Load=1233</v>
      </c>
      <c r="B7" s="35">
        <f t="shared" ref="B7:AF7" si="1">B103</f>
        <v>1377.4399999999996</v>
      </c>
      <c r="C7" s="35">
        <f t="shared" si="1"/>
        <v>1385.2400000000002</v>
      </c>
      <c r="D7" s="35">
        <f t="shared" si="1"/>
        <v>1298.04</v>
      </c>
      <c r="E7" s="35">
        <f t="shared" si="1"/>
        <v>1246.9399999999998</v>
      </c>
      <c r="F7" s="35">
        <f t="shared" si="1"/>
        <v>1240.8400000000001</v>
      </c>
      <c r="G7" s="35">
        <f t="shared" si="1"/>
        <v>1232.6600000000001</v>
      </c>
      <c r="H7" s="35">
        <f t="shared" si="1"/>
        <v>1320.54</v>
      </c>
      <c r="I7" s="35">
        <f t="shared" si="1"/>
        <v>1353.94</v>
      </c>
      <c r="J7" s="35">
        <f t="shared" si="1"/>
        <v>1520.44</v>
      </c>
      <c r="K7" s="35">
        <f t="shared" si="1"/>
        <v>1427.04</v>
      </c>
      <c r="L7" s="35">
        <f t="shared" si="1"/>
        <v>1490.04</v>
      </c>
      <c r="M7" s="35">
        <f t="shared" si="1"/>
        <v>1617.3400000000001</v>
      </c>
      <c r="N7" s="35">
        <f t="shared" si="1"/>
        <v>1633.44</v>
      </c>
      <c r="O7" s="35">
        <f t="shared" si="1"/>
        <v>1603.24</v>
      </c>
      <c r="P7" s="35">
        <f t="shared" si="1"/>
        <v>1633.24</v>
      </c>
      <c r="Q7" s="35">
        <f t="shared" si="1"/>
        <v>1612.34</v>
      </c>
      <c r="R7" s="35">
        <f t="shared" si="1"/>
        <v>1600.54</v>
      </c>
      <c r="S7" s="35">
        <f t="shared" si="1"/>
        <v>1665.0400000000004</v>
      </c>
      <c r="T7" s="35">
        <f t="shared" si="1"/>
        <v>1690.54</v>
      </c>
      <c r="U7" s="35">
        <f t="shared" si="1"/>
        <v>1628.4400000000005</v>
      </c>
      <c r="V7" s="35">
        <f t="shared" si="1"/>
        <v>1623.1400000000003</v>
      </c>
      <c r="W7" s="35">
        <f t="shared" si="1"/>
        <v>1605.9400000000005</v>
      </c>
      <c r="X7" s="35">
        <f t="shared" si="1"/>
        <v>1570.94</v>
      </c>
      <c r="Y7" s="35">
        <f t="shared" si="1"/>
        <v>1618.3000000000002</v>
      </c>
      <c r="Z7" s="35">
        <f t="shared" si="1"/>
        <v>1661.3000000000002</v>
      </c>
      <c r="AA7" s="35">
        <f t="shared" si="1"/>
        <v>1643.14</v>
      </c>
      <c r="AB7" s="35">
        <f t="shared" si="1"/>
        <v>1569.7400000000002</v>
      </c>
      <c r="AC7" s="35">
        <f t="shared" si="1"/>
        <v>1541.0400000000002</v>
      </c>
      <c r="AD7" s="35">
        <f t="shared" si="1"/>
        <v>1414.74</v>
      </c>
      <c r="AE7" s="35">
        <f t="shared" si="1"/>
        <v>1414.74</v>
      </c>
      <c r="AF7" s="35">
        <f t="shared" si="1"/>
        <v>1256.3400000000001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2117.44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1690.54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35.4</v>
      </c>
      <c r="C11" s="46">
        <v>35</v>
      </c>
      <c r="D11" s="46">
        <v>35</v>
      </c>
      <c r="E11" s="46">
        <v>22.2</v>
      </c>
      <c r="F11" s="46">
        <v>88</v>
      </c>
      <c r="G11" s="46">
        <v>77.12</v>
      </c>
      <c r="H11" s="46">
        <v>60.2</v>
      </c>
      <c r="I11" s="46">
        <v>80</v>
      </c>
      <c r="J11" s="46">
        <v>72.5</v>
      </c>
      <c r="K11" s="46">
        <v>73.3</v>
      </c>
      <c r="L11" s="46">
        <v>83.1</v>
      </c>
      <c r="M11" s="46">
        <v>83.1</v>
      </c>
      <c r="N11" s="46">
        <v>83.1</v>
      </c>
      <c r="O11" s="46">
        <v>88</v>
      </c>
      <c r="P11" s="46">
        <v>88</v>
      </c>
      <c r="Q11" s="46">
        <v>88</v>
      </c>
      <c r="R11" s="46">
        <v>88</v>
      </c>
      <c r="S11" s="46">
        <v>85.3</v>
      </c>
      <c r="T11" s="46">
        <v>85.3</v>
      </c>
      <c r="U11" s="46">
        <v>85.3</v>
      </c>
      <c r="V11" s="46">
        <v>85.3</v>
      </c>
      <c r="W11" s="46">
        <v>85.3</v>
      </c>
      <c r="X11" s="46">
        <v>60</v>
      </c>
      <c r="Y11" s="46">
        <v>55</v>
      </c>
      <c r="Z11" s="46">
        <v>53.6</v>
      </c>
      <c r="AA11" s="46">
        <v>53.6</v>
      </c>
      <c r="AB11" s="46">
        <v>53.6</v>
      </c>
      <c r="AC11" s="46">
        <v>53.6</v>
      </c>
      <c r="AD11" s="46">
        <v>53.6</v>
      </c>
      <c r="AE11" s="46">
        <v>53.6</v>
      </c>
      <c r="AF11" s="46">
        <v>50</v>
      </c>
      <c r="AG11" s="47">
        <v>86</v>
      </c>
      <c r="AH11" s="48">
        <f t="shared" ref="AH11:AH74" si="2">MAX(B11:AF11)</f>
        <v>88</v>
      </c>
      <c r="AI11" s="49">
        <f t="shared" ref="AI11:AI74" si="3">MIN(B11:AF11)</f>
        <v>22.2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51.6</v>
      </c>
      <c r="C12" s="46">
        <v>47</v>
      </c>
      <c r="D12" s="46">
        <v>45</v>
      </c>
      <c r="E12" s="46">
        <v>44.5</v>
      </c>
      <c r="F12" s="46">
        <v>44.5</v>
      </c>
      <c r="G12" s="46">
        <v>44.5</v>
      </c>
      <c r="H12" s="46">
        <v>51.5</v>
      </c>
      <c r="I12" s="46">
        <v>53</v>
      </c>
      <c r="J12" s="46">
        <v>53</v>
      </c>
      <c r="K12" s="46">
        <v>53</v>
      </c>
      <c r="L12" s="46">
        <v>54</v>
      </c>
      <c r="M12" s="46">
        <v>54</v>
      </c>
      <c r="N12" s="46">
        <v>54</v>
      </c>
      <c r="O12" s="46">
        <v>44</v>
      </c>
      <c r="P12" s="46">
        <v>44</v>
      </c>
      <c r="Q12" s="46">
        <v>44</v>
      </c>
      <c r="R12" s="46">
        <v>44</v>
      </c>
      <c r="S12" s="46">
        <v>45.6</v>
      </c>
      <c r="T12" s="46">
        <v>45.6</v>
      </c>
      <c r="U12" s="46">
        <v>45.6</v>
      </c>
      <c r="V12" s="46">
        <v>55</v>
      </c>
      <c r="W12" s="46">
        <v>55</v>
      </c>
      <c r="X12" s="46">
        <v>55</v>
      </c>
      <c r="Y12" s="46">
        <v>55</v>
      </c>
      <c r="Z12" s="46">
        <v>55</v>
      </c>
      <c r="AA12" s="46">
        <v>55</v>
      </c>
      <c r="AB12" s="46">
        <v>55</v>
      </c>
      <c r="AC12" s="46">
        <v>55</v>
      </c>
      <c r="AD12" s="46">
        <v>55</v>
      </c>
      <c r="AE12" s="46">
        <v>55</v>
      </c>
      <c r="AF12" s="46">
        <v>55</v>
      </c>
      <c r="AG12" s="50">
        <v>77</v>
      </c>
      <c r="AH12" s="48">
        <f t="shared" si="2"/>
        <v>55</v>
      </c>
      <c r="AI12" s="49">
        <f t="shared" si="3"/>
        <v>44</v>
      </c>
      <c r="AK12" s="51"/>
      <c r="AL12" s="52" t="str">
        <f ca="1">MID(CELL("filename",C7),FIND("]",CELL("filename",C7))+1,600)</f>
        <v>05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53.9</v>
      </c>
      <c r="C13" s="46">
        <v>59.3</v>
      </c>
      <c r="D13" s="46">
        <v>50</v>
      </c>
      <c r="E13" s="46">
        <v>27.1</v>
      </c>
      <c r="F13" s="46">
        <v>27.1</v>
      </c>
      <c r="G13" s="46">
        <v>27.1</v>
      </c>
      <c r="H13" s="46">
        <v>42</v>
      </c>
      <c r="I13" s="46">
        <v>24</v>
      </c>
      <c r="J13" s="46">
        <v>24</v>
      </c>
      <c r="K13" s="46">
        <v>24</v>
      </c>
      <c r="L13" s="46">
        <v>30.9</v>
      </c>
      <c r="M13" s="46">
        <v>30.9</v>
      </c>
      <c r="N13" s="46">
        <v>30.9</v>
      </c>
      <c r="O13" s="46">
        <v>0</v>
      </c>
      <c r="P13" s="46">
        <v>0</v>
      </c>
      <c r="Q13" s="46">
        <v>0</v>
      </c>
      <c r="R13" s="46">
        <v>0</v>
      </c>
      <c r="S13" s="46">
        <v>2.2999999999999998</v>
      </c>
      <c r="T13" s="46">
        <v>0</v>
      </c>
      <c r="U13" s="46">
        <v>75</v>
      </c>
      <c r="V13" s="46">
        <v>73</v>
      </c>
      <c r="W13" s="46">
        <v>73</v>
      </c>
      <c r="X13" s="46">
        <v>73</v>
      </c>
      <c r="Y13" s="46">
        <v>73</v>
      </c>
      <c r="Z13" s="46">
        <v>73</v>
      </c>
      <c r="AA13" s="46">
        <v>73</v>
      </c>
      <c r="AB13" s="46">
        <v>35</v>
      </c>
      <c r="AC13" s="46">
        <v>35</v>
      </c>
      <c r="AD13" s="46">
        <v>38</v>
      </c>
      <c r="AE13" s="46">
        <v>38</v>
      </c>
      <c r="AF13" s="46">
        <v>38</v>
      </c>
      <c r="AG13" s="50">
        <v>73</v>
      </c>
      <c r="AH13" s="48">
        <f t="shared" si="2"/>
        <v>75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41.1</v>
      </c>
      <c r="C14" s="46">
        <v>40.799999999999997</v>
      </c>
      <c r="D14" s="46">
        <v>40.9</v>
      </c>
      <c r="E14" s="46">
        <v>40.9</v>
      </c>
      <c r="F14" s="46">
        <v>40.9</v>
      </c>
      <c r="G14" s="46">
        <v>40.9</v>
      </c>
      <c r="H14" s="46">
        <v>40.9</v>
      </c>
      <c r="I14" s="46">
        <v>40.9</v>
      </c>
      <c r="J14" s="46">
        <v>40.9</v>
      </c>
      <c r="K14" s="46">
        <v>40.9</v>
      </c>
      <c r="L14" s="46">
        <v>40.9</v>
      </c>
      <c r="M14" s="46">
        <v>40.9</v>
      </c>
      <c r="N14" s="46">
        <v>40.9</v>
      </c>
      <c r="O14" s="46">
        <v>41.2</v>
      </c>
      <c r="P14" s="46">
        <v>41.2</v>
      </c>
      <c r="Q14" s="46">
        <v>41.2</v>
      </c>
      <c r="R14" s="46">
        <v>41.2</v>
      </c>
      <c r="S14" s="46">
        <v>41.2</v>
      </c>
      <c r="T14" s="46">
        <v>41.2</v>
      </c>
      <c r="U14" s="46">
        <v>41.2</v>
      </c>
      <c r="V14" s="46">
        <v>40.9</v>
      </c>
      <c r="W14" s="46">
        <v>40.9</v>
      </c>
      <c r="X14" s="46">
        <v>40.9</v>
      </c>
      <c r="Y14" s="46">
        <v>40.9</v>
      </c>
      <c r="Z14" s="46">
        <v>40.9</v>
      </c>
      <c r="AA14" s="46">
        <v>40.9</v>
      </c>
      <c r="AB14" s="46">
        <v>40.9</v>
      </c>
      <c r="AC14" s="46">
        <v>40.9</v>
      </c>
      <c r="AD14" s="46">
        <v>40.9</v>
      </c>
      <c r="AE14" s="46">
        <v>40.9</v>
      </c>
      <c r="AF14" s="46">
        <v>40.9</v>
      </c>
      <c r="AG14" s="50">
        <v>71</v>
      </c>
      <c r="AH14" s="48">
        <f t="shared" si="2"/>
        <v>41.2</v>
      </c>
      <c r="AI14" s="49">
        <f t="shared" si="3"/>
        <v>40.799999999999997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32.5</v>
      </c>
      <c r="C15" s="46">
        <v>33.299999999999997</v>
      </c>
      <c r="D15" s="46">
        <v>33.299999999999997</v>
      </c>
      <c r="E15" s="46">
        <v>39.1</v>
      </c>
      <c r="F15" s="46">
        <v>39.1</v>
      </c>
      <c r="G15" s="46">
        <v>39.1</v>
      </c>
      <c r="H15" s="46">
        <v>39.1</v>
      </c>
      <c r="I15" s="46">
        <v>39.1</v>
      </c>
      <c r="J15" s="46">
        <v>39.1</v>
      </c>
      <c r="K15" s="46">
        <v>39.1</v>
      </c>
      <c r="L15" s="46">
        <v>39.1</v>
      </c>
      <c r="M15" s="46">
        <v>39.1</v>
      </c>
      <c r="N15" s="46">
        <v>39.1</v>
      </c>
      <c r="O15" s="46">
        <v>35</v>
      </c>
      <c r="P15" s="46">
        <v>35</v>
      </c>
      <c r="Q15" s="46">
        <v>35</v>
      </c>
      <c r="R15" s="46">
        <v>35</v>
      </c>
      <c r="S15" s="46">
        <v>35</v>
      </c>
      <c r="T15" s="46">
        <v>35</v>
      </c>
      <c r="U15" s="46">
        <v>35</v>
      </c>
      <c r="V15" s="46">
        <v>35</v>
      </c>
      <c r="W15" s="46">
        <v>35</v>
      </c>
      <c r="X15" s="46">
        <v>35</v>
      </c>
      <c r="Y15" s="46">
        <v>35</v>
      </c>
      <c r="Z15" s="46">
        <v>35</v>
      </c>
      <c r="AA15" s="46">
        <v>35</v>
      </c>
      <c r="AB15" s="46">
        <v>35</v>
      </c>
      <c r="AC15" s="46">
        <v>35</v>
      </c>
      <c r="AD15" s="46">
        <v>35</v>
      </c>
      <c r="AE15" s="46">
        <v>35</v>
      </c>
      <c r="AF15" s="46">
        <v>35</v>
      </c>
      <c r="AG15" s="50">
        <v>54</v>
      </c>
      <c r="AH15" s="48">
        <f t="shared" si="2"/>
        <v>39.1</v>
      </c>
      <c r="AI15" s="49">
        <f t="shared" si="3"/>
        <v>32.5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26.6</v>
      </c>
      <c r="C16" s="46">
        <v>27.3</v>
      </c>
      <c r="D16" s="46">
        <v>27.3</v>
      </c>
      <c r="E16" s="46">
        <v>27.3</v>
      </c>
      <c r="F16" s="46">
        <v>27.3</v>
      </c>
      <c r="G16" s="46">
        <v>27.3</v>
      </c>
      <c r="H16" s="46">
        <v>27.3</v>
      </c>
      <c r="I16" s="46">
        <v>20</v>
      </c>
      <c r="J16" s="46">
        <v>20</v>
      </c>
      <c r="K16" s="46">
        <v>20</v>
      </c>
      <c r="L16" s="46">
        <v>20</v>
      </c>
      <c r="M16" s="46">
        <v>20</v>
      </c>
      <c r="N16" s="46">
        <v>20</v>
      </c>
      <c r="O16" s="46">
        <v>27.2</v>
      </c>
      <c r="P16" s="46">
        <v>27.2</v>
      </c>
      <c r="Q16" s="46">
        <v>27.2</v>
      </c>
      <c r="R16" s="46">
        <v>27.2</v>
      </c>
      <c r="S16" s="46">
        <v>27.2</v>
      </c>
      <c r="T16" s="46">
        <v>27.2</v>
      </c>
      <c r="U16" s="46">
        <v>27.2</v>
      </c>
      <c r="V16" s="46">
        <v>27.2</v>
      </c>
      <c r="W16" s="46">
        <v>27.2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27.2</v>
      </c>
      <c r="AG16" s="50">
        <v>54</v>
      </c>
      <c r="AH16" s="48">
        <f t="shared" si="2"/>
        <v>27.3</v>
      </c>
      <c r="AI16" s="49">
        <f t="shared" si="3"/>
        <v>20</v>
      </c>
      <c r="AK16" s="51"/>
      <c r="AL16" s="54" t="s">
        <v>7</v>
      </c>
      <c r="AM16" s="59">
        <f t="shared" ref="AM16:AR16" si="4">B61</f>
        <v>912.89999999999975</v>
      </c>
      <c r="AN16" s="59">
        <f t="shared" si="4"/>
        <v>956.9000000000002</v>
      </c>
      <c r="AO16" s="59">
        <f t="shared" si="4"/>
        <v>954.60000000000014</v>
      </c>
      <c r="AP16" s="59">
        <f t="shared" si="4"/>
        <v>932.80000000000007</v>
      </c>
      <c r="AQ16" s="59">
        <f t="shared" si="4"/>
        <v>1004.6</v>
      </c>
      <c r="AR16" s="59">
        <f t="shared" si="4"/>
        <v>993.72</v>
      </c>
      <c r="AS16" s="59">
        <f>I61</f>
        <v>980.10000000000014</v>
      </c>
      <c r="AT16" s="59">
        <f>K61</f>
        <v>973.40000000000009</v>
      </c>
      <c r="AU16" s="59">
        <f t="shared" ref="AU16:BD16" si="5">M61</f>
        <v>1013.1000000000001</v>
      </c>
      <c r="AV16" s="59">
        <f t="shared" si="5"/>
        <v>1013.1000000000001</v>
      </c>
      <c r="AW16" s="59">
        <f t="shared" si="5"/>
        <v>958.60000000000014</v>
      </c>
      <c r="AX16" s="59">
        <f t="shared" si="5"/>
        <v>958.60000000000014</v>
      </c>
      <c r="AY16" s="59">
        <f t="shared" si="5"/>
        <v>958.60000000000014</v>
      </c>
      <c r="AZ16" s="59">
        <f t="shared" si="5"/>
        <v>958.60000000000014</v>
      </c>
      <c r="BA16" s="59">
        <f t="shared" si="5"/>
        <v>959.80000000000018</v>
      </c>
      <c r="BB16" s="59">
        <f t="shared" si="5"/>
        <v>957.50000000000023</v>
      </c>
      <c r="BC16" s="59">
        <f t="shared" si="5"/>
        <v>1032.5000000000002</v>
      </c>
      <c r="BD16" s="59">
        <f t="shared" si="5"/>
        <v>1039.6000000000004</v>
      </c>
      <c r="BE16" s="60">
        <f>X61</f>
        <v>1014.3000000000002</v>
      </c>
      <c r="BF16" s="60">
        <f>Z61</f>
        <v>1007.9000000000002</v>
      </c>
      <c r="BG16" s="60">
        <f>AB61</f>
        <v>969.9000000000002</v>
      </c>
      <c r="BH16" s="60">
        <f>AD61</f>
        <v>947.9000000000002</v>
      </c>
      <c r="BI16" s="60">
        <f>AE61</f>
        <v>947.9000000000002</v>
      </c>
      <c r="BJ16" s="60">
        <f>AF61</f>
        <v>944.30000000000018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40.6</v>
      </c>
      <c r="C17" s="46">
        <v>46.6</v>
      </c>
      <c r="D17" s="46">
        <v>46.6</v>
      </c>
      <c r="E17" s="46">
        <v>55.2</v>
      </c>
      <c r="F17" s="46">
        <v>55.2</v>
      </c>
      <c r="G17" s="46">
        <v>55.2</v>
      </c>
      <c r="H17" s="46">
        <v>55.2</v>
      </c>
      <c r="I17" s="46">
        <v>55.2</v>
      </c>
      <c r="J17" s="46">
        <v>55.2</v>
      </c>
      <c r="K17" s="46">
        <v>55.2</v>
      </c>
      <c r="L17" s="46">
        <v>55.2</v>
      </c>
      <c r="M17" s="46">
        <v>55.2</v>
      </c>
      <c r="N17" s="46">
        <v>55.2</v>
      </c>
      <c r="O17" s="46">
        <v>55</v>
      </c>
      <c r="P17" s="46">
        <v>55</v>
      </c>
      <c r="Q17" s="46">
        <v>55</v>
      </c>
      <c r="R17" s="46">
        <v>55</v>
      </c>
      <c r="S17" s="46">
        <v>55</v>
      </c>
      <c r="T17" s="46">
        <v>55</v>
      </c>
      <c r="U17" s="46">
        <v>55</v>
      </c>
      <c r="V17" s="46">
        <v>55</v>
      </c>
      <c r="W17" s="46">
        <v>55</v>
      </c>
      <c r="X17" s="46">
        <v>55</v>
      </c>
      <c r="Y17" s="46">
        <v>55</v>
      </c>
      <c r="Z17" s="46">
        <v>55</v>
      </c>
      <c r="AA17" s="46">
        <v>55</v>
      </c>
      <c r="AB17" s="46">
        <v>55</v>
      </c>
      <c r="AC17" s="46">
        <v>55</v>
      </c>
      <c r="AD17" s="46">
        <v>55</v>
      </c>
      <c r="AE17" s="46">
        <v>55</v>
      </c>
      <c r="AF17" s="46">
        <v>55</v>
      </c>
      <c r="AG17" s="47">
        <v>52.4</v>
      </c>
      <c r="AH17" s="48">
        <f t="shared" si="2"/>
        <v>55.2</v>
      </c>
      <c r="AI17" s="49">
        <f t="shared" si="3"/>
        <v>40.6</v>
      </c>
      <c r="AK17" s="51"/>
      <c r="AL17" s="54" t="s">
        <v>27</v>
      </c>
      <c r="AM17" s="59">
        <f t="shared" ref="AM17:AR17" si="6">B65</f>
        <v>529.5</v>
      </c>
      <c r="AN17" s="59">
        <f t="shared" si="6"/>
        <v>517.70000000000005</v>
      </c>
      <c r="AO17" s="59">
        <f t="shared" si="6"/>
        <v>517.70000000000005</v>
      </c>
      <c r="AP17" s="59">
        <f t="shared" si="6"/>
        <v>517.70000000000005</v>
      </c>
      <c r="AQ17" s="59">
        <f t="shared" si="6"/>
        <v>517.70000000000005</v>
      </c>
      <c r="AR17" s="59">
        <f t="shared" si="6"/>
        <v>517.70000000000005</v>
      </c>
      <c r="AS17" s="59">
        <f>I65</f>
        <v>517.70000000000005</v>
      </c>
      <c r="AT17" s="59">
        <f>K65</f>
        <v>517.70000000000005</v>
      </c>
      <c r="AU17" s="59">
        <f t="shared" ref="AU17:BD17" si="7">M65</f>
        <v>517.70000000000005</v>
      </c>
      <c r="AV17" s="59">
        <f t="shared" si="7"/>
        <v>517.70000000000005</v>
      </c>
      <c r="AW17" s="59">
        <f t="shared" si="7"/>
        <v>517.70000000000005</v>
      </c>
      <c r="AX17" s="59">
        <f t="shared" si="7"/>
        <v>517.70000000000005</v>
      </c>
      <c r="AY17" s="59">
        <f t="shared" si="7"/>
        <v>517.70000000000005</v>
      </c>
      <c r="AZ17" s="59">
        <f t="shared" si="7"/>
        <v>517.70000000000005</v>
      </c>
      <c r="BA17" s="59">
        <f t="shared" si="7"/>
        <v>542.79999999999995</v>
      </c>
      <c r="BB17" s="59">
        <f t="shared" si="7"/>
        <v>542.79999999999995</v>
      </c>
      <c r="BC17" s="59">
        <f t="shared" si="7"/>
        <v>542.69999999999993</v>
      </c>
      <c r="BD17" s="59">
        <f t="shared" si="7"/>
        <v>543</v>
      </c>
      <c r="BE17" s="60">
        <f>X65</f>
        <v>542.79999999999995</v>
      </c>
      <c r="BF17" s="60">
        <f>Z65</f>
        <v>542.6</v>
      </c>
      <c r="BG17" s="60">
        <f>AB65</f>
        <v>542.6</v>
      </c>
      <c r="BH17" s="60">
        <f>AD65</f>
        <v>502.5</v>
      </c>
      <c r="BI17" s="60">
        <f>AE65</f>
        <v>502.5</v>
      </c>
      <c r="BJ17" s="60">
        <f>AF65</f>
        <v>542.5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50.5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46">
        <v>50.5</v>
      </c>
      <c r="AB18" s="46">
        <v>50.5</v>
      </c>
      <c r="AC18" s="46">
        <v>50.5</v>
      </c>
      <c r="AD18" s="46">
        <v>50.5</v>
      </c>
      <c r="AE18" s="46">
        <v>50.5</v>
      </c>
      <c r="AF18" s="46">
        <v>50.5</v>
      </c>
      <c r="AG18" s="50">
        <v>50</v>
      </c>
      <c r="AH18" s="48">
        <f t="shared" si="2"/>
        <v>50.5</v>
      </c>
      <c r="AI18" s="49">
        <f t="shared" si="3"/>
        <v>50.4</v>
      </c>
      <c r="AK18" s="51"/>
      <c r="AL18" s="54" t="s">
        <v>29</v>
      </c>
      <c r="AM18" s="59">
        <f t="shared" ref="AM18:AR18" si="8">B79</f>
        <v>368.44000000000005</v>
      </c>
      <c r="AN18" s="59">
        <f t="shared" si="8"/>
        <v>385.64</v>
      </c>
      <c r="AO18" s="59">
        <f t="shared" si="8"/>
        <v>386.14</v>
      </c>
      <c r="AP18" s="59">
        <f t="shared" si="8"/>
        <v>386.14</v>
      </c>
      <c r="AQ18" s="59">
        <f t="shared" si="8"/>
        <v>373.53999999999996</v>
      </c>
      <c r="AR18" s="59">
        <f t="shared" si="8"/>
        <v>373.53999999999996</v>
      </c>
      <c r="AS18" s="59">
        <f>I79</f>
        <v>386.14</v>
      </c>
      <c r="AT18" s="59">
        <f>K79</f>
        <v>386.14</v>
      </c>
      <c r="AU18" s="59">
        <f t="shared" ref="AU18:BD18" si="9">M79</f>
        <v>403.53999999999996</v>
      </c>
      <c r="AV18" s="59">
        <f t="shared" si="9"/>
        <v>405.53999999999996</v>
      </c>
      <c r="AW18" s="59">
        <f t="shared" si="9"/>
        <v>406.14</v>
      </c>
      <c r="AX18" s="59">
        <f t="shared" si="9"/>
        <v>406.14</v>
      </c>
      <c r="AY18" s="59">
        <f t="shared" si="9"/>
        <v>406.14</v>
      </c>
      <c r="AZ18" s="59">
        <f t="shared" si="9"/>
        <v>406.14</v>
      </c>
      <c r="BA18" s="59">
        <f t="shared" si="9"/>
        <v>405.23999999999995</v>
      </c>
      <c r="BB18" s="59">
        <f t="shared" si="9"/>
        <v>400.53999999999996</v>
      </c>
      <c r="BC18" s="59">
        <f t="shared" si="9"/>
        <v>397.53999999999996</v>
      </c>
      <c r="BD18" s="59">
        <f t="shared" si="9"/>
        <v>393.23999999999995</v>
      </c>
      <c r="BE18" s="60">
        <f>X79</f>
        <v>416.53999999999996</v>
      </c>
      <c r="BF18" s="60">
        <f>Z79</f>
        <v>417.29999999999995</v>
      </c>
      <c r="BG18" s="60">
        <f>AB79</f>
        <v>415.34</v>
      </c>
      <c r="BH18" s="60">
        <f>AD79</f>
        <v>415.34</v>
      </c>
      <c r="BI18" s="60">
        <f>AE79</f>
        <v>415.34</v>
      </c>
      <c r="BJ18" s="60">
        <f>AF79</f>
        <v>294.53999999999996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96.6</v>
      </c>
      <c r="AN19" s="59">
        <f t="shared" si="10"/>
        <v>45</v>
      </c>
      <c r="AO19" s="59">
        <f t="shared" si="10"/>
        <v>49.6</v>
      </c>
      <c r="AP19" s="59">
        <f t="shared" si="10"/>
        <v>45.3</v>
      </c>
      <c r="AQ19" s="59">
        <f t="shared" si="10"/>
        <v>5</v>
      </c>
      <c r="AR19" s="59">
        <f t="shared" si="10"/>
        <v>3.7</v>
      </c>
      <c r="AS19" s="59">
        <f>I95</f>
        <v>10</v>
      </c>
      <c r="AT19" s="59">
        <f>K95</f>
        <v>36</v>
      </c>
      <c r="AU19" s="59">
        <f t="shared" ref="AU19:BD19" si="11">M95</f>
        <v>67.900000000000006</v>
      </c>
      <c r="AV19" s="59">
        <f t="shared" si="11"/>
        <v>67</v>
      </c>
      <c r="AW19" s="59">
        <f t="shared" si="11"/>
        <v>115.7</v>
      </c>
      <c r="AX19" s="59">
        <f t="shared" si="11"/>
        <v>102.7</v>
      </c>
      <c r="AY19" s="59">
        <f t="shared" si="11"/>
        <v>105.8</v>
      </c>
      <c r="AZ19" s="59">
        <f t="shared" si="11"/>
        <v>115</v>
      </c>
      <c r="BA19" s="59">
        <f t="shared" si="11"/>
        <v>108.1</v>
      </c>
      <c r="BB19" s="59">
        <f t="shared" si="11"/>
        <v>117.5</v>
      </c>
      <c r="BC19" s="59">
        <f t="shared" si="11"/>
        <v>111.30000000000001</v>
      </c>
      <c r="BD19" s="59">
        <f t="shared" si="11"/>
        <v>106.1</v>
      </c>
      <c r="BE19" s="60">
        <f>X95</f>
        <v>47.3</v>
      </c>
      <c r="BF19" s="60">
        <f>Z95</f>
        <v>53.1</v>
      </c>
      <c r="BG19" s="60">
        <f>AB95</f>
        <v>11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44.3</v>
      </c>
      <c r="D20" s="46">
        <v>44.3</v>
      </c>
      <c r="E20" s="46">
        <v>44.3</v>
      </c>
      <c r="F20" s="46">
        <v>44.3</v>
      </c>
      <c r="G20" s="46">
        <v>44.3</v>
      </c>
      <c r="H20" s="46">
        <v>44.3</v>
      </c>
      <c r="I20" s="46">
        <v>44.3</v>
      </c>
      <c r="J20" s="46">
        <v>44.3</v>
      </c>
      <c r="K20" s="46">
        <v>44.3</v>
      </c>
      <c r="L20" s="46">
        <v>44.3</v>
      </c>
      <c r="M20" s="46">
        <v>44.3</v>
      </c>
      <c r="N20" s="46">
        <v>44.3</v>
      </c>
      <c r="O20" s="46">
        <v>44.3</v>
      </c>
      <c r="P20" s="46">
        <v>44.3</v>
      </c>
      <c r="Q20" s="46">
        <v>44.3</v>
      </c>
      <c r="R20" s="46">
        <v>44.3</v>
      </c>
      <c r="S20" s="46">
        <v>44.3</v>
      </c>
      <c r="T20" s="46">
        <v>44.3</v>
      </c>
      <c r="U20" s="46">
        <v>44.3</v>
      </c>
      <c r="V20" s="46">
        <v>44.3</v>
      </c>
      <c r="W20" s="46">
        <v>44.3</v>
      </c>
      <c r="X20" s="46">
        <v>44.3</v>
      </c>
      <c r="Y20" s="46">
        <v>44.3</v>
      </c>
      <c r="Z20" s="46">
        <v>44.3</v>
      </c>
      <c r="AA20" s="46">
        <v>44.3</v>
      </c>
      <c r="AB20" s="46">
        <v>44.3</v>
      </c>
      <c r="AC20" s="46">
        <v>44.3</v>
      </c>
      <c r="AD20" s="46">
        <v>44.3</v>
      </c>
      <c r="AE20" s="46">
        <v>44.3</v>
      </c>
      <c r="AF20" s="46">
        <v>44.3</v>
      </c>
      <c r="AG20" s="50">
        <v>44</v>
      </c>
      <c r="AH20" s="48">
        <f t="shared" si="2"/>
        <v>44.3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18.799999999999997</v>
      </c>
      <c r="AU20" s="59">
        <f t="shared" ref="AU20:BD20" si="13">M83</f>
        <v>39.099999999999994</v>
      </c>
      <c r="AV20" s="59">
        <f t="shared" si="13"/>
        <v>39.099999999999994</v>
      </c>
      <c r="AW20" s="59">
        <f t="shared" si="13"/>
        <v>39.099999999999994</v>
      </c>
      <c r="AX20" s="59">
        <f t="shared" si="13"/>
        <v>39.099999999999994</v>
      </c>
      <c r="AY20" s="59">
        <f t="shared" si="13"/>
        <v>39.099999999999994</v>
      </c>
      <c r="AZ20" s="59">
        <f t="shared" si="13"/>
        <v>39.099999999999994</v>
      </c>
      <c r="BA20" s="59">
        <f t="shared" si="13"/>
        <v>42.2</v>
      </c>
      <c r="BB20" s="59">
        <f t="shared" si="13"/>
        <v>42.2</v>
      </c>
      <c r="BC20" s="59">
        <f t="shared" si="13"/>
        <v>33.4</v>
      </c>
      <c r="BD20" s="59">
        <f t="shared" si="13"/>
        <v>23.199999999999996</v>
      </c>
      <c r="BE20" s="60">
        <f>X83</f>
        <v>0</v>
      </c>
      <c r="BF20" s="60">
        <f>Z83</f>
        <v>17.5</v>
      </c>
      <c r="BG20" s="60">
        <f>AB83</f>
        <v>30.9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40</v>
      </c>
      <c r="C22" s="46">
        <v>40.4</v>
      </c>
      <c r="D22" s="46">
        <v>40.4</v>
      </c>
      <c r="E22" s="46">
        <v>40.4</v>
      </c>
      <c r="F22" s="46">
        <v>40.4</v>
      </c>
      <c r="G22" s="46">
        <v>40.4</v>
      </c>
      <c r="H22" s="46">
        <v>40.4</v>
      </c>
      <c r="I22" s="46">
        <v>40.4</v>
      </c>
      <c r="J22" s="46">
        <v>40.4</v>
      </c>
      <c r="K22" s="46">
        <v>40.4</v>
      </c>
      <c r="L22" s="46">
        <v>40.4</v>
      </c>
      <c r="M22" s="46">
        <v>40.4</v>
      </c>
      <c r="N22" s="46">
        <v>40.4</v>
      </c>
      <c r="O22" s="46">
        <v>37.700000000000003</v>
      </c>
      <c r="P22" s="46">
        <v>37.700000000000003</v>
      </c>
      <c r="Q22" s="46">
        <v>37.700000000000003</v>
      </c>
      <c r="R22" s="46">
        <v>37.700000000000003</v>
      </c>
      <c r="S22" s="46">
        <v>37.700000000000003</v>
      </c>
      <c r="T22" s="46">
        <v>37.700000000000003</v>
      </c>
      <c r="U22" s="46">
        <v>37.700000000000003</v>
      </c>
      <c r="V22" s="46">
        <v>37.700000000000003</v>
      </c>
      <c r="W22" s="46">
        <v>37.700000000000003</v>
      </c>
      <c r="X22" s="46">
        <v>37.700000000000003</v>
      </c>
      <c r="Y22" s="46">
        <v>37.700000000000003</v>
      </c>
      <c r="Z22" s="46">
        <v>37.700000000000003</v>
      </c>
      <c r="AA22" s="46">
        <v>37.700000000000003</v>
      </c>
      <c r="AB22" s="46">
        <v>37.700000000000003</v>
      </c>
      <c r="AC22" s="46">
        <v>37.700000000000003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40.4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1907.4399999999996</v>
      </c>
      <c r="AN22" s="63">
        <f t="shared" si="16"/>
        <v>1905.2400000000002</v>
      </c>
      <c r="AO22" s="63">
        <f t="shared" si="16"/>
        <v>1908.04</v>
      </c>
      <c r="AP22" s="63">
        <f t="shared" si="16"/>
        <v>1881.9399999999998</v>
      </c>
      <c r="AQ22" s="63">
        <f t="shared" si="16"/>
        <v>1900.8400000000001</v>
      </c>
      <c r="AR22" s="63">
        <f t="shared" si="16"/>
        <v>1888.66</v>
      </c>
      <c r="AS22" s="63">
        <f t="shared" si="16"/>
        <v>1893.94</v>
      </c>
      <c r="AT22" s="63">
        <f t="shared" si="16"/>
        <v>1932.0400000000002</v>
      </c>
      <c r="AU22" s="63">
        <f t="shared" si="16"/>
        <v>2041.3400000000001</v>
      </c>
      <c r="AV22" s="63">
        <f t="shared" si="16"/>
        <v>2042.44</v>
      </c>
      <c r="AW22" s="63">
        <f t="shared" si="16"/>
        <v>2037.24</v>
      </c>
      <c r="AX22" s="63">
        <f t="shared" si="16"/>
        <v>2024.24</v>
      </c>
      <c r="AY22" s="63">
        <f t="shared" si="16"/>
        <v>2027.34</v>
      </c>
      <c r="AZ22" s="63">
        <f t="shared" si="16"/>
        <v>2036.54</v>
      </c>
      <c r="BA22" s="63">
        <f t="shared" si="16"/>
        <v>2058.14</v>
      </c>
      <c r="BB22" s="63">
        <f t="shared" si="16"/>
        <v>2060.54</v>
      </c>
      <c r="BC22" s="63">
        <f t="shared" si="16"/>
        <v>2117.4400000000005</v>
      </c>
      <c r="BD22" s="63">
        <f t="shared" si="16"/>
        <v>2105.1400000000003</v>
      </c>
      <c r="BE22" s="63">
        <f t="shared" si="16"/>
        <v>2020.94</v>
      </c>
      <c r="BF22" s="63">
        <f t="shared" si="16"/>
        <v>2038.4</v>
      </c>
      <c r="BG22" s="63">
        <f t="shared" si="16"/>
        <v>1969.7400000000002</v>
      </c>
      <c r="BH22" s="63">
        <f t="shared" si="16"/>
        <v>1865.74</v>
      </c>
      <c r="BI22" s="63">
        <f t="shared" si="16"/>
        <v>1865.74</v>
      </c>
      <c r="BJ22" s="63">
        <f t="shared" si="16"/>
        <v>1781.3400000000001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>
        <v>22</v>
      </c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0</v>
      </c>
      <c r="AE23" s="46">
        <v>0</v>
      </c>
      <c r="AF23" s="46">
        <v>0</v>
      </c>
      <c r="AG23" s="50">
        <v>38.46</v>
      </c>
      <c r="AH23" s="48">
        <f t="shared" si="2"/>
        <v>22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-530</v>
      </c>
      <c r="AN23" s="63">
        <f t="shared" si="17"/>
        <v>-520</v>
      </c>
      <c r="AO23" s="63">
        <f t="shared" si="17"/>
        <v>-610</v>
      </c>
      <c r="AP23" s="63">
        <f t="shared" si="17"/>
        <v>-635</v>
      </c>
      <c r="AQ23" s="63">
        <f t="shared" si="17"/>
        <v>-660</v>
      </c>
      <c r="AR23" s="63">
        <f t="shared" si="17"/>
        <v>-656</v>
      </c>
      <c r="AS23" s="63">
        <f>I110*-1</f>
        <v>-540</v>
      </c>
      <c r="AT23" s="63">
        <f>K110*-1</f>
        <v>-505</v>
      </c>
      <c r="AU23" s="63">
        <f t="shared" ref="AU23:BD23" si="18">M110*-1</f>
        <v>-424</v>
      </c>
      <c r="AV23" s="63">
        <f t="shared" si="18"/>
        <v>-409</v>
      </c>
      <c r="AW23" s="63">
        <f t="shared" si="18"/>
        <v>-434</v>
      </c>
      <c r="AX23" s="63">
        <f t="shared" si="18"/>
        <v>-391</v>
      </c>
      <c r="AY23" s="63">
        <f t="shared" si="18"/>
        <v>-415</v>
      </c>
      <c r="AZ23" s="63">
        <f t="shared" si="18"/>
        <v>-436</v>
      </c>
      <c r="BA23" s="63">
        <f t="shared" si="18"/>
        <v>-393.1</v>
      </c>
      <c r="BB23" s="63">
        <f t="shared" si="18"/>
        <v>-370</v>
      </c>
      <c r="BC23" s="63">
        <f t="shared" si="18"/>
        <v>-489</v>
      </c>
      <c r="BD23" s="63">
        <f t="shared" si="18"/>
        <v>-482</v>
      </c>
      <c r="BE23" s="63">
        <f>X110*-1</f>
        <v>-450</v>
      </c>
      <c r="BF23" s="63">
        <f>Z110*-1</f>
        <v>-377.1</v>
      </c>
      <c r="BG23" s="63">
        <f>AB110*-1</f>
        <v>-400</v>
      </c>
      <c r="BH23" s="63">
        <f>AD110*-1</f>
        <v>-451</v>
      </c>
      <c r="BI23" s="63">
        <f>AE110*-1</f>
        <v>-451</v>
      </c>
      <c r="BJ23" s="63">
        <f>AF110*-1</f>
        <v>-525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31</v>
      </c>
      <c r="C24" s="46">
        <v>31</v>
      </c>
      <c r="D24" s="46">
        <v>31</v>
      </c>
      <c r="E24" s="46">
        <v>31</v>
      </c>
      <c r="F24" s="46">
        <v>31</v>
      </c>
      <c r="G24" s="46">
        <v>31</v>
      </c>
      <c r="H24" s="46">
        <v>31</v>
      </c>
      <c r="I24" s="46">
        <v>31</v>
      </c>
      <c r="J24" s="46">
        <v>31</v>
      </c>
      <c r="K24" s="46">
        <v>31</v>
      </c>
      <c r="L24" s="46">
        <v>31</v>
      </c>
      <c r="M24" s="46">
        <v>31</v>
      </c>
      <c r="N24" s="46">
        <v>31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34.700000000000003</v>
      </c>
      <c r="AE24" s="46">
        <v>34.700000000000003</v>
      </c>
      <c r="AF24" s="46">
        <v>34.700000000000003</v>
      </c>
      <c r="AG24" s="50">
        <v>36</v>
      </c>
      <c r="AH24" s="48">
        <f t="shared" si="2"/>
        <v>34.700000000000003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1377.4399999999996</v>
      </c>
      <c r="AN24" s="63">
        <f t="shared" si="19"/>
        <v>1385.2400000000002</v>
      </c>
      <c r="AO24" s="63">
        <f t="shared" si="19"/>
        <v>1298.04</v>
      </c>
      <c r="AP24" s="63">
        <f t="shared" si="19"/>
        <v>1246.9399999999998</v>
      </c>
      <c r="AQ24" s="63">
        <f t="shared" si="19"/>
        <v>1240.8400000000001</v>
      </c>
      <c r="AR24" s="63">
        <f t="shared" si="19"/>
        <v>1232.6600000000001</v>
      </c>
      <c r="AS24" s="63">
        <f t="shared" si="19"/>
        <v>1353.94</v>
      </c>
      <c r="AT24" s="63">
        <f t="shared" si="19"/>
        <v>1427.0400000000002</v>
      </c>
      <c r="AU24" s="63">
        <f t="shared" si="19"/>
        <v>1617.3400000000001</v>
      </c>
      <c r="AV24" s="63">
        <f t="shared" si="19"/>
        <v>1633.44</v>
      </c>
      <c r="AW24" s="63">
        <f t="shared" si="19"/>
        <v>1603.24</v>
      </c>
      <c r="AX24" s="63">
        <f t="shared" si="19"/>
        <v>1633.24</v>
      </c>
      <c r="AY24" s="63">
        <f t="shared" si="19"/>
        <v>1612.34</v>
      </c>
      <c r="AZ24" s="63">
        <f t="shared" si="19"/>
        <v>1600.54</v>
      </c>
      <c r="BA24" s="63">
        <f t="shared" si="19"/>
        <v>1665.04</v>
      </c>
      <c r="BB24" s="63">
        <f t="shared" si="19"/>
        <v>1690.54</v>
      </c>
      <c r="BC24" s="63">
        <f t="shared" si="19"/>
        <v>1628.4400000000005</v>
      </c>
      <c r="BD24" s="63">
        <f t="shared" si="19"/>
        <v>1623.1400000000003</v>
      </c>
      <c r="BE24" s="63">
        <f t="shared" si="19"/>
        <v>1570.94</v>
      </c>
      <c r="BF24" s="63">
        <f t="shared" si="19"/>
        <v>1661.3000000000002</v>
      </c>
      <c r="BG24" s="63">
        <f t="shared" si="19"/>
        <v>1569.7400000000002</v>
      </c>
      <c r="BH24" s="63">
        <f t="shared" si="19"/>
        <v>1414.74</v>
      </c>
      <c r="BI24" s="63">
        <f t="shared" si="19"/>
        <v>1414.74</v>
      </c>
      <c r="BJ24" s="63">
        <f t="shared" si="19"/>
        <v>1256.3400000000001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15</v>
      </c>
      <c r="D25" s="46">
        <v>15</v>
      </c>
      <c r="E25" s="46">
        <v>15</v>
      </c>
      <c r="F25" s="46">
        <v>15</v>
      </c>
      <c r="G25" s="46">
        <v>15</v>
      </c>
      <c r="H25" s="46">
        <v>15</v>
      </c>
      <c r="I25" s="46">
        <v>14</v>
      </c>
      <c r="J25" s="46">
        <v>14</v>
      </c>
      <c r="K25" s="46">
        <v>14</v>
      </c>
      <c r="L25" s="46">
        <v>14</v>
      </c>
      <c r="M25" s="46">
        <v>14</v>
      </c>
      <c r="N25" s="46">
        <v>14</v>
      </c>
      <c r="O25" s="46">
        <v>15</v>
      </c>
      <c r="P25" s="46">
        <v>15</v>
      </c>
      <c r="Q25" s="46">
        <v>15</v>
      </c>
      <c r="R25" s="46">
        <v>15</v>
      </c>
      <c r="S25" s="46">
        <v>15</v>
      </c>
      <c r="T25" s="46">
        <v>15</v>
      </c>
      <c r="U25" s="46">
        <v>15</v>
      </c>
      <c r="V25" s="46">
        <v>15</v>
      </c>
      <c r="W25" s="46">
        <v>15</v>
      </c>
      <c r="X25" s="46">
        <v>15</v>
      </c>
      <c r="Y25" s="46">
        <v>15</v>
      </c>
      <c r="Z25" s="46">
        <v>15</v>
      </c>
      <c r="AA25" s="46">
        <v>15</v>
      </c>
      <c r="AB25" s="46">
        <v>15</v>
      </c>
      <c r="AC25" s="46">
        <v>15</v>
      </c>
      <c r="AD25" s="46">
        <v>15</v>
      </c>
      <c r="AE25" s="46">
        <v>15</v>
      </c>
      <c r="AF25" s="46">
        <v>15</v>
      </c>
      <c r="AG25" s="61">
        <v>30</v>
      </c>
      <c r="AH25" s="48">
        <f t="shared" si="2"/>
        <v>15</v>
      </c>
      <c r="AI25" s="49">
        <f t="shared" si="3"/>
        <v>14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19</v>
      </c>
      <c r="C26" s="46">
        <v>26.4</v>
      </c>
      <c r="D26" s="46">
        <v>33.200000000000003</v>
      </c>
      <c r="E26" s="46">
        <v>33.200000000000003</v>
      </c>
      <c r="F26" s="46">
        <v>33.200000000000003</v>
      </c>
      <c r="G26" s="46">
        <v>33.200000000000003</v>
      </c>
      <c r="H26" s="46">
        <v>33.200000000000003</v>
      </c>
      <c r="I26" s="46">
        <v>33.200000000000003</v>
      </c>
      <c r="J26" s="46">
        <v>33.200000000000003</v>
      </c>
      <c r="K26" s="46">
        <v>33.200000000000003</v>
      </c>
      <c r="L26" s="46">
        <v>33.200000000000003</v>
      </c>
      <c r="M26" s="46">
        <v>33.200000000000003</v>
      </c>
      <c r="N26" s="46">
        <v>33.200000000000003</v>
      </c>
      <c r="O26" s="46">
        <v>32.9</v>
      </c>
      <c r="P26" s="46">
        <v>32.9</v>
      </c>
      <c r="Q26" s="46">
        <v>32.9</v>
      </c>
      <c r="R26" s="46">
        <v>32.9</v>
      </c>
      <c r="S26" s="46">
        <v>32.9</v>
      </c>
      <c r="T26" s="46">
        <v>32.9</v>
      </c>
      <c r="U26" s="46">
        <v>32.9</v>
      </c>
      <c r="V26" s="46">
        <v>32.9</v>
      </c>
      <c r="W26" s="46">
        <v>32.9</v>
      </c>
      <c r="X26" s="46">
        <v>32.9</v>
      </c>
      <c r="Y26" s="46">
        <v>32.9</v>
      </c>
      <c r="Z26" s="46">
        <v>32.9</v>
      </c>
      <c r="AA26" s="46">
        <v>32.9</v>
      </c>
      <c r="AB26" s="46">
        <v>32.9</v>
      </c>
      <c r="AC26" s="46">
        <v>32.9</v>
      </c>
      <c r="AD26" s="46">
        <v>32.9</v>
      </c>
      <c r="AE26" s="46">
        <v>32.9</v>
      </c>
      <c r="AF26" s="46">
        <v>32.9</v>
      </c>
      <c r="AG26" s="50">
        <v>24.2</v>
      </c>
      <c r="AH26" s="48">
        <f t="shared" si="2"/>
        <v>33.200000000000003</v>
      </c>
      <c r="AI26" s="49">
        <f t="shared" si="3"/>
        <v>19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19.8</v>
      </c>
      <c r="C27" s="46">
        <v>22.8</v>
      </c>
      <c r="D27" s="46">
        <v>27.3</v>
      </c>
      <c r="E27" s="46">
        <v>27.3</v>
      </c>
      <c r="F27" s="46">
        <v>27.3</v>
      </c>
      <c r="G27" s="46">
        <v>27.3</v>
      </c>
      <c r="H27" s="46">
        <v>27.3</v>
      </c>
      <c r="I27" s="46">
        <v>27.3</v>
      </c>
      <c r="J27" s="46">
        <v>27.3</v>
      </c>
      <c r="K27" s="46">
        <v>27.3</v>
      </c>
      <c r="L27" s="46">
        <v>27.3</v>
      </c>
      <c r="M27" s="46">
        <v>27.3</v>
      </c>
      <c r="N27" s="46">
        <v>27.3</v>
      </c>
      <c r="O27" s="46">
        <v>28.4</v>
      </c>
      <c r="P27" s="46">
        <v>28.4</v>
      </c>
      <c r="Q27" s="46">
        <v>28.4</v>
      </c>
      <c r="R27" s="46">
        <v>28.4</v>
      </c>
      <c r="S27" s="46">
        <v>28.4</v>
      </c>
      <c r="T27" s="46">
        <v>28.4</v>
      </c>
      <c r="U27" s="46">
        <v>28.4</v>
      </c>
      <c r="V27" s="46">
        <v>28.4</v>
      </c>
      <c r="W27" s="46">
        <v>28.4</v>
      </c>
      <c r="X27" s="46">
        <v>28.4</v>
      </c>
      <c r="Y27" s="46">
        <v>28.4</v>
      </c>
      <c r="Z27" s="46">
        <v>28.4</v>
      </c>
      <c r="AA27" s="46">
        <v>28.4</v>
      </c>
      <c r="AB27" s="46">
        <v>28.4</v>
      </c>
      <c r="AC27" s="46">
        <v>28.4</v>
      </c>
      <c r="AD27" s="46">
        <v>28.4</v>
      </c>
      <c r="AE27" s="46">
        <v>28.4</v>
      </c>
      <c r="AF27" s="46">
        <v>28.4</v>
      </c>
      <c r="AG27" s="50">
        <v>28</v>
      </c>
      <c r="AH27" s="48">
        <f t="shared" si="2"/>
        <v>28.4</v>
      </c>
      <c r="AI27" s="49">
        <f t="shared" si="3"/>
        <v>19.8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16.399999999999999</v>
      </c>
      <c r="C28" s="46">
        <v>26.2</v>
      </c>
      <c r="D28" s="46">
        <v>24.8</v>
      </c>
      <c r="E28" s="46">
        <v>24.8</v>
      </c>
      <c r="F28" s="46">
        <v>24.8</v>
      </c>
      <c r="G28" s="46">
        <v>24.8</v>
      </c>
      <c r="H28" s="46">
        <v>24.8</v>
      </c>
      <c r="I28" s="46">
        <v>16</v>
      </c>
      <c r="J28" s="46">
        <v>16</v>
      </c>
      <c r="K28" s="46">
        <v>16</v>
      </c>
      <c r="L28" s="46">
        <v>16</v>
      </c>
      <c r="M28" s="46">
        <v>16</v>
      </c>
      <c r="N28" s="46">
        <v>16</v>
      </c>
      <c r="O28" s="46">
        <v>18.7</v>
      </c>
      <c r="P28" s="46">
        <v>18.7</v>
      </c>
      <c r="Q28" s="46">
        <v>18.7</v>
      </c>
      <c r="R28" s="46">
        <v>18.7</v>
      </c>
      <c r="S28" s="46">
        <v>18.7</v>
      </c>
      <c r="T28" s="46">
        <v>18.7</v>
      </c>
      <c r="U28" s="46">
        <v>18.7</v>
      </c>
      <c r="V28" s="46">
        <v>18.7</v>
      </c>
      <c r="W28" s="46">
        <v>18.7</v>
      </c>
      <c r="X28" s="46">
        <v>18.7</v>
      </c>
      <c r="Y28" s="46">
        <v>18.7</v>
      </c>
      <c r="Z28" s="46">
        <v>18.7</v>
      </c>
      <c r="AA28" s="46">
        <v>18.7</v>
      </c>
      <c r="AB28" s="46">
        <v>18.7</v>
      </c>
      <c r="AC28" s="46">
        <v>18.7</v>
      </c>
      <c r="AD28" s="46">
        <v>18.7</v>
      </c>
      <c r="AE28" s="46">
        <v>18.7</v>
      </c>
      <c r="AF28" s="46">
        <v>18.7</v>
      </c>
      <c r="AG28" s="61">
        <v>30</v>
      </c>
      <c r="AH28" s="48">
        <f t="shared" si="2"/>
        <v>26.2</v>
      </c>
      <c r="AI28" s="49">
        <f t="shared" si="3"/>
        <v>16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20</v>
      </c>
      <c r="C29" s="46">
        <v>26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24</v>
      </c>
      <c r="P29" s="46">
        <v>24</v>
      </c>
      <c r="Q29" s="46">
        <v>24</v>
      </c>
      <c r="R29" s="46">
        <v>24</v>
      </c>
      <c r="S29" s="46">
        <v>24</v>
      </c>
      <c r="T29" s="46">
        <v>24</v>
      </c>
      <c r="U29" s="46">
        <v>24</v>
      </c>
      <c r="V29" s="46">
        <v>24</v>
      </c>
      <c r="W29" s="46">
        <v>24</v>
      </c>
      <c r="X29" s="46">
        <v>24</v>
      </c>
      <c r="Y29" s="46">
        <v>24</v>
      </c>
      <c r="Z29" s="46">
        <v>24</v>
      </c>
      <c r="AA29" s="46">
        <v>24</v>
      </c>
      <c r="AB29" s="46">
        <v>24</v>
      </c>
      <c r="AC29" s="46">
        <v>24</v>
      </c>
      <c r="AD29" s="46">
        <v>24</v>
      </c>
      <c r="AE29" s="46">
        <v>24</v>
      </c>
      <c r="AF29" s="46">
        <v>24</v>
      </c>
      <c r="AG29" s="50">
        <v>25</v>
      </c>
      <c r="AH29" s="48">
        <f t="shared" si="2"/>
        <v>26</v>
      </c>
      <c r="AI29" s="49">
        <f t="shared" si="3"/>
        <v>20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18.899999999999999</v>
      </c>
      <c r="C32" s="46">
        <v>25.4</v>
      </c>
      <c r="D32" s="46">
        <v>25.4</v>
      </c>
      <c r="E32" s="46">
        <v>25.4</v>
      </c>
      <c r="F32" s="46">
        <v>25.4</v>
      </c>
      <c r="G32" s="46">
        <v>25.4</v>
      </c>
      <c r="H32" s="46">
        <v>25.4</v>
      </c>
      <c r="I32" s="46">
        <v>25.4</v>
      </c>
      <c r="J32" s="46">
        <v>25.4</v>
      </c>
      <c r="K32" s="46">
        <v>25.4</v>
      </c>
      <c r="L32" s="46">
        <v>25.4</v>
      </c>
      <c r="M32" s="46">
        <v>25.4</v>
      </c>
      <c r="N32" s="46">
        <v>25.4</v>
      </c>
      <c r="O32" s="46">
        <v>22.2</v>
      </c>
      <c r="P32" s="46">
        <v>22.2</v>
      </c>
      <c r="Q32" s="46">
        <v>22.2</v>
      </c>
      <c r="R32" s="46">
        <v>22.2</v>
      </c>
      <c r="S32" s="46">
        <v>22.2</v>
      </c>
      <c r="T32" s="46">
        <v>22.2</v>
      </c>
      <c r="U32" s="46">
        <v>22.2</v>
      </c>
      <c r="V32" s="46">
        <v>22.2</v>
      </c>
      <c r="W32" s="46">
        <v>22.2</v>
      </c>
      <c r="X32" s="46">
        <v>22.2</v>
      </c>
      <c r="Y32" s="46">
        <v>22.2</v>
      </c>
      <c r="Z32" s="46">
        <v>22.2</v>
      </c>
      <c r="AA32" s="46">
        <v>22.2</v>
      </c>
      <c r="AB32" s="46">
        <v>22.2</v>
      </c>
      <c r="AC32" s="46">
        <v>22.2</v>
      </c>
      <c r="AD32" s="46">
        <v>22.2</v>
      </c>
      <c r="AE32" s="46">
        <v>22.2</v>
      </c>
      <c r="AF32" s="46">
        <v>22.2</v>
      </c>
      <c r="AG32" s="50">
        <v>25</v>
      </c>
      <c r="AH32" s="48">
        <f t="shared" si="2"/>
        <v>25.4</v>
      </c>
      <c r="AI32" s="49">
        <f t="shared" si="3"/>
        <v>18.899999999999999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12.4</v>
      </c>
      <c r="C33" s="46">
        <v>5.2</v>
      </c>
      <c r="D33" s="46">
        <v>5.2</v>
      </c>
      <c r="E33" s="46">
        <v>5.2</v>
      </c>
      <c r="F33" s="46">
        <v>5.2</v>
      </c>
      <c r="G33" s="46">
        <v>5.2</v>
      </c>
      <c r="H33" s="46">
        <v>5.2</v>
      </c>
      <c r="I33" s="46">
        <v>5.2</v>
      </c>
      <c r="J33" s="46">
        <v>5.2</v>
      </c>
      <c r="K33" s="46">
        <v>5.2</v>
      </c>
      <c r="L33" s="46">
        <v>5.2</v>
      </c>
      <c r="M33" s="46">
        <v>5.2</v>
      </c>
      <c r="N33" s="46">
        <v>5.2</v>
      </c>
      <c r="O33" s="46">
        <v>20</v>
      </c>
      <c r="P33" s="46">
        <v>20</v>
      </c>
      <c r="Q33" s="46">
        <v>20</v>
      </c>
      <c r="R33" s="46">
        <v>20</v>
      </c>
      <c r="S33" s="46">
        <v>20</v>
      </c>
      <c r="T33" s="46">
        <v>20</v>
      </c>
      <c r="U33" s="46">
        <v>20</v>
      </c>
      <c r="V33" s="46">
        <v>20</v>
      </c>
      <c r="W33" s="46">
        <v>20</v>
      </c>
      <c r="X33" s="46">
        <v>20</v>
      </c>
      <c r="Y33" s="46">
        <v>20</v>
      </c>
      <c r="Z33" s="46">
        <v>20</v>
      </c>
      <c r="AA33" s="46">
        <v>20</v>
      </c>
      <c r="AB33" s="46">
        <v>20</v>
      </c>
      <c r="AC33" s="46">
        <v>20</v>
      </c>
      <c r="AD33" s="46">
        <v>20</v>
      </c>
      <c r="AE33" s="46">
        <v>20</v>
      </c>
      <c r="AF33" s="46">
        <v>20</v>
      </c>
      <c r="AG33" s="50">
        <v>23.5</v>
      </c>
      <c r="AH33" s="48">
        <f t="shared" si="2"/>
        <v>20</v>
      </c>
      <c r="AI33" s="49">
        <f t="shared" si="3"/>
        <v>5.2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5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0</v>
      </c>
      <c r="C36" s="46">
        <v>0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14.9</v>
      </c>
      <c r="C37" s="46">
        <v>23.2</v>
      </c>
      <c r="D37" s="46">
        <v>23.2</v>
      </c>
      <c r="E37" s="46">
        <v>23.2</v>
      </c>
      <c r="F37" s="46">
        <v>23.2</v>
      </c>
      <c r="G37" s="46">
        <v>23.2</v>
      </c>
      <c r="H37" s="46">
        <v>23.2</v>
      </c>
      <c r="I37" s="46">
        <v>23.2</v>
      </c>
      <c r="J37" s="46">
        <v>23.2</v>
      </c>
      <c r="K37" s="46">
        <v>23.2</v>
      </c>
      <c r="L37" s="46">
        <v>23.2</v>
      </c>
      <c r="M37" s="46">
        <v>23.2</v>
      </c>
      <c r="N37" s="46">
        <v>23.2</v>
      </c>
      <c r="O37" s="46">
        <v>22</v>
      </c>
      <c r="P37" s="46">
        <v>22</v>
      </c>
      <c r="Q37" s="46">
        <v>22</v>
      </c>
      <c r="R37" s="46">
        <v>22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23.2</v>
      </c>
      <c r="AI37" s="49">
        <f t="shared" si="3"/>
        <v>14.9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19.899999999999999</v>
      </c>
      <c r="C38" s="46">
        <v>20.2</v>
      </c>
      <c r="D38" s="46">
        <v>20.2</v>
      </c>
      <c r="E38" s="46">
        <v>20.2</v>
      </c>
      <c r="F38" s="46">
        <v>20.2</v>
      </c>
      <c r="G38" s="46">
        <v>20.2</v>
      </c>
      <c r="H38" s="46">
        <v>20.2</v>
      </c>
      <c r="I38" s="46">
        <v>20.2</v>
      </c>
      <c r="J38" s="46">
        <v>20.2</v>
      </c>
      <c r="K38" s="46">
        <v>20.2</v>
      </c>
      <c r="L38" s="46">
        <v>20.2</v>
      </c>
      <c r="M38" s="46">
        <v>20.2</v>
      </c>
      <c r="N38" s="46">
        <v>20.2</v>
      </c>
      <c r="O38" s="46">
        <v>19.2</v>
      </c>
      <c r="P38" s="46">
        <v>19.2</v>
      </c>
      <c r="Q38" s="46">
        <v>19.2</v>
      </c>
      <c r="R38" s="46">
        <v>19.2</v>
      </c>
      <c r="S38" s="46">
        <v>19.2</v>
      </c>
      <c r="T38" s="46">
        <v>19.2</v>
      </c>
      <c r="U38" s="46">
        <v>19.2</v>
      </c>
      <c r="V38" s="46">
        <v>19.2</v>
      </c>
      <c r="W38" s="46">
        <v>19.2</v>
      </c>
      <c r="X38" s="46">
        <v>19.2</v>
      </c>
      <c r="Y38" s="46">
        <v>19.2</v>
      </c>
      <c r="Z38" s="46">
        <v>19.2</v>
      </c>
      <c r="AA38" s="46">
        <v>19.2</v>
      </c>
      <c r="AB38" s="46">
        <v>19.2</v>
      </c>
      <c r="AC38" s="46">
        <v>19.2</v>
      </c>
      <c r="AD38" s="46">
        <v>19.2</v>
      </c>
      <c r="AE38" s="46">
        <v>19.2</v>
      </c>
      <c r="AF38" s="46">
        <v>19.2</v>
      </c>
      <c r="AG38" s="50">
        <v>20</v>
      </c>
      <c r="AH38" s="48">
        <f t="shared" si="2"/>
        <v>20.2</v>
      </c>
      <c r="AI38" s="49">
        <f t="shared" si="3"/>
        <v>19.2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12.6</v>
      </c>
      <c r="C40" s="46">
        <v>14.2</v>
      </c>
      <c r="D40" s="46">
        <v>14.2</v>
      </c>
      <c r="E40" s="46">
        <v>14.2</v>
      </c>
      <c r="F40" s="46">
        <v>14.2</v>
      </c>
      <c r="G40" s="46">
        <v>14.2</v>
      </c>
      <c r="H40" s="46">
        <v>14.2</v>
      </c>
      <c r="I40" s="46">
        <v>14.2</v>
      </c>
      <c r="J40" s="46">
        <v>14.2</v>
      </c>
      <c r="K40" s="46">
        <v>14.2</v>
      </c>
      <c r="L40" s="46">
        <v>14.2</v>
      </c>
      <c r="M40" s="46">
        <v>14.2</v>
      </c>
      <c r="N40" s="46">
        <v>14.2</v>
      </c>
      <c r="O40" s="46">
        <v>14.2</v>
      </c>
      <c r="P40" s="46">
        <v>14.2</v>
      </c>
      <c r="Q40" s="46">
        <v>14.2</v>
      </c>
      <c r="R40" s="46">
        <v>14.2</v>
      </c>
      <c r="S40" s="46">
        <v>14.2</v>
      </c>
      <c r="T40" s="46">
        <v>14.2</v>
      </c>
      <c r="U40" s="46">
        <v>14.2</v>
      </c>
      <c r="V40" s="46">
        <v>14.2</v>
      </c>
      <c r="W40" s="46">
        <v>14.2</v>
      </c>
      <c r="X40" s="46">
        <v>14.2</v>
      </c>
      <c r="Y40" s="46">
        <v>14.2</v>
      </c>
      <c r="Z40" s="46">
        <v>14.2</v>
      </c>
      <c r="AA40" s="46">
        <v>14.2</v>
      </c>
      <c r="AB40" s="46">
        <v>14.2</v>
      </c>
      <c r="AC40" s="46">
        <v>14.2</v>
      </c>
      <c r="AD40" s="46">
        <v>14.2</v>
      </c>
      <c r="AE40" s="46">
        <v>14.2</v>
      </c>
      <c r="AF40" s="46">
        <v>14.2</v>
      </c>
      <c r="AG40" s="50">
        <v>18</v>
      </c>
      <c r="AH40" s="48">
        <f t="shared" si="2"/>
        <v>14.2</v>
      </c>
      <c r="AI40" s="49">
        <f t="shared" si="3"/>
        <v>12.6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12</v>
      </c>
      <c r="G49" s="46">
        <v>12</v>
      </c>
      <c r="H49" s="46">
        <v>12</v>
      </c>
      <c r="I49" s="46">
        <v>7.2</v>
      </c>
      <c r="J49" s="46">
        <v>7.2</v>
      </c>
      <c r="K49" s="46">
        <v>7.2</v>
      </c>
      <c r="L49" s="46">
        <v>7.2</v>
      </c>
      <c r="M49" s="46">
        <v>7.2</v>
      </c>
      <c r="N49" s="46">
        <v>7.2</v>
      </c>
      <c r="O49" s="46">
        <v>7.2</v>
      </c>
      <c r="P49" s="46">
        <v>7.2</v>
      </c>
      <c r="Q49" s="46">
        <v>7.2</v>
      </c>
      <c r="R49" s="46">
        <v>7.2</v>
      </c>
      <c r="S49" s="46">
        <v>7.2</v>
      </c>
      <c r="T49" s="46">
        <v>7.2</v>
      </c>
      <c r="U49" s="46">
        <v>7.2</v>
      </c>
      <c r="V49" s="46">
        <v>7.2</v>
      </c>
      <c r="W49" s="46">
        <v>7.2</v>
      </c>
      <c r="X49" s="46">
        <v>7.2</v>
      </c>
      <c r="Y49" s="46">
        <v>7.2</v>
      </c>
      <c r="Z49" s="46">
        <v>7.2</v>
      </c>
      <c r="AA49" s="46">
        <v>7.2</v>
      </c>
      <c r="AB49" s="46">
        <v>7.2</v>
      </c>
      <c r="AC49" s="46">
        <v>7.2</v>
      </c>
      <c r="AD49" s="46">
        <v>7.2</v>
      </c>
      <c r="AE49" s="46">
        <v>7.2</v>
      </c>
      <c r="AF49" s="46">
        <v>7.2</v>
      </c>
      <c r="AG49" s="50">
        <v>12</v>
      </c>
      <c r="AH49" s="48">
        <f t="shared" si="2"/>
        <v>12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3.5</v>
      </c>
      <c r="C58" s="46">
        <v>3.5</v>
      </c>
      <c r="D58" s="46">
        <v>3.5</v>
      </c>
      <c r="E58" s="46">
        <v>3.5</v>
      </c>
      <c r="F58" s="46">
        <v>3.5</v>
      </c>
      <c r="G58" s="46">
        <v>3.5</v>
      </c>
      <c r="H58" s="46">
        <v>3.5</v>
      </c>
      <c r="I58" s="46">
        <v>3.5</v>
      </c>
      <c r="J58" s="46">
        <v>3.5</v>
      </c>
      <c r="K58" s="46">
        <v>3.5</v>
      </c>
      <c r="L58" s="46">
        <v>3.5</v>
      </c>
      <c r="M58" s="46">
        <v>3.5</v>
      </c>
      <c r="N58" s="46">
        <v>3.5</v>
      </c>
      <c r="O58" s="46">
        <v>3.5</v>
      </c>
      <c r="P58" s="46">
        <v>3.5</v>
      </c>
      <c r="Q58" s="46">
        <v>3.5</v>
      </c>
      <c r="R58" s="46">
        <v>3.5</v>
      </c>
      <c r="S58" s="46">
        <v>3.5</v>
      </c>
      <c r="T58" s="46">
        <v>3.5</v>
      </c>
      <c r="U58" s="46">
        <v>3.5</v>
      </c>
      <c r="V58" s="46">
        <v>3.5</v>
      </c>
      <c r="W58" s="46">
        <v>3.5</v>
      </c>
      <c r="X58" s="46">
        <v>3.5</v>
      </c>
      <c r="Y58" s="46">
        <v>3.5</v>
      </c>
      <c r="Z58" s="46">
        <v>3.5</v>
      </c>
      <c r="AA58" s="46">
        <v>3.5</v>
      </c>
      <c r="AB58" s="46">
        <v>3.5</v>
      </c>
      <c r="AC58" s="46">
        <v>3.5</v>
      </c>
      <c r="AD58" s="46">
        <v>3.5</v>
      </c>
      <c r="AE58" s="46">
        <v>3.5</v>
      </c>
      <c r="AF58" s="46">
        <v>3.5</v>
      </c>
      <c r="AG58" s="66">
        <v>10</v>
      </c>
      <c r="AH58" s="48">
        <f t="shared" si="2"/>
        <v>3.5</v>
      </c>
      <c r="AI58" s="49">
        <f t="shared" si="3"/>
        <v>3.5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37.7+91.4</f>
        <v>129.10000000000002</v>
      </c>
      <c r="C60" s="68">
        <f>33.8+78</f>
        <v>111.8</v>
      </c>
      <c r="D60" s="68">
        <f>36.4+87.1</f>
        <v>123.5</v>
      </c>
      <c r="E60" s="68">
        <f>85.9+35.2</f>
        <v>121.10000000000001</v>
      </c>
      <c r="F60" s="68">
        <f>92.5+38.3</f>
        <v>130.80000000000001</v>
      </c>
      <c r="G60" s="68">
        <f>83.1+28.9</f>
        <v>112</v>
      </c>
      <c r="H60" s="68">
        <f>86.8+33.8</f>
        <v>120.6</v>
      </c>
      <c r="I60" s="68">
        <f>79.5+23.6</f>
        <v>103.1</v>
      </c>
      <c r="J60" s="68">
        <f>79+22.5</f>
        <v>101.5</v>
      </c>
      <c r="K60" s="68">
        <f>79+22.5</f>
        <v>101.5</v>
      </c>
      <c r="L60" s="68">
        <f>79+22.5</f>
        <v>101.5</v>
      </c>
      <c r="M60" s="68">
        <f>79+22.5</f>
        <v>101.5</v>
      </c>
      <c r="N60" s="68">
        <f>79+22.5</f>
        <v>101.5</v>
      </c>
      <c r="O60" s="68">
        <v>119</v>
      </c>
      <c r="P60" s="68">
        <v>119</v>
      </c>
      <c r="Q60" s="68">
        <v>119</v>
      </c>
      <c r="R60" s="68">
        <v>119</v>
      </c>
      <c r="S60" s="68">
        <f>34.2+87.4</f>
        <v>121.60000000000001</v>
      </c>
      <c r="T60" s="68">
        <f>34.2+87.4</f>
        <v>121.60000000000001</v>
      </c>
      <c r="U60" s="68">
        <f>34.2+87.4</f>
        <v>121.60000000000001</v>
      </c>
      <c r="V60" s="68">
        <f>34.2+87.4</f>
        <v>121.60000000000001</v>
      </c>
      <c r="W60" s="68">
        <f>34.2+87.4</f>
        <v>121.60000000000001</v>
      </c>
      <c r="X60" s="68">
        <f t="shared" ref="X60:AC60" si="20">34.2+87.4</f>
        <v>121.60000000000001</v>
      </c>
      <c r="Y60" s="68">
        <f t="shared" si="20"/>
        <v>121.60000000000001</v>
      </c>
      <c r="Z60" s="68">
        <f t="shared" si="20"/>
        <v>121.60000000000001</v>
      </c>
      <c r="AA60" s="68">
        <f t="shared" si="20"/>
        <v>121.60000000000001</v>
      </c>
      <c r="AB60" s="68">
        <f t="shared" si="20"/>
        <v>121.60000000000001</v>
      </c>
      <c r="AC60" s="68">
        <f t="shared" si="20"/>
        <v>121.60000000000001</v>
      </c>
      <c r="AD60" s="68">
        <v>123.6</v>
      </c>
      <c r="AE60" s="68">
        <v>123.6</v>
      </c>
      <c r="AF60" s="68">
        <v>123.6</v>
      </c>
      <c r="AG60" s="66">
        <v>240</v>
      </c>
      <c r="AH60" s="48">
        <f t="shared" si="2"/>
        <v>130.80000000000001</v>
      </c>
      <c r="AI60" s="49">
        <f t="shared" si="3"/>
        <v>101.5</v>
      </c>
      <c r="AK60" s="51"/>
    </row>
    <row r="61" spans="1:88" ht="15.75" thickBot="1" x14ac:dyDescent="0.3">
      <c r="A61" s="70" t="s">
        <v>75</v>
      </c>
      <c r="B61" s="71">
        <f>SUM(B11:B59)</f>
        <v>912.89999999999975</v>
      </c>
      <c r="C61" s="71">
        <f>SUM(C11:C59)</f>
        <v>956.9000000000002</v>
      </c>
      <c r="D61" s="71">
        <f>SUM(D11:D59)</f>
        <v>954.60000000000014</v>
      </c>
      <c r="E61" s="71">
        <f t="shared" ref="E61:AG61" si="21">SUM(E11:E59)</f>
        <v>932.80000000000007</v>
      </c>
      <c r="F61" s="71">
        <f t="shared" si="21"/>
        <v>1004.6</v>
      </c>
      <c r="G61" s="71">
        <f t="shared" si="21"/>
        <v>993.72</v>
      </c>
      <c r="H61" s="71">
        <f t="shared" si="21"/>
        <v>998.7</v>
      </c>
      <c r="I61" s="71">
        <f t="shared" si="21"/>
        <v>980.10000000000014</v>
      </c>
      <c r="J61" s="71">
        <f t="shared" si="21"/>
        <v>972.60000000000014</v>
      </c>
      <c r="K61" s="71">
        <f>SUM(K11:K59)</f>
        <v>973.40000000000009</v>
      </c>
      <c r="L61" s="71">
        <f>SUM(L11:L59)</f>
        <v>991.10000000000014</v>
      </c>
      <c r="M61" s="71">
        <f t="shared" si="21"/>
        <v>1013.1000000000001</v>
      </c>
      <c r="N61" s="71">
        <f t="shared" si="21"/>
        <v>1013.1000000000001</v>
      </c>
      <c r="O61" s="71">
        <f t="shared" si="21"/>
        <v>958.60000000000014</v>
      </c>
      <c r="P61" s="71">
        <f t="shared" si="21"/>
        <v>958.60000000000014</v>
      </c>
      <c r="Q61" s="71">
        <f t="shared" si="21"/>
        <v>958.60000000000014</v>
      </c>
      <c r="R61" s="71">
        <f t="shared" si="21"/>
        <v>958.60000000000014</v>
      </c>
      <c r="S61" s="71">
        <f t="shared" si="21"/>
        <v>959.80000000000018</v>
      </c>
      <c r="T61" s="71">
        <f t="shared" si="21"/>
        <v>957.50000000000023</v>
      </c>
      <c r="U61" s="71">
        <f t="shared" si="21"/>
        <v>1032.5000000000002</v>
      </c>
      <c r="V61" s="71">
        <f t="shared" si="21"/>
        <v>1039.6000000000004</v>
      </c>
      <c r="W61" s="71">
        <f t="shared" si="21"/>
        <v>1039.6000000000004</v>
      </c>
      <c r="X61" s="71">
        <f t="shared" si="21"/>
        <v>1014.3000000000002</v>
      </c>
      <c r="Y61" s="71">
        <f t="shared" si="21"/>
        <v>1009.3000000000002</v>
      </c>
      <c r="Z61" s="71">
        <f t="shared" si="21"/>
        <v>1007.9000000000002</v>
      </c>
      <c r="AA61" s="71">
        <f t="shared" si="21"/>
        <v>1007.9000000000002</v>
      </c>
      <c r="AB61" s="71">
        <f t="shared" si="21"/>
        <v>969.9000000000002</v>
      </c>
      <c r="AC61" s="71">
        <f t="shared" si="21"/>
        <v>969.9000000000002</v>
      </c>
      <c r="AD61" s="71">
        <f t="shared" si="21"/>
        <v>947.9000000000002</v>
      </c>
      <c r="AE61" s="71">
        <f>SUM(AE11:AE59)</f>
        <v>947.9000000000002</v>
      </c>
      <c r="AF61" s="71">
        <f>SUM(AF11:AF59)</f>
        <v>944.30000000000018</v>
      </c>
      <c r="AG61" s="71">
        <f t="shared" si="21"/>
        <v>1466.0300000000002</v>
      </c>
      <c r="AH61" s="48">
        <f t="shared" si="2"/>
        <v>1039.6000000000004</v>
      </c>
      <c r="AI61" s="49">
        <f t="shared" si="3"/>
        <v>912.89999999999975</v>
      </c>
      <c r="AK61" s="51"/>
    </row>
    <row r="62" spans="1:88" x14ac:dyDescent="0.25">
      <c r="A62" s="73" t="s">
        <v>76</v>
      </c>
      <c r="B62" s="46">
        <v>460</v>
      </c>
      <c r="C62" s="46">
        <v>460</v>
      </c>
      <c r="D62" s="46">
        <v>460</v>
      </c>
      <c r="E62" s="46">
        <v>460</v>
      </c>
      <c r="F62" s="46">
        <v>460</v>
      </c>
      <c r="G62" s="46">
        <v>460</v>
      </c>
      <c r="H62" s="46">
        <v>460</v>
      </c>
      <c r="I62" s="46">
        <v>460</v>
      </c>
      <c r="J62" s="46">
        <v>460</v>
      </c>
      <c r="K62" s="46">
        <v>460</v>
      </c>
      <c r="L62" s="46">
        <v>460</v>
      </c>
      <c r="M62" s="46">
        <v>460</v>
      </c>
      <c r="N62" s="46">
        <v>460</v>
      </c>
      <c r="O62" s="46">
        <v>460</v>
      </c>
      <c r="P62" s="46">
        <v>460</v>
      </c>
      <c r="Q62" s="46">
        <v>460</v>
      </c>
      <c r="R62" s="46">
        <v>460</v>
      </c>
      <c r="S62" s="74">
        <v>460.3</v>
      </c>
      <c r="T62" s="74">
        <v>460.3</v>
      </c>
      <c r="U62" s="74">
        <v>460.3</v>
      </c>
      <c r="V62" s="74">
        <v>460.5</v>
      </c>
      <c r="W62" s="46">
        <v>460.3</v>
      </c>
      <c r="X62" s="46">
        <v>460.3</v>
      </c>
      <c r="Y62" s="46">
        <v>460.3</v>
      </c>
      <c r="Z62" s="46">
        <v>460.1</v>
      </c>
      <c r="AA62" s="46">
        <v>460.1</v>
      </c>
      <c r="AB62" s="46">
        <v>460.1</v>
      </c>
      <c r="AC62" s="46">
        <v>460.1</v>
      </c>
      <c r="AD62" s="46">
        <v>420</v>
      </c>
      <c r="AE62" s="46">
        <v>420</v>
      </c>
      <c r="AF62" s="46">
        <v>460</v>
      </c>
      <c r="AG62" s="61">
        <v>456</v>
      </c>
      <c r="AH62" s="48">
        <f t="shared" si="2"/>
        <v>460.5</v>
      </c>
      <c r="AI62" s="49">
        <f t="shared" si="3"/>
        <v>420</v>
      </c>
      <c r="AK62" s="51"/>
    </row>
    <row r="63" spans="1:88" x14ac:dyDescent="0.25">
      <c r="A63" s="75" t="s">
        <v>77</v>
      </c>
      <c r="B63" s="76">
        <v>47</v>
      </c>
      <c r="C63" s="76">
        <v>47</v>
      </c>
      <c r="D63" s="76">
        <v>47</v>
      </c>
      <c r="E63" s="76">
        <v>47</v>
      </c>
      <c r="F63" s="76">
        <v>47</v>
      </c>
      <c r="G63" s="76">
        <v>47</v>
      </c>
      <c r="H63" s="76">
        <v>47</v>
      </c>
      <c r="I63" s="76">
        <v>47</v>
      </c>
      <c r="J63" s="76">
        <v>47</v>
      </c>
      <c r="K63" s="76">
        <v>47</v>
      </c>
      <c r="L63" s="76">
        <v>47</v>
      </c>
      <c r="M63" s="76">
        <v>47</v>
      </c>
      <c r="N63" s="76">
        <v>47</v>
      </c>
      <c r="O63" s="76">
        <v>47</v>
      </c>
      <c r="P63" s="76">
        <v>47</v>
      </c>
      <c r="Q63" s="76">
        <v>47</v>
      </c>
      <c r="R63" s="76">
        <v>47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47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10.7</v>
      </c>
      <c r="D64" s="78">
        <v>10.7</v>
      </c>
      <c r="E64" s="78">
        <v>10.7</v>
      </c>
      <c r="F64" s="78">
        <v>10.7</v>
      </c>
      <c r="G64" s="78">
        <v>10.7</v>
      </c>
      <c r="H64" s="78">
        <v>10.7</v>
      </c>
      <c r="I64" s="78">
        <v>10.7</v>
      </c>
      <c r="J64" s="78">
        <v>10.7</v>
      </c>
      <c r="K64" s="78">
        <v>10.7</v>
      </c>
      <c r="L64" s="78">
        <v>10.7</v>
      </c>
      <c r="M64" s="78">
        <v>10.7</v>
      </c>
      <c r="N64" s="78">
        <v>10.7</v>
      </c>
      <c r="O64" s="78">
        <v>10.7</v>
      </c>
      <c r="P64" s="78">
        <v>10.7</v>
      </c>
      <c r="Q64" s="78">
        <v>10.7</v>
      </c>
      <c r="R64" s="78">
        <v>10.7</v>
      </c>
      <c r="S64" s="78">
        <v>22.5</v>
      </c>
      <c r="T64" s="78">
        <v>22.5</v>
      </c>
      <c r="U64" s="78">
        <v>22.4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10.7</v>
      </c>
      <c r="AK64" s="51"/>
    </row>
    <row r="65" spans="1:75" ht="15.75" thickBot="1" x14ac:dyDescent="0.3">
      <c r="A65" s="80" t="s">
        <v>79</v>
      </c>
      <c r="B65" s="71">
        <f>SUM(B62:B64)</f>
        <v>529.5</v>
      </c>
      <c r="C65" s="71">
        <f>SUM(C62:C64)</f>
        <v>517.70000000000005</v>
      </c>
      <c r="D65" s="71">
        <f>SUM(D62:D64)</f>
        <v>517.70000000000005</v>
      </c>
      <c r="E65" s="71">
        <f t="shared" ref="E65:AG65" si="22">SUM(E62:E64)</f>
        <v>517.70000000000005</v>
      </c>
      <c r="F65" s="71">
        <f>SUM(F62:F64)</f>
        <v>517.70000000000005</v>
      </c>
      <c r="G65" s="71">
        <f>SUM(G62:G64)</f>
        <v>517.70000000000005</v>
      </c>
      <c r="H65" s="71">
        <f t="shared" si="22"/>
        <v>517.70000000000005</v>
      </c>
      <c r="I65" s="71">
        <f t="shared" si="22"/>
        <v>517.70000000000005</v>
      </c>
      <c r="J65" s="71">
        <f t="shared" si="22"/>
        <v>517.70000000000005</v>
      </c>
      <c r="K65" s="71">
        <f>SUM(K62:K64)</f>
        <v>517.70000000000005</v>
      </c>
      <c r="L65" s="71">
        <f>SUM(L62:L64)</f>
        <v>517.70000000000005</v>
      </c>
      <c r="M65" s="71">
        <f t="shared" si="22"/>
        <v>517.70000000000005</v>
      </c>
      <c r="N65" s="71">
        <f t="shared" si="22"/>
        <v>517.70000000000005</v>
      </c>
      <c r="O65" s="71">
        <f t="shared" si="22"/>
        <v>517.70000000000005</v>
      </c>
      <c r="P65" s="71">
        <f t="shared" si="22"/>
        <v>517.70000000000005</v>
      </c>
      <c r="Q65" s="71">
        <f t="shared" si="22"/>
        <v>517.70000000000005</v>
      </c>
      <c r="R65" s="71">
        <f t="shared" si="22"/>
        <v>517.70000000000005</v>
      </c>
      <c r="S65" s="71">
        <f t="shared" si="22"/>
        <v>542.79999999999995</v>
      </c>
      <c r="T65" s="71">
        <f t="shared" si="22"/>
        <v>542.79999999999995</v>
      </c>
      <c r="U65" s="71">
        <f>SUM(U62:U64)</f>
        <v>542.69999999999993</v>
      </c>
      <c r="V65" s="71">
        <f t="shared" si="22"/>
        <v>543</v>
      </c>
      <c r="W65" s="71">
        <f t="shared" si="22"/>
        <v>542.79999999999995</v>
      </c>
      <c r="X65" s="71">
        <f t="shared" si="22"/>
        <v>542.79999999999995</v>
      </c>
      <c r="Y65" s="71">
        <f t="shared" si="22"/>
        <v>542.79999999999995</v>
      </c>
      <c r="Z65" s="71">
        <f t="shared" si="22"/>
        <v>542.6</v>
      </c>
      <c r="AA65" s="71">
        <f t="shared" si="22"/>
        <v>542.6</v>
      </c>
      <c r="AB65" s="71">
        <f t="shared" si="22"/>
        <v>542.6</v>
      </c>
      <c r="AC65" s="71">
        <f t="shared" si="22"/>
        <v>542.6</v>
      </c>
      <c r="AD65" s="71">
        <f t="shared" si="22"/>
        <v>502.5</v>
      </c>
      <c r="AE65" s="71">
        <f>SUM(AE62:AE64)</f>
        <v>502.5</v>
      </c>
      <c r="AF65" s="71">
        <f>SUM(AF62:AF64)</f>
        <v>542.5</v>
      </c>
      <c r="AG65" s="72">
        <f t="shared" si="22"/>
        <v>538.1</v>
      </c>
      <c r="AH65" s="48">
        <f t="shared" si="2"/>
        <v>543</v>
      </c>
      <c r="AI65" s="49">
        <f t="shared" si="3"/>
        <v>502.5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</v>
      </c>
      <c r="C66" s="46">
        <v>145</v>
      </c>
      <c r="D66" s="46">
        <v>145</v>
      </c>
      <c r="E66" s="46">
        <v>145</v>
      </c>
      <c r="F66" s="46">
        <v>145</v>
      </c>
      <c r="G66" s="46">
        <v>145</v>
      </c>
      <c r="H66" s="46">
        <v>145</v>
      </c>
      <c r="I66" s="46">
        <v>145</v>
      </c>
      <c r="J66" s="46">
        <v>145</v>
      </c>
      <c r="K66" s="46">
        <v>145</v>
      </c>
      <c r="L66" s="46">
        <v>145</v>
      </c>
      <c r="M66" s="46">
        <v>145</v>
      </c>
      <c r="N66" s="46">
        <v>145</v>
      </c>
      <c r="O66" s="46">
        <v>145</v>
      </c>
      <c r="P66" s="46">
        <v>145</v>
      </c>
      <c r="Q66" s="46">
        <v>145</v>
      </c>
      <c r="R66" s="46">
        <v>145</v>
      </c>
      <c r="S66" s="46">
        <v>145</v>
      </c>
      <c r="T66" s="46">
        <v>145</v>
      </c>
      <c r="U66" s="46">
        <v>145</v>
      </c>
      <c r="V66" s="46">
        <v>145</v>
      </c>
      <c r="W66" s="46">
        <v>145</v>
      </c>
      <c r="X66" s="46">
        <v>145</v>
      </c>
      <c r="Y66" s="46">
        <v>145</v>
      </c>
      <c r="Z66" s="46">
        <v>145</v>
      </c>
      <c r="AA66" s="46">
        <v>145</v>
      </c>
      <c r="AB66" s="46">
        <v>145</v>
      </c>
      <c r="AC66" s="46">
        <v>145</v>
      </c>
      <c r="AD66" s="46">
        <v>145</v>
      </c>
      <c r="AE66" s="46">
        <v>145</v>
      </c>
      <c r="AF66" s="46">
        <v>100</v>
      </c>
      <c r="AG66" s="61">
        <v>144</v>
      </c>
      <c r="AH66" s="48">
        <f t="shared" si="2"/>
        <v>145</v>
      </c>
      <c r="AI66" s="49">
        <f t="shared" si="3"/>
        <v>100</v>
      </c>
      <c r="AK66" s="51"/>
      <c r="AY66" s="1" t="s">
        <v>86</v>
      </c>
      <c r="AZ66" s="82">
        <f>ROUND(C84,0)</f>
        <v>45</v>
      </c>
      <c r="BA66" s="81">
        <f t="shared" ref="BA66:BD70" si="23">D84</f>
        <v>49.6</v>
      </c>
      <c r="BB66" s="81">
        <f t="shared" si="23"/>
        <v>45.3</v>
      </c>
      <c r="BC66" s="81">
        <f t="shared" si="23"/>
        <v>5</v>
      </c>
      <c r="BD66" s="81">
        <f t="shared" si="23"/>
        <v>3.7</v>
      </c>
      <c r="BE66" s="82">
        <f>I84</f>
        <v>10</v>
      </c>
      <c r="BF66" s="82">
        <f>K84</f>
        <v>36</v>
      </c>
      <c r="BG66" s="82">
        <f t="shared" ref="BG66:BP70" si="24">M84</f>
        <v>67.900000000000006</v>
      </c>
      <c r="BH66" s="82">
        <f t="shared" si="24"/>
        <v>67</v>
      </c>
      <c r="BI66" s="82">
        <f t="shared" si="24"/>
        <v>72.5</v>
      </c>
      <c r="BJ66" s="82">
        <f t="shared" si="24"/>
        <v>56.7</v>
      </c>
      <c r="BK66" s="82">
        <f t="shared" si="24"/>
        <v>60.3</v>
      </c>
      <c r="BL66" s="82">
        <f t="shared" si="24"/>
        <v>65</v>
      </c>
      <c r="BM66" s="82">
        <f t="shared" si="24"/>
        <v>59.7</v>
      </c>
      <c r="BN66" s="82">
        <f t="shared" si="24"/>
        <v>62.5</v>
      </c>
      <c r="BO66" s="82">
        <f t="shared" si="24"/>
        <v>58.1</v>
      </c>
      <c r="BP66" s="82">
        <f t="shared" si="24"/>
        <v>58.1</v>
      </c>
      <c r="BQ66" s="82">
        <f>X84</f>
        <v>2.2999999999999998</v>
      </c>
      <c r="BR66" s="82">
        <f>Z84</f>
        <v>5.5</v>
      </c>
      <c r="BS66" s="81">
        <f>AB84</f>
        <v>3</v>
      </c>
      <c r="BT66" s="81">
        <f t="shared" ref="BT66:BV70" si="25">AD84</f>
        <v>0</v>
      </c>
      <c r="BU66" s="81">
        <f t="shared" si="25"/>
        <v>0</v>
      </c>
      <c r="BV66" s="81">
        <f t="shared" si="25"/>
        <v>-5</v>
      </c>
      <c r="BW66" s="81">
        <f>B84</f>
        <v>44</v>
      </c>
    </row>
    <row r="67" spans="1:75" x14ac:dyDescent="0.25">
      <c r="A67" s="65" t="s">
        <v>81</v>
      </c>
      <c r="B67" s="76">
        <v>70.599999999999994</v>
      </c>
      <c r="C67" s="76">
        <v>69.5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48</v>
      </c>
      <c r="AG67" s="66">
        <v>70</v>
      </c>
      <c r="AH67" s="48">
        <f t="shared" si="2"/>
        <v>70.599999999999994</v>
      </c>
      <c r="AI67" s="49">
        <f t="shared" si="3"/>
        <v>48</v>
      </c>
      <c r="AK67" s="51"/>
      <c r="AY67" s="1" t="s">
        <v>88</v>
      </c>
      <c r="AZ67" s="82">
        <f>ROUND(C85,0)</f>
        <v>0</v>
      </c>
      <c r="BA67" s="81">
        <f t="shared" si="23"/>
        <v>0</v>
      </c>
      <c r="BB67" s="81">
        <f t="shared" si="23"/>
        <v>0</v>
      </c>
      <c r="BC67" s="81">
        <f t="shared" si="23"/>
        <v>0</v>
      </c>
      <c r="BD67" s="81">
        <f t="shared" si="23"/>
        <v>0</v>
      </c>
      <c r="BE67" s="82">
        <f>I85</f>
        <v>0</v>
      </c>
      <c r="BF67" s="82">
        <f>K85</f>
        <v>0</v>
      </c>
      <c r="BG67" s="82">
        <f t="shared" si="24"/>
        <v>0</v>
      </c>
      <c r="BH67" s="82">
        <f t="shared" si="24"/>
        <v>0</v>
      </c>
      <c r="BI67" s="82">
        <f t="shared" si="24"/>
        <v>0</v>
      </c>
      <c r="BJ67" s="82">
        <f t="shared" si="24"/>
        <v>0</v>
      </c>
      <c r="BK67" s="82">
        <f t="shared" si="24"/>
        <v>0</v>
      </c>
      <c r="BL67" s="82">
        <f t="shared" si="24"/>
        <v>0</v>
      </c>
      <c r="BM67" s="82">
        <f t="shared" si="24"/>
        <v>0</v>
      </c>
      <c r="BN67" s="82">
        <f t="shared" si="24"/>
        <v>0</v>
      </c>
      <c r="BO67" s="82">
        <f t="shared" si="24"/>
        <v>0</v>
      </c>
      <c r="BP67" s="82">
        <f t="shared" si="24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5"/>
        <v>0</v>
      </c>
      <c r="BU67" s="81">
        <f t="shared" si="25"/>
        <v>0</v>
      </c>
      <c r="BV67" s="81">
        <f t="shared" si="25"/>
        <v>0</v>
      </c>
      <c r="BW67" s="81">
        <f>B85</f>
        <v>0</v>
      </c>
    </row>
    <row r="68" spans="1:75" x14ac:dyDescent="0.25">
      <c r="A68" s="65" t="s">
        <v>82</v>
      </c>
      <c r="B68" s="76">
        <v>68.900000000000006</v>
      </c>
      <c r="C68" s="76">
        <v>68.900000000000006</v>
      </c>
      <c r="D68" s="76">
        <v>68.900000000000006</v>
      </c>
      <c r="E68" s="76">
        <v>68.900000000000006</v>
      </c>
      <c r="F68" s="76">
        <v>68.900000000000006</v>
      </c>
      <c r="G68" s="76">
        <v>68.900000000000006</v>
      </c>
      <c r="H68" s="76">
        <v>68.900000000000006</v>
      </c>
      <c r="I68" s="76">
        <v>68.900000000000006</v>
      </c>
      <c r="J68" s="76">
        <v>68.900000000000006</v>
      </c>
      <c r="K68" s="76">
        <v>68.900000000000006</v>
      </c>
      <c r="L68" s="76">
        <v>68.900000000000006</v>
      </c>
      <c r="M68" s="76">
        <v>68.900000000000006</v>
      </c>
      <c r="N68" s="76">
        <v>68.900000000000006</v>
      </c>
      <c r="O68" s="76">
        <v>68.900000000000006</v>
      </c>
      <c r="P68" s="76">
        <v>68.900000000000006</v>
      </c>
      <c r="Q68" s="76">
        <v>68.900000000000006</v>
      </c>
      <c r="R68" s="76">
        <v>68.900000000000006</v>
      </c>
      <c r="S68" s="76">
        <v>68.900000000000006</v>
      </c>
      <c r="T68" s="76">
        <v>68.900000000000006</v>
      </c>
      <c r="U68" s="76">
        <v>68.900000000000006</v>
      </c>
      <c r="V68" s="76">
        <v>68.900000000000006</v>
      </c>
      <c r="W68" s="76">
        <v>62</v>
      </c>
      <c r="X68" s="76">
        <v>62</v>
      </c>
      <c r="Y68" s="76">
        <v>62</v>
      </c>
      <c r="Z68" s="76">
        <v>62</v>
      </c>
      <c r="AA68" s="76">
        <v>62</v>
      </c>
      <c r="AB68" s="76">
        <v>62</v>
      </c>
      <c r="AC68" s="76">
        <v>62</v>
      </c>
      <c r="AD68" s="76">
        <v>62</v>
      </c>
      <c r="AE68" s="76">
        <v>62</v>
      </c>
      <c r="AF68" s="76">
        <v>50</v>
      </c>
      <c r="AG68" s="66">
        <v>69</v>
      </c>
      <c r="AH68" s="48">
        <f t="shared" si="2"/>
        <v>68.900000000000006</v>
      </c>
      <c r="AI68" s="49">
        <f t="shared" si="3"/>
        <v>50</v>
      </c>
      <c r="AK68" s="51"/>
      <c r="AL68" s="83"/>
      <c r="AO68" s="83"/>
      <c r="AY68" s="1" t="s">
        <v>90</v>
      </c>
      <c r="AZ68" s="82">
        <f>ROUND(C86,0)</f>
        <v>-520</v>
      </c>
      <c r="BA68" s="81">
        <f t="shared" si="23"/>
        <v>-610</v>
      </c>
      <c r="BB68" s="81">
        <f t="shared" si="23"/>
        <v>-635</v>
      </c>
      <c r="BC68" s="81">
        <f t="shared" si="23"/>
        <v>-660</v>
      </c>
      <c r="BD68" s="81">
        <f t="shared" si="23"/>
        <v>-656</v>
      </c>
      <c r="BE68" s="82">
        <f>I86</f>
        <v>-540</v>
      </c>
      <c r="BF68" s="82">
        <f>K86</f>
        <v>-505</v>
      </c>
      <c r="BG68" s="82">
        <f t="shared" si="24"/>
        <v>-424</v>
      </c>
      <c r="BH68" s="82">
        <f t="shared" si="24"/>
        <v>-409</v>
      </c>
      <c r="BI68" s="82">
        <f t="shared" si="24"/>
        <v>-434</v>
      </c>
      <c r="BJ68" s="82">
        <f t="shared" si="24"/>
        <v>-391</v>
      </c>
      <c r="BK68" s="82">
        <f t="shared" si="24"/>
        <v>-415</v>
      </c>
      <c r="BL68" s="82">
        <f t="shared" si="24"/>
        <v>-436</v>
      </c>
      <c r="BM68" s="82">
        <f t="shared" si="24"/>
        <v>-393.1</v>
      </c>
      <c r="BN68" s="82">
        <f t="shared" si="24"/>
        <v>-370</v>
      </c>
      <c r="BO68" s="82">
        <f t="shared" si="24"/>
        <v>-489</v>
      </c>
      <c r="BP68" s="82">
        <f t="shared" si="24"/>
        <v>-482</v>
      </c>
      <c r="BQ68" s="82">
        <f>X86</f>
        <v>-450</v>
      </c>
      <c r="BR68" s="82">
        <f>Z86</f>
        <v>-377.1</v>
      </c>
      <c r="BS68" s="81">
        <f>AB86</f>
        <v>-400</v>
      </c>
      <c r="BT68" s="81">
        <f t="shared" si="25"/>
        <v>-451</v>
      </c>
      <c r="BU68" s="81">
        <f t="shared" si="25"/>
        <v>-451</v>
      </c>
      <c r="BV68" s="81">
        <f t="shared" si="25"/>
        <v>-520</v>
      </c>
      <c r="BW68" s="81">
        <f>B86</f>
        <v>-530</v>
      </c>
    </row>
    <row r="69" spans="1:75" s="83" customFormat="1" x14ac:dyDescent="0.25">
      <c r="A69" s="65" t="s">
        <v>83</v>
      </c>
      <c r="B69" s="76">
        <v>0</v>
      </c>
      <c r="C69" s="76">
        <v>30.2</v>
      </c>
      <c r="D69" s="76">
        <v>30.2</v>
      </c>
      <c r="E69" s="76">
        <v>30.2</v>
      </c>
      <c r="F69" s="76">
        <v>30.2</v>
      </c>
      <c r="G69" s="76">
        <v>30.2</v>
      </c>
      <c r="H69" s="76">
        <v>30.2</v>
      </c>
      <c r="I69" s="76">
        <v>30.2</v>
      </c>
      <c r="J69" s="76">
        <v>30.2</v>
      </c>
      <c r="K69" s="76">
        <v>30.2</v>
      </c>
      <c r="L69" s="76">
        <v>30.2</v>
      </c>
      <c r="M69" s="76">
        <v>30.2</v>
      </c>
      <c r="N69" s="76">
        <v>30.2</v>
      </c>
      <c r="O69" s="76">
        <v>30.2</v>
      </c>
      <c r="P69" s="76">
        <v>30.2</v>
      </c>
      <c r="Q69" s="76">
        <v>30.2</v>
      </c>
      <c r="R69" s="76">
        <v>30.2</v>
      </c>
      <c r="S69" s="76">
        <v>30.2</v>
      </c>
      <c r="T69" s="76">
        <v>30.2</v>
      </c>
      <c r="U69" s="76">
        <v>30.2</v>
      </c>
      <c r="V69" s="76">
        <v>30.2</v>
      </c>
      <c r="W69" s="76">
        <v>60.4</v>
      </c>
      <c r="X69" s="76">
        <v>60.4</v>
      </c>
      <c r="Y69" s="76">
        <v>60.4</v>
      </c>
      <c r="Z69" s="76">
        <v>60.4</v>
      </c>
      <c r="AA69" s="76">
        <v>60.4</v>
      </c>
      <c r="AB69" s="76">
        <v>60.4</v>
      </c>
      <c r="AC69" s="76">
        <v>60.4</v>
      </c>
      <c r="AD69" s="76">
        <v>60.4</v>
      </c>
      <c r="AE69" s="76">
        <v>60.4</v>
      </c>
      <c r="AF69" s="76">
        <v>26.7</v>
      </c>
      <c r="AG69" s="66">
        <v>60</v>
      </c>
      <c r="AH69" s="48">
        <f t="shared" si="2"/>
        <v>60.4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3"/>
        <v>0</v>
      </c>
      <c r="BB69" s="81">
        <f t="shared" si="23"/>
        <v>0</v>
      </c>
      <c r="BC69" s="81">
        <f t="shared" si="23"/>
        <v>0</v>
      </c>
      <c r="BD69" s="81">
        <f t="shared" si="23"/>
        <v>0</v>
      </c>
      <c r="BE69" s="82">
        <f>I87</f>
        <v>0</v>
      </c>
      <c r="BF69" s="82">
        <f>K87</f>
        <v>0</v>
      </c>
      <c r="BG69" s="82">
        <f t="shared" si="24"/>
        <v>0</v>
      </c>
      <c r="BH69" s="82">
        <f t="shared" si="24"/>
        <v>0</v>
      </c>
      <c r="BI69" s="82">
        <f t="shared" si="24"/>
        <v>0</v>
      </c>
      <c r="BJ69" s="82">
        <f t="shared" si="24"/>
        <v>0</v>
      </c>
      <c r="BK69" s="82">
        <f t="shared" si="24"/>
        <v>0</v>
      </c>
      <c r="BL69" s="82">
        <f t="shared" si="24"/>
        <v>0</v>
      </c>
      <c r="BM69" s="82">
        <f t="shared" si="24"/>
        <v>0</v>
      </c>
      <c r="BN69" s="82">
        <f t="shared" si="24"/>
        <v>0</v>
      </c>
      <c r="BO69" s="82">
        <f t="shared" si="24"/>
        <v>0</v>
      </c>
      <c r="BP69" s="82">
        <f t="shared" si="24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5"/>
        <v>0</v>
      </c>
      <c r="BU69" s="81">
        <f t="shared" si="25"/>
        <v>0</v>
      </c>
      <c r="BV69" s="81">
        <f t="shared" si="25"/>
        <v>0</v>
      </c>
      <c r="BW69" s="81">
        <f>B87</f>
        <v>0</v>
      </c>
    </row>
    <row r="70" spans="1:75" x14ac:dyDescent="0.25">
      <c r="A70" s="65" t="s">
        <v>84</v>
      </c>
      <c r="B70" s="76">
        <v>27.6</v>
      </c>
      <c r="C70" s="76">
        <v>22.6</v>
      </c>
      <c r="D70" s="76">
        <v>22.6</v>
      </c>
      <c r="E70" s="76">
        <v>22.6</v>
      </c>
      <c r="F70" s="76">
        <v>10</v>
      </c>
      <c r="G70" s="76">
        <v>10</v>
      </c>
      <c r="H70" s="76">
        <v>22.6</v>
      </c>
      <c r="I70" s="76">
        <v>22.6</v>
      </c>
      <c r="J70" s="76">
        <v>22.6</v>
      </c>
      <c r="K70" s="76">
        <v>22.6</v>
      </c>
      <c r="L70" s="76">
        <v>22.6</v>
      </c>
      <c r="M70" s="76">
        <v>28</v>
      </c>
      <c r="N70" s="76">
        <v>28</v>
      </c>
      <c r="O70" s="76">
        <v>28</v>
      </c>
      <c r="P70" s="76">
        <v>28</v>
      </c>
      <c r="Q70" s="76">
        <v>28</v>
      </c>
      <c r="R70" s="76">
        <v>28</v>
      </c>
      <c r="S70" s="76">
        <v>23.6</v>
      </c>
      <c r="T70" s="76">
        <v>23.6</v>
      </c>
      <c r="U70" s="76">
        <v>23.6</v>
      </c>
      <c r="V70" s="76">
        <v>22.8</v>
      </c>
      <c r="W70" s="76">
        <v>23.1</v>
      </c>
      <c r="X70" s="76">
        <v>23.1</v>
      </c>
      <c r="Y70" s="76">
        <v>23.1</v>
      </c>
      <c r="Z70" s="76">
        <v>23.1</v>
      </c>
      <c r="AA70" s="76">
        <v>23.1</v>
      </c>
      <c r="AB70" s="76">
        <v>23.1</v>
      </c>
      <c r="AC70" s="76">
        <v>23.1</v>
      </c>
      <c r="AD70" s="76">
        <v>23.1</v>
      </c>
      <c r="AE70" s="76">
        <v>23.1</v>
      </c>
      <c r="AF70" s="76">
        <v>15</v>
      </c>
      <c r="AG70" s="66">
        <v>30</v>
      </c>
      <c r="AH70" s="48">
        <f t="shared" si="2"/>
        <v>28</v>
      </c>
      <c r="AI70" s="49">
        <f t="shared" si="3"/>
        <v>10</v>
      </c>
      <c r="AK70" s="51"/>
      <c r="AY70" s="1" t="s">
        <v>94</v>
      </c>
      <c r="AZ70" s="82">
        <f>ROUND(C88,0)</f>
        <v>0</v>
      </c>
      <c r="BA70" s="81">
        <f t="shared" si="23"/>
        <v>0</v>
      </c>
      <c r="BB70" s="81">
        <f t="shared" si="23"/>
        <v>0</v>
      </c>
      <c r="BC70" s="81">
        <f t="shared" si="23"/>
        <v>0</v>
      </c>
      <c r="BD70" s="81">
        <f t="shared" si="23"/>
        <v>0</v>
      </c>
      <c r="BE70" s="82">
        <f>I88</f>
        <v>0</v>
      </c>
      <c r="BF70" s="82">
        <f>K88</f>
        <v>0</v>
      </c>
      <c r="BG70" s="82">
        <f t="shared" si="24"/>
        <v>0</v>
      </c>
      <c r="BH70" s="82">
        <f t="shared" si="24"/>
        <v>0</v>
      </c>
      <c r="BI70" s="82">
        <f t="shared" si="24"/>
        <v>0</v>
      </c>
      <c r="BJ70" s="82">
        <f t="shared" si="24"/>
        <v>0</v>
      </c>
      <c r="BK70" s="82">
        <f t="shared" si="24"/>
        <v>0</v>
      </c>
      <c r="BL70" s="82">
        <f t="shared" si="24"/>
        <v>0</v>
      </c>
      <c r="BM70" s="82">
        <f t="shared" si="24"/>
        <v>0</v>
      </c>
      <c r="BN70" s="82">
        <f t="shared" si="24"/>
        <v>0</v>
      </c>
      <c r="BO70" s="82">
        <f t="shared" si="24"/>
        <v>0</v>
      </c>
      <c r="BP70" s="82">
        <f t="shared" si="24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5"/>
        <v>0</v>
      </c>
      <c r="BU70" s="81">
        <f t="shared" si="25"/>
        <v>0</v>
      </c>
      <c r="BV70" s="81">
        <f t="shared" si="25"/>
        <v>0</v>
      </c>
      <c r="BW70" s="81">
        <f>B88</f>
        <v>0</v>
      </c>
    </row>
    <row r="71" spans="1:75" x14ac:dyDescent="0.25">
      <c r="A71" s="65" t="s">
        <v>85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12</v>
      </c>
      <c r="N71" s="76">
        <v>14</v>
      </c>
      <c r="O71" s="76">
        <v>14.6</v>
      </c>
      <c r="P71" s="76">
        <v>14.6</v>
      </c>
      <c r="Q71" s="76">
        <v>14.6</v>
      </c>
      <c r="R71" s="76">
        <v>14.6</v>
      </c>
      <c r="S71" s="76">
        <v>12.7</v>
      </c>
      <c r="T71" s="76">
        <v>8</v>
      </c>
      <c r="U71" s="76">
        <v>5</v>
      </c>
      <c r="V71" s="76">
        <v>1.5</v>
      </c>
      <c r="W71" s="76">
        <v>1.2</v>
      </c>
      <c r="X71" s="76">
        <v>1.2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14.6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6">M94</f>
        <v>0</v>
      </c>
      <c r="BH71" s="82">
        <f t="shared" si="26"/>
        <v>0</v>
      </c>
      <c r="BI71" s="82">
        <f t="shared" si="26"/>
        <v>0</v>
      </c>
      <c r="BJ71" s="82">
        <f t="shared" si="26"/>
        <v>0</v>
      </c>
      <c r="BK71" s="82">
        <f t="shared" si="26"/>
        <v>0</v>
      </c>
      <c r="BL71" s="82">
        <f t="shared" si="26"/>
        <v>0</v>
      </c>
      <c r="BM71" s="82">
        <f t="shared" si="26"/>
        <v>0</v>
      </c>
      <c r="BN71" s="82">
        <f t="shared" si="26"/>
        <v>0</v>
      </c>
      <c r="BO71" s="82">
        <f t="shared" si="26"/>
        <v>0</v>
      </c>
      <c r="BP71" s="82">
        <f t="shared" si="26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12.7</v>
      </c>
      <c r="C72" s="76">
        <v>5.8</v>
      </c>
      <c r="D72" s="76">
        <v>5.8</v>
      </c>
      <c r="E72" s="76">
        <v>5.8</v>
      </c>
      <c r="F72" s="76">
        <v>5.8</v>
      </c>
      <c r="G72" s="76">
        <v>5.8</v>
      </c>
      <c r="H72" s="76">
        <v>5.8</v>
      </c>
      <c r="I72" s="76">
        <v>5.8</v>
      </c>
      <c r="J72" s="76">
        <v>5.8</v>
      </c>
      <c r="K72" s="76">
        <v>5.8</v>
      </c>
      <c r="L72" s="76">
        <v>5.8</v>
      </c>
      <c r="M72" s="76">
        <v>5.8</v>
      </c>
      <c r="N72" s="76">
        <v>5.8</v>
      </c>
      <c r="O72" s="76">
        <v>5.8</v>
      </c>
      <c r="P72" s="76">
        <v>5.8</v>
      </c>
      <c r="Q72" s="76">
        <v>5.8</v>
      </c>
      <c r="R72" s="76">
        <v>5.8</v>
      </c>
      <c r="S72" s="76">
        <v>11.2</v>
      </c>
      <c r="T72" s="76">
        <v>11.2</v>
      </c>
      <c r="U72" s="76">
        <v>11.2</v>
      </c>
      <c r="V72" s="76">
        <v>11.2</v>
      </c>
      <c r="W72" s="76">
        <v>11.2</v>
      </c>
      <c r="X72" s="76">
        <v>11.2</v>
      </c>
      <c r="Y72" s="76">
        <v>11.2</v>
      </c>
      <c r="Z72" s="76">
        <v>11.2</v>
      </c>
      <c r="AA72" s="76">
        <v>11.2</v>
      </c>
      <c r="AB72" s="76">
        <v>11.2</v>
      </c>
      <c r="AC72" s="76">
        <v>11.2</v>
      </c>
      <c r="AD72" s="76">
        <v>11.2</v>
      </c>
      <c r="AE72" s="76">
        <v>11.2</v>
      </c>
      <c r="AF72" s="76">
        <v>11.2</v>
      </c>
      <c r="AG72" s="66">
        <v>24</v>
      </c>
      <c r="AH72" s="48">
        <f t="shared" si="2"/>
        <v>12.7</v>
      </c>
      <c r="AI72" s="49">
        <f t="shared" si="3"/>
        <v>5.8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7">VALUE(AZ66)</f>
        <v>45</v>
      </c>
      <c r="BA73" s="82">
        <f t="shared" si="27"/>
        <v>49.6</v>
      </c>
      <c r="BB73" s="82">
        <f t="shared" si="27"/>
        <v>45.3</v>
      </c>
      <c r="BC73" s="82">
        <f t="shared" si="27"/>
        <v>5</v>
      </c>
      <c r="BD73" s="82">
        <f t="shared" si="27"/>
        <v>3.7</v>
      </c>
      <c r="BE73" s="82">
        <f t="shared" si="27"/>
        <v>10</v>
      </c>
      <c r="BF73" s="82">
        <f t="shared" si="27"/>
        <v>36</v>
      </c>
      <c r="BG73" s="82">
        <f t="shared" si="27"/>
        <v>67.900000000000006</v>
      </c>
      <c r="BH73" s="82">
        <f t="shared" si="27"/>
        <v>67</v>
      </c>
      <c r="BI73" s="82">
        <f t="shared" si="27"/>
        <v>72.5</v>
      </c>
      <c r="BJ73" s="82">
        <f t="shared" si="27"/>
        <v>56.7</v>
      </c>
      <c r="BK73" s="82">
        <f t="shared" si="27"/>
        <v>60.3</v>
      </c>
      <c r="BL73" s="82">
        <f t="shared" si="27"/>
        <v>65</v>
      </c>
      <c r="BM73" s="82">
        <f t="shared" si="27"/>
        <v>59.7</v>
      </c>
      <c r="BN73" s="82">
        <f t="shared" si="27"/>
        <v>62.5</v>
      </c>
      <c r="BO73" s="82">
        <f t="shared" si="27"/>
        <v>58.1</v>
      </c>
      <c r="BP73" s="82">
        <f t="shared" si="27"/>
        <v>58.1</v>
      </c>
      <c r="BQ73" s="82">
        <f t="shared" si="27"/>
        <v>2.2999999999999998</v>
      </c>
      <c r="BR73" s="82">
        <f t="shared" si="27"/>
        <v>5.5</v>
      </c>
      <c r="BS73" s="82">
        <f t="shared" si="27"/>
        <v>3</v>
      </c>
      <c r="BT73" s="82">
        <f t="shared" si="27"/>
        <v>0</v>
      </c>
      <c r="BU73" s="82">
        <f t="shared" si="27"/>
        <v>0</v>
      </c>
      <c r="BV73" s="82">
        <f t="shared" si="27"/>
        <v>-5</v>
      </c>
      <c r="BW73" s="82">
        <f t="shared" si="27"/>
        <v>44</v>
      </c>
    </row>
    <row r="74" spans="1:75" x14ac:dyDescent="0.25">
      <c r="A74" s="65" t="s">
        <v>91</v>
      </c>
      <c r="B74" s="76">
        <v>9</v>
      </c>
      <c r="C74" s="76">
        <v>5.9</v>
      </c>
      <c r="D74" s="76">
        <v>5.9</v>
      </c>
      <c r="E74" s="76">
        <v>5.9</v>
      </c>
      <c r="F74" s="76">
        <v>5.9</v>
      </c>
      <c r="G74" s="76">
        <v>5.9</v>
      </c>
      <c r="H74" s="76">
        <v>5.9</v>
      </c>
      <c r="I74" s="76">
        <v>5.9</v>
      </c>
      <c r="J74" s="76">
        <v>5.9</v>
      </c>
      <c r="K74" s="76">
        <v>5.9</v>
      </c>
      <c r="L74" s="76">
        <v>5.9</v>
      </c>
      <c r="M74" s="76">
        <v>5.9</v>
      </c>
      <c r="N74" s="76">
        <v>5.9</v>
      </c>
      <c r="O74" s="76">
        <v>5.9</v>
      </c>
      <c r="P74" s="76">
        <v>5.9</v>
      </c>
      <c r="Q74" s="76">
        <v>5.9</v>
      </c>
      <c r="R74" s="76">
        <v>5.9</v>
      </c>
      <c r="S74" s="76">
        <v>5.9</v>
      </c>
      <c r="T74" s="76">
        <v>5.9</v>
      </c>
      <c r="U74" s="76">
        <v>5.9</v>
      </c>
      <c r="V74" s="76">
        <v>5.9</v>
      </c>
      <c r="W74" s="76">
        <v>5.9</v>
      </c>
      <c r="X74" s="76">
        <v>5.9</v>
      </c>
      <c r="Y74" s="76">
        <v>5.9</v>
      </c>
      <c r="Z74" s="76">
        <v>5.9</v>
      </c>
      <c r="AA74" s="76">
        <v>5.9</v>
      </c>
      <c r="AB74" s="76">
        <v>5.9</v>
      </c>
      <c r="AC74" s="76">
        <v>5.9</v>
      </c>
      <c r="AD74" s="76">
        <v>5.9</v>
      </c>
      <c r="AE74" s="76">
        <v>5.9</v>
      </c>
      <c r="AF74" s="76">
        <v>5.9</v>
      </c>
      <c r="AG74" s="66">
        <v>14.1</v>
      </c>
      <c r="AH74" s="48">
        <f t="shared" si="2"/>
        <v>9</v>
      </c>
      <c r="AI74" s="49">
        <f t="shared" si="3"/>
        <v>5.9</v>
      </c>
      <c r="AK74" s="51"/>
      <c r="AZ74" s="82">
        <f t="shared" si="27"/>
        <v>0</v>
      </c>
      <c r="BA74" s="82">
        <f t="shared" si="27"/>
        <v>0</v>
      </c>
      <c r="BB74" s="82">
        <f t="shared" si="27"/>
        <v>0</v>
      </c>
      <c r="BC74" s="82">
        <f t="shared" si="27"/>
        <v>0</v>
      </c>
      <c r="BD74" s="82">
        <f t="shared" si="27"/>
        <v>0</v>
      </c>
      <c r="BE74" s="82">
        <f t="shared" si="27"/>
        <v>0</v>
      </c>
      <c r="BF74" s="82">
        <f t="shared" si="27"/>
        <v>0</v>
      </c>
      <c r="BG74" s="82">
        <f t="shared" si="27"/>
        <v>0</v>
      </c>
      <c r="BH74" s="82">
        <f t="shared" si="27"/>
        <v>0</v>
      </c>
      <c r="BI74" s="82">
        <f t="shared" si="27"/>
        <v>0</v>
      </c>
      <c r="BJ74" s="82">
        <f t="shared" si="27"/>
        <v>0</v>
      </c>
      <c r="BK74" s="82">
        <f t="shared" si="27"/>
        <v>0</v>
      </c>
      <c r="BL74" s="82">
        <f t="shared" si="27"/>
        <v>0</v>
      </c>
      <c r="BM74" s="82">
        <f t="shared" si="27"/>
        <v>0</v>
      </c>
      <c r="BN74" s="82">
        <f t="shared" si="27"/>
        <v>0</v>
      </c>
      <c r="BO74" s="82">
        <f t="shared" si="27"/>
        <v>0</v>
      </c>
      <c r="BP74" s="82">
        <f t="shared" si="27"/>
        <v>0</v>
      </c>
      <c r="BQ74" s="82">
        <f t="shared" si="27"/>
        <v>0</v>
      </c>
      <c r="BR74" s="82">
        <f t="shared" si="27"/>
        <v>0</v>
      </c>
      <c r="BS74" s="82">
        <f t="shared" si="27"/>
        <v>0</v>
      </c>
      <c r="BT74" s="82">
        <f t="shared" si="27"/>
        <v>0</v>
      </c>
      <c r="BU74" s="82">
        <f t="shared" si="27"/>
        <v>0</v>
      </c>
      <c r="BV74" s="82">
        <f t="shared" si="27"/>
        <v>0</v>
      </c>
      <c r="BW74" s="82">
        <f t="shared" si="27"/>
        <v>0</v>
      </c>
    </row>
    <row r="75" spans="1:75" x14ac:dyDescent="0.25">
      <c r="A75" s="84" t="s">
        <v>93</v>
      </c>
      <c r="B75" s="76">
        <v>11.3</v>
      </c>
      <c r="C75" s="76">
        <v>14.4</v>
      </c>
      <c r="D75" s="76">
        <v>14.4</v>
      </c>
      <c r="E75" s="76">
        <v>14.4</v>
      </c>
      <c r="F75" s="76">
        <v>14.4</v>
      </c>
      <c r="G75" s="76">
        <v>14.4</v>
      </c>
      <c r="H75" s="76">
        <v>14.4</v>
      </c>
      <c r="I75" s="76">
        <v>14.4</v>
      </c>
      <c r="J75" s="76">
        <v>14.4</v>
      </c>
      <c r="K75" s="76">
        <v>14.4</v>
      </c>
      <c r="L75" s="76">
        <v>14.4</v>
      </c>
      <c r="M75" s="76">
        <v>14.4</v>
      </c>
      <c r="N75" s="76">
        <v>14.4</v>
      </c>
      <c r="O75" s="76">
        <v>14.4</v>
      </c>
      <c r="P75" s="76">
        <v>14.4</v>
      </c>
      <c r="Q75" s="76">
        <v>14.4</v>
      </c>
      <c r="R75" s="76">
        <v>14.4</v>
      </c>
      <c r="S75" s="76">
        <v>14.4</v>
      </c>
      <c r="T75" s="76">
        <v>14.4</v>
      </c>
      <c r="U75" s="76">
        <v>14.4</v>
      </c>
      <c r="V75" s="76">
        <v>14.4</v>
      </c>
      <c r="W75" s="76">
        <v>14.4</v>
      </c>
      <c r="X75" s="76">
        <v>14.4</v>
      </c>
      <c r="Y75" s="76">
        <v>14.4</v>
      </c>
      <c r="Z75" s="76">
        <v>14.4</v>
      </c>
      <c r="AA75" s="76">
        <v>14.4</v>
      </c>
      <c r="AB75" s="76">
        <v>14.4</v>
      </c>
      <c r="AC75" s="76">
        <v>14.4</v>
      </c>
      <c r="AD75" s="76">
        <v>14.4</v>
      </c>
      <c r="AE75" s="76">
        <v>14.4</v>
      </c>
      <c r="AF75" s="76">
        <v>14.4</v>
      </c>
      <c r="AG75" s="66">
        <v>14</v>
      </c>
      <c r="AH75" s="48">
        <f t="shared" ref="AH75:AH126" si="28">MAX(B75:AF75)</f>
        <v>14.4</v>
      </c>
      <c r="AI75" s="49">
        <f t="shared" ref="AI75:AI126" si="29">MIN(B75:AF75)</f>
        <v>11.3</v>
      </c>
      <c r="AK75" s="51"/>
      <c r="AZ75" s="82">
        <f t="shared" si="27"/>
        <v>-520</v>
      </c>
      <c r="BA75" s="82">
        <f t="shared" si="27"/>
        <v>-610</v>
      </c>
      <c r="BB75" s="82">
        <f t="shared" si="27"/>
        <v>-635</v>
      </c>
      <c r="BC75" s="82">
        <f t="shared" si="27"/>
        <v>-660</v>
      </c>
      <c r="BD75" s="82">
        <f t="shared" si="27"/>
        <v>-656</v>
      </c>
      <c r="BE75" s="82">
        <f t="shared" si="27"/>
        <v>-540</v>
      </c>
      <c r="BF75" s="82">
        <f t="shared" si="27"/>
        <v>-505</v>
      </c>
      <c r="BG75" s="82">
        <f t="shared" si="27"/>
        <v>-424</v>
      </c>
      <c r="BH75" s="82">
        <f t="shared" si="27"/>
        <v>-409</v>
      </c>
      <c r="BI75" s="82">
        <f t="shared" si="27"/>
        <v>-434</v>
      </c>
      <c r="BJ75" s="82">
        <f t="shared" si="27"/>
        <v>-391</v>
      </c>
      <c r="BK75" s="82">
        <f t="shared" si="27"/>
        <v>-415</v>
      </c>
      <c r="BL75" s="82">
        <f t="shared" si="27"/>
        <v>-436</v>
      </c>
      <c r="BM75" s="82">
        <f t="shared" si="27"/>
        <v>-393.1</v>
      </c>
      <c r="BN75" s="82">
        <f t="shared" si="27"/>
        <v>-370</v>
      </c>
      <c r="BO75" s="82">
        <f t="shared" si="27"/>
        <v>-489</v>
      </c>
      <c r="BP75" s="82">
        <f t="shared" si="27"/>
        <v>-482</v>
      </c>
      <c r="BQ75" s="82">
        <f t="shared" si="27"/>
        <v>-450</v>
      </c>
      <c r="BR75" s="82">
        <f t="shared" si="27"/>
        <v>-377.1</v>
      </c>
      <c r="BS75" s="82">
        <f t="shared" si="27"/>
        <v>-400</v>
      </c>
      <c r="BT75" s="82">
        <f t="shared" si="27"/>
        <v>-451</v>
      </c>
      <c r="BU75" s="82">
        <f t="shared" si="27"/>
        <v>-451</v>
      </c>
      <c r="BV75" s="82">
        <f t="shared" si="27"/>
        <v>-520</v>
      </c>
      <c r="BW75" s="82">
        <f t="shared" si="27"/>
        <v>-530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8"/>
        <v>10</v>
      </c>
      <c r="AI76" s="49">
        <f t="shared" si="29"/>
        <v>10</v>
      </c>
      <c r="AK76" s="51"/>
      <c r="AZ76" s="82">
        <f t="shared" si="27"/>
        <v>0</v>
      </c>
      <c r="BA76" s="82">
        <f t="shared" si="27"/>
        <v>0</v>
      </c>
      <c r="BB76" s="82">
        <f t="shared" si="27"/>
        <v>0</v>
      </c>
      <c r="BC76" s="82">
        <f t="shared" si="27"/>
        <v>0</v>
      </c>
      <c r="BD76" s="82">
        <f t="shared" si="27"/>
        <v>0</v>
      </c>
      <c r="BE76" s="82">
        <f t="shared" si="27"/>
        <v>0</v>
      </c>
      <c r="BF76" s="82">
        <f t="shared" si="27"/>
        <v>0</v>
      </c>
      <c r="BG76" s="82">
        <f t="shared" si="27"/>
        <v>0</v>
      </c>
      <c r="BH76" s="82">
        <f t="shared" si="27"/>
        <v>0</v>
      </c>
      <c r="BI76" s="82">
        <f t="shared" si="27"/>
        <v>0</v>
      </c>
      <c r="BJ76" s="82">
        <f t="shared" si="27"/>
        <v>0</v>
      </c>
      <c r="BK76" s="82">
        <f t="shared" si="27"/>
        <v>0</v>
      </c>
      <c r="BL76" s="82">
        <f t="shared" si="27"/>
        <v>0</v>
      </c>
      <c r="BM76" s="82">
        <f t="shared" si="27"/>
        <v>0</v>
      </c>
      <c r="BN76" s="82">
        <f t="shared" si="27"/>
        <v>0</v>
      </c>
      <c r="BO76" s="82">
        <f t="shared" si="27"/>
        <v>0</v>
      </c>
      <c r="BP76" s="82">
        <f t="shared" si="27"/>
        <v>0</v>
      </c>
      <c r="BQ76" s="82">
        <f t="shared" si="27"/>
        <v>0</v>
      </c>
      <c r="BR76" s="82">
        <f t="shared" si="27"/>
        <v>0</v>
      </c>
      <c r="BS76" s="82">
        <f t="shared" si="27"/>
        <v>0</v>
      </c>
      <c r="BT76" s="82">
        <f t="shared" si="27"/>
        <v>0</v>
      </c>
      <c r="BU76" s="82">
        <f t="shared" si="27"/>
        <v>0</v>
      </c>
      <c r="BV76" s="82">
        <f t="shared" si="27"/>
        <v>0</v>
      </c>
      <c r="BW76" s="82">
        <f t="shared" si="27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8"/>
        <v>6</v>
      </c>
      <c r="AI77" s="49">
        <f t="shared" si="29"/>
        <v>6</v>
      </c>
      <c r="AK77" s="51"/>
      <c r="AZ77" s="82">
        <f t="shared" si="27"/>
        <v>0</v>
      </c>
      <c r="BA77" s="82">
        <f t="shared" si="27"/>
        <v>0</v>
      </c>
      <c r="BB77" s="82">
        <f t="shared" si="27"/>
        <v>0</v>
      </c>
      <c r="BC77" s="82">
        <f t="shared" si="27"/>
        <v>0</v>
      </c>
      <c r="BD77" s="82">
        <f t="shared" si="27"/>
        <v>0</v>
      </c>
      <c r="BE77" s="82">
        <f t="shared" si="27"/>
        <v>0</v>
      </c>
      <c r="BF77" s="82">
        <f t="shared" si="27"/>
        <v>0</v>
      </c>
      <c r="BG77" s="82">
        <f t="shared" si="27"/>
        <v>0</v>
      </c>
      <c r="BH77" s="82">
        <f t="shared" si="27"/>
        <v>0</v>
      </c>
      <c r="BI77" s="82">
        <f t="shared" si="27"/>
        <v>0</v>
      </c>
      <c r="BJ77" s="82">
        <f t="shared" si="27"/>
        <v>0</v>
      </c>
      <c r="BK77" s="82">
        <f t="shared" si="27"/>
        <v>0</v>
      </c>
      <c r="BL77" s="82">
        <f t="shared" si="27"/>
        <v>0</v>
      </c>
      <c r="BM77" s="82">
        <f t="shared" si="27"/>
        <v>0</v>
      </c>
      <c r="BN77" s="82">
        <f t="shared" si="27"/>
        <v>0</v>
      </c>
      <c r="BO77" s="82">
        <f t="shared" si="27"/>
        <v>0</v>
      </c>
      <c r="BP77" s="82">
        <f t="shared" si="27"/>
        <v>0</v>
      </c>
      <c r="BQ77" s="82">
        <f t="shared" si="27"/>
        <v>0</v>
      </c>
      <c r="BR77" s="82">
        <f t="shared" si="27"/>
        <v>0</v>
      </c>
      <c r="BS77" s="82">
        <f t="shared" si="27"/>
        <v>0</v>
      </c>
      <c r="BT77" s="82">
        <f t="shared" si="27"/>
        <v>0</v>
      </c>
      <c r="BU77" s="82">
        <f t="shared" si="27"/>
        <v>0</v>
      </c>
      <c r="BV77" s="82">
        <f t="shared" si="27"/>
        <v>0</v>
      </c>
      <c r="BW77" s="82">
        <f t="shared" si="27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8"/>
        <v>5.5</v>
      </c>
      <c r="AI78" s="49">
        <f t="shared" si="29"/>
        <v>3.5</v>
      </c>
      <c r="AK78" s="51"/>
      <c r="AZ78" s="82">
        <f t="shared" si="27"/>
        <v>0</v>
      </c>
      <c r="BA78" s="82">
        <f t="shared" si="27"/>
        <v>0</v>
      </c>
      <c r="BB78" s="82">
        <f t="shared" si="27"/>
        <v>0</v>
      </c>
      <c r="BC78" s="82">
        <f t="shared" si="27"/>
        <v>0</v>
      </c>
      <c r="BD78" s="82">
        <f t="shared" si="27"/>
        <v>0</v>
      </c>
      <c r="BE78" s="82">
        <f t="shared" si="27"/>
        <v>0</v>
      </c>
      <c r="BF78" s="82">
        <f t="shared" si="27"/>
        <v>0</v>
      </c>
      <c r="BG78" s="82">
        <f t="shared" si="27"/>
        <v>0</v>
      </c>
      <c r="BH78" s="82">
        <f t="shared" si="27"/>
        <v>0</v>
      </c>
      <c r="BI78" s="82">
        <f t="shared" si="27"/>
        <v>0</v>
      </c>
      <c r="BJ78" s="82">
        <f t="shared" si="27"/>
        <v>0</v>
      </c>
      <c r="BK78" s="82">
        <f t="shared" si="27"/>
        <v>0</v>
      </c>
      <c r="BL78" s="82">
        <f t="shared" si="27"/>
        <v>0</v>
      </c>
      <c r="BM78" s="82">
        <f t="shared" si="27"/>
        <v>0</v>
      </c>
      <c r="BN78" s="82">
        <f t="shared" si="27"/>
        <v>0</v>
      </c>
      <c r="BO78" s="82">
        <f t="shared" si="27"/>
        <v>0</v>
      </c>
      <c r="BP78" s="82">
        <f t="shared" si="27"/>
        <v>0</v>
      </c>
      <c r="BQ78" s="82">
        <f t="shared" si="27"/>
        <v>0</v>
      </c>
      <c r="BR78" s="82">
        <f t="shared" si="27"/>
        <v>0</v>
      </c>
      <c r="BS78" s="82">
        <f t="shared" si="27"/>
        <v>0</v>
      </c>
      <c r="BT78" s="82">
        <f t="shared" si="27"/>
        <v>0</v>
      </c>
      <c r="BU78" s="82">
        <f t="shared" si="27"/>
        <v>0</v>
      </c>
      <c r="BV78" s="82">
        <f t="shared" si="27"/>
        <v>0</v>
      </c>
      <c r="BW78" s="82">
        <f t="shared" si="27"/>
        <v>0</v>
      </c>
    </row>
    <row r="79" spans="1:75" ht="15.75" thickBot="1" x14ac:dyDescent="0.3">
      <c r="A79" s="87" t="s">
        <v>99</v>
      </c>
      <c r="B79" s="71">
        <f>SUM(B66:B78)</f>
        <v>368.44000000000005</v>
      </c>
      <c r="C79" s="71">
        <f>SUM(C66:C78)</f>
        <v>385.64</v>
      </c>
      <c r="D79" s="71">
        <f>SUM(D66:D78)</f>
        <v>386.14</v>
      </c>
      <c r="E79" s="71">
        <f t="shared" ref="E79:AG79" si="30">SUM(E66:E78)</f>
        <v>386.14</v>
      </c>
      <c r="F79" s="71">
        <f t="shared" si="30"/>
        <v>373.53999999999996</v>
      </c>
      <c r="G79" s="71">
        <f t="shared" si="30"/>
        <v>373.53999999999996</v>
      </c>
      <c r="H79" s="71">
        <f t="shared" si="30"/>
        <v>386.14</v>
      </c>
      <c r="I79" s="71">
        <f t="shared" si="30"/>
        <v>386.14</v>
      </c>
      <c r="J79" s="71">
        <f t="shared" si="30"/>
        <v>386.14</v>
      </c>
      <c r="K79" s="71">
        <f t="shared" si="30"/>
        <v>386.14</v>
      </c>
      <c r="L79" s="71">
        <f t="shared" si="30"/>
        <v>386.14</v>
      </c>
      <c r="M79" s="71">
        <f t="shared" si="30"/>
        <v>403.53999999999996</v>
      </c>
      <c r="N79" s="71">
        <f t="shared" si="30"/>
        <v>405.53999999999996</v>
      </c>
      <c r="O79" s="71">
        <f t="shared" si="30"/>
        <v>406.14</v>
      </c>
      <c r="P79" s="71">
        <f t="shared" si="30"/>
        <v>406.14</v>
      </c>
      <c r="Q79" s="71">
        <f t="shared" si="30"/>
        <v>406.14</v>
      </c>
      <c r="R79" s="71">
        <f t="shared" si="30"/>
        <v>406.14</v>
      </c>
      <c r="S79" s="71">
        <f t="shared" si="30"/>
        <v>405.23999999999995</v>
      </c>
      <c r="T79" s="71">
        <f t="shared" si="30"/>
        <v>400.53999999999996</v>
      </c>
      <c r="U79" s="71">
        <f t="shared" si="30"/>
        <v>397.53999999999996</v>
      </c>
      <c r="V79" s="71">
        <f t="shared" si="30"/>
        <v>393.23999999999995</v>
      </c>
      <c r="W79" s="71">
        <f t="shared" si="30"/>
        <v>416.53999999999996</v>
      </c>
      <c r="X79" s="71">
        <f t="shared" si="30"/>
        <v>416.53999999999996</v>
      </c>
      <c r="Y79" s="71">
        <f t="shared" si="30"/>
        <v>415.29999999999995</v>
      </c>
      <c r="Z79" s="71">
        <f t="shared" si="30"/>
        <v>417.29999999999995</v>
      </c>
      <c r="AA79" s="71">
        <f t="shared" si="30"/>
        <v>415.34</v>
      </c>
      <c r="AB79" s="71">
        <f t="shared" si="30"/>
        <v>415.34</v>
      </c>
      <c r="AC79" s="71">
        <f t="shared" si="30"/>
        <v>415.34</v>
      </c>
      <c r="AD79" s="71">
        <f t="shared" si="30"/>
        <v>415.34</v>
      </c>
      <c r="AE79" s="71">
        <f>SUM(AE66:AE78)</f>
        <v>415.34</v>
      </c>
      <c r="AF79" s="71">
        <f>SUM(AF66:AF78)</f>
        <v>294.53999999999996</v>
      </c>
      <c r="AG79" s="72">
        <f t="shared" si="30"/>
        <v>489.91</v>
      </c>
      <c r="AH79" s="48">
        <f t="shared" si="28"/>
        <v>417.29999999999995</v>
      </c>
      <c r="AI79" s="49">
        <f t="shared" si="29"/>
        <v>294.53999999999996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/>
      <c r="F80" s="46"/>
      <c r="G80" s="46"/>
      <c r="H80" s="46"/>
      <c r="I80" s="46"/>
      <c r="J80" s="46"/>
      <c r="K80" s="46">
        <v>14</v>
      </c>
      <c r="L80" s="46">
        <v>20</v>
      </c>
      <c r="M80" s="46">
        <v>25</v>
      </c>
      <c r="N80" s="46">
        <v>25</v>
      </c>
      <c r="O80" s="46">
        <v>25</v>
      </c>
      <c r="P80" s="46">
        <v>25</v>
      </c>
      <c r="Q80" s="46">
        <v>25</v>
      </c>
      <c r="R80" s="46">
        <v>25</v>
      </c>
      <c r="S80" s="46">
        <v>25.2</v>
      </c>
      <c r="T80" s="46">
        <v>25.2</v>
      </c>
      <c r="U80" s="46">
        <v>20.399999999999999</v>
      </c>
      <c r="V80" s="46">
        <v>10.6</v>
      </c>
      <c r="W80" s="46">
        <v>0</v>
      </c>
      <c r="X80" s="46">
        <v>0</v>
      </c>
      <c r="Y80" s="46">
        <v>14</v>
      </c>
      <c r="Z80" s="46">
        <v>11</v>
      </c>
      <c r="AA80" s="46">
        <v>19.7</v>
      </c>
      <c r="AB80" s="46">
        <v>19.7</v>
      </c>
      <c r="AC80" s="46">
        <v>11</v>
      </c>
      <c r="AD80" s="46">
        <v>0</v>
      </c>
      <c r="AE80" s="46">
        <v>0</v>
      </c>
      <c r="AF80" s="46">
        <v>0</v>
      </c>
      <c r="AG80" s="61">
        <v>60</v>
      </c>
      <c r="AH80" s="48">
        <f t="shared" si="28"/>
        <v>25.2</v>
      </c>
      <c r="AI80" s="49">
        <f t="shared" si="29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/>
      <c r="F81" s="76"/>
      <c r="G81" s="76"/>
      <c r="H81" s="76"/>
      <c r="I81" s="76"/>
      <c r="J81" s="76"/>
      <c r="K81" s="76">
        <v>3.4</v>
      </c>
      <c r="L81" s="76">
        <v>10.3</v>
      </c>
      <c r="M81" s="76">
        <v>10.3</v>
      </c>
      <c r="N81" s="76">
        <v>10.3</v>
      </c>
      <c r="O81" s="76">
        <v>10.3</v>
      </c>
      <c r="P81" s="76">
        <v>10.3</v>
      </c>
      <c r="Q81" s="76">
        <v>10.3</v>
      </c>
      <c r="R81" s="76">
        <v>10.3</v>
      </c>
      <c r="S81" s="76">
        <v>12.5</v>
      </c>
      <c r="T81" s="76">
        <v>12.5</v>
      </c>
      <c r="U81" s="76">
        <v>9.5</v>
      </c>
      <c r="V81" s="76">
        <v>9.1999999999999993</v>
      </c>
      <c r="W81" s="76">
        <v>0</v>
      </c>
      <c r="X81" s="76">
        <v>0</v>
      </c>
      <c r="Y81" s="76">
        <v>0</v>
      </c>
      <c r="Z81" s="76">
        <v>4.8</v>
      </c>
      <c r="AA81" s="76">
        <v>8.1999999999999993</v>
      </c>
      <c r="AB81" s="76">
        <v>8.1999999999999993</v>
      </c>
      <c r="AC81" s="76">
        <v>8.1999999999999993</v>
      </c>
      <c r="AD81" s="46">
        <v>0</v>
      </c>
      <c r="AE81" s="46">
        <v>0</v>
      </c>
      <c r="AF81" s="76">
        <v>0</v>
      </c>
      <c r="AG81" s="66">
        <v>32</v>
      </c>
      <c r="AH81" s="48">
        <f t="shared" si="28"/>
        <v>12.5</v>
      </c>
      <c r="AI81" s="49">
        <f t="shared" si="29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/>
      <c r="F82" s="78"/>
      <c r="G82" s="78"/>
      <c r="H82" s="78"/>
      <c r="I82" s="78"/>
      <c r="J82" s="78"/>
      <c r="K82" s="78">
        <v>1.4</v>
      </c>
      <c r="L82" s="78">
        <v>3.8</v>
      </c>
      <c r="M82" s="78">
        <v>3.8</v>
      </c>
      <c r="N82" s="78">
        <v>3.8</v>
      </c>
      <c r="O82" s="78">
        <v>3.8</v>
      </c>
      <c r="P82" s="78">
        <v>3.8</v>
      </c>
      <c r="Q82" s="78">
        <v>3.8</v>
      </c>
      <c r="R82" s="78">
        <v>3.8</v>
      </c>
      <c r="S82" s="78">
        <v>4.5</v>
      </c>
      <c r="T82" s="78">
        <v>4.5</v>
      </c>
      <c r="U82" s="78">
        <v>3.5</v>
      </c>
      <c r="V82" s="78">
        <v>3.4</v>
      </c>
      <c r="W82" s="78">
        <v>0</v>
      </c>
      <c r="X82" s="78">
        <v>0</v>
      </c>
      <c r="Y82" s="78">
        <v>0</v>
      </c>
      <c r="Z82" s="78">
        <v>1.7</v>
      </c>
      <c r="AA82" s="78">
        <v>3</v>
      </c>
      <c r="AB82" s="78">
        <v>3</v>
      </c>
      <c r="AC82" s="78">
        <v>3</v>
      </c>
      <c r="AD82" s="46">
        <v>0</v>
      </c>
      <c r="AE82" s="46">
        <v>0</v>
      </c>
      <c r="AF82" s="78">
        <v>0</v>
      </c>
      <c r="AG82" s="79">
        <v>14</v>
      </c>
      <c r="AH82" s="48">
        <f t="shared" si="28"/>
        <v>4.5</v>
      </c>
      <c r="AI82" s="49">
        <f t="shared" si="29"/>
        <v>0</v>
      </c>
      <c r="AK82" s="51"/>
      <c r="AY82" s="82"/>
      <c r="BF82" s="81"/>
      <c r="BG82" s="82">
        <f t="array" ref="BG82:BL105">TRANSPOSE(AZ66:BW71)</f>
        <v>45</v>
      </c>
      <c r="BH82" s="82">
        <v>0</v>
      </c>
      <c r="BI82" s="82">
        <v>-520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0</v>
      </c>
      <c r="C83" s="71">
        <f>C80+C81+C82</f>
        <v>0</v>
      </c>
      <c r="D83" s="71">
        <f>D80+D81+D82</f>
        <v>0</v>
      </c>
      <c r="E83" s="71">
        <f t="shared" ref="E83:AD83" si="31">E80+E81+E82</f>
        <v>0</v>
      </c>
      <c r="F83" s="71">
        <f t="shared" si="31"/>
        <v>0</v>
      </c>
      <c r="G83" s="71">
        <f t="shared" si="31"/>
        <v>0</v>
      </c>
      <c r="H83" s="71">
        <f t="shared" si="31"/>
        <v>0</v>
      </c>
      <c r="I83" s="71">
        <f t="shared" si="31"/>
        <v>0</v>
      </c>
      <c r="J83" s="71">
        <f t="shared" si="31"/>
        <v>0</v>
      </c>
      <c r="K83" s="71">
        <f t="shared" si="31"/>
        <v>18.799999999999997</v>
      </c>
      <c r="L83" s="71">
        <f t="shared" si="31"/>
        <v>34.1</v>
      </c>
      <c r="M83" s="71">
        <f t="shared" si="31"/>
        <v>39.099999999999994</v>
      </c>
      <c r="N83" s="71">
        <f t="shared" si="31"/>
        <v>39.099999999999994</v>
      </c>
      <c r="O83" s="71">
        <f t="shared" si="31"/>
        <v>39.099999999999994</v>
      </c>
      <c r="P83" s="71">
        <f t="shared" si="31"/>
        <v>39.099999999999994</v>
      </c>
      <c r="Q83" s="71">
        <f t="shared" si="31"/>
        <v>39.099999999999994</v>
      </c>
      <c r="R83" s="71">
        <f t="shared" si="31"/>
        <v>39.099999999999994</v>
      </c>
      <c r="S83" s="71">
        <f t="shared" si="31"/>
        <v>42.2</v>
      </c>
      <c r="T83" s="71">
        <f t="shared" si="31"/>
        <v>42.2</v>
      </c>
      <c r="U83" s="71">
        <f t="shared" si="31"/>
        <v>33.4</v>
      </c>
      <c r="V83" s="71">
        <f t="shared" si="31"/>
        <v>23.199999999999996</v>
      </c>
      <c r="W83" s="71">
        <f t="shared" si="31"/>
        <v>0</v>
      </c>
      <c r="X83" s="71">
        <f t="shared" si="31"/>
        <v>0</v>
      </c>
      <c r="Y83" s="71">
        <f t="shared" si="31"/>
        <v>14</v>
      </c>
      <c r="Z83" s="71">
        <f t="shared" si="31"/>
        <v>17.5</v>
      </c>
      <c r="AA83" s="71">
        <f t="shared" si="31"/>
        <v>30.9</v>
      </c>
      <c r="AB83" s="71">
        <f t="shared" si="31"/>
        <v>30.9</v>
      </c>
      <c r="AC83" s="71">
        <f t="shared" si="31"/>
        <v>22.2</v>
      </c>
      <c r="AD83" s="71">
        <f t="shared" si="31"/>
        <v>0</v>
      </c>
      <c r="AE83" s="71">
        <f>AE80+AE81+AE82</f>
        <v>0</v>
      </c>
      <c r="AF83" s="71">
        <f>AF80+AF81+AF82</f>
        <v>0</v>
      </c>
      <c r="AG83" s="72">
        <f>SUM(AG80:AG82)</f>
        <v>106</v>
      </c>
      <c r="AH83" s="48">
        <f t="shared" si="28"/>
        <v>42.2</v>
      </c>
      <c r="AI83" s="49">
        <f t="shared" si="29"/>
        <v>0</v>
      </c>
      <c r="AK83" s="51"/>
      <c r="AY83" s="82"/>
      <c r="BF83" s="81"/>
      <c r="BG83" s="82">
        <v>49.6</v>
      </c>
      <c r="BH83" s="82">
        <v>0</v>
      </c>
      <c r="BI83" s="82">
        <v>-610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44</v>
      </c>
      <c r="C84" s="46">
        <v>45</v>
      </c>
      <c r="D84" s="46">
        <v>49.6</v>
      </c>
      <c r="E84" s="46">
        <v>45.3</v>
      </c>
      <c r="F84" s="46">
        <v>5</v>
      </c>
      <c r="G84" s="46">
        <v>3.7</v>
      </c>
      <c r="H84" s="46">
        <v>4</v>
      </c>
      <c r="I84" s="46">
        <v>10</v>
      </c>
      <c r="J84" s="46">
        <v>34</v>
      </c>
      <c r="K84" s="46">
        <v>36</v>
      </c>
      <c r="L84" s="46">
        <v>46</v>
      </c>
      <c r="M84" s="46">
        <v>67.900000000000006</v>
      </c>
      <c r="N84" s="46">
        <v>67</v>
      </c>
      <c r="O84" s="46">
        <v>72.5</v>
      </c>
      <c r="P84" s="46">
        <v>56.7</v>
      </c>
      <c r="Q84" s="46">
        <v>60.3</v>
      </c>
      <c r="R84" s="46">
        <v>65</v>
      </c>
      <c r="S84" s="46">
        <v>59.7</v>
      </c>
      <c r="T84" s="46">
        <v>62.5</v>
      </c>
      <c r="U84" s="46">
        <v>58.1</v>
      </c>
      <c r="V84" s="46">
        <v>58.1</v>
      </c>
      <c r="W84" s="46">
        <v>60.2</v>
      </c>
      <c r="X84" s="46">
        <v>2.2999999999999998</v>
      </c>
      <c r="Y84" s="46">
        <v>3.2</v>
      </c>
      <c r="Z84" s="46">
        <v>5.5</v>
      </c>
      <c r="AA84" s="46">
        <v>-4.7</v>
      </c>
      <c r="AB84" s="46">
        <v>3</v>
      </c>
      <c r="AC84" s="46">
        <v>5</v>
      </c>
      <c r="AD84" s="46">
        <v>0</v>
      </c>
      <c r="AE84" s="46">
        <v>0</v>
      </c>
      <c r="AF84" s="46">
        <v>-5</v>
      </c>
      <c r="AG84" s="61"/>
      <c r="AH84" s="48">
        <f t="shared" si="28"/>
        <v>72.5</v>
      </c>
      <c r="AI84" s="49">
        <f t="shared" si="29"/>
        <v>-5</v>
      </c>
      <c r="AK84" s="51"/>
      <c r="AY84" s="82"/>
      <c r="BF84" s="81"/>
      <c r="BG84" s="82">
        <v>45.3</v>
      </c>
      <c r="BH84" s="82">
        <v>0</v>
      </c>
      <c r="BI84" s="82">
        <v>-635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8"/>
        <v>0</v>
      </c>
      <c r="AI85" s="49">
        <f t="shared" si="29"/>
        <v>0</v>
      </c>
      <c r="AK85" s="51"/>
      <c r="AL85" s="91" t="s">
        <v>111</v>
      </c>
      <c r="AM85" s="91"/>
      <c r="AY85" s="82"/>
      <c r="BF85" s="82"/>
      <c r="BG85" s="82">
        <v>5</v>
      </c>
      <c r="BH85" s="82">
        <v>0</v>
      </c>
      <c r="BI85" s="82">
        <v>-660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-530</v>
      </c>
      <c r="C86" s="76">
        <v>-520</v>
      </c>
      <c r="D86" s="76">
        <v>-610</v>
      </c>
      <c r="E86" s="76">
        <v>-635</v>
      </c>
      <c r="F86" s="76">
        <v>-660</v>
      </c>
      <c r="G86" s="76">
        <v>-656</v>
      </c>
      <c r="H86" s="76">
        <v>-586</v>
      </c>
      <c r="I86" s="76">
        <v>-540</v>
      </c>
      <c r="J86" s="76">
        <v>-390</v>
      </c>
      <c r="K86" s="76">
        <v>-505</v>
      </c>
      <c r="L86" s="76">
        <v>-485</v>
      </c>
      <c r="M86" s="76">
        <v>-424</v>
      </c>
      <c r="N86" s="76">
        <v>-409</v>
      </c>
      <c r="O86" s="76">
        <v>-434</v>
      </c>
      <c r="P86" s="76">
        <v>-391</v>
      </c>
      <c r="Q86" s="76">
        <v>-415</v>
      </c>
      <c r="R86" s="76">
        <v>-436</v>
      </c>
      <c r="S86" s="76">
        <v>-393.1</v>
      </c>
      <c r="T86" s="76">
        <v>-370</v>
      </c>
      <c r="U86" s="76">
        <v>-489</v>
      </c>
      <c r="V86" s="76">
        <v>-482</v>
      </c>
      <c r="W86" s="76">
        <v>-500</v>
      </c>
      <c r="X86" s="76">
        <v>-450</v>
      </c>
      <c r="Y86" s="76">
        <v>-411</v>
      </c>
      <c r="Z86" s="76">
        <v>-377.1</v>
      </c>
      <c r="AA86" s="76">
        <v>-355</v>
      </c>
      <c r="AB86" s="76">
        <v>-400</v>
      </c>
      <c r="AC86" s="76">
        <v>-420</v>
      </c>
      <c r="AD86" s="76">
        <v>-451</v>
      </c>
      <c r="AE86" s="76">
        <v>-451</v>
      </c>
      <c r="AF86" s="76">
        <v>-520</v>
      </c>
      <c r="AG86" s="88"/>
      <c r="AH86" s="48">
        <f t="shared" si="28"/>
        <v>-355</v>
      </c>
      <c r="AI86" s="49">
        <f t="shared" si="29"/>
        <v>-660</v>
      </c>
      <c r="AK86" s="92"/>
      <c r="AL86" s="93"/>
      <c r="AM86" s="93"/>
      <c r="AN86" s="94"/>
      <c r="AY86" s="82"/>
      <c r="BF86" s="82"/>
      <c r="BG86" s="82">
        <v>3.7</v>
      </c>
      <c r="BH86" s="82">
        <v>0</v>
      </c>
      <c r="BI86" s="82">
        <v>-656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8"/>
        <v>0</v>
      </c>
      <c r="AI87" s="49">
        <f t="shared" si="29"/>
        <v>0</v>
      </c>
      <c r="AK87" s="95" t="s">
        <v>114</v>
      </c>
      <c r="AL87" s="76"/>
      <c r="AM87" s="89"/>
      <c r="AN87" s="96"/>
      <c r="AY87" s="82"/>
      <c r="BF87" s="82"/>
      <c r="BG87" s="82">
        <v>10</v>
      </c>
      <c r="BH87" s="82">
        <v>0</v>
      </c>
      <c r="BI87" s="82">
        <v>-540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8"/>
        <v>0</v>
      </c>
      <c r="AI88" s="49">
        <f t="shared" si="29"/>
        <v>0</v>
      </c>
      <c r="AK88" s="95" t="s">
        <v>116</v>
      </c>
      <c r="AL88" s="89"/>
      <c r="AM88" s="89"/>
      <c r="AN88" s="96"/>
      <c r="AY88" s="82"/>
      <c r="BF88" s="82"/>
      <c r="BG88" s="82">
        <v>36</v>
      </c>
      <c r="BH88" s="82">
        <v>0</v>
      </c>
      <c r="BI88" s="82">
        <v>-505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52.6</v>
      </c>
      <c r="C89" s="90">
        <v>0</v>
      </c>
      <c r="D89" s="90">
        <v>0</v>
      </c>
      <c r="E89" s="90">
        <v>0</v>
      </c>
      <c r="F89" s="90"/>
      <c r="G89" s="90"/>
      <c r="H89" s="90"/>
      <c r="I89" s="90"/>
      <c r="J89" s="90"/>
      <c r="K89" s="90"/>
      <c r="L89" s="90"/>
      <c r="M89" s="90"/>
      <c r="N89" s="90"/>
      <c r="O89" s="90">
        <v>43.2</v>
      </c>
      <c r="P89" s="90">
        <v>46</v>
      </c>
      <c r="Q89" s="90">
        <v>45.5</v>
      </c>
      <c r="R89" s="90">
        <v>50</v>
      </c>
      <c r="S89" s="90">
        <v>48.4</v>
      </c>
      <c r="T89" s="90">
        <v>55</v>
      </c>
      <c r="U89" s="90">
        <v>53.2</v>
      </c>
      <c r="V89" s="90">
        <v>48</v>
      </c>
      <c r="W89" s="90">
        <v>46.8</v>
      </c>
      <c r="X89" s="90">
        <v>45</v>
      </c>
      <c r="Y89" s="90">
        <v>44.7</v>
      </c>
      <c r="Z89" s="90">
        <v>47.6</v>
      </c>
      <c r="AA89" s="90">
        <v>6.1</v>
      </c>
      <c r="AB89" s="90">
        <v>8</v>
      </c>
      <c r="AC89" s="90">
        <v>6</v>
      </c>
      <c r="AD89" s="90">
        <v>0</v>
      </c>
      <c r="AE89" s="90">
        <v>0</v>
      </c>
      <c r="AF89" s="90">
        <v>0</v>
      </c>
      <c r="AG89" s="88"/>
      <c r="AH89" s="48">
        <f>MAX(B89:AF89)</f>
        <v>55</v>
      </c>
      <c r="AI89" s="49">
        <f t="shared" si="29"/>
        <v>0</v>
      </c>
      <c r="AK89" s="99"/>
      <c r="AL89" s="46"/>
      <c r="AM89" s="46"/>
      <c r="AN89" s="100"/>
      <c r="AY89" s="82"/>
      <c r="BF89" s="82"/>
      <c r="BG89" s="82">
        <v>67.900000000000006</v>
      </c>
      <c r="BH89" s="82">
        <v>0</v>
      </c>
      <c r="BI89" s="82">
        <v>-424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8"/>
        <v>0</v>
      </c>
      <c r="AI90" s="49">
        <f t="shared" si="29"/>
        <v>0</v>
      </c>
      <c r="AK90" s="99"/>
      <c r="AL90" s="90"/>
      <c r="AM90" s="102"/>
      <c r="AN90" s="204"/>
      <c r="AY90" s="82"/>
      <c r="BF90" s="82"/>
      <c r="BG90" s="82">
        <v>67</v>
      </c>
      <c r="BH90" s="82">
        <v>0</v>
      </c>
      <c r="BI90" s="82">
        <v>-409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8"/>
        <v>0</v>
      </c>
      <c r="AI91" s="49">
        <f t="shared" si="29"/>
        <v>0</v>
      </c>
      <c r="AK91" s="99"/>
      <c r="AL91" s="90"/>
      <c r="AM91" s="90"/>
      <c r="AN91" s="205"/>
      <c r="BF91" s="82"/>
      <c r="BG91" s="82">
        <v>72.5</v>
      </c>
      <c r="BH91" s="82">
        <v>0</v>
      </c>
      <c r="BI91" s="82">
        <v>-434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8"/>
        <v>0</v>
      </c>
      <c r="AI92" s="49">
        <f t="shared" si="29"/>
        <v>0</v>
      </c>
      <c r="AK92" s="104"/>
      <c r="AL92" s="105"/>
      <c r="AM92" s="105"/>
      <c r="AN92" s="106"/>
      <c r="BF92" s="82"/>
      <c r="BG92" s="82">
        <v>56.7</v>
      </c>
      <c r="BH92" s="82">
        <v>0</v>
      </c>
      <c r="BI92" s="82">
        <v>-391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8"/>
        <v>0</v>
      </c>
      <c r="AI93" s="49">
        <f t="shared" si="29"/>
        <v>0</v>
      </c>
      <c r="BF93" s="82"/>
      <c r="BG93" s="82">
        <v>60.3</v>
      </c>
      <c r="BH93" s="82">
        <v>0</v>
      </c>
      <c r="BI93" s="82">
        <v>-415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8"/>
        <v>0</v>
      </c>
      <c r="AI94" s="49">
        <f t="shared" si="29"/>
        <v>0</v>
      </c>
      <c r="BF94" s="82"/>
      <c r="BG94" s="82">
        <v>65</v>
      </c>
      <c r="BH94" s="82">
        <v>0</v>
      </c>
      <c r="BI94" s="82">
        <v>-436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96.6</v>
      </c>
      <c r="C95" s="71">
        <f>SUMIF(C84:C94,"&gt;0")</f>
        <v>45</v>
      </c>
      <c r="D95" s="71">
        <f t="shared" ref="D95:AD95" si="32">SUMIF(D84:D94,"&gt;0")</f>
        <v>49.6</v>
      </c>
      <c r="E95" s="71">
        <f t="shared" si="32"/>
        <v>45.3</v>
      </c>
      <c r="F95" s="71">
        <f t="shared" si="32"/>
        <v>5</v>
      </c>
      <c r="G95" s="71">
        <f t="shared" si="32"/>
        <v>3.7</v>
      </c>
      <c r="H95" s="71">
        <f t="shared" si="32"/>
        <v>4</v>
      </c>
      <c r="I95" s="71">
        <f t="shared" si="32"/>
        <v>10</v>
      </c>
      <c r="J95" s="71">
        <f t="shared" si="32"/>
        <v>34</v>
      </c>
      <c r="K95" s="71">
        <f t="shared" si="32"/>
        <v>36</v>
      </c>
      <c r="L95" s="71">
        <f t="shared" si="32"/>
        <v>46</v>
      </c>
      <c r="M95" s="71">
        <f t="shared" si="32"/>
        <v>67.900000000000006</v>
      </c>
      <c r="N95" s="71">
        <f t="shared" si="32"/>
        <v>67</v>
      </c>
      <c r="O95" s="71">
        <f t="shared" si="32"/>
        <v>115.7</v>
      </c>
      <c r="P95" s="71">
        <f t="shared" si="32"/>
        <v>102.7</v>
      </c>
      <c r="Q95" s="71">
        <f t="shared" si="32"/>
        <v>105.8</v>
      </c>
      <c r="R95" s="71">
        <f t="shared" si="32"/>
        <v>115</v>
      </c>
      <c r="S95" s="71">
        <f t="shared" si="32"/>
        <v>108.1</v>
      </c>
      <c r="T95" s="71">
        <f t="shared" si="32"/>
        <v>117.5</v>
      </c>
      <c r="U95" s="71">
        <f>SUMIF(U84:U94,"&gt;0")</f>
        <v>111.30000000000001</v>
      </c>
      <c r="V95" s="71">
        <f t="shared" si="32"/>
        <v>106.1</v>
      </c>
      <c r="W95" s="71">
        <f t="shared" si="32"/>
        <v>107</v>
      </c>
      <c r="X95" s="71">
        <f t="shared" si="32"/>
        <v>47.3</v>
      </c>
      <c r="Y95" s="71">
        <f t="shared" si="32"/>
        <v>47.900000000000006</v>
      </c>
      <c r="Z95" s="71">
        <f t="shared" si="32"/>
        <v>53.1</v>
      </c>
      <c r="AA95" s="71">
        <f t="shared" si="32"/>
        <v>6.1</v>
      </c>
      <c r="AB95" s="71">
        <f t="shared" si="32"/>
        <v>11</v>
      </c>
      <c r="AC95" s="71">
        <f t="shared" si="32"/>
        <v>11</v>
      </c>
      <c r="AD95" s="71">
        <f t="shared" si="32"/>
        <v>0</v>
      </c>
      <c r="AE95" s="71">
        <f>SUMIF(AE84:AE94,"&gt;0")</f>
        <v>0</v>
      </c>
      <c r="AF95" s="71">
        <f>SUMIF(AF84:AF94,"&gt;0")</f>
        <v>0</v>
      </c>
      <c r="AG95" s="101">
        <f>SUM(AG84:AG94)</f>
        <v>0</v>
      </c>
      <c r="AH95" s="48">
        <f t="shared" si="28"/>
        <v>117.5</v>
      </c>
      <c r="AI95" s="49">
        <f t="shared" si="29"/>
        <v>0</v>
      </c>
      <c r="BF95" s="82"/>
      <c r="BG95" s="82">
        <v>59.7</v>
      </c>
      <c r="BH95" s="82">
        <v>0</v>
      </c>
      <c r="BI95" s="82">
        <v>-393.1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8"/>
        <v>0</v>
      </c>
      <c r="AI96" s="49">
        <f t="shared" si="29"/>
        <v>0</v>
      </c>
      <c r="BF96" s="82"/>
      <c r="BG96" s="82">
        <v>62.5</v>
      </c>
      <c r="BH96" s="82">
        <v>0</v>
      </c>
      <c r="BI96" s="82">
        <v>-370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8"/>
        <v>0</v>
      </c>
      <c r="AI97" s="49">
        <f t="shared" si="29"/>
        <v>0</v>
      </c>
      <c r="BF97" s="82"/>
      <c r="BG97" s="82">
        <v>58.1</v>
      </c>
      <c r="BH97" s="82">
        <v>0</v>
      </c>
      <c r="BI97" s="82">
        <v>-489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8"/>
        <v>0</v>
      </c>
      <c r="AI98" s="49">
        <f t="shared" si="29"/>
        <v>0</v>
      </c>
      <c r="BF98" s="82"/>
      <c r="BG98" s="82">
        <v>58.1</v>
      </c>
      <c r="BH98" s="82">
        <v>0</v>
      </c>
      <c r="BI98" s="82">
        <v>-482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8"/>
        <v>0</v>
      </c>
      <c r="AI99" s="49">
        <f t="shared" si="29"/>
        <v>0</v>
      </c>
      <c r="BF99" s="81"/>
      <c r="BG99" s="82">
        <v>2.2999999999999998</v>
      </c>
      <c r="BH99" s="82">
        <v>0</v>
      </c>
      <c r="BI99" s="82">
        <v>-450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1907.4399999999996</v>
      </c>
      <c r="C100" s="108">
        <f t="shared" ref="C100:AG100" si="33">C61+C65+C83+C79+C95+C99</f>
        <v>1905.2400000000002</v>
      </c>
      <c r="D100" s="108">
        <f t="shared" si="33"/>
        <v>1908.04</v>
      </c>
      <c r="E100" s="108">
        <f t="shared" si="33"/>
        <v>1881.9399999999998</v>
      </c>
      <c r="F100" s="108">
        <f t="shared" si="33"/>
        <v>1900.8400000000001</v>
      </c>
      <c r="G100" s="108">
        <f t="shared" si="33"/>
        <v>1888.66</v>
      </c>
      <c r="H100" s="108">
        <f t="shared" si="33"/>
        <v>1906.54</v>
      </c>
      <c r="I100" s="108">
        <f t="shared" si="33"/>
        <v>1893.94</v>
      </c>
      <c r="J100" s="108">
        <f t="shared" si="33"/>
        <v>1910.44</v>
      </c>
      <c r="K100" s="108">
        <f t="shared" si="33"/>
        <v>1932.04</v>
      </c>
      <c r="L100" s="108">
        <f t="shared" si="33"/>
        <v>1975.04</v>
      </c>
      <c r="M100" s="108">
        <f t="shared" si="33"/>
        <v>2041.3400000000001</v>
      </c>
      <c r="N100" s="108">
        <f t="shared" si="33"/>
        <v>2042.44</v>
      </c>
      <c r="O100" s="108">
        <f t="shared" si="33"/>
        <v>2037.24</v>
      </c>
      <c r="P100" s="108">
        <f t="shared" si="33"/>
        <v>2024.24</v>
      </c>
      <c r="Q100" s="108">
        <f t="shared" si="33"/>
        <v>2027.34</v>
      </c>
      <c r="R100" s="108">
        <f t="shared" si="33"/>
        <v>2036.54</v>
      </c>
      <c r="S100" s="108">
        <f t="shared" si="33"/>
        <v>2058.1400000000003</v>
      </c>
      <c r="T100" s="108">
        <f t="shared" si="33"/>
        <v>2060.54</v>
      </c>
      <c r="U100" s="108">
        <f t="shared" si="33"/>
        <v>2117.4400000000005</v>
      </c>
      <c r="V100" s="108">
        <f t="shared" si="33"/>
        <v>2105.1400000000003</v>
      </c>
      <c r="W100" s="108">
        <f t="shared" si="33"/>
        <v>2105.9400000000005</v>
      </c>
      <c r="X100" s="108">
        <f t="shared" si="33"/>
        <v>2020.94</v>
      </c>
      <c r="Y100" s="108">
        <f t="shared" si="33"/>
        <v>2029.3000000000002</v>
      </c>
      <c r="Z100" s="108">
        <f t="shared" si="33"/>
        <v>2038.4</v>
      </c>
      <c r="AA100" s="108">
        <f t="shared" si="33"/>
        <v>2002.8400000000001</v>
      </c>
      <c r="AB100" s="108">
        <f t="shared" si="33"/>
        <v>1969.7400000000002</v>
      </c>
      <c r="AC100" s="108">
        <f t="shared" si="33"/>
        <v>1961.0400000000002</v>
      </c>
      <c r="AD100" s="108">
        <f t="shared" si="33"/>
        <v>1865.74</v>
      </c>
      <c r="AE100" s="108">
        <f>AE61+AE65+AE83+AE79+AE95+AE99</f>
        <v>1865.74</v>
      </c>
      <c r="AF100" s="108">
        <f>AF61+AF65+AF83+AF79+AF95+AF99</f>
        <v>1781.3400000000001</v>
      </c>
      <c r="AG100" s="72">
        <f t="shared" si="33"/>
        <v>2655.44</v>
      </c>
      <c r="AH100" s="48">
        <f t="shared" si="28"/>
        <v>2117.4400000000005</v>
      </c>
      <c r="AI100" s="49">
        <f t="shared" si="29"/>
        <v>1781.3400000000001</v>
      </c>
      <c r="BF100" s="81"/>
      <c r="BG100" s="82">
        <v>5.5</v>
      </c>
      <c r="BH100" s="82">
        <v>0</v>
      </c>
      <c r="BI100" s="82">
        <v>-377.1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0</v>
      </c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8"/>
        <v>0</v>
      </c>
      <c r="AI101" s="49">
        <f t="shared" si="29"/>
        <v>0</v>
      </c>
      <c r="BF101" s="81"/>
      <c r="BG101" s="82">
        <v>3</v>
      </c>
      <c r="BH101" s="82">
        <v>0</v>
      </c>
      <c r="BI101" s="82">
        <v>-400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1907.4399999999996</v>
      </c>
      <c r="C102" s="108">
        <f t="shared" ref="C102:AD102" si="34">C100+C101</f>
        <v>1905.2400000000002</v>
      </c>
      <c r="D102" s="108">
        <f t="shared" si="34"/>
        <v>1908.04</v>
      </c>
      <c r="E102" s="108">
        <f t="shared" si="34"/>
        <v>1881.9399999999998</v>
      </c>
      <c r="F102" s="108">
        <f t="shared" si="34"/>
        <v>1900.8400000000001</v>
      </c>
      <c r="G102" s="108">
        <f t="shared" si="34"/>
        <v>1888.66</v>
      </c>
      <c r="H102" s="108">
        <f t="shared" si="34"/>
        <v>1906.54</v>
      </c>
      <c r="I102" s="108">
        <f t="shared" si="34"/>
        <v>1893.94</v>
      </c>
      <c r="J102" s="108">
        <f t="shared" si="34"/>
        <v>1910.44</v>
      </c>
      <c r="K102" s="108">
        <f t="shared" si="34"/>
        <v>1932.04</v>
      </c>
      <c r="L102" s="108">
        <f t="shared" si="34"/>
        <v>1975.04</v>
      </c>
      <c r="M102" s="108">
        <f t="shared" si="34"/>
        <v>2041.3400000000001</v>
      </c>
      <c r="N102" s="108">
        <f t="shared" si="34"/>
        <v>2042.44</v>
      </c>
      <c r="O102" s="108">
        <f t="shared" si="34"/>
        <v>2037.24</v>
      </c>
      <c r="P102" s="108">
        <f t="shared" si="34"/>
        <v>2024.24</v>
      </c>
      <c r="Q102" s="108">
        <f t="shared" si="34"/>
        <v>2027.34</v>
      </c>
      <c r="R102" s="108">
        <f t="shared" si="34"/>
        <v>2036.54</v>
      </c>
      <c r="S102" s="108">
        <f t="shared" si="34"/>
        <v>2058.1400000000003</v>
      </c>
      <c r="T102" s="108">
        <f t="shared" si="34"/>
        <v>2060.54</v>
      </c>
      <c r="U102" s="108">
        <f t="shared" si="34"/>
        <v>2117.4400000000005</v>
      </c>
      <c r="V102" s="108">
        <f t="shared" si="34"/>
        <v>2105.1400000000003</v>
      </c>
      <c r="W102" s="108">
        <f t="shared" si="34"/>
        <v>2105.9400000000005</v>
      </c>
      <c r="X102" s="108">
        <f t="shared" si="34"/>
        <v>2020.94</v>
      </c>
      <c r="Y102" s="108">
        <f t="shared" si="34"/>
        <v>2029.3000000000002</v>
      </c>
      <c r="Z102" s="108">
        <f t="shared" si="34"/>
        <v>2038.4</v>
      </c>
      <c r="AA102" s="108">
        <f t="shared" si="34"/>
        <v>2002.8400000000001</v>
      </c>
      <c r="AB102" s="108">
        <f t="shared" si="34"/>
        <v>1969.7400000000002</v>
      </c>
      <c r="AC102" s="108">
        <f t="shared" si="34"/>
        <v>1961.0400000000002</v>
      </c>
      <c r="AD102" s="108">
        <f t="shared" si="34"/>
        <v>1865.74</v>
      </c>
      <c r="AE102" s="108">
        <f>AE100+AE101</f>
        <v>1865.74</v>
      </c>
      <c r="AF102" s="108">
        <f>AF100+AF101</f>
        <v>1781.3400000000001</v>
      </c>
      <c r="AG102" s="101">
        <f>AG99+AG95+AG83+AG79+AG61+AG101</f>
        <v>2117.34</v>
      </c>
      <c r="AH102" s="48">
        <f t="shared" si="28"/>
        <v>2117.4400000000005</v>
      </c>
      <c r="AI102" s="49">
        <f t="shared" si="29"/>
        <v>1781.3400000000001</v>
      </c>
      <c r="BF102" s="81"/>
      <c r="BG102" s="82">
        <v>0</v>
      </c>
      <c r="BH102" s="82">
        <v>0</v>
      </c>
      <c r="BI102" s="82">
        <v>-451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1377.4399999999996</v>
      </c>
      <c r="C103" s="108">
        <f t="shared" ref="C103:AD103" si="35">C102-(C110)</f>
        <v>1385.2400000000002</v>
      </c>
      <c r="D103" s="108">
        <f t="shared" si="35"/>
        <v>1298.04</v>
      </c>
      <c r="E103" s="108">
        <f t="shared" si="35"/>
        <v>1246.9399999999998</v>
      </c>
      <c r="F103" s="108">
        <f t="shared" si="35"/>
        <v>1240.8400000000001</v>
      </c>
      <c r="G103" s="108">
        <f t="shared" si="35"/>
        <v>1232.6600000000001</v>
      </c>
      <c r="H103" s="108">
        <f t="shared" si="35"/>
        <v>1320.54</v>
      </c>
      <c r="I103" s="108">
        <f t="shared" si="35"/>
        <v>1353.94</v>
      </c>
      <c r="J103" s="108">
        <f t="shared" si="35"/>
        <v>1520.44</v>
      </c>
      <c r="K103" s="108">
        <f t="shared" si="35"/>
        <v>1427.04</v>
      </c>
      <c r="L103" s="108">
        <f t="shared" si="35"/>
        <v>1490.04</v>
      </c>
      <c r="M103" s="108">
        <f t="shared" si="35"/>
        <v>1617.3400000000001</v>
      </c>
      <c r="N103" s="108">
        <f t="shared" si="35"/>
        <v>1633.44</v>
      </c>
      <c r="O103" s="108">
        <f t="shared" si="35"/>
        <v>1603.24</v>
      </c>
      <c r="P103" s="108">
        <f t="shared" si="35"/>
        <v>1633.24</v>
      </c>
      <c r="Q103" s="108">
        <f t="shared" si="35"/>
        <v>1612.34</v>
      </c>
      <c r="R103" s="108">
        <f t="shared" si="35"/>
        <v>1600.54</v>
      </c>
      <c r="S103" s="108">
        <f t="shared" si="35"/>
        <v>1665.0400000000004</v>
      </c>
      <c r="T103" s="108">
        <f t="shared" si="35"/>
        <v>1690.54</v>
      </c>
      <c r="U103" s="108">
        <f t="shared" si="35"/>
        <v>1628.4400000000005</v>
      </c>
      <c r="V103" s="108">
        <f t="shared" si="35"/>
        <v>1623.1400000000003</v>
      </c>
      <c r="W103" s="108">
        <f t="shared" si="35"/>
        <v>1605.9400000000005</v>
      </c>
      <c r="X103" s="108">
        <f t="shared" si="35"/>
        <v>1570.94</v>
      </c>
      <c r="Y103" s="108">
        <f t="shared" si="35"/>
        <v>1618.3000000000002</v>
      </c>
      <c r="Z103" s="108">
        <f t="shared" si="35"/>
        <v>1661.3000000000002</v>
      </c>
      <c r="AA103" s="108">
        <f t="shared" si="35"/>
        <v>1643.14</v>
      </c>
      <c r="AB103" s="108">
        <f t="shared" si="35"/>
        <v>1569.7400000000002</v>
      </c>
      <c r="AC103" s="108">
        <f t="shared" si="35"/>
        <v>1541.0400000000002</v>
      </c>
      <c r="AD103" s="108">
        <f t="shared" si="35"/>
        <v>1414.74</v>
      </c>
      <c r="AE103" s="108">
        <f>AE102-(AE110)</f>
        <v>1414.74</v>
      </c>
      <c r="AF103" s="108">
        <f>AF102-(AF110)</f>
        <v>1256.3400000000001</v>
      </c>
      <c r="AG103" s="101"/>
      <c r="AH103" s="48">
        <f t="shared" si="28"/>
        <v>1690.54</v>
      </c>
      <c r="AI103" s="49">
        <f t="shared" si="29"/>
        <v>1232.6600000000001</v>
      </c>
      <c r="BF103" s="81"/>
      <c r="BG103" s="82">
        <v>0</v>
      </c>
      <c r="BH103" s="82">
        <v>0</v>
      </c>
      <c r="BI103" s="82">
        <v>-451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6">IF(B84&lt;0,B84*-1,0)</f>
        <v>0</v>
      </c>
      <c r="C104" s="89">
        <f t="shared" ref="C104:AD109" si="37">IF(C84&lt;0,C84*-1,0)</f>
        <v>0</v>
      </c>
      <c r="D104" s="89">
        <f t="shared" si="37"/>
        <v>0</v>
      </c>
      <c r="E104" s="89">
        <f t="shared" si="37"/>
        <v>0</v>
      </c>
      <c r="F104" s="89">
        <f t="shared" si="37"/>
        <v>0</v>
      </c>
      <c r="G104" s="89">
        <f t="shared" si="37"/>
        <v>0</v>
      </c>
      <c r="H104" s="89">
        <f t="shared" si="37"/>
        <v>0</v>
      </c>
      <c r="I104" s="89">
        <f t="shared" si="37"/>
        <v>0</v>
      </c>
      <c r="J104" s="89">
        <f t="shared" si="37"/>
        <v>0</v>
      </c>
      <c r="K104" s="89">
        <f t="shared" si="37"/>
        <v>0</v>
      </c>
      <c r="L104" s="89">
        <f t="shared" si="37"/>
        <v>0</v>
      </c>
      <c r="M104" s="89">
        <f t="shared" si="37"/>
        <v>0</v>
      </c>
      <c r="N104" s="89">
        <f t="shared" si="37"/>
        <v>0</v>
      </c>
      <c r="O104" s="89">
        <f t="shared" si="37"/>
        <v>0</v>
      </c>
      <c r="P104" s="89">
        <f t="shared" si="37"/>
        <v>0</v>
      </c>
      <c r="Q104" s="89">
        <f t="shared" si="37"/>
        <v>0</v>
      </c>
      <c r="R104" s="89">
        <f t="shared" si="37"/>
        <v>0</v>
      </c>
      <c r="S104" s="89">
        <f t="shared" si="37"/>
        <v>0</v>
      </c>
      <c r="T104" s="89">
        <f t="shared" si="37"/>
        <v>0</v>
      </c>
      <c r="U104" s="89">
        <f t="shared" si="37"/>
        <v>0</v>
      </c>
      <c r="V104" s="89">
        <f t="shared" si="37"/>
        <v>0</v>
      </c>
      <c r="W104" s="89">
        <f t="shared" si="37"/>
        <v>0</v>
      </c>
      <c r="X104" s="89">
        <f t="shared" si="37"/>
        <v>0</v>
      </c>
      <c r="Y104" s="89">
        <f t="shared" si="37"/>
        <v>0</v>
      </c>
      <c r="Z104" s="89">
        <f t="shared" si="37"/>
        <v>0</v>
      </c>
      <c r="AA104" s="89">
        <f t="shared" si="37"/>
        <v>4.7</v>
      </c>
      <c r="AB104" s="89">
        <f t="shared" si="37"/>
        <v>0</v>
      </c>
      <c r="AC104" s="89">
        <f t="shared" si="37"/>
        <v>0</v>
      </c>
      <c r="AD104" s="89">
        <f t="shared" si="37"/>
        <v>0</v>
      </c>
      <c r="AE104" s="89">
        <f t="shared" ref="AE104:AF109" si="38">IF(AE84&lt;0,AE84*-1,0)</f>
        <v>0</v>
      </c>
      <c r="AF104" s="89">
        <f t="shared" si="38"/>
        <v>5</v>
      </c>
      <c r="AG104" s="61"/>
      <c r="AH104" s="48">
        <f t="shared" si="28"/>
        <v>5</v>
      </c>
      <c r="AI104" s="49">
        <f t="shared" si="29"/>
        <v>0</v>
      </c>
      <c r="BG104" s="82">
        <v>-5</v>
      </c>
      <c r="BH104" s="82">
        <v>0</v>
      </c>
      <c r="BI104" s="82">
        <v>-520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6"/>
        <v>0</v>
      </c>
      <c r="C105" s="89">
        <f t="shared" ref="C105:Q105" si="39">IF(C85&lt;0,C85*-1,0)</f>
        <v>0</v>
      </c>
      <c r="D105" s="89">
        <f t="shared" si="39"/>
        <v>0</v>
      </c>
      <c r="E105" s="89">
        <f t="shared" si="39"/>
        <v>0</v>
      </c>
      <c r="F105" s="89">
        <f t="shared" si="39"/>
        <v>0</v>
      </c>
      <c r="G105" s="89">
        <f t="shared" si="39"/>
        <v>0</v>
      </c>
      <c r="H105" s="89">
        <f t="shared" si="39"/>
        <v>0</v>
      </c>
      <c r="I105" s="89">
        <f t="shared" si="39"/>
        <v>0</v>
      </c>
      <c r="J105" s="89">
        <f t="shared" si="39"/>
        <v>0</v>
      </c>
      <c r="K105" s="89">
        <f t="shared" si="39"/>
        <v>0</v>
      </c>
      <c r="L105" s="89">
        <f t="shared" si="39"/>
        <v>0</v>
      </c>
      <c r="M105" s="89">
        <f t="shared" si="39"/>
        <v>0</v>
      </c>
      <c r="N105" s="89">
        <f t="shared" si="39"/>
        <v>0</v>
      </c>
      <c r="O105" s="89">
        <f t="shared" si="39"/>
        <v>0</v>
      </c>
      <c r="P105" s="89">
        <f t="shared" si="39"/>
        <v>0</v>
      </c>
      <c r="Q105" s="89">
        <f t="shared" si="39"/>
        <v>0</v>
      </c>
      <c r="R105" s="89">
        <f t="shared" si="37"/>
        <v>0</v>
      </c>
      <c r="S105" s="89">
        <f t="shared" si="37"/>
        <v>0</v>
      </c>
      <c r="T105" s="89">
        <f t="shared" si="37"/>
        <v>0</v>
      </c>
      <c r="U105" s="89">
        <f t="shared" si="37"/>
        <v>0</v>
      </c>
      <c r="V105" s="89">
        <f t="shared" si="37"/>
        <v>0</v>
      </c>
      <c r="W105" s="89">
        <f t="shared" si="37"/>
        <v>0</v>
      </c>
      <c r="X105" s="89">
        <f t="shared" si="37"/>
        <v>0</v>
      </c>
      <c r="Y105" s="89">
        <f t="shared" si="37"/>
        <v>0</v>
      </c>
      <c r="Z105" s="89">
        <f t="shared" si="37"/>
        <v>0</v>
      </c>
      <c r="AA105" s="89">
        <f t="shared" si="37"/>
        <v>0</v>
      </c>
      <c r="AB105" s="89">
        <f t="shared" si="37"/>
        <v>0</v>
      </c>
      <c r="AC105" s="89">
        <f t="shared" si="37"/>
        <v>0</v>
      </c>
      <c r="AD105" s="89">
        <f t="shared" si="37"/>
        <v>0</v>
      </c>
      <c r="AE105" s="89">
        <f t="shared" si="38"/>
        <v>0</v>
      </c>
      <c r="AF105" s="89">
        <f t="shared" si="38"/>
        <v>0</v>
      </c>
      <c r="AG105" s="66"/>
      <c r="AH105" s="48">
        <f t="shared" si="28"/>
        <v>0</v>
      </c>
      <c r="AI105" s="49">
        <f t="shared" si="29"/>
        <v>0</v>
      </c>
      <c r="AK105" s="51"/>
      <c r="BG105" s="82">
        <v>44</v>
      </c>
      <c r="BH105" s="82">
        <v>0</v>
      </c>
      <c r="BI105" s="82">
        <v>-530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6"/>
        <v>530</v>
      </c>
      <c r="C106" s="89">
        <f t="shared" si="37"/>
        <v>520</v>
      </c>
      <c r="D106" s="89">
        <f t="shared" si="37"/>
        <v>610</v>
      </c>
      <c r="E106" s="89">
        <f t="shared" si="37"/>
        <v>635</v>
      </c>
      <c r="F106" s="89">
        <f t="shared" si="37"/>
        <v>660</v>
      </c>
      <c r="G106" s="89">
        <f t="shared" si="37"/>
        <v>656</v>
      </c>
      <c r="H106" s="89">
        <f t="shared" si="37"/>
        <v>586</v>
      </c>
      <c r="I106" s="89">
        <f t="shared" si="37"/>
        <v>540</v>
      </c>
      <c r="J106" s="89">
        <f t="shared" si="37"/>
        <v>390</v>
      </c>
      <c r="K106" s="89">
        <f t="shared" si="37"/>
        <v>505</v>
      </c>
      <c r="L106" s="89">
        <f t="shared" si="37"/>
        <v>485</v>
      </c>
      <c r="M106" s="89">
        <f t="shared" si="37"/>
        <v>424</v>
      </c>
      <c r="N106" s="89">
        <f t="shared" si="37"/>
        <v>409</v>
      </c>
      <c r="O106" s="89">
        <f t="shared" si="37"/>
        <v>434</v>
      </c>
      <c r="P106" s="89">
        <f t="shared" si="37"/>
        <v>391</v>
      </c>
      <c r="Q106" s="89">
        <f t="shared" si="37"/>
        <v>415</v>
      </c>
      <c r="R106" s="89">
        <f t="shared" si="37"/>
        <v>436</v>
      </c>
      <c r="S106" s="89">
        <f t="shared" si="37"/>
        <v>393.1</v>
      </c>
      <c r="T106" s="89">
        <f t="shared" si="37"/>
        <v>370</v>
      </c>
      <c r="U106" s="89">
        <f t="shared" si="37"/>
        <v>489</v>
      </c>
      <c r="V106" s="89">
        <f t="shared" si="37"/>
        <v>482</v>
      </c>
      <c r="W106" s="89">
        <f t="shared" si="37"/>
        <v>500</v>
      </c>
      <c r="X106" s="89">
        <f t="shared" si="37"/>
        <v>450</v>
      </c>
      <c r="Y106" s="89">
        <f t="shared" si="37"/>
        <v>411</v>
      </c>
      <c r="Z106" s="89">
        <f t="shared" si="37"/>
        <v>377.1</v>
      </c>
      <c r="AA106" s="89">
        <f t="shared" si="37"/>
        <v>355</v>
      </c>
      <c r="AB106" s="89">
        <f t="shared" si="37"/>
        <v>400</v>
      </c>
      <c r="AC106" s="89">
        <f t="shared" si="37"/>
        <v>420</v>
      </c>
      <c r="AD106" s="89">
        <f t="shared" si="37"/>
        <v>451</v>
      </c>
      <c r="AE106" s="89">
        <f t="shared" si="38"/>
        <v>451</v>
      </c>
      <c r="AF106" s="89">
        <f t="shared" si="38"/>
        <v>520</v>
      </c>
      <c r="AG106" s="111"/>
      <c r="AH106" s="48">
        <f t="shared" si="28"/>
        <v>660</v>
      </c>
      <c r="AI106" s="49">
        <f t="shared" si="29"/>
        <v>355</v>
      </c>
    </row>
    <row r="107" spans="1:64" x14ac:dyDescent="0.25">
      <c r="A107" s="97" t="s">
        <v>107</v>
      </c>
      <c r="B107" s="89">
        <f t="shared" si="36"/>
        <v>0</v>
      </c>
      <c r="C107" s="89">
        <f t="shared" si="37"/>
        <v>0</v>
      </c>
      <c r="D107" s="89">
        <f t="shared" si="37"/>
        <v>0</v>
      </c>
      <c r="E107" s="89">
        <f t="shared" si="37"/>
        <v>0</v>
      </c>
      <c r="F107" s="89">
        <f t="shared" si="37"/>
        <v>0</v>
      </c>
      <c r="G107" s="89">
        <f t="shared" si="37"/>
        <v>0</v>
      </c>
      <c r="H107" s="89">
        <f t="shared" si="37"/>
        <v>0</v>
      </c>
      <c r="I107" s="89">
        <f t="shared" si="37"/>
        <v>0</v>
      </c>
      <c r="J107" s="89">
        <f t="shared" si="37"/>
        <v>0</v>
      </c>
      <c r="K107" s="89">
        <f t="shared" si="37"/>
        <v>0</v>
      </c>
      <c r="L107" s="89">
        <f t="shared" si="37"/>
        <v>0</v>
      </c>
      <c r="M107" s="89">
        <f t="shared" si="37"/>
        <v>0</v>
      </c>
      <c r="N107" s="89">
        <f t="shared" si="37"/>
        <v>0</v>
      </c>
      <c r="O107" s="89">
        <f t="shared" si="37"/>
        <v>0</v>
      </c>
      <c r="P107" s="89">
        <f t="shared" si="37"/>
        <v>0</v>
      </c>
      <c r="Q107" s="89">
        <f t="shared" si="37"/>
        <v>0</v>
      </c>
      <c r="R107" s="89">
        <f t="shared" si="37"/>
        <v>0</v>
      </c>
      <c r="S107" s="89">
        <f t="shared" si="37"/>
        <v>0</v>
      </c>
      <c r="T107" s="89">
        <f t="shared" si="37"/>
        <v>0</v>
      </c>
      <c r="U107" s="89">
        <f t="shared" si="37"/>
        <v>0</v>
      </c>
      <c r="V107" s="89">
        <f t="shared" si="37"/>
        <v>0</v>
      </c>
      <c r="W107" s="89">
        <f t="shared" si="37"/>
        <v>0</v>
      </c>
      <c r="X107" s="89">
        <f t="shared" si="37"/>
        <v>0</v>
      </c>
      <c r="Y107" s="89">
        <f t="shared" si="37"/>
        <v>0</v>
      </c>
      <c r="Z107" s="89">
        <f t="shared" si="37"/>
        <v>0</v>
      </c>
      <c r="AA107" s="89">
        <f t="shared" si="37"/>
        <v>0</v>
      </c>
      <c r="AB107" s="89">
        <f t="shared" si="37"/>
        <v>0</v>
      </c>
      <c r="AC107" s="89">
        <f t="shared" si="37"/>
        <v>0</v>
      </c>
      <c r="AD107" s="89">
        <f t="shared" si="37"/>
        <v>0</v>
      </c>
      <c r="AE107" s="89">
        <f t="shared" si="38"/>
        <v>0</v>
      </c>
      <c r="AF107" s="89">
        <f t="shared" si="38"/>
        <v>0</v>
      </c>
      <c r="AG107" s="111"/>
      <c r="AH107" s="48">
        <f t="shared" si="28"/>
        <v>0</v>
      </c>
      <c r="AI107" s="49">
        <f t="shared" si="29"/>
        <v>0</v>
      </c>
    </row>
    <row r="108" spans="1:64" x14ac:dyDescent="0.25">
      <c r="A108" s="97" t="s">
        <v>108</v>
      </c>
      <c r="B108" s="89">
        <f t="shared" si="36"/>
        <v>0</v>
      </c>
      <c r="C108" s="89">
        <f t="shared" si="37"/>
        <v>0</v>
      </c>
      <c r="D108" s="89">
        <f t="shared" si="37"/>
        <v>0</v>
      </c>
      <c r="E108" s="89">
        <f t="shared" si="37"/>
        <v>0</v>
      </c>
      <c r="F108" s="89">
        <f t="shared" si="37"/>
        <v>0</v>
      </c>
      <c r="G108" s="89">
        <f t="shared" si="37"/>
        <v>0</v>
      </c>
      <c r="H108" s="89">
        <f t="shared" si="37"/>
        <v>0</v>
      </c>
      <c r="I108" s="89">
        <f t="shared" si="37"/>
        <v>0</v>
      </c>
      <c r="J108" s="89">
        <f t="shared" si="37"/>
        <v>0</v>
      </c>
      <c r="K108" s="89">
        <f t="shared" si="37"/>
        <v>0</v>
      </c>
      <c r="L108" s="89">
        <f t="shared" si="37"/>
        <v>0</v>
      </c>
      <c r="M108" s="89">
        <f t="shared" si="37"/>
        <v>0</v>
      </c>
      <c r="N108" s="89">
        <f t="shared" si="37"/>
        <v>0</v>
      </c>
      <c r="O108" s="89">
        <f t="shared" si="37"/>
        <v>0</v>
      </c>
      <c r="P108" s="89">
        <f t="shared" si="37"/>
        <v>0</v>
      </c>
      <c r="Q108" s="89">
        <f t="shared" si="37"/>
        <v>0</v>
      </c>
      <c r="R108" s="89">
        <f t="shared" si="37"/>
        <v>0</v>
      </c>
      <c r="S108" s="89">
        <f t="shared" si="37"/>
        <v>0</v>
      </c>
      <c r="T108" s="89">
        <f t="shared" si="37"/>
        <v>0</v>
      </c>
      <c r="U108" s="89">
        <f t="shared" si="37"/>
        <v>0</v>
      </c>
      <c r="V108" s="89">
        <f t="shared" si="37"/>
        <v>0</v>
      </c>
      <c r="W108" s="89">
        <f t="shared" si="37"/>
        <v>0</v>
      </c>
      <c r="X108" s="89">
        <f t="shared" si="37"/>
        <v>0</v>
      </c>
      <c r="Y108" s="89">
        <f t="shared" si="37"/>
        <v>0</v>
      </c>
      <c r="Z108" s="89">
        <f t="shared" si="37"/>
        <v>0</v>
      </c>
      <c r="AA108" s="89">
        <f t="shared" si="37"/>
        <v>0</v>
      </c>
      <c r="AB108" s="89">
        <f t="shared" si="37"/>
        <v>0</v>
      </c>
      <c r="AC108" s="89">
        <f t="shared" si="37"/>
        <v>0</v>
      </c>
      <c r="AD108" s="89">
        <f t="shared" si="37"/>
        <v>0</v>
      </c>
      <c r="AE108" s="89">
        <f t="shared" si="38"/>
        <v>0</v>
      </c>
      <c r="AF108" s="89">
        <f t="shared" si="38"/>
        <v>0</v>
      </c>
      <c r="AG108" s="111"/>
      <c r="AH108" s="48">
        <f t="shared" si="28"/>
        <v>0</v>
      </c>
      <c r="AI108" s="49">
        <f t="shared" si="29"/>
        <v>0</v>
      </c>
    </row>
    <row r="109" spans="1:64" ht="15.75" thickBot="1" x14ac:dyDescent="0.3">
      <c r="A109" s="97" t="s">
        <v>117</v>
      </c>
      <c r="B109" s="89">
        <f t="shared" si="36"/>
        <v>0</v>
      </c>
      <c r="C109" s="89">
        <f t="shared" si="37"/>
        <v>0</v>
      </c>
      <c r="D109" s="89">
        <f t="shared" si="37"/>
        <v>0</v>
      </c>
      <c r="E109" s="89">
        <f t="shared" si="37"/>
        <v>0</v>
      </c>
      <c r="F109" s="89">
        <f t="shared" si="37"/>
        <v>0</v>
      </c>
      <c r="G109" s="89">
        <f t="shared" si="37"/>
        <v>0</v>
      </c>
      <c r="H109" s="89">
        <f t="shared" si="37"/>
        <v>0</v>
      </c>
      <c r="I109" s="89">
        <f t="shared" si="37"/>
        <v>0</v>
      </c>
      <c r="J109" s="89">
        <f t="shared" si="37"/>
        <v>0</v>
      </c>
      <c r="K109" s="89">
        <f t="shared" si="37"/>
        <v>0</v>
      </c>
      <c r="L109" s="89">
        <f t="shared" si="37"/>
        <v>0</v>
      </c>
      <c r="M109" s="89">
        <f t="shared" si="37"/>
        <v>0</v>
      </c>
      <c r="N109" s="89">
        <f t="shared" si="37"/>
        <v>0</v>
      </c>
      <c r="O109" s="89">
        <f t="shared" si="37"/>
        <v>0</v>
      </c>
      <c r="P109" s="89">
        <f t="shared" si="37"/>
        <v>0</v>
      </c>
      <c r="Q109" s="89">
        <f t="shared" si="37"/>
        <v>0</v>
      </c>
      <c r="R109" s="89">
        <f t="shared" si="37"/>
        <v>0</v>
      </c>
      <c r="S109" s="89">
        <f t="shared" si="37"/>
        <v>0</v>
      </c>
      <c r="T109" s="89">
        <f t="shared" si="37"/>
        <v>0</v>
      </c>
      <c r="U109" s="89">
        <f t="shared" si="37"/>
        <v>0</v>
      </c>
      <c r="V109" s="89">
        <f t="shared" si="37"/>
        <v>0</v>
      </c>
      <c r="W109" s="89">
        <f t="shared" si="37"/>
        <v>0</v>
      </c>
      <c r="X109" s="89">
        <f t="shared" si="37"/>
        <v>0</v>
      </c>
      <c r="Y109" s="89">
        <f t="shared" si="37"/>
        <v>0</v>
      </c>
      <c r="Z109" s="89">
        <f t="shared" si="37"/>
        <v>0</v>
      </c>
      <c r="AA109" s="89">
        <f t="shared" si="37"/>
        <v>0</v>
      </c>
      <c r="AB109" s="89">
        <f t="shared" si="37"/>
        <v>0</v>
      </c>
      <c r="AC109" s="89">
        <f t="shared" si="37"/>
        <v>0</v>
      </c>
      <c r="AD109" s="89">
        <f t="shared" si="37"/>
        <v>0</v>
      </c>
      <c r="AE109" s="89">
        <f t="shared" si="38"/>
        <v>0</v>
      </c>
      <c r="AF109" s="89">
        <f t="shared" si="38"/>
        <v>0</v>
      </c>
      <c r="AG109" s="98"/>
      <c r="AH109" s="48">
        <f t="shared" si="28"/>
        <v>0</v>
      </c>
      <c r="AI109" s="49">
        <f t="shared" si="29"/>
        <v>0</v>
      </c>
    </row>
    <row r="110" spans="1:64" ht="15.75" thickBot="1" x14ac:dyDescent="0.3">
      <c r="A110" s="112" t="s">
        <v>130</v>
      </c>
      <c r="B110" s="71">
        <f>SUM(B104:B109)</f>
        <v>530</v>
      </c>
      <c r="C110" s="71">
        <f t="shared" ref="C110:AD110" si="40">SUM(C104:C109)</f>
        <v>520</v>
      </c>
      <c r="D110" s="71">
        <f t="shared" si="40"/>
        <v>610</v>
      </c>
      <c r="E110" s="71">
        <f t="shared" si="40"/>
        <v>635</v>
      </c>
      <c r="F110" s="71">
        <f t="shared" si="40"/>
        <v>660</v>
      </c>
      <c r="G110" s="71">
        <f t="shared" si="40"/>
        <v>656</v>
      </c>
      <c r="H110" s="71">
        <f t="shared" si="40"/>
        <v>586</v>
      </c>
      <c r="I110" s="71">
        <f t="shared" si="40"/>
        <v>540</v>
      </c>
      <c r="J110" s="71">
        <f t="shared" si="40"/>
        <v>390</v>
      </c>
      <c r="K110" s="71">
        <f t="shared" si="40"/>
        <v>505</v>
      </c>
      <c r="L110" s="71">
        <f t="shared" si="40"/>
        <v>485</v>
      </c>
      <c r="M110" s="71">
        <f t="shared" si="40"/>
        <v>424</v>
      </c>
      <c r="N110" s="71">
        <f t="shared" si="40"/>
        <v>409</v>
      </c>
      <c r="O110" s="71">
        <f t="shared" si="40"/>
        <v>434</v>
      </c>
      <c r="P110" s="71">
        <f t="shared" si="40"/>
        <v>391</v>
      </c>
      <c r="Q110" s="71">
        <f t="shared" si="40"/>
        <v>415</v>
      </c>
      <c r="R110" s="71">
        <f t="shared" si="40"/>
        <v>436</v>
      </c>
      <c r="S110" s="71">
        <f t="shared" si="40"/>
        <v>393.1</v>
      </c>
      <c r="T110" s="71">
        <f t="shared" si="40"/>
        <v>370</v>
      </c>
      <c r="U110" s="71">
        <f t="shared" si="40"/>
        <v>489</v>
      </c>
      <c r="V110" s="71">
        <f t="shared" si="40"/>
        <v>482</v>
      </c>
      <c r="W110" s="71">
        <f t="shared" si="40"/>
        <v>500</v>
      </c>
      <c r="X110" s="71">
        <f t="shared" si="40"/>
        <v>450</v>
      </c>
      <c r="Y110" s="71">
        <f t="shared" si="40"/>
        <v>411</v>
      </c>
      <c r="Z110" s="71">
        <f t="shared" si="40"/>
        <v>377.1</v>
      </c>
      <c r="AA110" s="71">
        <f t="shared" si="40"/>
        <v>359.7</v>
      </c>
      <c r="AB110" s="71">
        <f t="shared" si="40"/>
        <v>400</v>
      </c>
      <c r="AC110" s="71">
        <f t="shared" si="40"/>
        <v>420</v>
      </c>
      <c r="AD110" s="71">
        <f t="shared" si="40"/>
        <v>451</v>
      </c>
      <c r="AE110" s="71">
        <f>SUM(AE104:AE109)</f>
        <v>451</v>
      </c>
      <c r="AF110" s="71">
        <f>SUM(AF104:AF109)</f>
        <v>525</v>
      </c>
      <c r="AG110" s="101"/>
      <c r="AH110" s="48">
        <f t="shared" si="28"/>
        <v>660</v>
      </c>
      <c r="AI110" s="49">
        <f t="shared" si="29"/>
        <v>359.7</v>
      </c>
    </row>
    <row r="111" spans="1:64" ht="15.75" thickBot="1" x14ac:dyDescent="0.3">
      <c r="A111" s="87" t="s">
        <v>131</v>
      </c>
      <c r="B111" s="71">
        <f>B95-B110</f>
        <v>-433.4</v>
      </c>
      <c r="C111" s="71">
        <f t="shared" ref="C111:AD111" si="41">C95-C110</f>
        <v>-475</v>
      </c>
      <c r="D111" s="71">
        <f t="shared" si="41"/>
        <v>-560.4</v>
      </c>
      <c r="E111" s="71">
        <f t="shared" si="41"/>
        <v>-589.70000000000005</v>
      </c>
      <c r="F111" s="71">
        <f t="shared" si="41"/>
        <v>-655</v>
      </c>
      <c r="G111" s="71">
        <f t="shared" si="41"/>
        <v>-652.29999999999995</v>
      </c>
      <c r="H111" s="71">
        <f t="shared" si="41"/>
        <v>-582</v>
      </c>
      <c r="I111" s="71">
        <f t="shared" si="41"/>
        <v>-530</v>
      </c>
      <c r="J111" s="71">
        <f t="shared" si="41"/>
        <v>-356</v>
      </c>
      <c r="K111" s="71">
        <f t="shared" si="41"/>
        <v>-469</v>
      </c>
      <c r="L111" s="71">
        <f t="shared" si="41"/>
        <v>-439</v>
      </c>
      <c r="M111" s="71">
        <f t="shared" si="41"/>
        <v>-356.1</v>
      </c>
      <c r="N111" s="71">
        <f t="shared" si="41"/>
        <v>-342</v>
      </c>
      <c r="O111" s="71">
        <f t="shared" si="41"/>
        <v>-318.3</v>
      </c>
      <c r="P111" s="71">
        <f t="shared" si="41"/>
        <v>-288.3</v>
      </c>
      <c r="Q111" s="71">
        <f t="shared" si="41"/>
        <v>-309.2</v>
      </c>
      <c r="R111" s="71">
        <f t="shared" si="41"/>
        <v>-321</v>
      </c>
      <c r="S111" s="71">
        <f t="shared" si="41"/>
        <v>-285</v>
      </c>
      <c r="T111" s="71">
        <f t="shared" si="41"/>
        <v>-252.5</v>
      </c>
      <c r="U111" s="71">
        <f t="shared" si="41"/>
        <v>-377.7</v>
      </c>
      <c r="V111" s="71">
        <f t="shared" si="41"/>
        <v>-375.9</v>
      </c>
      <c r="W111" s="71">
        <f t="shared" si="41"/>
        <v>-393</v>
      </c>
      <c r="X111" s="71">
        <f t="shared" si="41"/>
        <v>-402.7</v>
      </c>
      <c r="Y111" s="71">
        <f t="shared" si="41"/>
        <v>-363.1</v>
      </c>
      <c r="Z111" s="71">
        <f t="shared" si="41"/>
        <v>-324</v>
      </c>
      <c r="AA111" s="71">
        <f t="shared" si="41"/>
        <v>-353.59999999999997</v>
      </c>
      <c r="AB111" s="71">
        <f t="shared" si="41"/>
        <v>-389</v>
      </c>
      <c r="AC111" s="71">
        <f t="shared" si="41"/>
        <v>-409</v>
      </c>
      <c r="AD111" s="71">
        <f t="shared" si="41"/>
        <v>-451</v>
      </c>
      <c r="AE111" s="71">
        <f>AE95-AE110</f>
        <v>-451</v>
      </c>
      <c r="AF111" s="71">
        <f>AF95-AF110</f>
        <v>-525</v>
      </c>
      <c r="AG111" s="101"/>
      <c r="AH111" s="48">
        <f t="shared" si="28"/>
        <v>-252.5</v>
      </c>
      <c r="AI111" s="49">
        <f t="shared" si="29"/>
        <v>-655</v>
      </c>
    </row>
    <row r="112" spans="1:64" x14ac:dyDescent="0.25">
      <c r="A112" s="113" t="s">
        <v>132</v>
      </c>
      <c r="B112" s="114">
        <v>50</v>
      </c>
      <c r="C112" s="114">
        <v>50.02</v>
      </c>
      <c r="D112" s="114">
        <v>50.03</v>
      </c>
      <c r="E112" s="114">
        <v>50.054000000000002</v>
      </c>
      <c r="F112" s="114">
        <v>50.01</v>
      </c>
      <c r="G112" s="114">
        <v>50.07</v>
      </c>
      <c r="H112" s="114">
        <v>50.01</v>
      </c>
      <c r="I112" s="114">
        <v>49.920999999999999</v>
      </c>
      <c r="J112" s="114">
        <v>50.01</v>
      </c>
      <c r="K112" s="114">
        <v>50.02</v>
      </c>
      <c r="L112" s="114">
        <v>50.031999999999996</v>
      </c>
      <c r="M112" s="114">
        <v>50.075000000000003</v>
      </c>
      <c r="N112" s="114">
        <v>50.048999999999999</v>
      </c>
      <c r="O112" s="114">
        <v>50.036000000000001</v>
      </c>
      <c r="P112" s="114">
        <v>49.985999999999997</v>
      </c>
      <c r="Q112" s="114">
        <v>50.05</v>
      </c>
      <c r="R112" s="114">
        <v>50.061</v>
      </c>
      <c r="S112" s="114">
        <v>50.067999999999998</v>
      </c>
      <c r="T112" s="114">
        <v>50.051000000000002</v>
      </c>
      <c r="U112" s="114">
        <v>50.048000000000002</v>
      </c>
      <c r="V112" s="114">
        <v>50.048000000000002</v>
      </c>
      <c r="W112" s="114">
        <v>50.069000000000003</v>
      </c>
      <c r="X112" s="114">
        <v>50.069000000000003</v>
      </c>
      <c r="Y112" s="114">
        <v>50.055999999999997</v>
      </c>
      <c r="Z112" s="114">
        <v>50.033999999999999</v>
      </c>
      <c r="AA112" s="114">
        <v>50.030999999999999</v>
      </c>
      <c r="AB112" s="114"/>
      <c r="AC112" s="114"/>
      <c r="AD112" s="114">
        <v>49.994999999999997</v>
      </c>
      <c r="AE112" s="114">
        <v>49.994999999999997</v>
      </c>
      <c r="AF112" s="114">
        <v>50.1</v>
      </c>
      <c r="AG112" s="115"/>
      <c r="AH112" s="48">
        <f t="shared" si="28"/>
        <v>50.1</v>
      </c>
      <c r="AI112" s="49">
        <f t="shared" si="29"/>
        <v>49.920999999999999</v>
      </c>
    </row>
    <row r="113" spans="1:35" x14ac:dyDescent="0.25">
      <c r="A113" s="116" t="s">
        <v>133</v>
      </c>
      <c r="B113" s="76">
        <v>121</v>
      </c>
      <c r="C113" s="76">
        <v>118.1</v>
      </c>
      <c r="D113" s="76">
        <v>120.4</v>
      </c>
      <c r="E113" s="76">
        <v>120.1</v>
      </c>
      <c r="F113" s="76">
        <v>120.2</v>
      </c>
      <c r="G113" s="76">
        <v>121.6</v>
      </c>
      <c r="H113" s="76">
        <v>120.7</v>
      </c>
      <c r="I113" s="76">
        <v>120.2</v>
      </c>
      <c r="J113" s="76">
        <v>120.7</v>
      </c>
      <c r="K113" s="76">
        <v>119.7</v>
      </c>
      <c r="L113" s="76">
        <v>120.3</v>
      </c>
      <c r="M113" s="76">
        <v>120</v>
      </c>
      <c r="N113" s="76">
        <v>119.6</v>
      </c>
      <c r="O113" s="76">
        <v>118</v>
      </c>
      <c r="P113" s="76">
        <v>118</v>
      </c>
      <c r="Q113" s="76">
        <v>117</v>
      </c>
      <c r="R113" s="76">
        <v>118.1</v>
      </c>
      <c r="S113" s="76">
        <v>119.5</v>
      </c>
      <c r="T113" s="76">
        <v>118.7</v>
      </c>
      <c r="U113" s="76">
        <v>118.3</v>
      </c>
      <c r="V113" s="76">
        <v>118.3</v>
      </c>
      <c r="W113" s="76">
        <v>119.6</v>
      </c>
      <c r="X113" s="76">
        <v>119.6</v>
      </c>
      <c r="Y113" s="76">
        <v>121.8</v>
      </c>
      <c r="Z113" s="76">
        <v>123</v>
      </c>
      <c r="AA113" s="76">
        <v>122.2</v>
      </c>
      <c r="AB113" s="76"/>
      <c r="AC113" s="76"/>
      <c r="AD113" s="76">
        <v>122.9</v>
      </c>
      <c r="AE113" s="76">
        <v>122.9</v>
      </c>
      <c r="AF113" s="76">
        <v>122.9</v>
      </c>
      <c r="AG113" s="117"/>
      <c r="AH113" s="48">
        <f t="shared" si="28"/>
        <v>123</v>
      </c>
      <c r="AI113" s="49">
        <f t="shared" si="29"/>
        <v>117</v>
      </c>
    </row>
    <row r="114" spans="1:35" x14ac:dyDescent="0.25">
      <c r="A114" s="116" t="s">
        <v>134</v>
      </c>
      <c r="B114" s="76">
        <v>126.5</v>
      </c>
      <c r="C114" s="76">
        <v>124.6</v>
      </c>
      <c r="D114" s="76">
        <v>126</v>
      </c>
      <c r="E114" s="76">
        <v>126</v>
      </c>
      <c r="F114" s="76">
        <v>126.1</v>
      </c>
      <c r="G114" s="76">
        <v>128</v>
      </c>
      <c r="H114" s="76">
        <v>125.6</v>
      </c>
      <c r="I114" s="76">
        <v>124.5</v>
      </c>
      <c r="J114" s="76">
        <v>124.6</v>
      </c>
      <c r="K114" s="76">
        <v>124.3</v>
      </c>
      <c r="L114" s="76">
        <v>124.1</v>
      </c>
      <c r="M114" s="76">
        <v>123.6</v>
      </c>
      <c r="N114" s="76">
        <v>123.8</v>
      </c>
      <c r="O114" s="76">
        <v>122.7</v>
      </c>
      <c r="P114" s="76">
        <v>122</v>
      </c>
      <c r="Q114" s="76">
        <v>121</v>
      </c>
      <c r="R114" s="76">
        <v>121.8</v>
      </c>
      <c r="S114" s="76">
        <v>123.1</v>
      </c>
      <c r="T114" s="76">
        <v>122.1</v>
      </c>
      <c r="U114" s="76">
        <v>122.4</v>
      </c>
      <c r="V114" s="76">
        <v>122.4</v>
      </c>
      <c r="W114" s="76">
        <v>123</v>
      </c>
      <c r="X114" s="76">
        <v>123</v>
      </c>
      <c r="Y114" s="76">
        <v>124.8</v>
      </c>
      <c r="Z114" s="76">
        <v>125.7</v>
      </c>
      <c r="AA114" s="76">
        <v>124.8</v>
      </c>
      <c r="AB114" s="76"/>
      <c r="AC114" s="76"/>
      <c r="AD114" s="76">
        <v>127.1</v>
      </c>
      <c r="AE114" s="76">
        <v>127.1</v>
      </c>
      <c r="AF114" s="76">
        <v>127.1</v>
      </c>
      <c r="AG114" s="117"/>
      <c r="AH114" s="48">
        <f t="shared" si="28"/>
        <v>128</v>
      </c>
      <c r="AI114" s="49">
        <f t="shared" si="29"/>
        <v>121</v>
      </c>
    </row>
    <row r="115" spans="1:35" x14ac:dyDescent="0.25">
      <c r="A115" s="116" t="s">
        <v>135</v>
      </c>
      <c r="B115" s="76">
        <v>133.1</v>
      </c>
      <c r="C115" s="76">
        <v>132</v>
      </c>
      <c r="D115" s="76">
        <v>133.1</v>
      </c>
      <c r="E115" s="76">
        <v>133</v>
      </c>
      <c r="F115" s="76">
        <v>131.30000000000001</v>
      </c>
      <c r="G115" s="76">
        <v>131.19999999999999</v>
      </c>
      <c r="H115" s="76">
        <v>130.9</v>
      </c>
      <c r="I115" s="76">
        <v>131</v>
      </c>
      <c r="J115" s="76">
        <v>129.69999999999999</v>
      </c>
      <c r="K115" s="76">
        <v>128.19999999999999</v>
      </c>
      <c r="L115" s="76">
        <v>129.69999999999999</v>
      </c>
      <c r="M115" s="76">
        <v>129.69999999999999</v>
      </c>
      <c r="N115" s="76">
        <v>128.5</v>
      </c>
      <c r="O115" s="76">
        <v>129.69999999999999</v>
      </c>
      <c r="P115" s="76">
        <v>130.9</v>
      </c>
      <c r="Q115" s="76">
        <v>130</v>
      </c>
      <c r="R115" s="76">
        <v>129.4</v>
      </c>
      <c r="S115" s="76">
        <v>129.1</v>
      </c>
      <c r="T115" s="76">
        <v>131.6</v>
      </c>
      <c r="U115" s="76">
        <v>129.80000000000001</v>
      </c>
      <c r="V115" s="76">
        <v>129.80000000000001</v>
      </c>
      <c r="W115" s="76">
        <v>131.6</v>
      </c>
      <c r="X115" s="76">
        <v>131.6</v>
      </c>
      <c r="Y115" s="76">
        <v>131.19999999999999</v>
      </c>
      <c r="Z115" s="76">
        <v>131.1</v>
      </c>
      <c r="AA115" s="76">
        <v>132.1</v>
      </c>
      <c r="AB115" s="76"/>
      <c r="AC115" s="76"/>
      <c r="AD115" s="76">
        <v>131.5</v>
      </c>
      <c r="AE115" s="76">
        <v>131.5</v>
      </c>
      <c r="AF115" s="76">
        <v>131.5</v>
      </c>
      <c r="AG115" s="117"/>
      <c r="AH115" s="48">
        <f t="shared" si="28"/>
        <v>133.1</v>
      </c>
      <c r="AI115" s="49">
        <f t="shared" si="29"/>
        <v>128.19999999999999</v>
      </c>
    </row>
    <row r="116" spans="1:35" x14ac:dyDescent="0.25">
      <c r="A116" s="118" t="s">
        <v>136</v>
      </c>
      <c r="B116" s="76">
        <v>134.19999999999999</v>
      </c>
      <c r="C116" s="76">
        <v>133.80000000000001</v>
      </c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>
        <v>129</v>
      </c>
      <c r="R116" s="76">
        <v>129.19999999999999</v>
      </c>
      <c r="S116" s="76">
        <v>128.5</v>
      </c>
      <c r="T116" s="76">
        <v>131.9</v>
      </c>
      <c r="U116" s="76">
        <v>130.5</v>
      </c>
      <c r="V116" s="76">
        <v>130.5</v>
      </c>
      <c r="W116" s="76">
        <v>131.69999999999999</v>
      </c>
      <c r="X116" s="76">
        <v>131.69999999999999</v>
      </c>
      <c r="Y116" s="76">
        <v>131.4</v>
      </c>
      <c r="Z116" s="76">
        <v>130.9</v>
      </c>
      <c r="AA116" s="76">
        <v>132.5</v>
      </c>
      <c r="AB116" s="76"/>
      <c r="AC116" s="76"/>
      <c r="AD116" s="76">
        <v>133.4</v>
      </c>
      <c r="AE116" s="76">
        <v>133.4</v>
      </c>
      <c r="AF116" s="76">
        <v>133.4</v>
      </c>
      <c r="AG116" s="117"/>
      <c r="AH116" s="48">
        <f t="shared" si="28"/>
        <v>134.19999999999999</v>
      </c>
      <c r="AI116" s="49">
        <f t="shared" si="29"/>
        <v>128.5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8"/>
        <v>0</v>
      </c>
      <c r="AI117" s="49">
        <f t="shared" si="29"/>
        <v>0</v>
      </c>
    </row>
    <row r="118" spans="1:35" x14ac:dyDescent="0.25">
      <c r="A118" s="116" t="s">
        <v>138</v>
      </c>
      <c r="B118" s="76">
        <v>124</v>
      </c>
      <c r="C118" s="76">
        <v>123.2</v>
      </c>
      <c r="D118" s="76">
        <v>128</v>
      </c>
      <c r="E118" s="76">
        <v>131.6</v>
      </c>
      <c r="F118" s="76">
        <v>121</v>
      </c>
      <c r="G118" s="76">
        <v>121</v>
      </c>
      <c r="H118" s="76">
        <v>124</v>
      </c>
      <c r="I118" s="76">
        <v>124</v>
      </c>
      <c r="J118" s="76">
        <v>121.7</v>
      </c>
      <c r="K118" s="76">
        <v>123.2</v>
      </c>
      <c r="L118" s="76">
        <v>124.8</v>
      </c>
      <c r="M118" s="76">
        <v>121</v>
      </c>
      <c r="N118" s="76">
        <v>122.3</v>
      </c>
      <c r="O118" s="76">
        <v>118</v>
      </c>
      <c r="P118" s="76">
        <v>125</v>
      </c>
      <c r="Q118" s="76">
        <v>120</v>
      </c>
      <c r="R118" s="76">
        <v>117.3</v>
      </c>
      <c r="S118" s="76">
        <v>124.9</v>
      </c>
      <c r="T118" s="76">
        <v>117.5</v>
      </c>
      <c r="U118" s="76">
        <v>126.7</v>
      </c>
      <c r="V118" s="76">
        <v>126.7</v>
      </c>
      <c r="W118" s="76">
        <v>119</v>
      </c>
      <c r="X118" s="76">
        <v>119</v>
      </c>
      <c r="Y118" s="76">
        <v>127</v>
      </c>
      <c r="Z118" s="76">
        <v>128.19999999999999</v>
      </c>
      <c r="AA118" s="76">
        <v>118.7</v>
      </c>
      <c r="AB118" s="76"/>
      <c r="AC118" s="76"/>
      <c r="AD118" s="76">
        <v>129.6</v>
      </c>
      <c r="AE118" s="76">
        <v>129.6</v>
      </c>
      <c r="AF118" s="76">
        <v>129.6</v>
      </c>
      <c r="AG118" s="117"/>
      <c r="AH118" s="48">
        <f t="shared" si="28"/>
        <v>131.6</v>
      </c>
      <c r="AI118" s="49">
        <f t="shared" si="29"/>
        <v>117.3</v>
      </c>
    </row>
    <row r="119" spans="1:35" ht="15.75" thickBot="1" x14ac:dyDescent="0.3">
      <c r="A119" s="116" t="s">
        <v>139</v>
      </c>
      <c r="B119" s="105">
        <v>64.2</v>
      </c>
      <c r="C119" s="105">
        <v>63.5</v>
      </c>
      <c r="D119" s="105">
        <v>63.5</v>
      </c>
      <c r="E119" s="105">
        <v>63.9</v>
      </c>
      <c r="F119" s="105">
        <v>63.7</v>
      </c>
      <c r="G119" s="105">
        <v>64.7</v>
      </c>
      <c r="H119" s="105">
        <v>63.5</v>
      </c>
      <c r="I119" s="105">
        <v>62.5</v>
      </c>
      <c r="J119" s="105">
        <v>62.6</v>
      </c>
      <c r="K119" s="105">
        <v>62.3</v>
      </c>
      <c r="L119" s="105">
        <v>62.4</v>
      </c>
      <c r="M119" s="105">
        <v>62.4</v>
      </c>
      <c r="N119" s="105">
        <v>62.4</v>
      </c>
      <c r="O119" s="105">
        <v>61.7</v>
      </c>
      <c r="P119" s="105">
        <v>61</v>
      </c>
      <c r="Q119" s="105">
        <v>61.2</v>
      </c>
      <c r="R119" s="105">
        <v>60.8</v>
      </c>
      <c r="S119" s="105">
        <v>61.7</v>
      </c>
      <c r="T119" s="105">
        <v>61.5</v>
      </c>
      <c r="U119" s="105">
        <v>61.6</v>
      </c>
      <c r="V119" s="105">
        <v>61.6</v>
      </c>
      <c r="W119" s="105">
        <v>61.9</v>
      </c>
      <c r="X119" s="105">
        <v>61.9</v>
      </c>
      <c r="Y119" s="105">
        <v>63.3</v>
      </c>
      <c r="Z119" s="105">
        <v>63.4</v>
      </c>
      <c r="AA119" s="105">
        <v>62.8</v>
      </c>
      <c r="AB119" s="105"/>
      <c r="AC119" s="105"/>
      <c r="AD119" s="105">
        <v>64.599999999999994</v>
      </c>
      <c r="AE119" s="105">
        <v>64.599999999999994</v>
      </c>
      <c r="AF119" s="105">
        <v>64.599999999999994</v>
      </c>
      <c r="AG119" s="121"/>
      <c r="AH119" s="48">
        <f t="shared" si="28"/>
        <v>64.7</v>
      </c>
      <c r="AI119" s="49">
        <f t="shared" si="29"/>
        <v>60.8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8"/>
        <v>0</v>
      </c>
      <c r="AI120" s="49">
        <f t="shared" si="29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64.539999999999964</v>
      </c>
      <c r="C121" s="124">
        <f t="shared" ref="C121:O121" si="42">SUM(C25,C31,C34:C35,C69,C71:C72,C74,C76,C122:C126,C158,C164,C170,C179,C181,C193,C200,C203:C204,C211,C213,C215,C219:C221,C223:C225,C230,C236:C237,C239:C241,C249,C254)</f>
        <v>122.33999999999997</v>
      </c>
      <c r="D121" s="124">
        <f t="shared" si="42"/>
        <v>129.43999999999997</v>
      </c>
      <c r="E121" s="124">
        <f t="shared" si="42"/>
        <v>109.14</v>
      </c>
      <c r="F121" s="124">
        <f t="shared" si="42"/>
        <v>108.04</v>
      </c>
      <c r="G121" s="124">
        <f t="shared" si="42"/>
        <v>115.34</v>
      </c>
      <c r="H121" s="124">
        <f t="shared" si="42"/>
        <v>50.7</v>
      </c>
      <c r="I121" s="124">
        <f t="shared" si="42"/>
        <v>92.04000000000002</v>
      </c>
      <c r="J121" s="124">
        <f t="shared" si="42"/>
        <v>89.639999999999986</v>
      </c>
      <c r="K121" s="124">
        <f t="shared" si="42"/>
        <v>146.44</v>
      </c>
      <c r="L121" s="124">
        <f t="shared" si="42"/>
        <v>151.44</v>
      </c>
      <c r="M121" s="124">
        <f t="shared" si="42"/>
        <v>140.34</v>
      </c>
      <c r="N121" s="124">
        <f t="shared" si="42"/>
        <v>141.64000000000001</v>
      </c>
      <c r="O121" s="124">
        <f t="shared" si="42"/>
        <v>154.14000000000001</v>
      </c>
      <c r="P121" s="124">
        <v>42</v>
      </c>
      <c r="Q121" s="124">
        <f t="shared" ref="Q121:X121" si="43">SUM(Q25,Q31,Q34:Q35,Q69,Q71:Q72,Q74,Q76,Q122:Q126,Q158,Q164,Q170,Q179,Q181,Q193,Q200,Q203:Q204,Q211,Q213,Q215,Q219:Q221,Q223:Q225,Q230,Q236:Q237,Q239:Q241,Q249,Q254)</f>
        <v>321.44</v>
      </c>
      <c r="R121" s="124">
        <f t="shared" si="43"/>
        <v>124.34</v>
      </c>
      <c r="S121" s="124">
        <f t="shared" si="43"/>
        <v>107.04</v>
      </c>
      <c r="T121" s="124">
        <f t="shared" si="43"/>
        <v>116.74</v>
      </c>
      <c r="U121" s="124">
        <f t="shared" si="43"/>
        <v>128.04000000000002</v>
      </c>
      <c r="V121" s="124">
        <f t="shared" si="43"/>
        <v>124.54000000000002</v>
      </c>
      <c r="W121" s="124">
        <f t="shared" si="43"/>
        <v>134.44</v>
      </c>
      <c r="X121" s="124">
        <f t="shared" si="43"/>
        <v>134.44</v>
      </c>
      <c r="Y121" s="124">
        <f>SUM(Y23,Y29,Y40:Y41,Y69,Y71:Y72,Y74,Y76,Y122:Y126,Y151,Y157,Y163,Y172,Y174,Y186,Y193,Y196:Y197,Y204,Y206,Y208,Y212:Y214,Y216:Y218,Y223,Y229:Y230,Y232:Y234,Y242,Y247)</f>
        <v>159</v>
      </c>
      <c r="Z121" s="124">
        <f>SUM(Z23,Z29,Z40:Z41,Z69,Z71:Z72,Z74,Z76,Z122:Z126,Z151,Z157,Z163,Z172,Z174,Z186,Z193,Z196:Z197,Z204,Z206,Z208,Z212:Z214,Z216:Z218,Z223,Z229:Z230,Z232:Z234,Z242,Z247)</f>
        <v>177.60000000000002</v>
      </c>
      <c r="AA121" s="124">
        <f t="shared" ref="AA121:AF121" si="44">SUM(AA25,AA31,AA34:AA35,AA69,AA71:AA72,AA74,AA76,AA122:AA126,AA158,AA164,AA170,AA179,AA181,AA193,AA200,AA203:AA204,AA211,AA213,AA215,AA219:AA221,AA223:AA225,AA230,AA236:AA237,AA239:AA241,AA249,AA254)</f>
        <v>129.13999999999999</v>
      </c>
      <c r="AB121" s="124">
        <f t="shared" si="44"/>
        <v>118.44000000000001</v>
      </c>
      <c r="AC121" s="124">
        <f t="shared" si="44"/>
        <v>118.44000000000001</v>
      </c>
      <c r="AD121" s="124">
        <f t="shared" si="44"/>
        <v>130.44</v>
      </c>
      <c r="AE121" s="124">
        <f t="shared" si="44"/>
        <v>130.44</v>
      </c>
      <c r="AF121" s="124">
        <f t="shared" si="44"/>
        <v>-33.759999999999991</v>
      </c>
      <c r="AG121" s="125"/>
      <c r="AH121" s="48">
        <f t="shared" si="28"/>
        <v>321.44</v>
      </c>
      <c r="AI121" s="49">
        <f t="shared" si="29"/>
        <v>-33.759999999999991</v>
      </c>
    </row>
    <row r="122" spans="1:35" x14ac:dyDescent="0.25">
      <c r="A122" s="126" t="s">
        <v>142</v>
      </c>
      <c r="B122" s="127">
        <v>80.8</v>
      </c>
      <c r="C122" s="127">
        <v>77</v>
      </c>
      <c r="D122" s="127">
        <v>75.8</v>
      </c>
      <c r="E122" s="127">
        <v>78.099999999999994</v>
      </c>
      <c r="F122" s="127">
        <v>63</v>
      </c>
      <c r="G122" s="127">
        <v>60</v>
      </c>
      <c r="H122" s="127">
        <v>54.8</v>
      </c>
      <c r="I122" s="127">
        <v>53.2</v>
      </c>
      <c r="J122" s="127">
        <v>52.8</v>
      </c>
      <c r="K122" s="127">
        <v>61.7</v>
      </c>
      <c r="L122" s="127">
        <v>68.3</v>
      </c>
      <c r="M122" s="127">
        <v>53.8</v>
      </c>
      <c r="N122" s="127">
        <v>55.4</v>
      </c>
      <c r="O122" s="127">
        <v>76.7</v>
      </c>
      <c r="P122" s="127">
        <v>49</v>
      </c>
      <c r="Q122" s="127">
        <v>47</v>
      </c>
      <c r="R122" s="127">
        <v>44.9</v>
      </c>
      <c r="S122" s="127">
        <v>43.9</v>
      </c>
      <c r="T122" s="127">
        <v>45.9</v>
      </c>
      <c r="U122" s="127">
        <v>66.3</v>
      </c>
      <c r="V122" s="127">
        <v>66.3</v>
      </c>
      <c r="W122" s="127">
        <v>66.5</v>
      </c>
      <c r="X122" s="127">
        <v>66.5</v>
      </c>
      <c r="Y122" s="127">
        <v>47.1</v>
      </c>
      <c r="Z122" s="127">
        <v>50.8</v>
      </c>
      <c r="AA122" s="127">
        <v>41.3</v>
      </c>
      <c r="AB122" s="127"/>
      <c r="AC122" s="127"/>
      <c r="AD122" s="127">
        <v>68</v>
      </c>
      <c r="AE122" s="127">
        <v>68</v>
      </c>
      <c r="AF122" s="127">
        <v>32</v>
      </c>
      <c r="AG122" s="128">
        <v>75</v>
      </c>
      <c r="AH122" s="48">
        <f t="shared" si="28"/>
        <v>80.8</v>
      </c>
      <c r="AI122" s="49">
        <f t="shared" si="29"/>
        <v>32</v>
      </c>
    </row>
    <row r="123" spans="1:35" x14ac:dyDescent="0.25">
      <c r="A123" s="129" t="s">
        <v>143</v>
      </c>
      <c r="B123" s="130">
        <v>117.9</v>
      </c>
      <c r="C123" s="130">
        <v>108</v>
      </c>
      <c r="D123" s="130">
        <v>107</v>
      </c>
      <c r="E123" s="130">
        <v>111</v>
      </c>
      <c r="F123" s="130">
        <v>92.4</v>
      </c>
      <c r="G123" s="130">
        <v>88.1</v>
      </c>
      <c r="H123" s="130">
        <v>83.5</v>
      </c>
      <c r="I123" s="130">
        <v>75</v>
      </c>
      <c r="J123" s="130">
        <v>76</v>
      </c>
      <c r="K123" s="130">
        <v>86.9</v>
      </c>
      <c r="L123" s="130">
        <v>99.8</v>
      </c>
      <c r="M123" s="130">
        <v>79.8</v>
      </c>
      <c r="N123" s="130">
        <v>83.3</v>
      </c>
      <c r="O123" s="130">
        <v>108.9</v>
      </c>
      <c r="P123" s="130">
        <v>73</v>
      </c>
      <c r="Q123" s="130">
        <v>72</v>
      </c>
      <c r="R123" s="130">
        <v>68</v>
      </c>
      <c r="S123" s="130">
        <v>65.5</v>
      </c>
      <c r="T123" s="130">
        <v>70.8</v>
      </c>
      <c r="U123" s="130">
        <v>95</v>
      </c>
      <c r="V123" s="130">
        <v>95</v>
      </c>
      <c r="W123" s="130">
        <v>96.8</v>
      </c>
      <c r="X123" s="130">
        <v>96.8</v>
      </c>
      <c r="Y123" s="130">
        <v>74.599999999999994</v>
      </c>
      <c r="Z123" s="130">
        <v>76.3</v>
      </c>
      <c r="AA123" s="130">
        <v>65.2</v>
      </c>
      <c r="AB123" s="130"/>
      <c r="AC123" s="130"/>
      <c r="AD123" s="130">
        <v>101</v>
      </c>
      <c r="AE123" s="130">
        <v>101</v>
      </c>
      <c r="AF123" s="130">
        <v>21</v>
      </c>
      <c r="AG123" s="128">
        <v>240</v>
      </c>
      <c r="AH123" s="48">
        <f t="shared" si="28"/>
        <v>117.9</v>
      </c>
      <c r="AI123" s="49">
        <f t="shared" si="29"/>
        <v>21</v>
      </c>
    </row>
    <row r="124" spans="1:35" x14ac:dyDescent="0.25">
      <c r="A124" s="129" t="s">
        <v>144</v>
      </c>
      <c r="B124" s="130">
        <f>-84.8-89</f>
        <v>-173.8</v>
      </c>
      <c r="C124" s="130">
        <f>-64-67.5</f>
        <v>-131.5</v>
      </c>
      <c r="D124" s="130">
        <f>-62.1-65.2</f>
        <v>-127.30000000000001</v>
      </c>
      <c r="E124" s="130">
        <f>-72-76</f>
        <v>-148</v>
      </c>
      <c r="F124" s="130">
        <f>-57-60</f>
        <v>-117</v>
      </c>
      <c r="G124" s="130">
        <f>-50-53.8</f>
        <v>-103.8</v>
      </c>
      <c r="H124" s="130">
        <f>-73.8-77.34</f>
        <v>-151.13999999999999</v>
      </c>
      <c r="I124" s="130">
        <f>-55-58</f>
        <v>-113</v>
      </c>
      <c r="J124" s="130">
        <f>-56-61</f>
        <v>-117</v>
      </c>
      <c r="K124" s="130">
        <f>-44-52.2</f>
        <v>-96.2</v>
      </c>
      <c r="L124" s="130">
        <f>-52-58</f>
        <v>-110</v>
      </c>
      <c r="M124" s="130">
        <v>-100</v>
      </c>
      <c r="N124" s="130">
        <v>-105</v>
      </c>
      <c r="O124" s="130">
        <v>-136</v>
      </c>
      <c r="P124" s="130">
        <v>-99</v>
      </c>
      <c r="Q124" s="130">
        <v>100</v>
      </c>
      <c r="R124" s="130">
        <v>-94</v>
      </c>
      <c r="S124" s="130">
        <v>-116.1</v>
      </c>
      <c r="T124" s="130">
        <v>-112</v>
      </c>
      <c r="U124" s="130">
        <v>-130</v>
      </c>
      <c r="V124" s="130">
        <v>-130</v>
      </c>
      <c r="W124" s="130">
        <v>-138</v>
      </c>
      <c r="X124" s="130">
        <v>-138</v>
      </c>
      <c r="Y124" s="130">
        <v>-116</v>
      </c>
      <c r="Z124" s="130">
        <v>-105</v>
      </c>
      <c r="AA124" s="130">
        <v>-108</v>
      </c>
      <c r="AB124" s="130"/>
      <c r="AC124" s="130"/>
      <c r="AD124" s="130">
        <v>-185</v>
      </c>
      <c r="AE124" s="130">
        <v>-185</v>
      </c>
      <c r="AF124" s="130">
        <v>-190</v>
      </c>
      <c r="AG124" s="128">
        <v>240</v>
      </c>
      <c r="AH124" s="48">
        <f t="shared" si="28"/>
        <v>100</v>
      </c>
      <c r="AI124" s="49">
        <f t="shared" si="29"/>
        <v>-190</v>
      </c>
    </row>
    <row r="125" spans="1:35" ht="15.75" thickBot="1" x14ac:dyDescent="0.3">
      <c r="A125" s="129" t="s">
        <v>145</v>
      </c>
      <c r="B125" s="130">
        <v>-24</v>
      </c>
      <c r="C125" s="130">
        <v>-15</v>
      </c>
      <c r="D125" s="130">
        <v>-9.9</v>
      </c>
      <c r="E125" s="130">
        <v>-15.8</v>
      </c>
      <c r="F125" s="130">
        <v>-14.2</v>
      </c>
      <c r="G125" s="130">
        <v>-12.8</v>
      </c>
      <c r="H125" s="130">
        <v>-20.3</v>
      </c>
      <c r="I125" s="130">
        <v>-6</v>
      </c>
      <c r="J125" s="130">
        <v>-5</v>
      </c>
      <c r="K125" s="130">
        <v>11.2</v>
      </c>
      <c r="L125" s="130">
        <v>10.5</v>
      </c>
      <c r="M125" s="130">
        <v>11.9</v>
      </c>
      <c r="N125" s="130">
        <v>11.1</v>
      </c>
      <c r="O125" s="130">
        <v>7.1</v>
      </c>
      <c r="P125" s="130">
        <v>10</v>
      </c>
      <c r="Q125" s="130">
        <v>5</v>
      </c>
      <c r="R125" s="130">
        <v>8</v>
      </c>
      <c r="S125" s="130">
        <v>12.8</v>
      </c>
      <c r="T125" s="130">
        <v>15.8</v>
      </c>
      <c r="U125" s="130">
        <v>3.5</v>
      </c>
      <c r="V125" s="130">
        <v>3.5</v>
      </c>
      <c r="W125" s="130">
        <v>-10.5</v>
      </c>
      <c r="X125" s="130">
        <v>-10.5</v>
      </c>
      <c r="Y125" s="130">
        <v>0.8</v>
      </c>
      <c r="Z125" s="130">
        <v>3</v>
      </c>
      <c r="AA125" s="130">
        <v>12.2</v>
      </c>
      <c r="AB125" s="130"/>
      <c r="AC125" s="130"/>
      <c r="AD125" s="130">
        <v>28</v>
      </c>
      <c r="AE125" s="130">
        <v>28</v>
      </c>
      <c r="AF125" s="130">
        <v>18.5</v>
      </c>
      <c r="AG125" s="128">
        <v>60</v>
      </c>
      <c r="AH125" s="48">
        <f t="shared" si="28"/>
        <v>28</v>
      </c>
      <c r="AI125" s="49">
        <f t="shared" si="29"/>
        <v>-24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8"/>
        <v>0</v>
      </c>
      <c r="AI126" s="49">
        <f t="shared" si="29"/>
        <v>0</v>
      </c>
    </row>
    <row r="127" spans="1:35" x14ac:dyDescent="0.25">
      <c r="A127" s="129" t="s">
        <v>147</v>
      </c>
      <c r="B127" s="131">
        <v>77.400000000000006</v>
      </c>
      <c r="C127" s="131">
        <v>29.1</v>
      </c>
      <c r="D127" s="131">
        <v>18.5</v>
      </c>
      <c r="E127" s="131">
        <v>29.3</v>
      </c>
      <c r="F127" s="131">
        <v>40.9</v>
      </c>
      <c r="G127" s="131">
        <v>51.3</v>
      </c>
      <c r="H127" s="131">
        <v>95</v>
      </c>
      <c r="I127" s="131">
        <v>102.4</v>
      </c>
      <c r="J127" s="131">
        <v>111.7</v>
      </c>
      <c r="K127" s="131">
        <v>102</v>
      </c>
      <c r="L127" s="131">
        <v>96.2</v>
      </c>
      <c r="M127" s="131">
        <v>107</v>
      </c>
      <c r="N127" s="131">
        <v>106</v>
      </c>
      <c r="O127" s="131">
        <v>103.3</v>
      </c>
      <c r="P127" s="131">
        <v>124</v>
      </c>
      <c r="Q127" s="131">
        <v>123</v>
      </c>
      <c r="R127" s="131">
        <v>122.6</v>
      </c>
      <c r="S127" s="131">
        <v>117.3</v>
      </c>
      <c r="T127" s="131">
        <v>118.4</v>
      </c>
      <c r="U127" s="131">
        <v>109.9</v>
      </c>
      <c r="V127" s="131">
        <v>109.9</v>
      </c>
      <c r="W127" s="131">
        <v>104.9</v>
      </c>
      <c r="X127" s="131">
        <v>104.9</v>
      </c>
      <c r="Y127" s="131">
        <v>115.5</v>
      </c>
      <c r="Z127" s="131">
        <v>121.3</v>
      </c>
      <c r="AA127" s="131">
        <v>124.4</v>
      </c>
      <c r="AB127" s="131"/>
      <c r="AC127" s="131"/>
      <c r="AD127" s="131">
        <v>98</v>
      </c>
      <c r="AE127" s="131">
        <v>98</v>
      </c>
      <c r="AF127" s="131">
        <v>90</v>
      </c>
      <c r="AG127" s="132"/>
      <c r="AH127" s="48"/>
      <c r="AI127" s="49"/>
    </row>
    <row r="128" spans="1:35" x14ac:dyDescent="0.25">
      <c r="A128" s="129" t="s">
        <v>148</v>
      </c>
      <c r="B128" s="131">
        <v>33.9</v>
      </c>
      <c r="C128" s="131">
        <v>-18</v>
      </c>
      <c r="D128" s="131">
        <v>-20.7</v>
      </c>
      <c r="E128" s="131">
        <v>-14.9</v>
      </c>
      <c r="F128" s="131">
        <v>-14.8</v>
      </c>
      <c r="G128" s="131">
        <v>-16.2</v>
      </c>
      <c r="H128" s="131">
        <v>55</v>
      </c>
      <c r="I128" s="131">
        <v>56.6</v>
      </c>
      <c r="J128" s="131">
        <v>65</v>
      </c>
      <c r="K128" s="131">
        <v>30</v>
      </c>
      <c r="L128" s="131">
        <v>22.2</v>
      </c>
      <c r="M128" s="131">
        <v>46</v>
      </c>
      <c r="N128" s="131">
        <v>53</v>
      </c>
      <c r="O128" s="131">
        <v>28.4</v>
      </c>
      <c r="P128" s="131">
        <v>55.9</v>
      </c>
      <c r="Q128" s="131">
        <v>61</v>
      </c>
      <c r="R128" s="131">
        <v>58</v>
      </c>
      <c r="S128" s="131">
        <v>62.2</v>
      </c>
      <c r="T128" s="131">
        <v>46.1</v>
      </c>
      <c r="U128" s="131">
        <v>31.9</v>
      </c>
      <c r="V128" s="131">
        <v>31.9</v>
      </c>
      <c r="W128" s="131">
        <v>17.8</v>
      </c>
      <c r="X128" s="131">
        <v>17.8</v>
      </c>
      <c r="Y128" s="131">
        <v>27.5</v>
      </c>
      <c r="Z128" s="131">
        <v>20.5</v>
      </c>
      <c r="AA128" s="131">
        <v>15</v>
      </c>
      <c r="AB128" s="131"/>
      <c r="AC128" s="131"/>
      <c r="AD128" s="131">
        <v>23</v>
      </c>
      <c r="AE128" s="131">
        <v>23</v>
      </c>
      <c r="AF128" s="131">
        <v>80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58.5</v>
      </c>
      <c r="C129" s="131">
        <v>84</v>
      </c>
      <c r="D129" s="131">
        <v>83.4</v>
      </c>
      <c r="E129" s="131">
        <v>69</v>
      </c>
      <c r="F129" s="131">
        <v>91</v>
      </c>
      <c r="G129" s="131">
        <v>87.4</v>
      </c>
      <c r="H129" s="131">
        <v>55</v>
      </c>
      <c r="I129" s="131">
        <v>71</v>
      </c>
      <c r="J129" s="131">
        <v>76</v>
      </c>
      <c r="K129" s="131">
        <v>85</v>
      </c>
      <c r="L129" s="131">
        <v>71.3</v>
      </c>
      <c r="M129" s="131">
        <v>82</v>
      </c>
      <c r="N129" s="131">
        <v>83.6</v>
      </c>
      <c r="O129" s="131">
        <v>72</v>
      </c>
      <c r="P129" s="131">
        <v>88</v>
      </c>
      <c r="Q129" s="131">
        <v>89</v>
      </c>
      <c r="R129" s="131">
        <v>84</v>
      </c>
      <c r="S129" s="131">
        <v>79.400000000000006</v>
      </c>
      <c r="T129" s="131">
        <v>75.400000000000006</v>
      </c>
      <c r="U129" s="131">
        <v>64.5</v>
      </c>
      <c r="V129" s="131">
        <v>64.5</v>
      </c>
      <c r="W129" s="131">
        <v>57</v>
      </c>
      <c r="X129" s="131">
        <v>57</v>
      </c>
      <c r="Y129" s="131">
        <v>61</v>
      </c>
      <c r="Z129" s="131">
        <v>70.8</v>
      </c>
      <c r="AA129" s="131">
        <v>76.8</v>
      </c>
      <c r="AB129" s="131"/>
      <c r="AC129" s="131"/>
      <c r="AD129" s="131">
        <v>57</v>
      </c>
      <c r="AE129" s="131">
        <v>57</v>
      </c>
      <c r="AF129" s="131">
        <v>56</v>
      </c>
      <c r="AG129" s="128"/>
      <c r="AH129" s="48">
        <f>MAX(B129:AF129)</f>
        <v>91</v>
      </c>
      <c r="AI129" s="49">
        <f>MIN(B129:AF129)</f>
        <v>55</v>
      </c>
    </row>
    <row r="130" spans="1:37" x14ac:dyDescent="0.25">
      <c r="A130" s="126" t="s">
        <v>150</v>
      </c>
      <c r="B130" s="131">
        <v>-276</v>
      </c>
      <c r="C130" s="131">
        <v>-370.9</v>
      </c>
      <c r="D130" s="131">
        <v>-390</v>
      </c>
      <c r="E130" s="131">
        <v>-385</v>
      </c>
      <c r="F130" s="131">
        <v>-377</v>
      </c>
      <c r="G130" s="131">
        <v>-358</v>
      </c>
      <c r="H130" s="131">
        <v>-329.3</v>
      </c>
      <c r="I130" s="131">
        <v>-310</v>
      </c>
      <c r="J130" s="131">
        <v>-307</v>
      </c>
      <c r="K130" s="131">
        <v>-296.2</v>
      </c>
      <c r="L130" s="131">
        <v>-306</v>
      </c>
      <c r="M130" s="131">
        <v>-302</v>
      </c>
      <c r="N130" s="131">
        <v>-304</v>
      </c>
      <c r="O130" s="131">
        <v>-307.5</v>
      </c>
      <c r="P130" s="131">
        <v>-301</v>
      </c>
      <c r="Q130" s="131">
        <v>-302</v>
      </c>
      <c r="R130" s="131">
        <v>-297</v>
      </c>
      <c r="S130" s="131">
        <v>-303.5</v>
      </c>
      <c r="T130" s="131">
        <v>-305.39999999999998</v>
      </c>
      <c r="U130" s="131">
        <v>-313.3</v>
      </c>
      <c r="V130" s="131">
        <v>-313.3</v>
      </c>
      <c r="W130" s="131">
        <v>-322.10000000000002</v>
      </c>
      <c r="X130" s="131">
        <v>-322.10000000000002</v>
      </c>
      <c r="Y130" s="131">
        <v>-318</v>
      </c>
      <c r="Z130" s="131">
        <v>-306.7</v>
      </c>
      <c r="AA130" s="131">
        <v>-308.3</v>
      </c>
      <c r="AB130" s="131"/>
      <c r="AC130" s="131"/>
      <c r="AD130" s="131">
        <v>-318</v>
      </c>
      <c r="AE130" s="131">
        <v>-318</v>
      </c>
      <c r="AF130" s="131">
        <v>-330</v>
      </c>
      <c r="AG130" s="128"/>
      <c r="AH130" s="48">
        <f>MAX(B130:AF130)</f>
        <v>-276</v>
      </c>
      <c r="AI130" s="49">
        <f>MIN(B130:AF130)</f>
        <v>-390</v>
      </c>
    </row>
    <row r="131" spans="1:37" x14ac:dyDescent="0.25">
      <c r="A131" s="129" t="s">
        <v>151</v>
      </c>
      <c r="B131" s="119">
        <v>100</v>
      </c>
      <c r="C131" s="119">
        <v>102</v>
      </c>
      <c r="D131" s="119">
        <v>104</v>
      </c>
      <c r="E131" s="119">
        <v>104</v>
      </c>
      <c r="F131" s="119"/>
      <c r="G131" s="119"/>
      <c r="H131" s="119"/>
      <c r="I131" s="119"/>
      <c r="J131" s="119"/>
      <c r="K131" s="119"/>
      <c r="L131" s="119"/>
      <c r="M131" s="119"/>
      <c r="N131" s="119"/>
      <c r="O131" s="119">
        <v>67.400000000000006</v>
      </c>
      <c r="P131" s="119">
        <v>64</v>
      </c>
      <c r="Q131" s="119">
        <v>66</v>
      </c>
      <c r="R131" s="119"/>
      <c r="S131" s="119"/>
      <c r="T131" s="119"/>
      <c r="U131" s="119">
        <v>64.5</v>
      </c>
      <c r="V131" s="119">
        <v>64.5</v>
      </c>
      <c r="W131" s="119">
        <v>56</v>
      </c>
      <c r="X131" s="119">
        <v>56</v>
      </c>
      <c r="Y131" s="119">
        <v>49.4</v>
      </c>
      <c r="Z131" s="119">
        <v>48.6</v>
      </c>
      <c r="AA131" s="119">
        <v>51.7</v>
      </c>
      <c r="AB131" s="119"/>
      <c r="AC131" s="119"/>
      <c r="AD131" s="119">
        <v>70</v>
      </c>
      <c r="AE131" s="119">
        <v>80</v>
      </c>
      <c r="AF131" s="119">
        <v>90</v>
      </c>
      <c r="AG131" s="128"/>
      <c r="AH131" s="48">
        <f>MAX(B131:AF131)</f>
        <v>104</v>
      </c>
      <c r="AI131" s="49">
        <f>MIN(B131:AF131)</f>
        <v>48.6</v>
      </c>
    </row>
    <row r="132" spans="1:37" x14ac:dyDescent="0.25">
      <c r="A132" s="129" t="s">
        <v>152</v>
      </c>
      <c r="B132" s="119">
        <v>-45.5</v>
      </c>
      <c r="C132" s="119">
        <v>-49</v>
      </c>
      <c r="D132" s="119">
        <v>-53</v>
      </c>
      <c r="E132" s="119">
        <v>-50</v>
      </c>
      <c r="F132" s="119">
        <v>71.3</v>
      </c>
      <c r="G132" s="119">
        <v>-78</v>
      </c>
      <c r="H132" s="119">
        <v>-66.400000000000006</v>
      </c>
      <c r="I132" s="119">
        <v>54.9</v>
      </c>
      <c r="J132" s="119">
        <v>3.1</v>
      </c>
      <c r="K132" s="119">
        <v>-50.8</v>
      </c>
      <c r="L132" s="119">
        <v>-34.200000000000003</v>
      </c>
      <c r="M132" s="119">
        <v>-13</v>
      </c>
      <c r="N132" s="119">
        <v>-304</v>
      </c>
      <c r="O132" s="119">
        <v>-7.9</v>
      </c>
      <c r="P132" s="119">
        <v>-27</v>
      </c>
      <c r="Q132" s="119">
        <v>-302</v>
      </c>
      <c r="R132" s="119">
        <v>-39</v>
      </c>
      <c r="S132" s="119">
        <v>-2.5</v>
      </c>
      <c r="T132" s="119">
        <v>0.7</v>
      </c>
      <c r="U132" s="119">
        <v>-24.5</v>
      </c>
      <c r="V132" s="119">
        <v>-24.5</v>
      </c>
      <c r="W132" s="119">
        <v>-20.3</v>
      </c>
      <c r="X132" s="119">
        <v>-20.3</v>
      </c>
      <c r="Y132" s="119">
        <v>17</v>
      </c>
      <c r="Z132" s="119">
        <v>22.7</v>
      </c>
      <c r="AA132" s="119">
        <v>19.399999999999999</v>
      </c>
      <c r="AB132" s="119"/>
      <c r="AC132" s="119"/>
      <c r="AD132" s="119">
        <v>7</v>
      </c>
      <c r="AE132" s="119">
        <v>7</v>
      </c>
      <c r="AF132" s="119">
        <v>-21</v>
      </c>
      <c r="AG132" s="128"/>
      <c r="AH132" s="48">
        <f>MAX(B132:AF132)</f>
        <v>71.3</v>
      </c>
      <c r="AI132" s="49">
        <f>MIN(B132:AF132)</f>
        <v>-304</v>
      </c>
    </row>
    <row r="133" spans="1:37" ht="15.75" thickBot="1" x14ac:dyDescent="0.3">
      <c r="A133" s="129" t="s">
        <v>153</v>
      </c>
      <c r="B133" s="119">
        <v>-31.4</v>
      </c>
      <c r="C133" s="119">
        <v>-38.5</v>
      </c>
      <c r="D133" s="119">
        <v>-43.9</v>
      </c>
      <c r="E133" s="119">
        <v>-39</v>
      </c>
      <c r="F133" s="119">
        <v>36.9</v>
      </c>
      <c r="G133" s="119">
        <v>-30.2</v>
      </c>
      <c r="H133" s="119">
        <v>35.299999999999997</v>
      </c>
      <c r="I133" s="119">
        <v>9.6999999999999993</v>
      </c>
      <c r="J133" s="119">
        <v>39.6</v>
      </c>
      <c r="K133" s="119">
        <v>-5.8</v>
      </c>
      <c r="L133" s="119">
        <v>17.899999999999999</v>
      </c>
      <c r="M133" s="119">
        <v>34</v>
      </c>
      <c r="N133" s="119">
        <v>35</v>
      </c>
      <c r="O133" s="119">
        <v>41.9</v>
      </c>
      <c r="P133" s="119">
        <v>19</v>
      </c>
      <c r="Q133" s="119">
        <v>2.9</v>
      </c>
      <c r="R133" s="119">
        <v>12.3</v>
      </c>
      <c r="S133" s="119">
        <v>44.6</v>
      </c>
      <c r="T133" s="119">
        <v>55.9</v>
      </c>
      <c r="U133" s="119">
        <v>13.6</v>
      </c>
      <c r="V133" s="119">
        <v>13.6</v>
      </c>
      <c r="W133" s="119">
        <v>17.899999999999999</v>
      </c>
      <c r="X133" s="119">
        <v>17.899999999999999</v>
      </c>
      <c r="Y133" s="119">
        <v>48.1</v>
      </c>
      <c r="Z133" s="119">
        <v>53.5</v>
      </c>
      <c r="AA133" s="119">
        <v>49</v>
      </c>
      <c r="AB133" s="119"/>
      <c r="AC133" s="119"/>
      <c r="AD133" s="119">
        <v>33</v>
      </c>
      <c r="AE133" s="119">
        <v>33</v>
      </c>
      <c r="AF133" s="119">
        <v>10</v>
      </c>
      <c r="AG133" s="128"/>
      <c r="AH133" s="48">
        <f>MAX(B133:AF133)</f>
        <v>55.9</v>
      </c>
      <c r="AI133" s="49">
        <f>MIN(B133:AF133)</f>
        <v>-43.9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>
        <v>1985.78</v>
      </c>
      <c r="AD135" s="137">
        <v>1985.79</v>
      </c>
      <c r="AE135" s="137"/>
      <c r="AF135" s="138">
        <v>1985.96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>
        <v>885.3</v>
      </c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>
        <v>1485.21</v>
      </c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5">SUM(B142:B246)</f>
        <v>0</v>
      </c>
      <c r="C247" s="161">
        <f t="shared" si="45"/>
        <v>0</v>
      </c>
      <c r="D247" s="161">
        <f t="shared" si="45"/>
        <v>0</v>
      </c>
      <c r="E247" s="161">
        <f t="shared" si="45"/>
        <v>0</v>
      </c>
      <c r="F247" s="161">
        <f t="shared" si="45"/>
        <v>0</v>
      </c>
      <c r="G247" s="161">
        <f t="shared" si="45"/>
        <v>0</v>
      </c>
      <c r="H247" s="161">
        <f t="shared" si="45"/>
        <v>0</v>
      </c>
      <c r="I247" s="161">
        <f t="shared" si="45"/>
        <v>0</v>
      </c>
      <c r="J247" s="161">
        <f t="shared" si="45"/>
        <v>0</v>
      </c>
      <c r="K247" s="161">
        <f t="shared" si="45"/>
        <v>0</v>
      </c>
      <c r="L247" s="161">
        <f t="shared" si="45"/>
        <v>0</v>
      </c>
      <c r="M247" s="161">
        <f t="shared" si="45"/>
        <v>0</v>
      </c>
      <c r="N247" s="161">
        <f t="shared" si="45"/>
        <v>0</v>
      </c>
      <c r="O247" s="161">
        <f t="shared" si="45"/>
        <v>0</v>
      </c>
      <c r="P247" s="161">
        <f t="shared" si="45"/>
        <v>0</v>
      </c>
      <c r="Q247" s="161">
        <f t="shared" si="45"/>
        <v>0</v>
      </c>
      <c r="R247" s="161">
        <f t="shared" si="45"/>
        <v>0</v>
      </c>
      <c r="S247" s="161">
        <f t="shared" si="45"/>
        <v>0</v>
      </c>
      <c r="T247" s="161">
        <f t="shared" si="45"/>
        <v>0</v>
      </c>
      <c r="U247" s="161">
        <f t="shared" si="45"/>
        <v>0</v>
      </c>
      <c r="V247" s="161">
        <f t="shared" si="45"/>
        <v>0</v>
      </c>
      <c r="W247" s="161">
        <f t="shared" si="45"/>
        <v>0</v>
      </c>
      <c r="X247" s="161">
        <f t="shared" si="45"/>
        <v>0</v>
      </c>
      <c r="Y247" s="161">
        <f t="shared" si="45"/>
        <v>0</v>
      </c>
      <c r="Z247" s="161">
        <f t="shared" si="45"/>
        <v>0</v>
      </c>
      <c r="AA247" s="161">
        <f t="shared" si="45"/>
        <v>0</v>
      </c>
      <c r="AB247" s="161">
        <f t="shared" si="45"/>
        <v>0</v>
      </c>
      <c r="AC247" s="161">
        <f t="shared" si="45"/>
        <v>0</v>
      </c>
      <c r="AD247" s="161">
        <f t="shared" si="45"/>
        <v>0</v>
      </c>
      <c r="AE247" s="161">
        <f t="shared" si="45"/>
        <v>0</v>
      </c>
      <c r="AF247" s="162">
        <f t="shared" si="45"/>
        <v>0</v>
      </c>
      <c r="AG247" s="163">
        <f t="shared" si="45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6">AF249</f>
        <v>0.3</v>
      </c>
      <c r="C249" s="166">
        <v>0.3</v>
      </c>
      <c r="D249" s="166">
        <f t="shared" ref="D249:S254" si="47">C249</f>
        <v>0.3</v>
      </c>
      <c r="E249" s="166">
        <f t="shared" si="47"/>
        <v>0.3</v>
      </c>
      <c r="F249" s="166">
        <f t="shared" si="47"/>
        <v>0.3</v>
      </c>
      <c r="G249" s="166">
        <f t="shared" si="47"/>
        <v>0.3</v>
      </c>
      <c r="H249" s="166">
        <f t="shared" si="47"/>
        <v>0.3</v>
      </c>
      <c r="I249" s="166">
        <f t="shared" si="47"/>
        <v>0.3</v>
      </c>
      <c r="J249" s="166">
        <f t="shared" si="47"/>
        <v>0.3</v>
      </c>
      <c r="K249" s="166">
        <f t="shared" si="47"/>
        <v>0.3</v>
      </c>
      <c r="L249" s="166">
        <f t="shared" si="47"/>
        <v>0.3</v>
      </c>
      <c r="M249" s="166">
        <f t="shared" si="47"/>
        <v>0.3</v>
      </c>
      <c r="N249" s="166">
        <f t="shared" si="47"/>
        <v>0.3</v>
      </c>
      <c r="O249" s="166">
        <f t="shared" si="47"/>
        <v>0.3</v>
      </c>
      <c r="P249" s="166">
        <f t="shared" si="47"/>
        <v>0.3</v>
      </c>
      <c r="Q249" s="166">
        <f t="shared" si="47"/>
        <v>0.3</v>
      </c>
      <c r="R249" s="166">
        <f t="shared" si="47"/>
        <v>0.3</v>
      </c>
      <c r="S249" s="166">
        <f t="shared" si="47"/>
        <v>0.3</v>
      </c>
      <c r="T249" s="166">
        <f t="shared" ref="T249:AF254" si="48">S249</f>
        <v>0.3</v>
      </c>
      <c r="U249" s="166">
        <f t="shared" si="48"/>
        <v>0.3</v>
      </c>
      <c r="V249" s="166">
        <f t="shared" si="48"/>
        <v>0.3</v>
      </c>
      <c r="W249" s="166">
        <f t="shared" si="48"/>
        <v>0.3</v>
      </c>
      <c r="X249" s="166">
        <f t="shared" si="48"/>
        <v>0.3</v>
      </c>
      <c r="Y249" s="166">
        <f t="shared" si="48"/>
        <v>0.3</v>
      </c>
      <c r="Z249" s="166">
        <f t="shared" si="48"/>
        <v>0.3</v>
      </c>
      <c r="AA249" s="166">
        <f t="shared" si="48"/>
        <v>0.3</v>
      </c>
      <c r="AB249" s="166">
        <f t="shared" si="48"/>
        <v>0.3</v>
      </c>
      <c r="AC249" s="166">
        <f t="shared" si="48"/>
        <v>0.3</v>
      </c>
      <c r="AD249" s="166">
        <f t="shared" si="48"/>
        <v>0.3</v>
      </c>
      <c r="AE249" s="166">
        <f t="shared" si="48"/>
        <v>0.3</v>
      </c>
      <c r="AF249" s="166">
        <f t="shared" si="48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6"/>
        <v>0.4</v>
      </c>
      <c r="C250" s="152">
        <v>0.4</v>
      </c>
      <c r="D250" s="152">
        <f t="shared" si="47"/>
        <v>0.4</v>
      </c>
      <c r="E250" s="152">
        <f t="shared" si="47"/>
        <v>0.4</v>
      </c>
      <c r="F250" s="152">
        <f t="shared" si="47"/>
        <v>0.4</v>
      </c>
      <c r="G250" s="152">
        <f t="shared" si="47"/>
        <v>0.4</v>
      </c>
      <c r="H250" s="152">
        <f t="shared" si="47"/>
        <v>0.4</v>
      </c>
      <c r="I250" s="152">
        <f t="shared" si="47"/>
        <v>0.4</v>
      </c>
      <c r="J250" s="152">
        <f t="shared" si="47"/>
        <v>0.4</v>
      </c>
      <c r="K250" s="152">
        <f t="shared" si="47"/>
        <v>0.4</v>
      </c>
      <c r="L250" s="152">
        <f t="shared" si="47"/>
        <v>0.4</v>
      </c>
      <c r="M250" s="152">
        <f t="shared" si="47"/>
        <v>0.4</v>
      </c>
      <c r="N250" s="152">
        <f t="shared" si="47"/>
        <v>0.4</v>
      </c>
      <c r="O250" s="152">
        <f t="shared" si="47"/>
        <v>0.4</v>
      </c>
      <c r="P250" s="152">
        <f t="shared" si="47"/>
        <v>0.4</v>
      </c>
      <c r="Q250" s="152">
        <f t="shared" si="47"/>
        <v>0.4</v>
      </c>
      <c r="R250" s="152">
        <f t="shared" si="47"/>
        <v>0.4</v>
      </c>
      <c r="S250" s="152">
        <f t="shared" si="47"/>
        <v>0.4</v>
      </c>
      <c r="T250" s="152">
        <f t="shared" si="48"/>
        <v>0.4</v>
      </c>
      <c r="U250" s="152">
        <f t="shared" si="48"/>
        <v>0.4</v>
      </c>
      <c r="V250" s="152">
        <f t="shared" si="48"/>
        <v>0.4</v>
      </c>
      <c r="W250" s="152">
        <f t="shared" si="48"/>
        <v>0.4</v>
      </c>
      <c r="X250" s="152">
        <f t="shared" si="48"/>
        <v>0.4</v>
      </c>
      <c r="Y250" s="152">
        <f t="shared" si="48"/>
        <v>0.4</v>
      </c>
      <c r="Z250" s="152">
        <f t="shared" si="48"/>
        <v>0.4</v>
      </c>
      <c r="AA250" s="152">
        <f t="shared" si="48"/>
        <v>0.4</v>
      </c>
      <c r="AB250" s="152">
        <f t="shared" si="48"/>
        <v>0.4</v>
      </c>
      <c r="AC250" s="152">
        <f t="shared" si="48"/>
        <v>0.4</v>
      </c>
      <c r="AD250" s="152">
        <f t="shared" si="48"/>
        <v>0.4</v>
      </c>
      <c r="AE250" s="152">
        <f t="shared" si="48"/>
        <v>0.4</v>
      </c>
      <c r="AF250" s="152">
        <f t="shared" si="48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6"/>
        <v>1.5</v>
      </c>
      <c r="C251" s="152">
        <v>1.5</v>
      </c>
      <c r="D251" s="152">
        <f t="shared" si="47"/>
        <v>1.5</v>
      </c>
      <c r="E251" s="152">
        <f t="shared" si="47"/>
        <v>1.5</v>
      </c>
      <c r="F251" s="152">
        <f t="shared" si="47"/>
        <v>1.5</v>
      </c>
      <c r="G251" s="152">
        <f t="shared" si="47"/>
        <v>1.5</v>
      </c>
      <c r="H251" s="152">
        <f t="shared" si="47"/>
        <v>1.5</v>
      </c>
      <c r="I251" s="152">
        <f t="shared" si="47"/>
        <v>1.5</v>
      </c>
      <c r="J251" s="152">
        <f t="shared" si="47"/>
        <v>1.5</v>
      </c>
      <c r="K251" s="152">
        <f t="shared" si="47"/>
        <v>1.5</v>
      </c>
      <c r="L251" s="152">
        <f t="shared" si="47"/>
        <v>1.5</v>
      </c>
      <c r="M251" s="152">
        <f t="shared" si="47"/>
        <v>1.5</v>
      </c>
      <c r="N251" s="152">
        <f t="shared" si="47"/>
        <v>1.5</v>
      </c>
      <c r="O251" s="152">
        <f t="shared" si="47"/>
        <v>1.5</v>
      </c>
      <c r="P251" s="152">
        <f t="shared" si="47"/>
        <v>1.5</v>
      </c>
      <c r="Q251" s="152">
        <f t="shared" si="47"/>
        <v>1.5</v>
      </c>
      <c r="R251" s="152">
        <f t="shared" si="47"/>
        <v>1.5</v>
      </c>
      <c r="S251" s="152">
        <f t="shared" si="47"/>
        <v>1.5</v>
      </c>
      <c r="T251" s="152">
        <f t="shared" si="48"/>
        <v>1.5</v>
      </c>
      <c r="U251" s="152">
        <f t="shared" si="48"/>
        <v>1.5</v>
      </c>
      <c r="V251" s="152">
        <f t="shared" si="48"/>
        <v>1.5</v>
      </c>
      <c r="W251" s="152">
        <f t="shared" si="48"/>
        <v>1.5</v>
      </c>
      <c r="X251" s="152">
        <f t="shared" si="48"/>
        <v>1.5</v>
      </c>
      <c r="Y251" s="152">
        <f t="shared" si="48"/>
        <v>1.5</v>
      </c>
      <c r="Z251" s="152">
        <f t="shared" si="48"/>
        <v>1.5</v>
      </c>
      <c r="AA251" s="152">
        <f t="shared" si="48"/>
        <v>1.5</v>
      </c>
      <c r="AB251" s="152">
        <f t="shared" si="48"/>
        <v>1.5</v>
      </c>
      <c r="AC251" s="152">
        <f t="shared" si="48"/>
        <v>1.5</v>
      </c>
      <c r="AD251" s="152">
        <f t="shared" si="48"/>
        <v>1.5</v>
      </c>
      <c r="AE251" s="152">
        <f t="shared" si="48"/>
        <v>1.5</v>
      </c>
      <c r="AF251" s="152">
        <f t="shared" si="48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6"/>
        <v>0.3</v>
      </c>
      <c r="C252" s="152">
        <v>0.3</v>
      </c>
      <c r="D252" s="152">
        <f t="shared" si="47"/>
        <v>0.3</v>
      </c>
      <c r="E252" s="152">
        <f t="shared" si="47"/>
        <v>0.3</v>
      </c>
      <c r="F252" s="152">
        <f t="shared" si="47"/>
        <v>0.3</v>
      </c>
      <c r="G252" s="152">
        <f t="shared" si="47"/>
        <v>0.3</v>
      </c>
      <c r="H252" s="152">
        <f t="shared" si="47"/>
        <v>0.3</v>
      </c>
      <c r="I252" s="152">
        <f t="shared" si="47"/>
        <v>0.3</v>
      </c>
      <c r="J252" s="152">
        <f t="shared" si="47"/>
        <v>0.3</v>
      </c>
      <c r="K252" s="152">
        <f t="shared" si="47"/>
        <v>0.3</v>
      </c>
      <c r="L252" s="152">
        <f t="shared" si="47"/>
        <v>0.3</v>
      </c>
      <c r="M252" s="152">
        <f t="shared" si="47"/>
        <v>0.3</v>
      </c>
      <c r="N252" s="152">
        <f t="shared" si="47"/>
        <v>0.3</v>
      </c>
      <c r="O252" s="152">
        <f t="shared" si="47"/>
        <v>0.3</v>
      </c>
      <c r="P252" s="152">
        <f t="shared" si="47"/>
        <v>0.3</v>
      </c>
      <c r="Q252" s="152">
        <f t="shared" si="47"/>
        <v>0.3</v>
      </c>
      <c r="R252" s="152">
        <f t="shared" si="47"/>
        <v>0.3</v>
      </c>
      <c r="S252" s="152">
        <f t="shared" si="47"/>
        <v>0.3</v>
      </c>
      <c r="T252" s="152">
        <f t="shared" si="48"/>
        <v>0.3</v>
      </c>
      <c r="U252" s="152">
        <f t="shared" si="48"/>
        <v>0.3</v>
      </c>
      <c r="V252" s="152">
        <f t="shared" si="48"/>
        <v>0.3</v>
      </c>
      <c r="W252" s="152">
        <f t="shared" si="48"/>
        <v>0.3</v>
      </c>
      <c r="X252" s="152">
        <f t="shared" si="48"/>
        <v>0.3</v>
      </c>
      <c r="Y252" s="152">
        <f t="shared" si="48"/>
        <v>0.3</v>
      </c>
      <c r="Z252" s="152">
        <f t="shared" si="48"/>
        <v>0.3</v>
      </c>
      <c r="AA252" s="152">
        <f t="shared" si="48"/>
        <v>0.3</v>
      </c>
      <c r="AB252" s="152">
        <f t="shared" si="48"/>
        <v>0.3</v>
      </c>
      <c r="AC252" s="152">
        <f t="shared" si="48"/>
        <v>0.3</v>
      </c>
      <c r="AD252" s="152">
        <f t="shared" si="48"/>
        <v>0.3</v>
      </c>
      <c r="AE252" s="152">
        <f t="shared" si="48"/>
        <v>0.3</v>
      </c>
      <c r="AF252" s="152">
        <f t="shared" si="48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6"/>
        <v>0.4</v>
      </c>
      <c r="C253" s="152">
        <v>0.4</v>
      </c>
      <c r="D253" s="152">
        <f t="shared" si="47"/>
        <v>0.4</v>
      </c>
      <c r="E253" s="152">
        <f t="shared" si="47"/>
        <v>0.4</v>
      </c>
      <c r="F253" s="152">
        <f t="shared" si="47"/>
        <v>0.4</v>
      </c>
      <c r="G253" s="152">
        <f t="shared" si="47"/>
        <v>0.4</v>
      </c>
      <c r="H253" s="152">
        <f t="shared" si="47"/>
        <v>0.4</v>
      </c>
      <c r="I253" s="152">
        <f t="shared" si="47"/>
        <v>0.4</v>
      </c>
      <c r="J253" s="152">
        <f t="shared" si="47"/>
        <v>0.4</v>
      </c>
      <c r="K253" s="152">
        <f t="shared" si="47"/>
        <v>0.4</v>
      </c>
      <c r="L253" s="152">
        <f t="shared" si="47"/>
        <v>0.4</v>
      </c>
      <c r="M253" s="152">
        <f t="shared" si="47"/>
        <v>0.4</v>
      </c>
      <c r="N253" s="152">
        <f t="shared" si="47"/>
        <v>0.4</v>
      </c>
      <c r="O253" s="152">
        <f t="shared" si="47"/>
        <v>0.4</v>
      </c>
      <c r="P253" s="152">
        <f t="shared" si="47"/>
        <v>0.4</v>
      </c>
      <c r="Q253" s="152">
        <f t="shared" si="47"/>
        <v>0.4</v>
      </c>
      <c r="R253" s="152">
        <f t="shared" si="47"/>
        <v>0.4</v>
      </c>
      <c r="S253" s="152">
        <f t="shared" si="47"/>
        <v>0.4</v>
      </c>
      <c r="T253" s="152">
        <f t="shared" si="48"/>
        <v>0.4</v>
      </c>
      <c r="U253" s="152">
        <f t="shared" si="48"/>
        <v>0.4</v>
      </c>
      <c r="V253" s="152">
        <f t="shared" si="48"/>
        <v>0.4</v>
      </c>
      <c r="W253" s="152">
        <f t="shared" si="48"/>
        <v>0.4</v>
      </c>
      <c r="X253" s="152">
        <f t="shared" si="48"/>
        <v>0.4</v>
      </c>
      <c r="Y253" s="152">
        <f t="shared" si="48"/>
        <v>0.4</v>
      </c>
      <c r="Z253" s="152">
        <f t="shared" si="48"/>
        <v>0.4</v>
      </c>
      <c r="AA253" s="152">
        <f t="shared" si="48"/>
        <v>0.4</v>
      </c>
      <c r="AB253" s="152">
        <f t="shared" si="48"/>
        <v>0.4</v>
      </c>
      <c r="AC253" s="152">
        <f t="shared" si="48"/>
        <v>0.4</v>
      </c>
      <c r="AD253" s="152">
        <f t="shared" si="48"/>
        <v>0.4</v>
      </c>
      <c r="AE253" s="152">
        <f t="shared" si="48"/>
        <v>0.4</v>
      </c>
      <c r="AF253" s="152">
        <f t="shared" si="48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6"/>
        <v>0.64</v>
      </c>
      <c r="C254" s="157">
        <v>0.64</v>
      </c>
      <c r="D254" s="157">
        <f t="shared" si="47"/>
        <v>0.64</v>
      </c>
      <c r="E254" s="157">
        <f t="shared" si="47"/>
        <v>0.64</v>
      </c>
      <c r="F254" s="157">
        <f t="shared" si="47"/>
        <v>0.64</v>
      </c>
      <c r="G254" s="157">
        <f t="shared" si="47"/>
        <v>0.64</v>
      </c>
      <c r="H254" s="157">
        <f t="shared" si="47"/>
        <v>0.64</v>
      </c>
      <c r="I254" s="157">
        <f t="shared" si="47"/>
        <v>0.64</v>
      </c>
      <c r="J254" s="157">
        <f t="shared" si="47"/>
        <v>0.64</v>
      </c>
      <c r="K254" s="157">
        <f t="shared" si="47"/>
        <v>0.64</v>
      </c>
      <c r="L254" s="157">
        <f t="shared" si="47"/>
        <v>0.64</v>
      </c>
      <c r="M254" s="157">
        <f t="shared" si="47"/>
        <v>0.64</v>
      </c>
      <c r="N254" s="157">
        <f t="shared" si="47"/>
        <v>0.64</v>
      </c>
      <c r="O254" s="157">
        <f t="shared" si="47"/>
        <v>0.64</v>
      </c>
      <c r="P254" s="157">
        <f t="shared" si="47"/>
        <v>0.64</v>
      </c>
      <c r="Q254" s="157">
        <f t="shared" si="47"/>
        <v>0.64</v>
      </c>
      <c r="R254" s="157">
        <f t="shared" si="47"/>
        <v>0.64</v>
      </c>
      <c r="S254" s="157">
        <f t="shared" si="47"/>
        <v>0.64</v>
      </c>
      <c r="T254" s="157">
        <f t="shared" si="48"/>
        <v>0.64</v>
      </c>
      <c r="U254" s="157">
        <f t="shared" si="48"/>
        <v>0.64</v>
      </c>
      <c r="V254" s="157">
        <f t="shared" si="48"/>
        <v>0.64</v>
      </c>
      <c r="W254" s="157">
        <f t="shared" si="48"/>
        <v>0.64</v>
      </c>
      <c r="X254" s="157">
        <f t="shared" si="48"/>
        <v>0.64</v>
      </c>
      <c r="Y254" s="157">
        <f t="shared" si="48"/>
        <v>0.64</v>
      </c>
      <c r="Z254" s="157">
        <f t="shared" si="48"/>
        <v>0.64</v>
      </c>
      <c r="AA254" s="157">
        <f t="shared" si="48"/>
        <v>0.64</v>
      </c>
      <c r="AB254" s="157">
        <f t="shared" si="48"/>
        <v>0.64</v>
      </c>
      <c r="AC254" s="157">
        <f t="shared" si="48"/>
        <v>0.64</v>
      </c>
      <c r="AD254" s="157">
        <f t="shared" si="48"/>
        <v>0.64</v>
      </c>
      <c r="AE254" s="157">
        <f t="shared" si="48"/>
        <v>0.64</v>
      </c>
      <c r="AF254" s="157">
        <f t="shared" si="48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9">SUM(B249:B254)</f>
        <v>3.54</v>
      </c>
      <c r="C255" s="161">
        <f t="shared" si="49"/>
        <v>3.54</v>
      </c>
      <c r="D255" s="161">
        <f t="shared" si="49"/>
        <v>3.54</v>
      </c>
      <c r="E255" s="161">
        <f t="shared" si="49"/>
        <v>3.54</v>
      </c>
      <c r="F255" s="161">
        <f t="shared" si="49"/>
        <v>3.54</v>
      </c>
      <c r="G255" s="161">
        <f t="shared" si="49"/>
        <v>3.54</v>
      </c>
      <c r="H255" s="161">
        <f t="shared" si="49"/>
        <v>3.54</v>
      </c>
      <c r="I255" s="161">
        <f t="shared" si="49"/>
        <v>3.54</v>
      </c>
      <c r="J255" s="161">
        <f t="shared" si="49"/>
        <v>3.54</v>
      </c>
      <c r="K255" s="161">
        <f t="shared" si="49"/>
        <v>3.54</v>
      </c>
      <c r="L255" s="161">
        <f t="shared" si="49"/>
        <v>3.54</v>
      </c>
      <c r="M255" s="161">
        <f t="shared" si="49"/>
        <v>3.54</v>
      </c>
      <c r="N255" s="161">
        <f t="shared" si="49"/>
        <v>3.54</v>
      </c>
      <c r="O255" s="161">
        <f t="shared" si="49"/>
        <v>3.54</v>
      </c>
      <c r="P255" s="161">
        <f t="shared" si="49"/>
        <v>3.54</v>
      </c>
      <c r="Q255" s="161">
        <f t="shared" si="49"/>
        <v>3.54</v>
      </c>
      <c r="R255" s="161">
        <f t="shared" si="49"/>
        <v>3.54</v>
      </c>
      <c r="S255" s="161">
        <f t="shared" si="49"/>
        <v>3.54</v>
      </c>
      <c r="T255" s="161">
        <f t="shared" si="49"/>
        <v>3.54</v>
      </c>
      <c r="U255" s="161">
        <f t="shared" si="49"/>
        <v>3.54</v>
      </c>
      <c r="V255" s="161">
        <f t="shared" si="49"/>
        <v>3.54</v>
      </c>
      <c r="W255" s="161">
        <f t="shared" si="49"/>
        <v>3.54</v>
      </c>
      <c r="X255" s="161">
        <f t="shared" si="49"/>
        <v>3.54</v>
      </c>
      <c r="Y255" s="161">
        <f t="shared" si="49"/>
        <v>3.54</v>
      </c>
      <c r="Z255" s="161">
        <f t="shared" si="49"/>
        <v>3.54</v>
      </c>
      <c r="AA255" s="161">
        <f t="shared" si="49"/>
        <v>3.54</v>
      </c>
      <c r="AB255" s="161">
        <f t="shared" si="49"/>
        <v>3.54</v>
      </c>
      <c r="AC255" s="161">
        <f t="shared" si="49"/>
        <v>3.54</v>
      </c>
      <c r="AD255" s="161">
        <f t="shared" si="49"/>
        <v>3.54</v>
      </c>
      <c r="AE255" s="161">
        <f t="shared" si="49"/>
        <v>3.54</v>
      </c>
      <c r="AF255" s="161">
        <f t="shared" si="49"/>
        <v>3.54</v>
      </c>
      <c r="AG255" s="171">
        <f t="shared" si="49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2042.44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2080/10/5)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3710" priority="110">
      <formula>$AH11=0</formula>
    </cfRule>
  </conditionalFormatting>
  <conditionalFormatting sqref="A89">
    <cfRule type="expression" dxfId="3709" priority="168">
      <formula>$AH94=0</formula>
    </cfRule>
  </conditionalFormatting>
  <conditionalFormatting sqref="A90:A94">
    <cfRule type="expression" dxfId="3708" priority="111">
      <formula>$AH89=0</formula>
    </cfRule>
  </conditionalFormatting>
  <conditionalFormatting sqref="B8">
    <cfRule type="expression" dxfId="3707" priority="164">
      <formula>AND(C$9&gt;=14/24,C$9&lt;20/24)</formula>
    </cfRule>
    <cfRule type="expression" dxfId="3706" priority="165">
      <formula>AND(C$9&gt;=8/24,C$9&lt;14/24)</formula>
    </cfRule>
    <cfRule type="expression" dxfId="3705" priority="166">
      <formula>C$9&lt;8/24</formula>
    </cfRule>
    <cfRule type="expression" dxfId="3704" priority="167">
      <formula>C$9&gt;=20/24</formula>
    </cfRule>
  </conditionalFormatting>
  <conditionalFormatting sqref="B11:D57 O15:AF57 E19:N57 B66:AF77 B80:AF102 B104:AF120 B122:AF140">
    <cfRule type="expression" dxfId="3703" priority="5">
      <formula>B$9&gt;=20/24</formula>
    </cfRule>
    <cfRule type="expression" dxfId="3702" priority="6">
      <formula>AND(B$9&gt;=14/24,B$9&lt;20/24)</formula>
    </cfRule>
    <cfRule type="expression" dxfId="3701" priority="7">
      <formula>AND(B$9&gt;=8/24,B$9&lt;14/24)</formula>
    </cfRule>
  </conditionalFormatting>
  <conditionalFormatting sqref="B11:D60 O15:AF57 E19:N57 B66:AF77 B80:AF102 B104:AF120 B122:AF140">
    <cfRule type="expression" dxfId="3700" priority="8">
      <formula>B$9&lt;8/24</formula>
    </cfRule>
  </conditionalFormatting>
  <conditionalFormatting sqref="B9:AF10 E11:E18 F12:K18 L14:N18 B247:AF247 B249:B255">
    <cfRule type="expression" dxfId="3699" priority="72">
      <formula>AND(B$9&gt;=14/24,B$9&lt;20/24)</formula>
    </cfRule>
    <cfRule type="expression" dxfId="3698" priority="73">
      <formula>AND(B$9&gt;=8/24,B$9&lt;14/24)</formula>
    </cfRule>
    <cfRule type="expression" dxfId="3697" priority="74">
      <formula>B$9&lt;8/24</formula>
    </cfRule>
  </conditionalFormatting>
  <conditionalFormatting sqref="B66:AF71">
    <cfRule type="expression" dxfId="3696" priority="23">
      <formula>B$9&gt;=20/24</formula>
    </cfRule>
    <cfRule type="expression" dxfId="3695" priority="24">
      <formula>AND(B$9&gt;=14/24,B$9&lt;20/24)</formula>
    </cfRule>
    <cfRule type="expression" dxfId="3694" priority="25">
      <formula>AND(B$9&gt;=8/24,B$9&lt;14/24)</formula>
    </cfRule>
    <cfRule type="expression" dxfId="3693" priority="26">
      <formula>B$9&lt;8/24</formula>
    </cfRule>
  </conditionalFormatting>
  <conditionalFormatting sqref="D249:AF255">
    <cfRule type="expression" dxfId="3692" priority="149">
      <formula>D$9&gt;=20/24</formula>
    </cfRule>
    <cfRule type="expression" dxfId="3691" priority="150">
      <formula>AND(D$9&gt;=14/24,D$9&lt;20/24)</formula>
    </cfRule>
    <cfRule type="expression" dxfId="3690" priority="151">
      <formula>AND(D$9&gt;=8/24,D$9&lt;14/24)</formula>
    </cfRule>
    <cfRule type="expression" dxfId="3689" priority="152">
      <formula>D$9&lt;8/24</formula>
    </cfRule>
  </conditionalFormatting>
  <conditionalFormatting sqref="E11:E59 B11:D83 O14:AF58 F19:N58 E62:AF64 E66:AF83">
    <cfRule type="expression" dxfId="3688" priority="4">
      <formula>B11&gt;$AG11</formula>
    </cfRule>
  </conditionalFormatting>
  <conditionalFormatting sqref="E11:L11 M11:N13 O11:AF14 L12:L13">
    <cfRule type="expression" dxfId="3687" priority="85">
      <formula>E$9&gt;=20/24</formula>
    </cfRule>
    <cfRule type="expression" dxfId="3686" priority="86">
      <formula>AND(E$9&gt;=14/24,E$9&lt;20/24)</formula>
    </cfRule>
    <cfRule type="expression" dxfId="3685" priority="87">
      <formula>AND(E$9&gt;=8/24,E$9&lt;14/24)</formula>
    </cfRule>
    <cfRule type="expression" dxfId="3684" priority="88">
      <formula>E$9&lt;8/24</formula>
    </cfRule>
  </conditionalFormatting>
  <conditionalFormatting sqref="E11:L11 M11:AF13 L12:L13">
    <cfRule type="expression" dxfId="3683" priority="84">
      <formula>E11&gt;$AG11</formula>
    </cfRule>
  </conditionalFormatting>
  <conditionalFormatting sqref="E62:AF64 B62:D65">
    <cfRule type="expression" dxfId="3682" priority="15">
      <formula>B$9&gt;=20/24</formula>
    </cfRule>
    <cfRule type="expression" dxfId="3681" priority="16">
      <formula>AND(B$9&gt;=14/24,B$9&lt;20/24)</formula>
    </cfRule>
    <cfRule type="expression" dxfId="3680" priority="17">
      <formula>AND(B$9&gt;=8/24,B$9&lt;14/24)</formula>
    </cfRule>
    <cfRule type="expression" dxfId="3679" priority="18">
      <formula>B$9&lt;8/24</formula>
    </cfRule>
  </conditionalFormatting>
  <conditionalFormatting sqref="E65:AG65">
    <cfRule type="expression" dxfId="3678" priority="90">
      <formula>E$9&gt;=20/24</formula>
    </cfRule>
    <cfRule type="expression" dxfId="3677" priority="91">
      <formula>AND(E$9&gt;=14/24,E$9&lt;20/24)</formula>
    </cfRule>
    <cfRule type="expression" dxfId="3676" priority="92">
      <formula>AND(E$9&gt;=8/24,E$9&lt;14/24)</formula>
    </cfRule>
    <cfRule type="expression" dxfId="3675" priority="93">
      <formula>E$9&lt;8/24</formula>
    </cfRule>
  </conditionalFormatting>
  <conditionalFormatting sqref="F59:J59 K59:AF60 E60:J60">
    <cfRule type="expression" dxfId="3674" priority="67">
      <formula>E$9&gt;=20/24</formula>
    </cfRule>
    <cfRule type="expression" dxfId="3673" priority="68">
      <formula>AND(E$9&gt;=14/24,E$9&lt;20/24)</formula>
    </cfRule>
    <cfRule type="expression" dxfId="3672" priority="69">
      <formula>AND(E$9&gt;=8/24,E$9&lt;14/24)</formula>
    </cfRule>
    <cfRule type="expression" dxfId="3671" priority="79">
      <formula>E$9&lt;8/24</formula>
    </cfRule>
  </conditionalFormatting>
  <conditionalFormatting sqref="F59:J59 K59:AF61 E60:J61 F12:K18 L14:N18 AG61 E65:AG65 AG83">
    <cfRule type="expression" dxfId="3670" priority="70">
      <formula>E12&gt;$AG12</formula>
    </cfRule>
  </conditionalFormatting>
  <conditionalFormatting sqref="F12:K18 L14:N18 E11:E18 B9:AF10 B247:AF247 B249:B255">
    <cfRule type="expression" dxfId="3669" priority="71">
      <formula>B$9&gt;=20/24</formula>
    </cfRule>
  </conditionalFormatting>
  <conditionalFormatting sqref="F58:AF58 E58:E59 B58:D60">
    <cfRule type="expression" dxfId="3668" priority="1">
      <formula>B$9&gt;=20/24</formula>
    </cfRule>
    <cfRule type="expression" dxfId="3667" priority="2">
      <formula>AND(B$9&gt;=14/24,B$9&lt;20/24)</formula>
    </cfRule>
    <cfRule type="expression" dxfId="3666" priority="3">
      <formula>AND(B$9&gt;=8/24,B$9&lt;14/24)</formula>
    </cfRule>
  </conditionalFormatting>
  <conditionalFormatting sqref="F58:AF58 E58:E59">
    <cfRule type="expression" dxfId="3665" priority="9">
      <formula>E$9&lt;8/24</formula>
    </cfRule>
  </conditionalFormatting>
  <conditionalFormatting sqref="M8 S8 AB8">
    <cfRule type="expression" dxfId="3664" priority="156">
      <formula>AND(N$9&gt;=14/24,N$9&lt;20/24)</formula>
    </cfRule>
    <cfRule type="expression" dxfId="3663" priority="157">
      <formula>AND(N$9&gt;=8/24,N$9&lt;14/24)</formula>
    </cfRule>
    <cfRule type="expression" dxfId="3662" priority="158">
      <formula>N$9&lt;8/24</formula>
    </cfRule>
  </conditionalFormatting>
  <conditionalFormatting sqref="O3:P3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661" priority="155">
      <formula>N$9&gt;=20/24</formula>
    </cfRule>
  </conditionalFormatting>
  <conditionalFormatting sqref="S8">
    <cfRule type="expression" dxfId="3660" priority="142">
      <formula>U$9&gt;=20/24</formula>
    </cfRule>
    <cfRule type="expression" dxfId="3659" priority="143">
      <formula>AND(U$9&gt;=14/24,U$9&lt;20/24)</formula>
    </cfRule>
    <cfRule type="expression" dxfId="3658" priority="144">
      <formula>AND(U$9&gt;=8/24,U$9&lt;14/24)</formula>
    </cfRule>
    <cfRule type="expression" dxfId="3657" priority="145">
      <formula>U$9&lt;8/24</formula>
    </cfRule>
  </conditionalFormatting>
  <conditionalFormatting sqref="V3 AB3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656" priority="138">
      <formula>AD$9&gt;=20/24</formula>
    </cfRule>
    <cfRule type="expression" dxfId="3655" priority="139">
      <formula>AND(AD$9&gt;=14/24,AD$9&lt;20/24)</formula>
    </cfRule>
    <cfRule type="expression" dxfId="3654" priority="140">
      <formula>AND(AD$9&gt;=8/24,AD$9&lt;14/24)</formula>
    </cfRule>
    <cfRule type="expression" dxfId="3653" priority="141">
      <formula>AD$9&lt;8/24</formula>
    </cfRule>
  </conditionalFormatting>
  <conditionalFormatting sqref="AG78:AG79">
    <cfRule type="expression" dxfId="3652" priority="112">
      <formula>AG78&gt;$AG78</formula>
    </cfRule>
  </conditionalFormatting>
  <conditionalFormatting sqref="AG83">
    <cfRule type="expression" dxfId="3651" priority="113">
      <formula>AG$9&gt;=20/24</formula>
    </cfRule>
    <cfRule type="expression" dxfId="3650" priority="114">
      <formula>AND(AG$9&gt;=14/24,AG$9&lt;20/24)</formula>
    </cfRule>
    <cfRule type="expression" dxfId="3649" priority="115">
      <formula>AND(AG$9&gt;=8/24,AG$9&lt;14/24)</formula>
    </cfRule>
    <cfRule type="expression" dxfId="3648" priority="116">
      <formula>AG$9&lt;8/24</formula>
    </cfRule>
  </conditionalFormatting>
  <conditionalFormatting sqref="AG100">
    <cfRule type="expression" dxfId="3647" priority="134">
      <formula>AG$9&gt;=20/24</formula>
    </cfRule>
    <cfRule type="expression" dxfId="3646" priority="135">
      <formula>AND(AG$9&gt;=14/24,AG$9&lt;20/24)</formula>
    </cfRule>
    <cfRule type="expression" dxfId="3645" priority="136">
      <formula>AND(AG$9&gt;=8/24,AG$9&lt;14/24)</formula>
    </cfRule>
    <cfRule type="expression" dxfId="3644" priority="137">
      <formula>AG$9&lt;8/24</formula>
    </cfRule>
  </conditionalFormatting>
  <conditionalFormatting sqref="AL4:AL6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643" priority="159">
      <formula>AJ$9&gt;=20/24</formula>
    </cfRule>
    <cfRule type="expression" dxfId="3642" priority="160">
      <formula>AND(AJ$9&gt;=14/24,AJ$9&lt;20/24)</formula>
    </cfRule>
    <cfRule type="expression" dxfId="3641" priority="161">
      <formula>AND(AJ$9&gt;=8/24,AJ$9&lt;14/24)</formula>
    </cfRule>
    <cfRule type="expression" dxfId="3640" priority="162">
      <formula>AJ$9&lt;8/24</formula>
    </cfRule>
  </conditionalFormatting>
  <conditionalFormatting sqref="AL86:AN86 AL92:AN92">
    <cfRule type="expression" dxfId="3639" priority="127">
      <formula>AL$9&gt;=20/24</formula>
    </cfRule>
    <cfRule type="expression" dxfId="3638" priority="128">
      <formula>AND(AL$9&gt;=14/24,AL$9&lt;20/24)</formula>
    </cfRule>
    <cfRule type="expression" dxfId="3637" priority="129">
      <formula>AND(AL$9&gt;=8/24,AL$9&lt;14/24)</formula>
    </cfRule>
    <cfRule type="expression" dxfId="3636" priority="130">
      <formula>AL$9&lt;8/24</formula>
    </cfRule>
  </conditionalFormatting>
  <conditionalFormatting sqref="AM15:AM21 AN16:AR21">
    <cfRule type="expression" dxfId="3635" priority="43">
      <formula>AX$9&gt;=20/24</formula>
    </cfRule>
    <cfRule type="expression" dxfId="3634" priority="44">
      <formula>AND(AX$9&gt;=14/24,AX$9&lt;20/24)</formula>
    </cfRule>
    <cfRule type="expression" dxfId="3633" priority="45">
      <formula>AND(AX$9&gt;=8/24,AX$9&lt;14/24)</formula>
    </cfRule>
    <cfRule type="expression" dxfId="3632" priority="46">
      <formula>AX$9&lt;8/24</formula>
    </cfRule>
  </conditionalFormatting>
  <conditionalFormatting sqref="AN87:AN90">
    <cfRule type="expression" dxfId="3631" priority="123">
      <formula>AN$9&gt;=20/24</formula>
    </cfRule>
    <cfRule type="expression" dxfId="3630" priority="124">
      <formula>AND(AN$9&gt;=14/24,AN$9&lt;20/24)</formula>
    </cfRule>
    <cfRule type="expression" dxfId="3629" priority="125">
      <formula>AND(AN$9&gt;=8/24,AN$9&lt;14/24)</formula>
    </cfRule>
    <cfRule type="expression" dxfId="3628" priority="126">
      <formula>AN$9&lt;8/24</formula>
    </cfRule>
  </conditionalFormatting>
  <conditionalFormatting sqref="AN15:AR15">
    <cfRule type="expression" dxfId="3627" priority="31">
      <formula>U$9&gt;=20/24</formula>
    </cfRule>
    <cfRule type="expression" dxfId="3626" priority="32">
      <formula>AND(U$9&gt;=14/24,U$9&lt;20/24)</formula>
    </cfRule>
    <cfRule type="expression" dxfId="3625" priority="33">
      <formula>AND(U$9&gt;=8/24,U$9&lt;14/24)</formula>
    </cfRule>
    <cfRule type="expression" dxfId="3624" priority="34">
      <formula>U$9&lt;8/24</formula>
    </cfRule>
  </conditionalFormatting>
  <conditionalFormatting sqref="AS15">
    <cfRule type="expression" dxfId="3623" priority="39">
      <formula>AA$9&gt;=20/24</formula>
    </cfRule>
    <cfRule type="expression" dxfId="3622" priority="40">
      <formula>AND(AA$9&gt;=14/24,AA$9&lt;20/24)</formula>
    </cfRule>
    <cfRule type="expression" dxfId="3621" priority="41">
      <formula>AND(AA$9&gt;=8/24,AA$9&lt;14/24)</formula>
    </cfRule>
    <cfRule type="expression" dxfId="3620" priority="42">
      <formula>AA$9&lt;8/24</formula>
    </cfRule>
  </conditionalFormatting>
  <conditionalFormatting sqref="AS16:AS21">
    <cfRule type="expression" dxfId="3619" priority="47">
      <formula>BE$9&gt;=20/24</formula>
    </cfRule>
    <cfRule type="expression" dxfId="3618" priority="48">
      <formula>AND(BE$9&gt;=14/24,BE$9&lt;20/24)</formula>
    </cfRule>
    <cfRule type="expression" dxfId="3617" priority="49">
      <formula>AND(BE$9&gt;=8/24,BE$9&lt;14/24)</formula>
    </cfRule>
    <cfRule type="expression" dxfId="3616" priority="50">
      <formula>BE$9&lt;8/24</formula>
    </cfRule>
  </conditionalFormatting>
  <conditionalFormatting sqref="AT15 AX15:BJ15">
    <cfRule type="expression" dxfId="3615" priority="51">
      <formula>AC$9&gt;=20/24</formula>
    </cfRule>
    <cfRule type="expression" dxfId="3614" priority="52">
      <formula>AND(AC$9&gt;=14/24,AC$9&lt;20/24)</formula>
    </cfRule>
    <cfRule type="expression" dxfId="3613" priority="53">
      <formula>AND(AC$9&gt;=8/24,AC$9&lt;14/24)</formula>
    </cfRule>
    <cfRule type="expression" dxfId="3612" priority="54">
      <formula>AC$9&lt;8/24</formula>
    </cfRule>
  </conditionalFormatting>
  <conditionalFormatting sqref="AT16:AT21">
    <cfRule type="expression" dxfId="3611" priority="55">
      <formula>BG$9&gt;=20/24</formula>
    </cfRule>
    <cfRule type="expression" dxfId="3610" priority="56">
      <formula>AND(BG$9&gt;=14/24,BG$9&lt;20/24)</formula>
    </cfRule>
    <cfRule type="expression" dxfId="3609" priority="57">
      <formula>AND(BG$9&gt;=8/24,BG$9&lt;14/24)</formula>
    </cfRule>
    <cfRule type="expression" dxfId="3608" priority="58">
      <formula>BG$9&lt;8/24</formula>
    </cfRule>
  </conditionalFormatting>
  <conditionalFormatting sqref="AU15:AV15">
    <cfRule type="expression" dxfId="3607" priority="59">
      <formula>AE$9&gt;=20/24</formula>
    </cfRule>
    <cfRule type="expression" dxfId="3606" priority="60">
      <formula>AND(AE$9&gt;=14/24,AE$9&lt;20/24)</formula>
    </cfRule>
    <cfRule type="expression" dxfId="3605" priority="61">
      <formula>AND(AE$9&gt;=8/24,AE$9&lt;14/24)</formula>
    </cfRule>
    <cfRule type="expression" dxfId="3604" priority="62">
      <formula>AE$9&lt;8/24</formula>
    </cfRule>
  </conditionalFormatting>
  <conditionalFormatting sqref="AU16:BJ21">
    <cfRule type="expression" dxfId="3603" priority="63">
      <formula>BI$9&gt;=20/24</formula>
    </cfRule>
    <cfRule type="expression" dxfId="3602" priority="64">
      <formula>AND(BI$9&gt;=14/24,BI$9&lt;20/24)</formula>
    </cfRule>
    <cfRule type="expression" dxfId="3601" priority="65">
      <formula>AND(BI$9&gt;=8/24,BI$9&lt;14/24)</formula>
    </cfRule>
    <cfRule type="expression" dxfId="3600" priority="66">
      <formula>BI$9&lt;8/24</formula>
    </cfRule>
  </conditionalFormatting>
  <conditionalFormatting sqref="AW15">
    <cfRule type="expression" dxfId="3599" priority="35">
      <formula>B$9&gt;=20/24</formula>
    </cfRule>
    <cfRule type="expression" dxfId="3598" priority="36">
      <formula>AND(B$9&gt;=14/24,B$9&lt;20/24)</formula>
    </cfRule>
    <cfRule type="expression" dxfId="3597" priority="37">
      <formula>AND(B$9&gt;=8/24,B$9&lt;14/24)</formula>
    </cfRule>
    <cfRule type="expression" dxfId="3596" priority="3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4C4A-0880-4460-AEA1-722F574FE74F}">
  <dimension ref="A1:CJ297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Y84" sqref="Y84:AB8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2080/10/6</v>
      </c>
      <c r="C4" s="189"/>
      <c r="D4" s="189"/>
      <c r="E4" s="190" t="str">
        <f ca="1">"2080/"&amp;"10/"&amp;INT(MID(CELL("filename",G6),FIND("]",CELL("filename",G6))+1,200))</f>
        <v>2080/10/6</v>
      </c>
      <c r="F4" s="190"/>
      <c r="G4" s="190"/>
      <c r="H4" s="190" t="str">
        <f ca="1">TEXT(E4,"dddd")</f>
        <v>Sunday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12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21</v>
      </c>
      <c r="P5" s="30">
        <f t="shared" si="0"/>
        <v>30</v>
      </c>
      <c r="Q5" s="30">
        <f t="shared" si="0"/>
        <v>8</v>
      </c>
      <c r="R5" s="30">
        <f t="shared" si="0"/>
        <v>7.8</v>
      </c>
      <c r="S5" s="30">
        <f t="shared" si="0"/>
        <v>12.9</v>
      </c>
      <c r="T5" s="30">
        <f t="shared" si="0"/>
        <v>44.5</v>
      </c>
      <c r="U5" s="30">
        <f t="shared" si="0"/>
        <v>58</v>
      </c>
      <c r="V5" s="30">
        <f t="shared" si="0"/>
        <v>65.3</v>
      </c>
      <c r="W5" s="30">
        <f t="shared" si="0"/>
        <v>49</v>
      </c>
      <c r="X5" s="30">
        <f t="shared" si="0"/>
        <v>3.6</v>
      </c>
      <c r="Y5" s="30">
        <f t="shared" si="0"/>
        <v>1.6</v>
      </c>
      <c r="Z5" s="30">
        <f t="shared" si="0"/>
        <v>51.6</v>
      </c>
      <c r="AA5" s="30">
        <f t="shared" si="0"/>
        <v>64</v>
      </c>
      <c r="AB5" s="30">
        <f t="shared" si="0"/>
        <v>52</v>
      </c>
      <c r="AC5" s="30">
        <f t="shared" si="0"/>
        <v>60.1</v>
      </c>
      <c r="AD5" s="30">
        <f t="shared" si="0"/>
        <v>64</v>
      </c>
      <c r="AE5" s="30">
        <f t="shared" si="0"/>
        <v>64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1699MW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Load=782</v>
      </c>
      <c r="B7" s="35">
        <f t="shared" ref="B7:AF7" si="1">B103</f>
        <v>1079.6399999999999</v>
      </c>
      <c r="C7" s="35">
        <f t="shared" si="1"/>
        <v>889.63999999999987</v>
      </c>
      <c r="D7" s="35">
        <f t="shared" si="1"/>
        <v>843.63999999999987</v>
      </c>
      <c r="E7" s="35">
        <f t="shared" si="1"/>
        <v>781.94</v>
      </c>
      <c r="F7" s="35">
        <f t="shared" si="1"/>
        <v>886.34</v>
      </c>
      <c r="G7" s="35">
        <f t="shared" si="1"/>
        <v>888.94</v>
      </c>
      <c r="H7" s="35">
        <f t="shared" si="1"/>
        <v>901.34000000000015</v>
      </c>
      <c r="I7" s="35">
        <f t="shared" si="1"/>
        <v>954.54</v>
      </c>
      <c r="J7" s="35">
        <f t="shared" si="1"/>
        <v>1030.54</v>
      </c>
      <c r="K7" s="35">
        <f t="shared" si="1"/>
        <v>1109.74</v>
      </c>
      <c r="L7" s="35">
        <f t="shared" si="1"/>
        <v>1145.44</v>
      </c>
      <c r="M7" s="35">
        <f t="shared" si="1"/>
        <v>1163.44</v>
      </c>
      <c r="N7" s="35">
        <f t="shared" si="1"/>
        <v>1252.44</v>
      </c>
      <c r="O7" s="35">
        <f t="shared" si="1"/>
        <v>1247.44</v>
      </c>
      <c r="P7" s="35">
        <f t="shared" si="1"/>
        <v>1281.44</v>
      </c>
      <c r="Q7" s="35">
        <f t="shared" si="1"/>
        <v>1252.44</v>
      </c>
      <c r="R7" s="35">
        <f t="shared" si="1"/>
        <v>1225.44</v>
      </c>
      <c r="S7" s="35">
        <f t="shared" si="1"/>
        <v>1471.5399999999997</v>
      </c>
      <c r="T7" s="35">
        <f t="shared" si="1"/>
        <v>1518.6399999999999</v>
      </c>
      <c r="U7" s="35">
        <f t="shared" si="1"/>
        <v>1533.2399999999998</v>
      </c>
      <c r="V7" s="35">
        <f t="shared" si="1"/>
        <v>1551.14</v>
      </c>
      <c r="W7" s="35">
        <f t="shared" si="1"/>
        <v>1542.64</v>
      </c>
      <c r="X7" s="35">
        <f t="shared" si="1"/>
        <v>1475.04</v>
      </c>
      <c r="Y7" s="35">
        <f t="shared" si="1"/>
        <v>1448.84</v>
      </c>
      <c r="Z7" s="35">
        <f t="shared" si="1"/>
        <v>1498.3999999999999</v>
      </c>
      <c r="AA7" s="35">
        <f t="shared" si="1"/>
        <v>1546.4399999999998</v>
      </c>
      <c r="AB7" s="35">
        <f t="shared" si="1"/>
        <v>1607.2399999999998</v>
      </c>
      <c r="AC7" s="35">
        <f t="shared" si="1"/>
        <v>1476.34</v>
      </c>
      <c r="AD7" s="35">
        <f t="shared" si="1"/>
        <v>1584.74</v>
      </c>
      <c r="AE7" s="35">
        <f t="shared" si="1"/>
        <v>1510.24</v>
      </c>
      <c r="AF7" s="35">
        <f t="shared" si="1"/>
        <v>1491.54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2051.24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1607.24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50</v>
      </c>
      <c r="C11" s="46">
        <v>50</v>
      </c>
      <c r="D11" s="46">
        <v>50</v>
      </c>
      <c r="E11" s="46">
        <v>0</v>
      </c>
      <c r="F11" s="46">
        <v>61</v>
      </c>
      <c r="G11" s="46">
        <v>61</v>
      </c>
      <c r="H11" s="46">
        <v>61</v>
      </c>
      <c r="I11" s="46">
        <v>61</v>
      </c>
      <c r="J11" s="46">
        <v>61</v>
      </c>
      <c r="K11" s="46">
        <v>61</v>
      </c>
      <c r="L11" s="46">
        <v>61</v>
      </c>
      <c r="M11" s="46">
        <v>61</v>
      </c>
      <c r="N11" s="46">
        <v>61</v>
      </c>
      <c r="O11" s="46">
        <v>61</v>
      </c>
      <c r="P11" s="46">
        <v>61</v>
      </c>
      <c r="Q11" s="46">
        <v>61</v>
      </c>
      <c r="R11" s="46">
        <v>61</v>
      </c>
      <c r="S11" s="46">
        <v>61</v>
      </c>
      <c r="T11" s="46">
        <v>61</v>
      </c>
      <c r="U11" s="46">
        <v>61</v>
      </c>
      <c r="V11" s="46">
        <v>61</v>
      </c>
      <c r="W11" s="46">
        <v>61</v>
      </c>
      <c r="X11" s="46">
        <v>61</v>
      </c>
      <c r="Y11" s="46">
        <v>61</v>
      </c>
      <c r="Z11" s="46">
        <v>61</v>
      </c>
      <c r="AA11" s="46">
        <v>61</v>
      </c>
      <c r="AB11" s="46">
        <v>47.8</v>
      </c>
      <c r="AC11" s="46">
        <v>47.8</v>
      </c>
      <c r="AD11" s="46">
        <v>47.8</v>
      </c>
      <c r="AE11" s="46">
        <v>47.8</v>
      </c>
      <c r="AF11" s="46">
        <v>47.8</v>
      </c>
      <c r="AG11" s="47">
        <v>86</v>
      </c>
      <c r="AH11" s="48">
        <f t="shared" ref="AH11:AH74" si="2">MAX(B11:AF11)</f>
        <v>61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42</v>
      </c>
      <c r="C12" s="46">
        <v>42</v>
      </c>
      <c r="D12" s="46">
        <v>42</v>
      </c>
      <c r="E12" s="46">
        <v>42</v>
      </c>
      <c r="F12" s="46">
        <v>42</v>
      </c>
      <c r="G12" s="46">
        <v>42</v>
      </c>
      <c r="H12" s="46">
        <v>42</v>
      </c>
      <c r="I12" s="46">
        <v>42</v>
      </c>
      <c r="J12" s="46">
        <v>42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52.3</v>
      </c>
      <c r="T12" s="46">
        <v>52.3</v>
      </c>
      <c r="U12" s="46">
        <v>52.3</v>
      </c>
      <c r="V12" s="46">
        <v>52.3</v>
      </c>
      <c r="W12" s="46">
        <v>52.3</v>
      </c>
      <c r="X12" s="46">
        <v>52.3</v>
      </c>
      <c r="Y12" s="46">
        <v>52.3</v>
      </c>
      <c r="Z12" s="46">
        <v>52.3</v>
      </c>
      <c r="AA12" s="46">
        <v>52.3</v>
      </c>
      <c r="AB12" s="46">
        <v>45.1</v>
      </c>
      <c r="AC12" s="46">
        <v>45.1</v>
      </c>
      <c r="AD12" s="46">
        <v>45.1</v>
      </c>
      <c r="AE12" s="46">
        <v>45.1</v>
      </c>
      <c r="AF12" s="46">
        <v>45.1</v>
      </c>
      <c r="AG12" s="50">
        <v>77</v>
      </c>
      <c r="AH12" s="48">
        <f t="shared" si="2"/>
        <v>52.3</v>
      </c>
      <c r="AI12" s="49">
        <f t="shared" si="3"/>
        <v>0</v>
      </c>
      <c r="AK12" s="51"/>
      <c r="AL12" s="52" t="str">
        <f ca="1">MID(CELL("filename",C7),FIND("]",CELL("filename",C7))+1,600)</f>
        <v>06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43</v>
      </c>
      <c r="C13" s="46">
        <v>43</v>
      </c>
      <c r="D13" s="46">
        <v>43</v>
      </c>
      <c r="E13" s="46">
        <v>43</v>
      </c>
      <c r="F13" s="46">
        <v>43</v>
      </c>
      <c r="G13" s="46">
        <v>43</v>
      </c>
      <c r="H13" s="46">
        <v>43</v>
      </c>
      <c r="I13" s="46">
        <v>43</v>
      </c>
      <c r="J13" s="46">
        <v>43</v>
      </c>
      <c r="K13" s="46">
        <v>43</v>
      </c>
      <c r="L13" s="46">
        <v>43</v>
      </c>
      <c r="M13" s="46">
        <v>43</v>
      </c>
      <c r="N13" s="46">
        <v>43</v>
      </c>
      <c r="O13" s="46">
        <v>43</v>
      </c>
      <c r="P13" s="46">
        <v>43</v>
      </c>
      <c r="Q13" s="46">
        <v>43</v>
      </c>
      <c r="R13" s="46">
        <v>43</v>
      </c>
      <c r="S13" s="46">
        <v>43</v>
      </c>
      <c r="T13" s="46">
        <v>43</v>
      </c>
      <c r="U13" s="46">
        <v>43</v>
      </c>
      <c r="V13" s="46">
        <v>43</v>
      </c>
      <c r="W13" s="46">
        <v>43</v>
      </c>
      <c r="X13" s="46">
        <v>43</v>
      </c>
      <c r="Y13" s="46">
        <v>43</v>
      </c>
      <c r="Z13" s="46">
        <v>43</v>
      </c>
      <c r="AA13" s="46">
        <v>43</v>
      </c>
      <c r="AB13" s="46">
        <v>58.5</v>
      </c>
      <c r="AC13" s="46">
        <v>58.5</v>
      </c>
      <c r="AD13" s="46">
        <v>58.5</v>
      </c>
      <c r="AE13" s="46">
        <v>58.5</v>
      </c>
      <c r="AF13" s="46">
        <v>58.5</v>
      </c>
      <c r="AG13" s="50">
        <v>73</v>
      </c>
      <c r="AH13" s="48">
        <f t="shared" si="2"/>
        <v>58.5</v>
      </c>
      <c r="AI13" s="49">
        <f t="shared" si="3"/>
        <v>43</v>
      </c>
      <c r="AK13" s="51"/>
      <c r="AL13" s="52" t="str">
        <f ca="1">"Daily Load Curve(Excluding of Export) of Nepal ("&amp;A4&amp;" "&amp;B4&amp;")"</f>
        <v>Daily Load Curve(Excluding of Export) of Nepal (Nepali Date: 2080/10/6)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10.7</v>
      </c>
      <c r="C14" s="46">
        <v>10.7</v>
      </c>
      <c r="D14" s="46">
        <v>10.7</v>
      </c>
      <c r="E14" s="46">
        <v>10.7</v>
      </c>
      <c r="F14" s="46">
        <v>10.7</v>
      </c>
      <c r="G14" s="46">
        <v>10.7</v>
      </c>
      <c r="H14" s="46">
        <v>10.7</v>
      </c>
      <c r="I14" s="46">
        <v>10.7</v>
      </c>
      <c r="J14" s="46">
        <v>10.7</v>
      </c>
      <c r="K14" s="46">
        <v>10.7</v>
      </c>
      <c r="L14" s="46">
        <v>10.7</v>
      </c>
      <c r="M14" s="46">
        <v>10.7</v>
      </c>
      <c r="N14" s="46">
        <v>10.7</v>
      </c>
      <c r="O14" s="46">
        <v>10.7</v>
      </c>
      <c r="P14" s="46">
        <v>10.7</v>
      </c>
      <c r="Q14" s="46">
        <v>10.7</v>
      </c>
      <c r="R14" s="46">
        <v>10.7</v>
      </c>
      <c r="S14" s="46">
        <v>10.7</v>
      </c>
      <c r="T14" s="46">
        <v>10.7</v>
      </c>
      <c r="U14" s="46">
        <v>10.7</v>
      </c>
      <c r="V14" s="46">
        <v>40.6</v>
      </c>
      <c r="W14" s="46">
        <v>40.6</v>
      </c>
      <c r="X14" s="46">
        <v>40.6</v>
      </c>
      <c r="Y14" s="46">
        <v>40.6</v>
      </c>
      <c r="Z14" s="46">
        <v>40.6</v>
      </c>
      <c r="AA14" s="46">
        <v>40.6</v>
      </c>
      <c r="AB14" s="46">
        <v>40.6</v>
      </c>
      <c r="AC14" s="46">
        <v>40.6</v>
      </c>
      <c r="AD14" s="46">
        <v>40.6</v>
      </c>
      <c r="AE14" s="46">
        <v>40.6</v>
      </c>
      <c r="AF14" s="46">
        <v>40.6</v>
      </c>
      <c r="AG14" s="50">
        <v>71</v>
      </c>
      <c r="AH14" s="48">
        <f t="shared" si="2"/>
        <v>40.6</v>
      </c>
      <c r="AI14" s="49">
        <f t="shared" si="3"/>
        <v>10.7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30</v>
      </c>
      <c r="C15" s="46">
        <v>30</v>
      </c>
      <c r="D15" s="46">
        <v>30</v>
      </c>
      <c r="E15" s="46">
        <v>30</v>
      </c>
      <c r="F15" s="46">
        <v>30</v>
      </c>
      <c r="G15" s="46">
        <v>30</v>
      </c>
      <c r="H15" s="46">
        <v>30</v>
      </c>
      <c r="I15" s="46">
        <v>30</v>
      </c>
      <c r="J15" s="46">
        <v>30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40</v>
      </c>
      <c r="T15" s="46">
        <v>40</v>
      </c>
      <c r="U15" s="46">
        <v>40</v>
      </c>
      <c r="V15" s="46">
        <v>40</v>
      </c>
      <c r="W15" s="46">
        <v>40</v>
      </c>
      <c r="X15" s="46">
        <v>40</v>
      </c>
      <c r="Y15" s="46">
        <v>40</v>
      </c>
      <c r="Z15" s="46">
        <v>40</v>
      </c>
      <c r="AA15" s="46">
        <v>40</v>
      </c>
      <c r="AB15" s="46">
        <v>40</v>
      </c>
      <c r="AC15" s="46">
        <v>40</v>
      </c>
      <c r="AD15" s="46">
        <v>40</v>
      </c>
      <c r="AE15" s="46">
        <v>40</v>
      </c>
      <c r="AF15" s="46">
        <v>40</v>
      </c>
      <c r="AG15" s="50">
        <v>54</v>
      </c>
      <c r="AH15" s="48">
        <f t="shared" si="2"/>
        <v>40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11</v>
      </c>
      <c r="C16" s="46">
        <v>11</v>
      </c>
      <c r="D16" s="46">
        <v>11</v>
      </c>
      <c r="E16" s="46">
        <v>11</v>
      </c>
      <c r="F16" s="46">
        <v>11</v>
      </c>
      <c r="G16" s="46">
        <v>11</v>
      </c>
      <c r="H16" s="46">
        <v>11</v>
      </c>
      <c r="I16" s="46">
        <v>11</v>
      </c>
      <c r="J16" s="46">
        <v>11</v>
      </c>
      <c r="K16" s="46">
        <v>11</v>
      </c>
      <c r="L16" s="46">
        <v>11</v>
      </c>
      <c r="M16" s="46">
        <v>11</v>
      </c>
      <c r="N16" s="46">
        <v>11</v>
      </c>
      <c r="O16" s="46">
        <v>11</v>
      </c>
      <c r="P16" s="46">
        <v>11</v>
      </c>
      <c r="Q16" s="46">
        <v>11</v>
      </c>
      <c r="R16" s="46">
        <v>11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50">
        <v>54</v>
      </c>
      <c r="AH16" s="48">
        <f t="shared" si="2"/>
        <v>11</v>
      </c>
      <c r="AI16" s="49">
        <f t="shared" si="3"/>
        <v>0</v>
      </c>
      <c r="AK16" s="51"/>
      <c r="AL16" s="54" t="s">
        <v>7</v>
      </c>
      <c r="AM16" s="59">
        <f t="shared" ref="AM16:AR16" si="4">B61</f>
        <v>810.59999999999991</v>
      </c>
      <c r="AN16" s="59">
        <f t="shared" si="4"/>
        <v>810.59999999999991</v>
      </c>
      <c r="AO16" s="59">
        <f t="shared" si="4"/>
        <v>810.59999999999991</v>
      </c>
      <c r="AP16" s="59">
        <f t="shared" si="4"/>
        <v>735.9</v>
      </c>
      <c r="AQ16" s="59">
        <f t="shared" si="4"/>
        <v>796.9</v>
      </c>
      <c r="AR16" s="59">
        <f t="shared" si="4"/>
        <v>796.9</v>
      </c>
      <c r="AS16" s="59">
        <f>I61</f>
        <v>796.9</v>
      </c>
      <c r="AT16" s="59">
        <f>K61</f>
        <v>724.9</v>
      </c>
      <c r="AU16" s="59">
        <f t="shared" ref="AU16:BD16" si="5">M61</f>
        <v>724.9</v>
      </c>
      <c r="AV16" s="59">
        <f t="shared" si="5"/>
        <v>724.9</v>
      </c>
      <c r="AW16" s="59">
        <f t="shared" si="5"/>
        <v>724.9</v>
      </c>
      <c r="AX16" s="59">
        <f t="shared" si="5"/>
        <v>724.9</v>
      </c>
      <c r="AY16" s="59">
        <f t="shared" si="5"/>
        <v>724.9</v>
      </c>
      <c r="AZ16" s="59">
        <f t="shared" si="5"/>
        <v>724.9</v>
      </c>
      <c r="BA16" s="59">
        <f t="shared" si="5"/>
        <v>908.8</v>
      </c>
      <c r="BB16" s="59">
        <f t="shared" si="5"/>
        <v>908.8</v>
      </c>
      <c r="BC16" s="59">
        <f t="shared" si="5"/>
        <v>908.8</v>
      </c>
      <c r="BD16" s="59">
        <f t="shared" si="5"/>
        <v>938.7</v>
      </c>
      <c r="BE16" s="60">
        <f>X61</f>
        <v>938.7</v>
      </c>
      <c r="BF16" s="60">
        <f>Z61</f>
        <v>938.7</v>
      </c>
      <c r="BG16" s="60">
        <f>AB61</f>
        <v>960.5</v>
      </c>
      <c r="BH16" s="60">
        <f>AD61</f>
        <v>960.5</v>
      </c>
      <c r="BI16" s="60">
        <f>AE61</f>
        <v>960.5</v>
      </c>
      <c r="BJ16" s="60">
        <f>AF61</f>
        <v>943.80000000000007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41</v>
      </c>
      <c r="C17" s="46">
        <v>41</v>
      </c>
      <c r="D17" s="46">
        <v>41</v>
      </c>
      <c r="E17" s="46">
        <v>41</v>
      </c>
      <c r="F17" s="46">
        <v>41</v>
      </c>
      <c r="G17" s="46">
        <v>41</v>
      </c>
      <c r="H17" s="46">
        <v>41</v>
      </c>
      <c r="I17" s="46">
        <v>41</v>
      </c>
      <c r="J17" s="46">
        <v>41</v>
      </c>
      <c r="K17" s="46">
        <v>41</v>
      </c>
      <c r="L17" s="46">
        <v>41</v>
      </c>
      <c r="M17" s="46">
        <v>41</v>
      </c>
      <c r="N17" s="46">
        <v>41</v>
      </c>
      <c r="O17" s="46">
        <v>41</v>
      </c>
      <c r="P17" s="46">
        <v>41</v>
      </c>
      <c r="Q17" s="46">
        <v>41</v>
      </c>
      <c r="R17" s="46">
        <v>41</v>
      </c>
      <c r="S17" s="46">
        <v>41</v>
      </c>
      <c r="T17" s="46">
        <v>41</v>
      </c>
      <c r="U17" s="46">
        <v>41</v>
      </c>
      <c r="V17" s="46">
        <v>41</v>
      </c>
      <c r="W17" s="46">
        <v>41</v>
      </c>
      <c r="X17" s="46">
        <v>41</v>
      </c>
      <c r="Y17" s="46">
        <v>41</v>
      </c>
      <c r="Z17" s="46">
        <v>41</v>
      </c>
      <c r="AA17" s="46">
        <v>41</v>
      </c>
      <c r="AB17" s="46">
        <v>41</v>
      </c>
      <c r="AC17" s="46">
        <v>41</v>
      </c>
      <c r="AD17" s="46">
        <v>41</v>
      </c>
      <c r="AE17" s="46">
        <v>41</v>
      </c>
      <c r="AF17" s="46">
        <v>41</v>
      </c>
      <c r="AG17" s="47">
        <v>52.4</v>
      </c>
      <c r="AH17" s="48">
        <f t="shared" si="2"/>
        <v>41</v>
      </c>
      <c r="AI17" s="49">
        <f t="shared" si="3"/>
        <v>41</v>
      </c>
      <c r="AK17" s="51"/>
      <c r="AL17" s="54" t="s">
        <v>27</v>
      </c>
      <c r="AM17" s="59">
        <f t="shared" ref="AM17:AR17" si="6">B65</f>
        <v>542.5</v>
      </c>
      <c r="AN17" s="59">
        <f t="shared" si="6"/>
        <v>532.5</v>
      </c>
      <c r="AO17" s="59">
        <f t="shared" si="6"/>
        <v>472.5</v>
      </c>
      <c r="AP17" s="59">
        <f t="shared" si="6"/>
        <v>452.5</v>
      </c>
      <c r="AQ17" s="59">
        <f t="shared" si="6"/>
        <v>452.5</v>
      </c>
      <c r="AR17" s="59">
        <f t="shared" si="6"/>
        <v>472.5</v>
      </c>
      <c r="AS17" s="59">
        <f>I65</f>
        <v>472.5</v>
      </c>
      <c r="AT17" s="59">
        <f>K65</f>
        <v>538.5</v>
      </c>
      <c r="AU17" s="59">
        <f t="shared" ref="AU17:BD17" si="7">M65</f>
        <v>538.5</v>
      </c>
      <c r="AV17" s="59">
        <f t="shared" si="7"/>
        <v>538.5</v>
      </c>
      <c r="AW17" s="59">
        <f t="shared" si="7"/>
        <v>538.5</v>
      </c>
      <c r="AX17" s="59">
        <f t="shared" si="7"/>
        <v>538.5</v>
      </c>
      <c r="AY17" s="59">
        <f t="shared" si="7"/>
        <v>538.5</v>
      </c>
      <c r="AZ17" s="59">
        <f t="shared" si="7"/>
        <v>538.5</v>
      </c>
      <c r="BA17" s="59">
        <f t="shared" si="7"/>
        <v>542.79999999999995</v>
      </c>
      <c r="BB17" s="59">
        <f t="shared" si="7"/>
        <v>542.79999999999995</v>
      </c>
      <c r="BC17" s="59">
        <f t="shared" si="7"/>
        <v>542.79999999999995</v>
      </c>
      <c r="BD17" s="59">
        <f t="shared" si="7"/>
        <v>542.79999999999995</v>
      </c>
      <c r="BE17" s="60">
        <f>X65</f>
        <v>542.79999999999995</v>
      </c>
      <c r="BF17" s="60">
        <f>Z65</f>
        <v>542.79999999999995</v>
      </c>
      <c r="BG17" s="60">
        <f>AB65</f>
        <v>542.79999999999995</v>
      </c>
      <c r="BH17" s="60">
        <f>AD65</f>
        <v>542.79999999999995</v>
      </c>
      <c r="BI17" s="60">
        <f>AE65</f>
        <v>542.79999999999995</v>
      </c>
      <c r="BJ17" s="60">
        <f>AF65</f>
        <v>542.79999999999995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46">
        <v>50.5</v>
      </c>
      <c r="AB18" s="46">
        <v>50.5</v>
      </c>
      <c r="AC18" s="46">
        <v>50.5</v>
      </c>
      <c r="AD18" s="46">
        <v>50.5</v>
      </c>
      <c r="AE18" s="46">
        <v>50.5</v>
      </c>
      <c r="AF18" s="46">
        <v>50.5</v>
      </c>
      <c r="AG18" s="50">
        <v>50</v>
      </c>
      <c r="AH18" s="48">
        <f t="shared" si="2"/>
        <v>50.5</v>
      </c>
      <c r="AI18" s="49">
        <f t="shared" si="3"/>
        <v>50.5</v>
      </c>
      <c r="AK18" s="51"/>
      <c r="AL18" s="54" t="s">
        <v>29</v>
      </c>
      <c r="AM18" s="59">
        <f t="shared" ref="AM18:AR18" si="8">B79</f>
        <v>296.53999999999996</v>
      </c>
      <c r="AN18" s="59">
        <f t="shared" si="8"/>
        <v>196.54</v>
      </c>
      <c r="AO18" s="59">
        <f t="shared" si="8"/>
        <v>240.54</v>
      </c>
      <c r="AP18" s="59">
        <f t="shared" si="8"/>
        <v>300.53999999999996</v>
      </c>
      <c r="AQ18" s="59">
        <f t="shared" si="8"/>
        <v>300.53999999999996</v>
      </c>
      <c r="AR18" s="59">
        <f t="shared" si="8"/>
        <v>296.53999999999996</v>
      </c>
      <c r="AS18" s="59">
        <f>I79</f>
        <v>320.13999999999993</v>
      </c>
      <c r="AT18" s="59">
        <f>K79</f>
        <v>423.34</v>
      </c>
      <c r="AU18" s="59">
        <f t="shared" ref="AU18:BD18" si="9">M79</f>
        <v>424.03999999999996</v>
      </c>
      <c r="AV18" s="59">
        <f t="shared" si="9"/>
        <v>424.03999999999996</v>
      </c>
      <c r="AW18" s="59">
        <f t="shared" si="9"/>
        <v>424.03999999999996</v>
      </c>
      <c r="AX18" s="59">
        <f t="shared" si="9"/>
        <v>424.03999999999996</v>
      </c>
      <c r="AY18" s="59">
        <f t="shared" si="9"/>
        <v>424.03999999999996</v>
      </c>
      <c r="AZ18" s="59">
        <f t="shared" si="9"/>
        <v>424.03999999999996</v>
      </c>
      <c r="BA18" s="59">
        <f t="shared" si="9"/>
        <v>435.34</v>
      </c>
      <c r="BB18" s="59">
        <f t="shared" si="9"/>
        <v>434.34</v>
      </c>
      <c r="BC18" s="59">
        <f t="shared" si="9"/>
        <v>431.34</v>
      </c>
      <c r="BD18" s="59">
        <f t="shared" si="9"/>
        <v>429.44</v>
      </c>
      <c r="BE18" s="60">
        <f>X79</f>
        <v>421.64</v>
      </c>
      <c r="BF18" s="60">
        <f>Z79</f>
        <v>414.29999999999995</v>
      </c>
      <c r="BG18" s="60">
        <f>AB79</f>
        <v>420.94</v>
      </c>
      <c r="BH18" s="60">
        <f>AD79</f>
        <v>420.94</v>
      </c>
      <c r="BI18" s="60">
        <f>AE79</f>
        <v>420.94</v>
      </c>
      <c r="BJ18" s="60">
        <f>AF79</f>
        <v>420.94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36</v>
      </c>
      <c r="C19" s="46">
        <v>36</v>
      </c>
      <c r="D19" s="46">
        <v>36</v>
      </c>
      <c r="E19" s="46">
        <v>36</v>
      </c>
      <c r="F19" s="46">
        <v>36</v>
      </c>
      <c r="G19" s="46">
        <v>36</v>
      </c>
      <c r="H19" s="46">
        <v>36</v>
      </c>
      <c r="I19" s="46">
        <v>36</v>
      </c>
      <c r="J19" s="46">
        <v>36</v>
      </c>
      <c r="K19" s="46">
        <v>36</v>
      </c>
      <c r="L19" s="46">
        <v>36</v>
      </c>
      <c r="M19" s="46">
        <v>36</v>
      </c>
      <c r="N19" s="46">
        <v>36</v>
      </c>
      <c r="O19" s="46">
        <v>36</v>
      </c>
      <c r="P19" s="46">
        <v>36</v>
      </c>
      <c r="Q19" s="46">
        <v>36</v>
      </c>
      <c r="R19" s="46">
        <v>36</v>
      </c>
      <c r="S19" s="46">
        <v>36</v>
      </c>
      <c r="T19" s="46">
        <v>36</v>
      </c>
      <c r="U19" s="46">
        <v>36</v>
      </c>
      <c r="V19" s="46">
        <v>36</v>
      </c>
      <c r="W19" s="46">
        <v>36</v>
      </c>
      <c r="X19" s="46">
        <v>36</v>
      </c>
      <c r="Y19" s="46">
        <v>36</v>
      </c>
      <c r="Z19" s="46">
        <v>36</v>
      </c>
      <c r="AA19" s="46">
        <v>36</v>
      </c>
      <c r="AB19" s="46">
        <v>36</v>
      </c>
      <c r="AC19" s="46">
        <v>36</v>
      </c>
      <c r="AD19" s="46">
        <v>36</v>
      </c>
      <c r="AE19" s="46">
        <v>36</v>
      </c>
      <c r="AF19" s="46">
        <v>36</v>
      </c>
      <c r="AG19" s="50">
        <v>45</v>
      </c>
      <c r="AH19" s="48">
        <f t="shared" si="2"/>
        <v>36</v>
      </c>
      <c r="AI19" s="49">
        <f t="shared" si="3"/>
        <v>36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21</v>
      </c>
      <c r="AY19" s="59">
        <f t="shared" si="11"/>
        <v>30</v>
      </c>
      <c r="AZ19" s="59">
        <f t="shared" si="11"/>
        <v>8</v>
      </c>
      <c r="BA19" s="59">
        <f t="shared" si="11"/>
        <v>7.8</v>
      </c>
      <c r="BB19" s="59">
        <f t="shared" si="11"/>
        <v>12.9</v>
      </c>
      <c r="BC19" s="59">
        <f t="shared" si="11"/>
        <v>44.5</v>
      </c>
      <c r="BD19" s="59">
        <f t="shared" si="11"/>
        <v>58</v>
      </c>
      <c r="BE19" s="60">
        <f>X95</f>
        <v>49</v>
      </c>
      <c r="BF19" s="60">
        <f>Z95</f>
        <v>1.6</v>
      </c>
      <c r="BG19" s="60">
        <f>AB95</f>
        <v>64</v>
      </c>
      <c r="BH19" s="60">
        <f>AD95</f>
        <v>60.1</v>
      </c>
      <c r="BI19" s="60">
        <f>AE95</f>
        <v>64</v>
      </c>
      <c r="BJ19" s="60">
        <f>AF95</f>
        <v>64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44.6</v>
      </c>
      <c r="C20" s="46">
        <v>44.6</v>
      </c>
      <c r="D20" s="46">
        <v>44.6</v>
      </c>
      <c r="E20" s="46">
        <v>44.6</v>
      </c>
      <c r="F20" s="46">
        <v>44.6</v>
      </c>
      <c r="G20" s="46">
        <v>44.6</v>
      </c>
      <c r="H20" s="46">
        <v>44.6</v>
      </c>
      <c r="I20" s="46">
        <v>44.6</v>
      </c>
      <c r="J20" s="46">
        <v>44.6</v>
      </c>
      <c r="K20" s="46">
        <v>44.6</v>
      </c>
      <c r="L20" s="46">
        <v>44.6</v>
      </c>
      <c r="M20" s="46">
        <v>44.6</v>
      </c>
      <c r="N20" s="46">
        <v>44.6</v>
      </c>
      <c r="O20" s="46">
        <v>44.6</v>
      </c>
      <c r="P20" s="46">
        <v>44.6</v>
      </c>
      <c r="Q20" s="46">
        <v>44.6</v>
      </c>
      <c r="R20" s="46">
        <v>44.6</v>
      </c>
      <c r="S20" s="46">
        <v>44.6</v>
      </c>
      <c r="T20" s="46">
        <v>44.6</v>
      </c>
      <c r="U20" s="46">
        <v>44.6</v>
      </c>
      <c r="V20" s="46">
        <v>44.6</v>
      </c>
      <c r="W20" s="46">
        <v>44.6</v>
      </c>
      <c r="X20" s="46">
        <v>44.6</v>
      </c>
      <c r="Y20" s="46">
        <v>44.6</v>
      </c>
      <c r="Z20" s="46">
        <v>44.6</v>
      </c>
      <c r="AA20" s="46">
        <v>44.6</v>
      </c>
      <c r="AB20" s="46">
        <v>44.6</v>
      </c>
      <c r="AC20" s="46">
        <v>44.6</v>
      </c>
      <c r="AD20" s="46">
        <v>44.6</v>
      </c>
      <c r="AE20" s="46">
        <v>44.6</v>
      </c>
      <c r="AF20" s="46">
        <v>44.6</v>
      </c>
      <c r="AG20" s="50">
        <v>44</v>
      </c>
      <c r="AH20" s="48">
        <f t="shared" si="2"/>
        <v>44.6</v>
      </c>
      <c r="AI20" s="49">
        <f t="shared" si="3"/>
        <v>44.6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60.8</v>
      </c>
      <c r="BB20" s="59">
        <f t="shared" si="13"/>
        <v>60.8</v>
      </c>
      <c r="BC20" s="59">
        <f t="shared" si="13"/>
        <v>62.2</v>
      </c>
      <c r="BD20" s="59">
        <f t="shared" si="13"/>
        <v>62.2</v>
      </c>
      <c r="BE20" s="60">
        <f>X83</f>
        <v>15.9</v>
      </c>
      <c r="BF20" s="60">
        <f>Z83</f>
        <v>45</v>
      </c>
      <c r="BG20" s="60">
        <f>AB83</f>
        <v>63</v>
      </c>
      <c r="BH20" s="60">
        <f>AD83</f>
        <v>48.4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1649.6399999999999</v>
      </c>
      <c r="AN22" s="63">
        <f t="shared" si="16"/>
        <v>1539.6399999999999</v>
      </c>
      <c r="AO22" s="63">
        <f t="shared" si="16"/>
        <v>1523.6399999999999</v>
      </c>
      <c r="AP22" s="63">
        <f t="shared" si="16"/>
        <v>1488.94</v>
      </c>
      <c r="AQ22" s="63">
        <f t="shared" si="16"/>
        <v>1549.94</v>
      </c>
      <c r="AR22" s="63">
        <f t="shared" si="16"/>
        <v>1565.94</v>
      </c>
      <c r="AS22" s="63">
        <f t="shared" si="16"/>
        <v>1589.54</v>
      </c>
      <c r="AT22" s="63">
        <f t="shared" si="16"/>
        <v>1686.74</v>
      </c>
      <c r="AU22" s="63">
        <f t="shared" si="16"/>
        <v>1687.44</v>
      </c>
      <c r="AV22" s="63">
        <f t="shared" si="16"/>
        <v>1687.44</v>
      </c>
      <c r="AW22" s="63">
        <f t="shared" si="16"/>
        <v>1687.44</v>
      </c>
      <c r="AX22" s="63">
        <f t="shared" si="16"/>
        <v>1708.44</v>
      </c>
      <c r="AY22" s="63">
        <f t="shared" si="16"/>
        <v>1717.44</v>
      </c>
      <c r="AZ22" s="63">
        <f t="shared" si="16"/>
        <v>1695.44</v>
      </c>
      <c r="BA22" s="63">
        <f t="shared" si="16"/>
        <v>1955.5399999999997</v>
      </c>
      <c r="BB22" s="63">
        <f t="shared" si="16"/>
        <v>1959.6399999999999</v>
      </c>
      <c r="BC22" s="63">
        <f t="shared" si="16"/>
        <v>1989.6399999999999</v>
      </c>
      <c r="BD22" s="63">
        <f t="shared" si="16"/>
        <v>2031.14</v>
      </c>
      <c r="BE22" s="63">
        <f t="shared" si="16"/>
        <v>1968.04</v>
      </c>
      <c r="BF22" s="63">
        <f t="shared" si="16"/>
        <v>1942.3999999999999</v>
      </c>
      <c r="BG22" s="63">
        <f t="shared" si="16"/>
        <v>2051.2399999999998</v>
      </c>
      <c r="BH22" s="63">
        <f t="shared" si="16"/>
        <v>2032.74</v>
      </c>
      <c r="BI22" s="63">
        <f t="shared" si="16"/>
        <v>1988.24</v>
      </c>
      <c r="BJ22" s="63">
        <f t="shared" si="16"/>
        <v>1971.54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41</v>
      </c>
      <c r="C23" s="46">
        <v>41</v>
      </c>
      <c r="D23" s="46">
        <v>41</v>
      </c>
      <c r="E23" s="46">
        <v>41</v>
      </c>
      <c r="F23" s="46">
        <v>41</v>
      </c>
      <c r="G23" s="46">
        <v>41</v>
      </c>
      <c r="H23" s="46">
        <v>41</v>
      </c>
      <c r="I23" s="46">
        <v>41</v>
      </c>
      <c r="J23" s="46">
        <v>41</v>
      </c>
      <c r="K23" s="46">
        <v>41</v>
      </c>
      <c r="L23" s="46">
        <v>41</v>
      </c>
      <c r="M23" s="46">
        <v>41</v>
      </c>
      <c r="N23" s="46">
        <v>41</v>
      </c>
      <c r="O23" s="46">
        <v>41</v>
      </c>
      <c r="P23" s="46">
        <v>41</v>
      </c>
      <c r="Q23" s="46">
        <v>41</v>
      </c>
      <c r="R23" s="46">
        <v>41</v>
      </c>
      <c r="S23" s="46">
        <v>41</v>
      </c>
      <c r="T23" s="46">
        <v>41</v>
      </c>
      <c r="U23" s="46">
        <v>41</v>
      </c>
      <c r="V23" s="46">
        <v>41</v>
      </c>
      <c r="W23" s="46">
        <v>41</v>
      </c>
      <c r="X23" s="46">
        <v>41</v>
      </c>
      <c r="Y23" s="46">
        <v>41</v>
      </c>
      <c r="Z23" s="46">
        <v>41</v>
      </c>
      <c r="AA23" s="46">
        <v>41</v>
      </c>
      <c r="AB23" s="46">
        <v>41</v>
      </c>
      <c r="AC23" s="46">
        <v>41</v>
      </c>
      <c r="AD23" s="46">
        <v>41</v>
      </c>
      <c r="AE23" s="46">
        <v>41</v>
      </c>
      <c r="AF23" s="46">
        <v>41</v>
      </c>
      <c r="AG23" s="50">
        <v>38.46</v>
      </c>
      <c r="AH23" s="48">
        <f t="shared" si="2"/>
        <v>41</v>
      </c>
      <c r="AI23" s="49">
        <f t="shared" si="3"/>
        <v>41</v>
      </c>
      <c r="AK23" s="51"/>
      <c r="AL23" s="62" t="s">
        <v>39</v>
      </c>
      <c r="AM23" s="63">
        <f t="shared" ref="AM23:AR23" si="17">B110*-1</f>
        <v>-570</v>
      </c>
      <c r="AN23" s="63">
        <f t="shared" si="17"/>
        <v>-650</v>
      </c>
      <c r="AO23" s="63">
        <f t="shared" si="17"/>
        <v>-680</v>
      </c>
      <c r="AP23" s="63">
        <f t="shared" si="17"/>
        <v>-707</v>
      </c>
      <c r="AQ23" s="63">
        <f t="shared" si="17"/>
        <v>-663.6</v>
      </c>
      <c r="AR23" s="63">
        <f t="shared" si="17"/>
        <v>-677</v>
      </c>
      <c r="AS23" s="63">
        <f>I110*-1</f>
        <v>-635</v>
      </c>
      <c r="AT23" s="63">
        <f>K110*-1</f>
        <v>-577</v>
      </c>
      <c r="AU23" s="63">
        <f t="shared" ref="AU23:BD23" si="18">M110*-1</f>
        <v>-524</v>
      </c>
      <c r="AV23" s="63">
        <f t="shared" si="18"/>
        <v>-435</v>
      </c>
      <c r="AW23" s="63">
        <f t="shared" si="18"/>
        <v>-440</v>
      </c>
      <c r="AX23" s="63">
        <f t="shared" si="18"/>
        <v>-427</v>
      </c>
      <c r="AY23" s="63">
        <f t="shared" si="18"/>
        <v>-465</v>
      </c>
      <c r="AZ23" s="63">
        <f t="shared" si="18"/>
        <v>-470</v>
      </c>
      <c r="BA23" s="63">
        <f t="shared" si="18"/>
        <v>-484</v>
      </c>
      <c r="BB23" s="63">
        <f t="shared" si="18"/>
        <v>-441</v>
      </c>
      <c r="BC23" s="63">
        <f t="shared" si="18"/>
        <v>-456.4</v>
      </c>
      <c r="BD23" s="63">
        <f t="shared" si="18"/>
        <v>-480</v>
      </c>
      <c r="BE23" s="63">
        <f>X110*-1</f>
        <v>-493</v>
      </c>
      <c r="BF23" s="63">
        <f>Z110*-1</f>
        <v>-444</v>
      </c>
      <c r="BG23" s="63">
        <f>AB110*-1</f>
        <v>-444</v>
      </c>
      <c r="BH23" s="63">
        <f>AD110*-1</f>
        <v>-448</v>
      </c>
      <c r="BI23" s="63">
        <f>AE110*-1</f>
        <v>-478</v>
      </c>
      <c r="BJ23" s="63">
        <f>AF110*-1</f>
        <v>-480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26</v>
      </c>
      <c r="C24" s="46">
        <v>26</v>
      </c>
      <c r="D24" s="46">
        <v>26</v>
      </c>
      <c r="E24" s="46">
        <v>26</v>
      </c>
      <c r="F24" s="46">
        <v>26</v>
      </c>
      <c r="G24" s="46">
        <v>26</v>
      </c>
      <c r="H24" s="46">
        <v>26</v>
      </c>
      <c r="I24" s="46">
        <v>26</v>
      </c>
      <c r="J24" s="46">
        <v>26</v>
      </c>
      <c r="K24" s="46">
        <v>26</v>
      </c>
      <c r="L24" s="46">
        <v>26</v>
      </c>
      <c r="M24" s="46">
        <v>26</v>
      </c>
      <c r="N24" s="46">
        <v>26</v>
      </c>
      <c r="O24" s="46">
        <v>26</v>
      </c>
      <c r="P24" s="46">
        <v>26</v>
      </c>
      <c r="Q24" s="46">
        <v>26</v>
      </c>
      <c r="R24" s="46">
        <v>26</v>
      </c>
      <c r="S24" s="46">
        <v>26</v>
      </c>
      <c r="T24" s="46">
        <v>26</v>
      </c>
      <c r="U24" s="46">
        <v>26</v>
      </c>
      <c r="V24" s="46">
        <v>26</v>
      </c>
      <c r="W24" s="46">
        <v>26</v>
      </c>
      <c r="X24" s="46">
        <v>26</v>
      </c>
      <c r="Y24" s="46">
        <v>26</v>
      </c>
      <c r="Z24" s="46">
        <v>26</v>
      </c>
      <c r="AA24" s="46">
        <v>26</v>
      </c>
      <c r="AB24" s="46">
        <v>26</v>
      </c>
      <c r="AC24" s="46">
        <v>26</v>
      </c>
      <c r="AD24" s="46">
        <v>26</v>
      </c>
      <c r="AE24" s="46">
        <v>26</v>
      </c>
      <c r="AF24" s="46">
        <v>26</v>
      </c>
      <c r="AG24" s="50">
        <v>36</v>
      </c>
      <c r="AH24" s="48">
        <f t="shared" si="2"/>
        <v>26</v>
      </c>
      <c r="AI24" s="49">
        <f t="shared" si="3"/>
        <v>26</v>
      </c>
      <c r="AK24" s="51"/>
      <c r="AL24" s="62" t="s">
        <v>41</v>
      </c>
      <c r="AM24" s="63">
        <f t="shared" ref="AM24:BJ24" si="19">AM22+AM23</f>
        <v>1079.6399999999999</v>
      </c>
      <c r="AN24" s="63">
        <f t="shared" si="19"/>
        <v>889.63999999999987</v>
      </c>
      <c r="AO24" s="63">
        <f t="shared" si="19"/>
        <v>843.63999999999987</v>
      </c>
      <c r="AP24" s="63">
        <f t="shared" si="19"/>
        <v>781.94</v>
      </c>
      <c r="AQ24" s="63">
        <f t="shared" si="19"/>
        <v>886.34</v>
      </c>
      <c r="AR24" s="63">
        <f t="shared" si="19"/>
        <v>888.94</v>
      </c>
      <c r="AS24" s="63">
        <f t="shared" si="19"/>
        <v>954.54</v>
      </c>
      <c r="AT24" s="63">
        <f t="shared" si="19"/>
        <v>1109.74</v>
      </c>
      <c r="AU24" s="63">
        <f t="shared" si="19"/>
        <v>1163.44</v>
      </c>
      <c r="AV24" s="63">
        <f t="shared" si="19"/>
        <v>1252.44</v>
      </c>
      <c r="AW24" s="63">
        <f t="shared" si="19"/>
        <v>1247.44</v>
      </c>
      <c r="AX24" s="63">
        <f t="shared" si="19"/>
        <v>1281.44</v>
      </c>
      <c r="AY24" s="63">
        <f t="shared" si="19"/>
        <v>1252.44</v>
      </c>
      <c r="AZ24" s="63">
        <f t="shared" si="19"/>
        <v>1225.44</v>
      </c>
      <c r="BA24" s="63">
        <f t="shared" si="19"/>
        <v>1471.5399999999997</v>
      </c>
      <c r="BB24" s="63">
        <f t="shared" si="19"/>
        <v>1518.6399999999999</v>
      </c>
      <c r="BC24" s="63">
        <f t="shared" si="19"/>
        <v>1533.2399999999998</v>
      </c>
      <c r="BD24" s="63">
        <f t="shared" si="19"/>
        <v>1551.14</v>
      </c>
      <c r="BE24" s="63">
        <f t="shared" si="19"/>
        <v>1475.04</v>
      </c>
      <c r="BF24" s="63">
        <f t="shared" si="19"/>
        <v>1498.3999999999999</v>
      </c>
      <c r="BG24" s="63">
        <f t="shared" si="19"/>
        <v>1607.2399999999998</v>
      </c>
      <c r="BH24" s="63">
        <f t="shared" si="19"/>
        <v>1584.74</v>
      </c>
      <c r="BI24" s="63">
        <f t="shared" si="19"/>
        <v>1510.24</v>
      </c>
      <c r="BJ24" s="63">
        <f t="shared" si="19"/>
        <v>1491.54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15</v>
      </c>
      <c r="D25" s="46">
        <v>15</v>
      </c>
      <c r="E25" s="46">
        <v>6</v>
      </c>
      <c r="F25" s="46">
        <v>6</v>
      </c>
      <c r="G25" s="46">
        <v>6</v>
      </c>
      <c r="H25" s="46">
        <v>6</v>
      </c>
      <c r="I25" s="46">
        <v>6</v>
      </c>
      <c r="J25" s="46">
        <v>6</v>
      </c>
      <c r="K25" s="46">
        <v>6</v>
      </c>
      <c r="L25" s="46">
        <v>6</v>
      </c>
      <c r="M25" s="46">
        <v>6</v>
      </c>
      <c r="N25" s="46">
        <v>6</v>
      </c>
      <c r="O25" s="46">
        <v>6</v>
      </c>
      <c r="P25" s="46">
        <v>6</v>
      </c>
      <c r="Q25" s="46">
        <v>6</v>
      </c>
      <c r="R25" s="46">
        <v>6</v>
      </c>
      <c r="S25" s="46">
        <v>18.7</v>
      </c>
      <c r="T25" s="46">
        <v>18.7</v>
      </c>
      <c r="U25" s="46">
        <v>18.7</v>
      </c>
      <c r="V25" s="46">
        <v>18.7</v>
      </c>
      <c r="W25" s="46">
        <v>18.7</v>
      </c>
      <c r="X25" s="46">
        <v>18.7</v>
      </c>
      <c r="Y25" s="46">
        <v>18.7</v>
      </c>
      <c r="Z25" s="46">
        <v>18.7</v>
      </c>
      <c r="AA25" s="46">
        <v>18.7</v>
      </c>
      <c r="AB25" s="46">
        <v>18.7</v>
      </c>
      <c r="AC25" s="46">
        <v>18.7</v>
      </c>
      <c r="AD25" s="46">
        <v>18.7</v>
      </c>
      <c r="AE25" s="46">
        <v>18.7</v>
      </c>
      <c r="AF25" s="46">
        <v>8</v>
      </c>
      <c r="AG25" s="61">
        <v>30</v>
      </c>
      <c r="AH25" s="48">
        <f t="shared" si="2"/>
        <v>18.7</v>
      </c>
      <c r="AI25" s="49">
        <f t="shared" si="3"/>
        <v>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15</v>
      </c>
      <c r="C26" s="46">
        <v>15</v>
      </c>
      <c r="D26" s="46">
        <v>15</v>
      </c>
      <c r="E26" s="46">
        <v>15</v>
      </c>
      <c r="F26" s="46">
        <v>15</v>
      </c>
      <c r="G26" s="46">
        <v>15</v>
      </c>
      <c r="H26" s="46">
        <v>15</v>
      </c>
      <c r="I26" s="46">
        <v>15</v>
      </c>
      <c r="J26" s="46">
        <v>15</v>
      </c>
      <c r="K26" s="46">
        <v>15</v>
      </c>
      <c r="L26" s="46">
        <v>15</v>
      </c>
      <c r="M26" s="46">
        <v>15</v>
      </c>
      <c r="N26" s="46">
        <v>15</v>
      </c>
      <c r="O26" s="46">
        <v>15</v>
      </c>
      <c r="P26" s="46">
        <v>15</v>
      </c>
      <c r="Q26" s="46">
        <v>15</v>
      </c>
      <c r="R26" s="46">
        <v>15</v>
      </c>
      <c r="S26" s="46">
        <v>28</v>
      </c>
      <c r="T26" s="46">
        <v>28</v>
      </c>
      <c r="U26" s="46">
        <v>28</v>
      </c>
      <c r="V26" s="46">
        <v>28</v>
      </c>
      <c r="W26" s="46">
        <v>28</v>
      </c>
      <c r="X26" s="46">
        <v>28</v>
      </c>
      <c r="Y26" s="46">
        <v>28</v>
      </c>
      <c r="Z26" s="46">
        <v>28</v>
      </c>
      <c r="AA26" s="46">
        <v>28</v>
      </c>
      <c r="AB26" s="46">
        <v>28</v>
      </c>
      <c r="AC26" s="46">
        <v>28</v>
      </c>
      <c r="AD26" s="46">
        <v>28</v>
      </c>
      <c r="AE26" s="46">
        <v>28</v>
      </c>
      <c r="AF26" s="46">
        <v>28</v>
      </c>
      <c r="AG26" s="50">
        <v>24.2</v>
      </c>
      <c r="AH26" s="48">
        <f t="shared" si="2"/>
        <v>28</v>
      </c>
      <c r="AI26" s="49">
        <f t="shared" si="3"/>
        <v>15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15</v>
      </c>
      <c r="C27" s="46">
        <v>15</v>
      </c>
      <c r="D27" s="46">
        <v>15</v>
      </c>
      <c r="E27" s="46">
        <v>15</v>
      </c>
      <c r="F27" s="46">
        <v>15</v>
      </c>
      <c r="G27" s="46">
        <v>15</v>
      </c>
      <c r="H27" s="46">
        <v>15</v>
      </c>
      <c r="I27" s="46">
        <v>15</v>
      </c>
      <c r="J27" s="46">
        <v>15</v>
      </c>
      <c r="K27" s="46">
        <v>15</v>
      </c>
      <c r="L27" s="46">
        <v>15</v>
      </c>
      <c r="M27" s="46">
        <v>15</v>
      </c>
      <c r="N27" s="46">
        <v>15</v>
      </c>
      <c r="O27" s="46">
        <v>15</v>
      </c>
      <c r="P27" s="46">
        <v>15</v>
      </c>
      <c r="Q27" s="46">
        <v>15</v>
      </c>
      <c r="R27" s="46">
        <v>15</v>
      </c>
      <c r="S27" s="46">
        <v>15</v>
      </c>
      <c r="T27" s="46">
        <v>15</v>
      </c>
      <c r="U27" s="46">
        <v>15</v>
      </c>
      <c r="V27" s="46">
        <v>15</v>
      </c>
      <c r="W27" s="46">
        <v>15</v>
      </c>
      <c r="X27" s="46">
        <v>15</v>
      </c>
      <c r="Y27" s="46">
        <v>15</v>
      </c>
      <c r="Z27" s="46">
        <v>15</v>
      </c>
      <c r="AA27" s="46">
        <v>15</v>
      </c>
      <c r="AB27" s="46">
        <v>15</v>
      </c>
      <c r="AC27" s="46">
        <v>15</v>
      </c>
      <c r="AD27" s="46">
        <v>15</v>
      </c>
      <c r="AE27" s="46">
        <v>15</v>
      </c>
      <c r="AF27" s="46">
        <v>27</v>
      </c>
      <c r="AG27" s="50">
        <v>28</v>
      </c>
      <c r="AH27" s="48">
        <f t="shared" si="2"/>
        <v>27</v>
      </c>
      <c r="AI27" s="49">
        <f t="shared" si="3"/>
        <v>15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5.8</v>
      </c>
      <c r="C28" s="46">
        <v>5.8</v>
      </c>
      <c r="D28" s="46">
        <v>5.8</v>
      </c>
      <c r="E28" s="46">
        <v>5.8</v>
      </c>
      <c r="F28" s="46">
        <v>5.8</v>
      </c>
      <c r="G28" s="46">
        <v>5.8</v>
      </c>
      <c r="H28" s="46">
        <v>5.8</v>
      </c>
      <c r="I28" s="46">
        <v>5.8</v>
      </c>
      <c r="J28" s="46">
        <v>5.8</v>
      </c>
      <c r="K28" s="46">
        <v>5.8</v>
      </c>
      <c r="L28" s="46">
        <v>5.8</v>
      </c>
      <c r="M28" s="46">
        <v>5.8</v>
      </c>
      <c r="N28" s="46">
        <v>5.8</v>
      </c>
      <c r="O28" s="46">
        <v>5.8</v>
      </c>
      <c r="P28" s="46">
        <v>5.8</v>
      </c>
      <c r="Q28" s="46">
        <v>5.8</v>
      </c>
      <c r="R28" s="46">
        <v>5.8</v>
      </c>
      <c r="S28" s="46">
        <v>24</v>
      </c>
      <c r="T28" s="46">
        <v>24</v>
      </c>
      <c r="U28" s="46">
        <v>24</v>
      </c>
      <c r="V28" s="46">
        <v>24</v>
      </c>
      <c r="W28" s="46">
        <v>24</v>
      </c>
      <c r="X28" s="46">
        <v>24</v>
      </c>
      <c r="Y28" s="46">
        <v>24</v>
      </c>
      <c r="Z28" s="46">
        <v>24</v>
      </c>
      <c r="AA28" s="46">
        <v>24</v>
      </c>
      <c r="AB28" s="46">
        <v>24</v>
      </c>
      <c r="AC28" s="46">
        <v>24</v>
      </c>
      <c r="AD28" s="46">
        <v>24</v>
      </c>
      <c r="AE28" s="46">
        <v>24</v>
      </c>
      <c r="AF28" s="46">
        <v>6</v>
      </c>
      <c r="AG28" s="61">
        <v>30</v>
      </c>
      <c r="AH28" s="48">
        <f t="shared" si="2"/>
        <v>24</v>
      </c>
      <c r="AI28" s="49">
        <f t="shared" si="3"/>
        <v>5.8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24</v>
      </c>
      <c r="C29" s="46">
        <v>24</v>
      </c>
      <c r="D29" s="46">
        <v>24</v>
      </c>
      <c r="E29" s="46">
        <v>24</v>
      </c>
      <c r="F29" s="46">
        <v>24</v>
      </c>
      <c r="G29" s="46">
        <v>24</v>
      </c>
      <c r="H29" s="46">
        <v>24</v>
      </c>
      <c r="I29" s="46">
        <v>24</v>
      </c>
      <c r="J29" s="46">
        <v>24</v>
      </c>
      <c r="K29" s="46">
        <v>24</v>
      </c>
      <c r="L29" s="46">
        <v>24</v>
      </c>
      <c r="M29" s="46">
        <v>24</v>
      </c>
      <c r="N29" s="46">
        <v>24</v>
      </c>
      <c r="O29" s="46">
        <v>24</v>
      </c>
      <c r="P29" s="46">
        <v>24</v>
      </c>
      <c r="Q29" s="46">
        <v>24</v>
      </c>
      <c r="R29" s="46">
        <v>24</v>
      </c>
      <c r="S29" s="46">
        <v>24</v>
      </c>
      <c r="T29" s="46">
        <v>24</v>
      </c>
      <c r="U29" s="46">
        <v>24</v>
      </c>
      <c r="V29" s="46">
        <v>24</v>
      </c>
      <c r="W29" s="46">
        <v>24</v>
      </c>
      <c r="X29" s="46">
        <v>24</v>
      </c>
      <c r="Y29" s="46">
        <v>24</v>
      </c>
      <c r="Z29" s="46">
        <v>24</v>
      </c>
      <c r="AA29" s="46">
        <v>24</v>
      </c>
      <c r="AB29" s="46">
        <v>24</v>
      </c>
      <c r="AC29" s="46">
        <v>24</v>
      </c>
      <c r="AD29" s="46">
        <v>24</v>
      </c>
      <c r="AE29" s="46">
        <v>24</v>
      </c>
      <c r="AF29" s="46">
        <v>24</v>
      </c>
      <c r="AG29" s="50">
        <v>25</v>
      </c>
      <c r="AH29" s="48">
        <f t="shared" si="2"/>
        <v>24</v>
      </c>
      <c r="AI29" s="49">
        <f t="shared" si="3"/>
        <v>24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15</v>
      </c>
      <c r="C31" s="46">
        <v>15</v>
      </c>
      <c r="D31" s="46">
        <v>15</v>
      </c>
      <c r="E31" s="46">
        <v>15</v>
      </c>
      <c r="F31" s="46">
        <v>15</v>
      </c>
      <c r="G31" s="46">
        <v>15</v>
      </c>
      <c r="H31" s="46">
        <v>15</v>
      </c>
      <c r="I31" s="46">
        <v>15</v>
      </c>
      <c r="J31" s="46">
        <v>15</v>
      </c>
      <c r="K31" s="46">
        <v>15</v>
      </c>
      <c r="L31" s="46">
        <v>15</v>
      </c>
      <c r="M31" s="46">
        <v>15</v>
      </c>
      <c r="N31" s="46">
        <v>15</v>
      </c>
      <c r="O31" s="46">
        <v>15</v>
      </c>
      <c r="P31" s="46">
        <v>15</v>
      </c>
      <c r="Q31" s="46">
        <v>15</v>
      </c>
      <c r="R31" s="46">
        <v>15</v>
      </c>
      <c r="S31" s="46">
        <v>15</v>
      </c>
      <c r="T31" s="46">
        <v>15</v>
      </c>
      <c r="U31" s="46">
        <v>15</v>
      </c>
      <c r="V31" s="46">
        <v>15</v>
      </c>
      <c r="W31" s="46">
        <v>15</v>
      </c>
      <c r="X31" s="46">
        <v>15</v>
      </c>
      <c r="Y31" s="46">
        <v>15</v>
      </c>
      <c r="Z31" s="46">
        <v>15</v>
      </c>
      <c r="AA31" s="46">
        <v>15</v>
      </c>
      <c r="AB31" s="46">
        <v>15</v>
      </c>
      <c r="AC31" s="46">
        <v>15</v>
      </c>
      <c r="AD31" s="46">
        <v>15</v>
      </c>
      <c r="AE31" s="46">
        <v>15</v>
      </c>
      <c r="AF31" s="46">
        <v>15</v>
      </c>
      <c r="AG31" s="50">
        <v>25</v>
      </c>
      <c r="AH31" s="48">
        <f t="shared" si="2"/>
        <v>15</v>
      </c>
      <c r="AI31" s="49">
        <f t="shared" si="3"/>
        <v>15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5.9</v>
      </c>
      <c r="C32" s="46">
        <v>5.9</v>
      </c>
      <c r="D32" s="46">
        <v>5.9</v>
      </c>
      <c r="E32" s="46">
        <v>5.9</v>
      </c>
      <c r="F32" s="46">
        <v>5.9</v>
      </c>
      <c r="G32" s="46">
        <v>5.9</v>
      </c>
      <c r="H32" s="46">
        <v>5.9</v>
      </c>
      <c r="I32" s="46">
        <v>5.9</v>
      </c>
      <c r="J32" s="46">
        <v>5.9</v>
      </c>
      <c r="K32" s="46">
        <v>5.9</v>
      </c>
      <c r="L32" s="46">
        <v>5.9</v>
      </c>
      <c r="M32" s="46">
        <v>5.9</v>
      </c>
      <c r="N32" s="46">
        <v>5.9</v>
      </c>
      <c r="O32" s="46">
        <v>5.9</v>
      </c>
      <c r="P32" s="46">
        <v>5.9</v>
      </c>
      <c r="Q32" s="46">
        <v>5.9</v>
      </c>
      <c r="R32" s="46">
        <v>5.9</v>
      </c>
      <c r="S32" s="46">
        <v>25</v>
      </c>
      <c r="T32" s="46">
        <v>25</v>
      </c>
      <c r="U32" s="46">
        <v>25</v>
      </c>
      <c r="V32" s="46">
        <v>25</v>
      </c>
      <c r="W32" s="46">
        <v>25</v>
      </c>
      <c r="X32" s="46">
        <v>25</v>
      </c>
      <c r="Y32" s="46">
        <v>25</v>
      </c>
      <c r="Z32" s="46">
        <v>25</v>
      </c>
      <c r="AA32" s="46">
        <v>25</v>
      </c>
      <c r="AB32" s="46">
        <v>25</v>
      </c>
      <c r="AC32" s="46">
        <v>25</v>
      </c>
      <c r="AD32" s="46">
        <v>25</v>
      </c>
      <c r="AE32" s="46">
        <v>25</v>
      </c>
      <c r="AF32" s="46">
        <v>25</v>
      </c>
      <c r="AG32" s="50">
        <v>25</v>
      </c>
      <c r="AH32" s="48">
        <f t="shared" si="2"/>
        <v>25</v>
      </c>
      <c r="AI32" s="49">
        <f t="shared" si="3"/>
        <v>5.9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13.4</v>
      </c>
      <c r="C33" s="46">
        <v>13.4</v>
      </c>
      <c r="D33" s="46">
        <v>13.4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18.600000000000001</v>
      </c>
      <c r="T33" s="46">
        <v>18.600000000000001</v>
      </c>
      <c r="U33" s="46">
        <v>18.600000000000001</v>
      </c>
      <c r="V33" s="46">
        <v>18.600000000000001</v>
      </c>
      <c r="W33" s="46">
        <v>18.600000000000001</v>
      </c>
      <c r="X33" s="46">
        <v>18.600000000000001</v>
      </c>
      <c r="Y33" s="46">
        <v>18.600000000000001</v>
      </c>
      <c r="Z33" s="46">
        <v>18.600000000000001</v>
      </c>
      <c r="AA33" s="46">
        <v>18.600000000000001</v>
      </c>
      <c r="AB33" s="46">
        <v>18.600000000000001</v>
      </c>
      <c r="AC33" s="46">
        <v>18.600000000000001</v>
      </c>
      <c r="AD33" s="46">
        <v>18.600000000000001</v>
      </c>
      <c r="AE33" s="46">
        <v>18.600000000000001</v>
      </c>
      <c r="AF33" s="46">
        <v>18.600000000000001</v>
      </c>
      <c r="AG33" s="50">
        <v>23.5</v>
      </c>
      <c r="AH33" s="48">
        <f t="shared" si="2"/>
        <v>18.600000000000001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20.7</v>
      </c>
      <c r="F37" s="46">
        <v>20.7</v>
      </c>
      <c r="G37" s="46">
        <v>20.7</v>
      </c>
      <c r="H37" s="46">
        <v>20.7</v>
      </c>
      <c r="I37" s="46">
        <v>20.7</v>
      </c>
      <c r="J37" s="46">
        <v>20.7</v>
      </c>
      <c r="K37" s="46">
        <v>20.7</v>
      </c>
      <c r="L37" s="46">
        <v>20.7</v>
      </c>
      <c r="M37" s="46">
        <v>20.7</v>
      </c>
      <c r="N37" s="46">
        <v>20.7</v>
      </c>
      <c r="O37" s="46">
        <v>20.7</v>
      </c>
      <c r="P37" s="46">
        <v>20.7</v>
      </c>
      <c r="Q37" s="46">
        <v>20.7</v>
      </c>
      <c r="R37" s="46">
        <v>20.7</v>
      </c>
      <c r="S37" s="46">
        <v>20.7</v>
      </c>
      <c r="T37" s="46">
        <v>20.7</v>
      </c>
      <c r="U37" s="46">
        <v>20.7</v>
      </c>
      <c r="V37" s="46">
        <v>20.7</v>
      </c>
      <c r="W37" s="46">
        <v>20.7</v>
      </c>
      <c r="X37" s="46">
        <v>20.7</v>
      </c>
      <c r="Y37" s="46">
        <v>20.7</v>
      </c>
      <c r="Z37" s="46">
        <v>20.7</v>
      </c>
      <c r="AA37" s="46">
        <v>20.7</v>
      </c>
      <c r="AB37" s="46">
        <v>20.7</v>
      </c>
      <c r="AC37" s="46">
        <v>20.7</v>
      </c>
      <c r="AD37" s="46">
        <v>20.7</v>
      </c>
      <c r="AE37" s="46">
        <v>20.7</v>
      </c>
      <c r="AF37" s="46">
        <v>20.7</v>
      </c>
      <c r="AG37" s="50">
        <v>22</v>
      </c>
      <c r="AH37" s="48">
        <f t="shared" si="2"/>
        <v>22</v>
      </c>
      <c r="AI37" s="49">
        <f t="shared" si="3"/>
        <v>20.7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6</v>
      </c>
      <c r="C38" s="46">
        <v>6</v>
      </c>
      <c r="D38" s="46">
        <v>6</v>
      </c>
      <c r="E38" s="46">
        <v>6</v>
      </c>
      <c r="F38" s="46">
        <v>6</v>
      </c>
      <c r="G38" s="46">
        <v>6</v>
      </c>
      <c r="H38" s="46">
        <v>6</v>
      </c>
      <c r="I38" s="46">
        <v>6</v>
      </c>
      <c r="J38" s="46">
        <v>6</v>
      </c>
      <c r="K38" s="46">
        <v>6</v>
      </c>
      <c r="L38" s="46">
        <v>6</v>
      </c>
      <c r="M38" s="46">
        <v>6</v>
      </c>
      <c r="N38" s="46">
        <v>6</v>
      </c>
      <c r="O38" s="46">
        <v>6</v>
      </c>
      <c r="P38" s="46">
        <v>6</v>
      </c>
      <c r="Q38" s="46">
        <v>6</v>
      </c>
      <c r="R38" s="46">
        <v>6</v>
      </c>
      <c r="S38" s="46">
        <v>18</v>
      </c>
      <c r="T38" s="46">
        <v>18</v>
      </c>
      <c r="U38" s="46">
        <v>18</v>
      </c>
      <c r="V38" s="46">
        <v>18</v>
      </c>
      <c r="W38" s="46">
        <v>18</v>
      </c>
      <c r="X38" s="46">
        <v>18</v>
      </c>
      <c r="Y38" s="46">
        <v>18</v>
      </c>
      <c r="Z38" s="46">
        <v>18</v>
      </c>
      <c r="AA38" s="46">
        <v>18</v>
      </c>
      <c r="AB38" s="46">
        <v>18</v>
      </c>
      <c r="AC38" s="46">
        <v>18</v>
      </c>
      <c r="AD38" s="46">
        <v>18</v>
      </c>
      <c r="AE38" s="46">
        <v>18</v>
      </c>
      <c r="AF38" s="46">
        <v>18</v>
      </c>
      <c r="AG38" s="50">
        <v>20</v>
      </c>
      <c r="AH38" s="48">
        <f t="shared" si="2"/>
        <v>18</v>
      </c>
      <c r="AI38" s="49">
        <f t="shared" si="3"/>
        <v>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5</v>
      </c>
      <c r="C40" s="46">
        <v>5</v>
      </c>
      <c r="D40" s="46">
        <v>5</v>
      </c>
      <c r="E40" s="46">
        <v>4</v>
      </c>
      <c r="F40" s="46">
        <v>4</v>
      </c>
      <c r="G40" s="46">
        <v>4</v>
      </c>
      <c r="H40" s="46">
        <v>4</v>
      </c>
      <c r="I40" s="46">
        <v>4</v>
      </c>
      <c r="J40" s="46">
        <v>4</v>
      </c>
      <c r="K40" s="46">
        <v>4</v>
      </c>
      <c r="L40" s="46">
        <v>4</v>
      </c>
      <c r="M40" s="46">
        <v>4</v>
      </c>
      <c r="N40" s="46">
        <v>4</v>
      </c>
      <c r="O40" s="46">
        <v>4</v>
      </c>
      <c r="P40" s="46">
        <v>4</v>
      </c>
      <c r="Q40" s="46">
        <v>4</v>
      </c>
      <c r="R40" s="46">
        <v>4</v>
      </c>
      <c r="S40" s="46">
        <v>13</v>
      </c>
      <c r="T40" s="46">
        <v>13</v>
      </c>
      <c r="U40" s="46">
        <v>13</v>
      </c>
      <c r="V40" s="46">
        <v>13</v>
      </c>
      <c r="W40" s="46">
        <v>13</v>
      </c>
      <c r="X40" s="46">
        <v>13</v>
      </c>
      <c r="Y40" s="46">
        <v>13</v>
      </c>
      <c r="Z40" s="46">
        <v>13</v>
      </c>
      <c r="AA40" s="46">
        <v>13</v>
      </c>
      <c r="AB40" s="46">
        <v>13</v>
      </c>
      <c r="AC40" s="46">
        <v>13</v>
      </c>
      <c r="AD40" s="46">
        <v>13</v>
      </c>
      <c r="AE40" s="46">
        <v>13</v>
      </c>
      <c r="AF40" s="46">
        <v>13</v>
      </c>
      <c r="AG40" s="50">
        <v>18</v>
      </c>
      <c r="AH40" s="48">
        <f t="shared" si="2"/>
        <v>13</v>
      </c>
      <c r="AI40" s="49">
        <f t="shared" si="3"/>
        <v>4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4</v>
      </c>
      <c r="AC45" s="46">
        <v>4</v>
      </c>
      <c r="AD45" s="46">
        <v>4</v>
      </c>
      <c r="AE45" s="46">
        <v>4</v>
      </c>
      <c r="AF45" s="46">
        <v>4</v>
      </c>
      <c r="AG45" s="50">
        <v>14.3</v>
      </c>
      <c r="AH45" s="48">
        <f t="shared" si="2"/>
        <v>4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</v>
      </c>
      <c r="C46" s="46">
        <v>5</v>
      </c>
      <c r="D46" s="46">
        <v>5</v>
      </c>
      <c r="E46" s="46">
        <v>5</v>
      </c>
      <c r="F46" s="46">
        <v>5</v>
      </c>
      <c r="G46" s="46">
        <v>5</v>
      </c>
      <c r="H46" s="46">
        <v>5</v>
      </c>
      <c r="I46" s="46">
        <v>5</v>
      </c>
      <c r="J46" s="46">
        <v>5</v>
      </c>
      <c r="K46" s="46">
        <v>5</v>
      </c>
      <c r="L46" s="46">
        <v>5</v>
      </c>
      <c r="M46" s="46">
        <v>5</v>
      </c>
      <c r="N46" s="46">
        <v>5</v>
      </c>
      <c r="O46" s="46">
        <v>5</v>
      </c>
      <c r="P46" s="46">
        <v>5</v>
      </c>
      <c r="Q46" s="46">
        <v>5</v>
      </c>
      <c r="R46" s="46">
        <v>5</v>
      </c>
      <c r="S46" s="46">
        <v>5</v>
      </c>
      <c r="T46" s="46">
        <v>5</v>
      </c>
      <c r="U46" s="46">
        <v>5</v>
      </c>
      <c r="V46" s="46">
        <v>5</v>
      </c>
      <c r="W46" s="46">
        <v>5</v>
      </c>
      <c r="X46" s="46">
        <v>5</v>
      </c>
      <c r="Y46" s="46">
        <v>5</v>
      </c>
      <c r="Z46" s="46">
        <v>5</v>
      </c>
      <c r="AA46" s="46">
        <v>5</v>
      </c>
      <c r="AB46" s="46">
        <v>3.6</v>
      </c>
      <c r="AC46" s="46">
        <v>3.6</v>
      </c>
      <c r="AD46" s="46">
        <v>3.6</v>
      </c>
      <c r="AE46" s="46">
        <v>3.6</v>
      </c>
      <c r="AF46" s="46">
        <v>3.6</v>
      </c>
      <c r="AG46" s="50">
        <v>14</v>
      </c>
      <c r="AH46" s="48">
        <f t="shared" si="2"/>
        <v>5</v>
      </c>
      <c r="AI46" s="49">
        <f t="shared" si="3"/>
        <v>3.6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2</v>
      </c>
      <c r="C49" s="46">
        <v>2</v>
      </c>
      <c r="D49" s="46">
        <v>2</v>
      </c>
      <c r="E49" s="46">
        <v>2</v>
      </c>
      <c r="F49" s="46">
        <v>2</v>
      </c>
      <c r="G49" s="46">
        <v>2</v>
      </c>
      <c r="H49" s="46">
        <v>2</v>
      </c>
      <c r="I49" s="46">
        <v>2</v>
      </c>
      <c r="J49" s="46">
        <v>2</v>
      </c>
      <c r="K49" s="46">
        <v>2</v>
      </c>
      <c r="L49" s="46">
        <v>2</v>
      </c>
      <c r="M49" s="46">
        <v>2</v>
      </c>
      <c r="N49" s="46">
        <v>2</v>
      </c>
      <c r="O49" s="46">
        <v>2</v>
      </c>
      <c r="P49" s="46">
        <v>2</v>
      </c>
      <c r="Q49" s="46">
        <v>2</v>
      </c>
      <c r="R49" s="46">
        <v>2</v>
      </c>
      <c r="S49" s="46">
        <v>2</v>
      </c>
      <c r="T49" s="46">
        <v>2</v>
      </c>
      <c r="U49" s="46">
        <v>2</v>
      </c>
      <c r="V49" s="46">
        <v>2</v>
      </c>
      <c r="W49" s="46">
        <v>2</v>
      </c>
      <c r="X49" s="46">
        <v>2</v>
      </c>
      <c r="Y49" s="46">
        <v>2</v>
      </c>
      <c r="Z49" s="46">
        <v>2</v>
      </c>
      <c r="AA49" s="46">
        <v>2</v>
      </c>
      <c r="AB49" s="46">
        <v>4</v>
      </c>
      <c r="AC49" s="46">
        <v>4</v>
      </c>
      <c r="AD49" s="46">
        <v>4</v>
      </c>
      <c r="AE49" s="46">
        <v>4</v>
      </c>
      <c r="AF49" s="46">
        <v>4</v>
      </c>
      <c r="AG49" s="50">
        <v>12</v>
      </c>
      <c r="AH49" s="48">
        <f t="shared" si="2"/>
        <v>4</v>
      </c>
      <c r="AI49" s="49">
        <f t="shared" si="3"/>
        <v>2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2</v>
      </c>
      <c r="AC50" s="46">
        <v>2</v>
      </c>
      <c r="AD50" s="46">
        <v>2</v>
      </c>
      <c r="AE50" s="46">
        <v>2</v>
      </c>
      <c r="AF50" s="46">
        <v>2</v>
      </c>
      <c r="AG50" s="50">
        <v>12</v>
      </c>
      <c r="AH50" s="48">
        <f t="shared" si="2"/>
        <v>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3.5</v>
      </c>
      <c r="C58" s="46">
        <v>3.5</v>
      </c>
      <c r="D58" s="46">
        <v>3.5</v>
      </c>
      <c r="E58" s="46">
        <v>3.5</v>
      </c>
      <c r="F58" s="46">
        <v>3.5</v>
      </c>
      <c r="G58" s="46">
        <v>3.5</v>
      </c>
      <c r="H58" s="46">
        <v>3.5</v>
      </c>
      <c r="I58" s="46">
        <v>3.5</v>
      </c>
      <c r="J58" s="46">
        <v>3.5</v>
      </c>
      <c r="K58" s="46">
        <v>3.5</v>
      </c>
      <c r="L58" s="46">
        <v>3.5</v>
      </c>
      <c r="M58" s="46">
        <v>3.5</v>
      </c>
      <c r="N58" s="46">
        <v>3.5</v>
      </c>
      <c r="O58" s="46">
        <v>3.5</v>
      </c>
      <c r="P58" s="46">
        <v>3.5</v>
      </c>
      <c r="Q58" s="46">
        <v>3.5</v>
      </c>
      <c r="R58" s="46">
        <v>3.5</v>
      </c>
      <c r="S58" s="46">
        <v>3.5</v>
      </c>
      <c r="T58" s="46">
        <v>3.5</v>
      </c>
      <c r="U58" s="46">
        <v>3.5</v>
      </c>
      <c r="V58" s="46">
        <v>3.5</v>
      </c>
      <c r="W58" s="46">
        <v>3.5</v>
      </c>
      <c r="X58" s="46">
        <v>3.5</v>
      </c>
      <c r="Y58" s="46">
        <v>3.5</v>
      </c>
      <c r="Z58" s="46">
        <v>3.5</v>
      </c>
      <c r="AA58" s="46">
        <v>3.5</v>
      </c>
      <c r="AB58" s="46">
        <v>3.5</v>
      </c>
      <c r="AC58" s="46">
        <v>3.5</v>
      </c>
      <c r="AD58" s="46">
        <v>3.5</v>
      </c>
      <c r="AE58" s="46">
        <v>3.5</v>
      </c>
      <c r="AF58" s="46">
        <v>3.5</v>
      </c>
      <c r="AG58" s="66">
        <v>10</v>
      </c>
      <c r="AH58" s="48">
        <f t="shared" si="2"/>
        <v>3.5</v>
      </c>
      <c r="AI58" s="49">
        <f t="shared" si="3"/>
        <v>3.5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123.6</v>
      </c>
      <c r="C60" s="68">
        <v>123.6</v>
      </c>
      <c r="D60" s="68">
        <v>123.6</v>
      </c>
      <c r="E60" s="68">
        <f>33.4+77.4</f>
        <v>110.80000000000001</v>
      </c>
      <c r="F60" s="68">
        <f>33.4+77.4</f>
        <v>110.80000000000001</v>
      </c>
      <c r="G60" s="68">
        <f>35+89</f>
        <v>124</v>
      </c>
      <c r="H60" s="68">
        <f t="shared" ref="H60:M60" si="20">90+35</f>
        <v>125</v>
      </c>
      <c r="I60" s="68">
        <f t="shared" si="20"/>
        <v>125</v>
      </c>
      <c r="J60" s="68">
        <f t="shared" si="20"/>
        <v>125</v>
      </c>
      <c r="K60" s="68">
        <f t="shared" si="20"/>
        <v>125</v>
      </c>
      <c r="L60" s="68">
        <f t="shared" si="20"/>
        <v>125</v>
      </c>
      <c r="M60" s="68">
        <f t="shared" si="20"/>
        <v>125</v>
      </c>
      <c r="N60" s="68">
        <f>90+35</f>
        <v>125</v>
      </c>
      <c r="O60" s="68">
        <f>90+35</f>
        <v>125</v>
      </c>
      <c r="P60" s="68">
        <f>90+35</f>
        <v>125</v>
      </c>
      <c r="Q60" s="68">
        <f>90+35</f>
        <v>125</v>
      </c>
      <c r="R60" s="68">
        <f>90+35</f>
        <v>125</v>
      </c>
      <c r="S60" s="53">
        <f>35.5+89.4</f>
        <v>124.9</v>
      </c>
      <c r="T60" s="53">
        <f>34.4+88.4</f>
        <v>122.80000000000001</v>
      </c>
      <c r="U60" s="53">
        <f>34.4+87.7</f>
        <v>122.1</v>
      </c>
      <c r="V60" s="53">
        <f>32+79</f>
        <v>111</v>
      </c>
      <c r="W60" s="53">
        <f>33+87</f>
        <v>120</v>
      </c>
      <c r="X60" s="53">
        <f>29+83</f>
        <v>112</v>
      </c>
      <c r="Y60" s="53">
        <f>24+78</f>
        <v>102</v>
      </c>
      <c r="Z60" s="53">
        <f>24+78</f>
        <v>102</v>
      </c>
      <c r="AA60" s="53">
        <f>24+78</f>
        <v>102</v>
      </c>
      <c r="AB60" s="53">
        <v>130</v>
      </c>
      <c r="AC60" s="53">
        <v>130</v>
      </c>
      <c r="AD60" s="53">
        <v>130</v>
      </c>
      <c r="AE60" s="53">
        <v>130</v>
      </c>
      <c r="AF60" s="53">
        <v>130</v>
      </c>
      <c r="AG60" s="66">
        <v>240</v>
      </c>
      <c r="AH60" s="48">
        <f t="shared" si="2"/>
        <v>130</v>
      </c>
      <c r="AI60" s="49">
        <f t="shared" si="3"/>
        <v>102</v>
      </c>
      <c r="AK60" s="51"/>
    </row>
    <row r="61" spans="1:88" ht="15.75" thickBot="1" x14ac:dyDescent="0.3">
      <c r="A61" s="70" t="s">
        <v>75</v>
      </c>
      <c r="B61" s="71">
        <f>SUM(B11:B59)</f>
        <v>810.59999999999991</v>
      </c>
      <c r="C61" s="71">
        <f>SUM(C11:C59)</f>
        <v>810.59999999999991</v>
      </c>
      <c r="D61" s="71">
        <f>SUM(D11:D59)</f>
        <v>810.59999999999991</v>
      </c>
      <c r="E61" s="71">
        <f t="shared" ref="E61:AG61" si="21">SUM(E11:E59)</f>
        <v>735.9</v>
      </c>
      <c r="F61" s="71">
        <f t="shared" si="21"/>
        <v>796.9</v>
      </c>
      <c r="G61" s="71">
        <f t="shared" si="21"/>
        <v>796.9</v>
      </c>
      <c r="H61" s="71">
        <f t="shared" si="21"/>
        <v>796.9</v>
      </c>
      <c r="I61" s="71">
        <f>SUM(I11:I59)</f>
        <v>796.9</v>
      </c>
      <c r="J61" s="71">
        <f>SUM(J11:J59)</f>
        <v>796.9</v>
      </c>
      <c r="K61" s="71">
        <f>SUM(K11:K59)</f>
        <v>724.9</v>
      </c>
      <c r="L61" s="71">
        <f t="shared" si="21"/>
        <v>724.9</v>
      </c>
      <c r="M61" s="71">
        <f>SUM(M11:M59)</f>
        <v>724.9</v>
      </c>
      <c r="N61" s="71">
        <f t="shared" si="21"/>
        <v>724.9</v>
      </c>
      <c r="O61" s="71">
        <f t="shared" si="21"/>
        <v>724.9</v>
      </c>
      <c r="P61" s="71">
        <f t="shared" si="21"/>
        <v>724.9</v>
      </c>
      <c r="Q61" s="71">
        <f t="shared" si="21"/>
        <v>724.9</v>
      </c>
      <c r="R61" s="71">
        <f t="shared" si="21"/>
        <v>724.9</v>
      </c>
      <c r="S61" s="71">
        <f t="shared" si="21"/>
        <v>908.8</v>
      </c>
      <c r="T61" s="71">
        <f t="shared" si="21"/>
        <v>908.8</v>
      </c>
      <c r="U61" s="71">
        <f t="shared" si="21"/>
        <v>908.8</v>
      </c>
      <c r="V61" s="71">
        <f>SUM(V11:V59)</f>
        <v>938.7</v>
      </c>
      <c r="W61" s="71">
        <f>SUM(W11:W59)</f>
        <v>938.7</v>
      </c>
      <c r="X61" s="71">
        <f>SUM(X11:X59)</f>
        <v>938.7</v>
      </c>
      <c r="Y61" s="71">
        <f>SUM(Y11:Y59)</f>
        <v>938.7</v>
      </c>
      <c r="Z61" s="71">
        <f t="shared" si="21"/>
        <v>938.7</v>
      </c>
      <c r="AA61" s="71">
        <f t="shared" si="21"/>
        <v>938.7</v>
      </c>
      <c r="AB61" s="71">
        <f t="shared" si="21"/>
        <v>960.5</v>
      </c>
      <c r="AC61" s="71">
        <f t="shared" si="21"/>
        <v>960.5</v>
      </c>
      <c r="AD61" s="71">
        <f t="shared" si="21"/>
        <v>960.5</v>
      </c>
      <c r="AE61" s="71">
        <f t="shared" si="21"/>
        <v>960.5</v>
      </c>
      <c r="AF61" s="71">
        <f t="shared" si="21"/>
        <v>943.80000000000007</v>
      </c>
      <c r="AG61" s="71">
        <f t="shared" si="21"/>
        <v>1466.0300000000002</v>
      </c>
      <c r="AH61" s="48">
        <f t="shared" si="2"/>
        <v>960.5</v>
      </c>
      <c r="AI61" s="49">
        <f t="shared" si="3"/>
        <v>724.9</v>
      </c>
      <c r="AK61" s="51"/>
    </row>
    <row r="62" spans="1:88" x14ac:dyDescent="0.25">
      <c r="A62" s="73" t="s">
        <v>76</v>
      </c>
      <c r="B62" s="46">
        <v>460</v>
      </c>
      <c r="C62" s="46">
        <v>460</v>
      </c>
      <c r="D62" s="46">
        <v>400</v>
      </c>
      <c r="E62" s="46">
        <v>380</v>
      </c>
      <c r="F62" s="46">
        <v>380</v>
      </c>
      <c r="G62" s="46">
        <v>400</v>
      </c>
      <c r="H62" s="46">
        <v>400</v>
      </c>
      <c r="I62" s="46">
        <v>400</v>
      </c>
      <c r="J62" s="46">
        <v>400</v>
      </c>
      <c r="K62" s="46">
        <v>456</v>
      </c>
      <c r="L62" s="46">
        <v>456</v>
      </c>
      <c r="M62" s="46">
        <v>456</v>
      </c>
      <c r="N62" s="46">
        <v>456</v>
      </c>
      <c r="O62" s="46">
        <v>456</v>
      </c>
      <c r="P62" s="46">
        <v>456</v>
      </c>
      <c r="Q62" s="46">
        <v>456</v>
      </c>
      <c r="R62" s="46">
        <v>456</v>
      </c>
      <c r="S62" s="74">
        <v>460.3</v>
      </c>
      <c r="T62" s="74">
        <v>460.3</v>
      </c>
      <c r="U62" s="74">
        <v>460.3</v>
      </c>
      <c r="V62" s="74">
        <v>460.3</v>
      </c>
      <c r="W62" s="74">
        <v>460.3</v>
      </c>
      <c r="X62" s="74">
        <v>460.3</v>
      </c>
      <c r="Y62" s="74">
        <v>460.3</v>
      </c>
      <c r="Z62" s="74">
        <v>460.3</v>
      </c>
      <c r="AA62" s="74">
        <v>460.3</v>
      </c>
      <c r="AB62" s="74">
        <v>460.3</v>
      </c>
      <c r="AC62" s="74">
        <v>460.3</v>
      </c>
      <c r="AD62" s="74">
        <v>460.3</v>
      </c>
      <c r="AE62" s="74">
        <v>460.3</v>
      </c>
      <c r="AF62" s="74">
        <v>460.3</v>
      </c>
      <c r="AG62" s="61">
        <v>456</v>
      </c>
      <c r="AH62" s="48">
        <f t="shared" si="2"/>
        <v>460.3</v>
      </c>
      <c r="AI62" s="49">
        <f t="shared" si="3"/>
        <v>380</v>
      </c>
      <c r="AK62" s="51"/>
    </row>
    <row r="63" spans="1:88" x14ac:dyDescent="0.25">
      <c r="A63" s="75" t="s">
        <v>77</v>
      </c>
      <c r="B63" s="76">
        <v>60</v>
      </c>
      <c r="C63" s="76">
        <v>50</v>
      </c>
      <c r="D63" s="76">
        <v>50</v>
      </c>
      <c r="E63" s="76">
        <v>50</v>
      </c>
      <c r="F63" s="76">
        <v>50</v>
      </c>
      <c r="G63" s="76">
        <v>50</v>
      </c>
      <c r="H63" s="76">
        <v>50</v>
      </c>
      <c r="I63" s="76">
        <v>50</v>
      </c>
      <c r="J63" s="76">
        <v>50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50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>SUM(B62:B64)</f>
        <v>542.5</v>
      </c>
      <c r="C65" s="71">
        <f>SUM(C62:C64)</f>
        <v>532.5</v>
      </c>
      <c r="D65" s="71">
        <f>SUM(D62:D64)</f>
        <v>472.5</v>
      </c>
      <c r="E65" s="71">
        <f t="shared" ref="E65:AG65" si="22">SUM(E62:E64)</f>
        <v>452.5</v>
      </c>
      <c r="F65" s="71">
        <f t="shared" si="22"/>
        <v>452.5</v>
      </c>
      <c r="G65" s="71">
        <f t="shared" si="22"/>
        <v>472.5</v>
      </c>
      <c r="H65" s="71">
        <f t="shared" si="22"/>
        <v>472.5</v>
      </c>
      <c r="I65" s="71">
        <f>SUM(I62:I64)</f>
        <v>472.5</v>
      </c>
      <c r="J65" s="71">
        <f>SUM(J62:J64)</f>
        <v>472.5</v>
      </c>
      <c r="K65" s="71">
        <f>SUM(K62:K64)</f>
        <v>538.5</v>
      </c>
      <c r="L65" s="71">
        <f t="shared" si="22"/>
        <v>538.5</v>
      </c>
      <c r="M65" s="71">
        <f>SUM(M62:M64)</f>
        <v>538.5</v>
      </c>
      <c r="N65" s="71">
        <f t="shared" si="22"/>
        <v>538.5</v>
      </c>
      <c r="O65" s="71">
        <f t="shared" si="22"/>
        <v>538.5</v>
      </c>
      <c r="P65" s="71">
        <f t="shared" si="22"/>
        <v>538.5</v>
      </c>
      <c r="Q65" s="71">
        <f t="shared" si="22"/>
        <v>538.5</v>
      </c>
      <c r="R65" s="71">
        <f t="shared" si="22"/>
        <v>538.5</v>
      </c>
      <c r="S65" s="71">
        <f t="shared" si="22"/>
        <v>542.79999999999995</v>
      </c>
      <c r="T65" s="71">
        <f t="shared" si="22"/>
        <v>542.79999999999995</v>
      </c>
      <c r="U65" s="71">
        <f>SUM(U62:U64)</f>
        <v>542.79999999999995</v>
      </c>
      <c r="V65" s="71">
        <f>SUM(V62:V64)</f>
        <v>542.79999999999995</v>
      </c>
      <c r="W65" s="71">
        <f>SUM(W62:W64)</f>
        <v>542.79999999999995</v>
      </c>
      <c r="X65" s="71">
        <f>SUM(X62:X64)</f>
        <v>542.79999999999995</v>
      </c>
      <c r="Y65" s="71">
        <f>SUM(Y62:Y64)</f>
        <v>542.79999999999995</v>
      </c>
      <c r="Z65" s="71">
        <f t="shared" si="22"/>
        <v>542.79999999999995</v>
      </c>
      <c r="AA65" s="71">
        <f t="shared" si="22"/>
        <v>542.79999999999995</v>
      </c>
      <c r="AB65" s="71">
        <f t="shared" si="22"/>
        <v>542.79999999999995</v>
      </c>
      <c r="AC65" s="71">
        <f t="shared" si="22"/>
        <v>542.79999999999995</v>
      </c>
      <c r="AD65" s="71">
        <f t="shared" si="22"/>
        <v>542.79999999999995</v>
      </c>
      <c r="AE65" s="71">
        <f t="shared" si="22"/>
        <v>542.79999999999995</v>
      </c>
      <c r="AF65" s="71">
        <f t="shared" si="22"/>
        <v>542.79999999999995</v>
      </c>
      <c r="AG65" s="72">
        <f t="shared" si="22"/>
        <v>538.1</v>
      </c>
      <c r="AH65" s="48">
        <f t="shared" si="2"/>
        <v>542.79999999999995</v>
      </c>
      <c r="AI65" s="49">
        <f t="shared" si="3"/>
        <v>452.5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100</v>
      </c>
      <c r="C66" s="46">
        <v>0</v>
      </c>
      <c r="D66" s="46">
        <v>30</v>
      </c>
      <c r="E66" s="46">
        <v>90</v>
      </c>
      <c r="F66" s="46">
        <v>90</v>
      </c>
      <c r="G66" s="46">
        <v>90</v>
      </c>
      <c r="H66" s="46">
        <v>100</v>
      </c>
      <c r="I66" s="46">
        <v>100</v>
      </c>
      <c r="J66" s="46">
        <v>120</v>
      </c>
      <c r="K66" s="46">
        <v>144</v>
      </c>
      <c r="L66" s="46">
        <v>144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144</v>
      </c>
      <c r="AB66" s="46">
        <v>144</v>
      </c>
      <c r="AC66" s="46">
        <v>144</v>
      </c>
      <c r="AD66" s="46">
        <v>144</v>
      </c>
      <c r="AE66" s="46">
        <v>144</v>
      </c>
      <c r="AF66" s="46">
        <v>144</v>
      </c>
      <c r="AG66" s="61">
        <v>144</v>
      </c>
      <c r="AH66" s="48">
        <f t="shared" si="2"/>
        <v>144</v>
      </c>
      <c r="AI66" s="49">
        <f t="shared" si="3"/>
        <v>0</v>
      </c>
      <c r="AK66" s="51"/>
      <c r="AY66" s="1" t="s">
        <v>86</v>
      </c>
      <c r="AZ66" s="82">
        <f>ROUND(C84,0)</f>
        <v>0</v>
      </c>
      <c r="BA66" s="81">
        <f t="shared" ref="BA66:BD70" si="23">D84</f>
        <v>0</v>
      </c>
      <c r="BB66" s="81">
        <f t="shared" si="23"/>
        <v>-7</v>
      </c>
      <c r="BC66" s="81">
        <f t="shared" si="23"/>
        <v>-38.6</v>
      </c>
      <c r="BD66" s="81">
        <f t="shared" si="23"/>
        <v>-37</v>
      </c>
      <c r="BE66" s="82">
        <f>I84</f>
        <v>-35</v>
      </c>
      <c r="BF66" s="82">
        <f>K84</f>
        <v>-2</v>
      </c>
      <c r="BG66" s="82">
        <f t="shared" ref="BG66:BP70" si="24">M84</f>
        <v>-43</v>
      </c>
      <c r="BH66" s="82">
        <f t="shared" si="24"/>
        <v>-30</v>
      </c>
      <c r="BI66" s="82">
        <f t="shared" si="24"/>
        <v>-20</v>
      </c>
      <c r="BJ66" s="82">
        <f t="shared" si="24"/>
        <v>21</v>
      </c>
      <c r="BK66" s="82">
        <f t="shared" si="24"/>
        <v>30</v>
      </c>
      <c r="BL66" s="82">
        <f t="shared" si="24"/>
        <v>8</v>
      </c>
      <c r="BM66" s="82">
        <f t="shared" si="24"/>
        <v>7.8</v>
      </c>
      <c r="BN66" s="82">
        <f t="shared" si="24"/>
        <v>12.9</v>
      </c>
      <c r="BO66" s="82">
        <f t="shared" si="24"/>
        <v>44.5</v>
      </c>
      <c r="BP66" s="82">
        <f t="shared" si="24"/>
        <v>58</v>
      </c>
      <c r="BQ66" s="82">
        <f>X84</f>
        <v>49</v>
      </c>
      <c r="BR66" s="82">
        <f>Z84</f>
        <v>1.6</v>
      </c>
      <c r="BS66" s="81">
        <f>AB84</f>
        <v>12</v>
      </c>
      <c r="BT66" s="81">
        <f t="shared" ref="BT66:BV70" si="25">AD84</f>
        <v>9.1</v>
      </c>
      <c r="BU66" s="81">
        <f t="shared" si="25"/>
        <v>14</v>
      </c>
      <c r="BV66" s="81">
        <f t="shared" si="25"/>
        <v>14</v>
      </c>
      <c r="BW66" s="81">
        <f>B84</f>
        <v>0</v>
      </c>
    </row>
    <row r="67" spans="1:75" x14ac:dyDescent="0.25">
      <c r="A67" s="65" t="s">
        <v>81</v>
      </c>
      <c r="B67" s="76">
        <v>50</v>
      </c>
      <c r="C67" s="76">
        <v>50</v>
      </c>
      <c r="D67" s="76">
        <v>50</v>
      </c>
      <c r="E67" s="76">
        <v>50</v>
      </c>
      <c r="F67" s="76">
        <v>50</v>
      </c>
      <c r="G67" s="76">
        <v>50</v>
      </c>
      <c r="H67" s="76">
        <v>70</v>
      </c>
      <c r="I67" s="76">
        <v>45.2</v>
      </c>
      <c r="J67" s="76">
        <v>45.2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45.2</v>
      </c>
      <c r="AK67" s="51"/>
      <c r="AY67" s="1" t="s">
        <v>88</v>
      </c>
      <c r="AZ67" s="82">
        <f>ROUND(C85,0)</f>
        <v>0</v>
      </c>
      <c r="BA67" s="81">
        <f t="shared" si="23"/>
        <v>0</v>
      </c>
      <c r="BB67" s="81">
        <f t="shared" si="23"/>
        <v>0</v>
      </c>
      <c r="BC67" s="81">
        <f t="shared" si="23"/>
        <v>0</v>
      </c>
      <c r="BD67" s="81">
        <f t="shared" si="23"/>
        <v>0</v>
      </c>
      <c r="BE67" s="82">
        <f>I85</f>
        <v>0</v>
      </c>
      <c r="BF67" s="82">
        <f>K85</f>
        <v>0</v>
      </c>
      <c r="BG67" s="82">
        <f t="shared" si="24"/>
        <v>0</v>
      </c>
      <c r="BH67" s="82">
        <f t="shared" si="24"/>
        <v>0</v>
      </c>
      <c r="BI67" s="82">
        <f t="shared" si="24"/>
        <v>0</v>
      </c>
      <c r="BJ67" s="82">
        <f t="shared" si="24"/>
        <v>0</v>
      </c>
      <c r="BK67" s="82">
        <f t="shared" si="24"/>
        <v>0</v>
      </c>
      <c r="BL67" s="82">
        <f t="shared" si="24"/>
        <v>0</v>
      </c>
      <c r="BM67" s="82">
        <f t="shared" si="24"/>
        <v>0</v>
      </c>
      <c r="BN67" s="82">
        <f t="shared" si="24"/>
        <v>0</v>
      </c>
      <c r="BO67" s="82">
        <f t="shared" si="24"/>
        <v>0</v>
      </c>
      <c r="BP67" s="82">
        <f t="shared" si="24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5"/>
        <v>0</v>
      </c>
      <c r="BU67" s="81">
        <f t="shared" si="25"/>
        <v>0</v>
      </c>
      <c r="BV67" s="81">
        <f t="shared" si="25"/>
        <v>0</v>
      </c>
      <c r="BW67" s="81">
        <f>B85</f>
        <v>0</v>
      </c>
    </row>
    <row r="68" spans="1:75" x14ac:dyDescent="0.25">
      <c r="A68" s="65" t="s">
        <v>82</v>
      </c>
      <c r="B68" s="76">
        <v>50</v>
      </c>
      <c r="C68" s="76">
        <v>50</v>
      </c>
      <c r="D68" s="76">
        <v>50</v>
      </c>
      <c r="E68" s="76">
        <v>50</v>
      </c>
      <c r="F68" s="76">
        <v>50</v>
      </c>
      <c r="G68" s="76">
        <v>50</v>
      </c>
      <c r="H68" s="76">
        <v>50</v>
      </c>
      <c r="I68" s="76">
        <v>50</v>
      </c>
      <c r="J68" s="76">
        <v>50</v>
      </c>
      <c r="K68" s="76">
        <v>67</v>
      </c>
      <c r="L68" s="76">
        <v>67</v>
      </c>
      <c r="M68" s="76">
        <v>67</v>
      </c>
      <c r="N68" s="76">
        <v>67</v>
      </c>
      <c r="O68" s="76">
        <v>67</v>
      </c>
      <c r="P68" s="76">
        <v>67</v>
      </c>
      <c r="Q68" s="76">
        <v>67</v>
      </c>
      <c r="R68" s="76">
        <v>67</v>
      </c>
      <c r="S68" s="76">
        <v>67</v>
      </c>
      <c r="T68" s="76">
        <v>67</v>
      </c>
      <c r="U68" s="76">
        <v>67</v>
      </c>
      <c r="V68" s="76">
        <v>67</v>
      </c>
      <c r="W68" s="76">
        <v>67</v>
      </c>
      <c r="X68" s="76">
        <v>67</v>
      </c>
      <c r="Y68" s="76">
        <v>67</v>
      </c>
      <c r="Z68" s="76">
        <v>67</v>
      </c>
      <c r="AA68" s="76">
        <v>67</v>
      </c>
      <c r="AB68" s="76">
        <v>67</v>
      </c>
      <c r="AC68" s="76">
        <v>67</v>
      </c>
      <c r="AD68" s="76">
        <v>67</v>
      </c>
      <c r="AE68" s="76">
        <v>67</v>
      </c>
      <c r="AF68" s="76">
        <v>67</v>
      </c>
      <c r="AG68" s="66">
        <v>69</v>
      </c>
      <c r="AH68" s="48">
        <f t="shared" si="2"/>
        <v>67</v>
      </c>
      <c r="AI68" s="49">
        <f t="shared" si="3"/>
        <v>50</v>
      </c>
      <c r="AK68" s="51"/>
      <c r="AL68" s="83"/>
      <c r="AO68" s="83"/>
      <c r="AY68" s="1" t="s">
        <v>90</v>
      </c>
      <c r="AZ68" s="82">
        <f>ROUND(C86,0)</f>
        <v>-650</v>
      </c>
      <c r="BA68" s="81">
        <f t="shared" si="23"/>
        <v>-680</v>
      </c>
      <c r="BB68" s="81">
        <f t="shared" si="23"/>
        <v>-700</v>
      </c>
      <c r="BC68" s="81">
        <f t="shared" si="23"/>
        <v>-625</v>
      </c>
      <c r="BD68" s="81">
        <f t="shared" si="23"/>
        <v>-640</v>
      </c>
      <c r="BE68" s="82">
        <f>I86</f>
        <v>-600</v>
      </c>
      <c r="BF68" s="82">
        <f>K86</f>
        <v>-575</v>
      </c>
      <c r="BG68" s="82">
        <f t="shared" si="24"/>
        <v>-481</v>
      </c>
      <c r="BH68" s="82">
        <f t="shared" si="24"/>
        <v>-405</v>
      </c>
      <c r="BI68" s="82">
        <f t="shared" si="24"/>
        <v>-420</v>
      </c>
      <c r="BJ68" s="82">
        <f t="shared" si="24"/>
        <v>-427</v>
      </c>
      <c r="BK68" s="82">
        <f t="shared" si="24"/>
        <v>-465</v>
      </c>
      <c r="BL68" s="82">
        <f t="shared" si="24"/>
        <v>-470</v>
      </c>
      <c r="BM68" s="82">
        <f t="shared" si="24"/>
        <v>-484</v>
      </c>
      <c r="BN68" s="82">
        <f t="shared" si="24"/>
        <v>-441</v>
      </c>
      <c r="BO68" s="82">
        <f t="shared" si="24"/>
        <v>-456.4</v>
      </c>
      <c r="BP68" s="82">
        <f t="shared" si="24"/>
        <v>-480</v>
      </c>
      <c r="BQ68" s="82">
        <f>X86</f>
        <v>-493</v>
      </c>
      <c r="BR68" s="82">
        <f>Z86</f>
        <v>-444</v>
      </c>
      <c r="BS68" s="81">
        <f>AB86</f>
        <v>-444</v>
      </c>
      <c r="BT68" s="81">
        <f t="shared" si="25"/>
        <v>-448</v>
      </c>
      <c r="BU68" s="81">
        <f t="shared" si="25"/>
        <v>-478</v>
      </c>
      <c r="BV68" s="81">
        <f t="shared" si="25"/>
        <v>-480</v>
      </c>
      <c r="BW68" s="81">
        <f>B86</f>
        <v>-570</v>
      </c>
    </row>
    <row r="69" spans="1:75" s="83" customFormat="1" x14ac:dyDescent="0.25">
      <c r="A69" s="65" t="s">
        <v>83</v>
      </c>
      <c r="B69" s="76">
        <v>26.7</v>
      </c>
      <c r="C69" s="76">
        <v>26.7</v>
      </c>
      <c r="D69" s="76">
        <v>26.7</v>
      </c>
      <c r="E69" s="76">
        <v>26.7</v>
      </c>
      <c r="F69" s="76">
        <v>26.7</v>
      </c>
      <c r="G69" s="76">
        <v>26.7</v>
      </c>
      <c r="H69" s="76">
        <v>45.1</v>
      </c>
      <c r="I69" s="76">
        <v>45.1</v>
      </c>
      <c r="J69" s="76">
        <v>45.1</v>
      </c>
      <c r="K69" s="76">
        <v>62</v>
      </c>
      <c r="L69" s="76">
        <v>62</v>
      </c>
      <c r="M69" s="76">
        <v>62</v>
      </c>
      <c r="N69" s="76">
        <v>62</v>
      </c>
      <c r="O69" s="76">
        <v>62</v>
      </c>
      <c r="P69" s="76">
        <v>62</v>
      </c>
      <c r="Q69" s="76">
        <v>62</v>
      </c>
      <c r="R69" s="76">
        <v>62</v>
      </c>
      <c r="S69" s="76">
        <v>62</v>
      </c>
      <c r="T69" s="76">
        <v>62</v>
      </c>
      <c r="U69" s="76">
        <v>62</v>
      </c>
      <c r="V69" s="76">
        <v>62</v>
      </c>
      <c r="W69" s="76">
        <v>62</v>
      </c>
      <c r="X69" s="76">
        <v>62</v>
      </c>
      <c r="Y69" s="76">
        <v>62</v>
      </c>
      <c r="Z69" s="76">
        <v>62</v>
      </c>
      <c r="AA69" s="76">
        <v>62</v>
      </c>
      <c r="AB69" s="76">
        <v>62</v>
      </c>
      <c r="AC69" s="76">
        <v>62</v>
      </c>
      <c r="AD69" s="76">
        <v>62</v>
      </c>
      <c r="AE69" s="76">
        <v>62</v>
      </c>
      <c r="AF69" s="76">
        <v>62</v>
      </c>
      <c r="AG69" s="66">
        <v>60</v>
      </c>
      <c r="AH69" s="48">
        <f t="shared" si="2"/>
        <v>62</v>
      </c>
      <c r="AI69" s="49">
        <f t="shared" si="3"/>
        <v>26.7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3"/>
        <v>0</v>
      </c>
      <c r="BB69" s="81">
        <f t="shared" si="23"/>
        <v>0</v>
      </c>
      <c r="BC69" s="81">
        <f t="shared" si="23"/>
        <v>0</v>
      </c>
      <c r="BD69" s="81">
        <f t="shared" si="23"/>
        <v>0</v>
      </c>
      <c r="BE69" s="82">
        <f>I87</f>
        <v>0</v>
      </c>
      <c r="BF69" s="82">
        <f>K87</f>
        <v>0</v>
      </c>
      <c r="BG69" s="82">
        <f t="shared" si="24"/>
        <v>0</v>
      </c>
      <c r="BH69" s="82">
        <f t="shared" si="24"/>
        <v>0</v>
      </c>
      <c r="BI69" s="82">
        <f t="shared" si="24"/>
        <v>0</v>
      </c>
      <c r="BJ69" s="82">
        <f t="shared" si="24"/>
        <v>0</v>
      </c>
      <c r="BK69" s="82">
        <f t="shared" si="24"/>
        <v>0</v>
      </c>
      <c r="BL69" s="82">
        <f t="shared" si="24"/>
        <v>0</v>
      </c>
      <c r="BM69" s="82">
        <f t="shared" si="24"/>
        <v>0</v>
      </c>
      <c r="BN69" s="82">
        <f t="shared" si="24"/>
        <v>0</v>
      </c>
      <c r="BO69" s="82">
        <f t="shared" si="24"/>
        <v>0</v>
      </c>
      <c r="BP69" s="82">
        <f t="shared" si="24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5"/>
        <v>0</v>
      </c>
      <c r="BU69" s="81">
        <f t="shared" si="25"/>
        <v>0</v>
      </c>
      <c r="BV69" s="81">
        <f t="shared" si="25"/>
        <v>0</v>
      </c>
      <c r="BW69" s="81">
        <f>B87</f>
        <v>0</v>
      </c>
    </row>
    <row r="70" spans="1:75" x14ac:dyDescent="0.25">
      <c r="A70" s="65" t="s">
        <v>84</v>
      </c>
      <c r="B70" s="46">
        <v>15</v>
      </c>
      <c r="C70" s="46">
        <v>15</v>
      </c>
      <c r="D70" s="46">
        <v>29</v>
      </c>
      <c r="E70" s="46">
        <v>29</v>
      </c>
      <c r="F70" s="46">
        <v>29</v>
      </c>
      <c r="G70" s="46">
        <v>25</v>
      </c>
      <c r="H70" s="46">
        <v>25</v>
      </c>
      <c r="I70" s="46">
        <v>25</v>
      </c>
      <c r="J70" s="46">
        <v>23</v>
      </c>
      <c r="K70" s="46">
        <v>23.2</v>
      </c>
      <c r="L70" s="46">
        <v>23.2</v>
      </c>
      <c r="M70" s="46">
        <v>23.2</v>
      </c>
      <c r="N70" s="46">
        <v>23.2</v>
      </c>
      <c r="O70" s="46">
        <v>23.2</v>
      </c>
      <c r="P70" s="46">
        <v>23.2</v>
      </c>
      <c r="Q70" s="46">
        <v>23.2</v>
      </c>
      <c r="R70" s="46">
        <v>23.2</v>
      </c>
      <c r="S70" s="46">
        <v>28.5</v>
      </c>
      <c r="T70" s="46">
        <v>28.5</v>
      </c>
      <c r="U70" s="46">
        <v>28.5</v>
      </c>
      <c r="V70" s="46">
        <v>28.5</v>
      </c>
      <c r="W70" s="46">
        <v>23</v>
      </c>
      <c r="X70" s="46">
        <v>23</v>
      </c>
      <c r="Y70" s="46">
        <v>14.5</v>
      </c>
      <c r="Z70" s="46">
        <v>14.5</v>
      </c>
      <c r="AA70" s="46">
        <v>14.5</v>
      </c>
      <c r="AB70" s="46">
        <v>23.1</v>
      </c>
      <c r="AC70" s="46">
        <v>23.1</v>
      </c>
      <c r="AD70" s="46">
        <v>23.1</v>
      </c>
      <c r="AE70" s="46">
        <v>23.1</v>
      </c>
      <c r="AF70" s="46">
        <v>23.1</v>
      </c>
      <c r="AG70" s="66">
        <v>30</v>
      </c>
      <c r="AH70" s="48">
        <f t="shared" si="2"/>
        <v>29</v>
      </c>
      <c r="AI70" s="49">
        <f t="shared" si="3"/>
        <v>14.5</v>
      </c>
      <c r="AK70" s="51"/>
      <c r="AY70" s="1" t="s">
        <v>94</v>
      </c>
      <c r="AZ70" s="82">
        <f>ROUND(C88,0)</f>
        <v>0</v>
      </c>
      <c r="BA70" s="81">
        <f t="shared" si="23"/>
        <v>0</v>
      </c>
      <c r="BB70" s="81">
        <f t="shared" si="23"/>
        <v>0</v>
      </c>
      <c r="BC70" s="81">
        <f t="shared" si="23"/>
        <v>0</v>
      </c>
      <c r="BD70" s="81">
        <f t="shared" si="23"/>
        <v>0</v>
      </c>
      <c r="BE70" s="82">
        <f>I88</f>
        <v>0</v>
      </c>
      <c r="BF70" s="82">
        <f>K88</f>
        <v>0</v>
      </c>
      <c r="BG70" s="82">
        <f t="shared" si="24"/>
        <v>0</v>
      </c>
      <c r="BH70" s="82">
        <f t="shared" si="24"/>
        <v>0</v>
      </c>
      <c r="BI70" s="82">
        <f t="shared" si="24"/>
        <v>0</v>
      </c>
      <c r="BJ70" s="82">
        <f t="shared" si="24"/>
        <v>0</v>
      </c>
      <c r="BK70" s="82">
        <f t="shared" si="24"/>
        <v>0</v>
      </c>
      <c r="BL70" s="82">
        <f t="shared" si="24"/>
        <v>0</v>
      </c>
      <c r="BM70" s="82">
        <f t="shared" si="24"/>
        <v>0</v>
      </c>
      <c r="BN70" s="82">
        <f t="shared" si="24"/>
        <v>0</v>
      </c>
      <c r="BO70" s="82">
        <f t="shared" si="24"/>
        <v>0</v>
      </c>
      <c r="BP70" s="82">
        <f t="shared" si="24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5"/>
        <v>0</v>
      </c>
      <c r="BU70" s="81">
        <f t="shared" si="25"/>
        <v>0</v>
      </c>
      <c r="BV70" s="81">
        <f t="shared" si="25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2.2999999999999998</v>
      </c>
      <c r="L71" s="46">
        <v>3</v>
      </c>
      <c r="M71" s="46">
        <v>3</v>
      </c>
      <c r="N71" s="46">
        <v>3</v>
      </c>
      <c r="O71" s="46">
        <v>3</v>
      </c>
      <c r="P71" s="46">
        <v>3</v>
      </c>
      <c r="Q71" s="46">
        <v>3</v>
      </c>
      <c r="R71" s="46">
        <v>3</v>
      </c>
      <c r="S71" s="46">
        <v>9</v>
      </c>
      <c r="T71" s="46">
        <v>8</v>
      </c>
      <c r="U71" s="46">
        <v>5</v>
      </c>
      <c r="V71" s="46">
        <v>3.1</v>
      </c>
      <c r="W71" s="46">
        <v>1.6</v>
      </c>
      <c r="X71" s="46">
        <v>0.8</v>
      </c>
      <c r="Y71" s="46">
        <v>0.5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6">M94</f>
        <v>0</v>
      </c>
      <c r="BH71" s="82">
        <f t="shared" si="26"/>
        <v>0</v>
      </c>
      <c r="BI71" s="82">
        <f t="shared" si="26"/>
        <v>0</v>
      </c>
      <c r="BJ71" s="82">
        <f t="shared" si="26"/>
        <v>0</v>
      </c>
      <c r="BK71" s="82">
        <f t="shared" si="26"/>
        <v>0</v>
      </c>
      <c r="BL71" s="82">
        <f t="shared" si="26"/>
        <v>0</v>
      </c>
      <c r="BM71" s="82">
        <f t="shared" si="26"/>
        <v>0</v>
      </c>
      <c r="BN71" s="82">
        <f t="shared" si="26"/>
        <v>0</v>
      </c>
      <c r="BO71" s="82">
        <f t="shared" si="26"/>
        <v>0</v>
      </c>
      <c r="BP71" s="82">
        <f t="shared" si="26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11.2</v>
      </c>
      <c r="C72" s="76">
        <v>11.2</v>
      </c>
      <c r="D72" s="76">
        <v>11.2</v>
      </c>
      <c r="E72" s="76">
        <v>11.2</v>
      </c>
      <c r="F72" s="76">
        <v>11.2</v>
      </c>
      <c r="G72" s="76">
        <v>11.2</v>
      </c>
      <c r="H72" s="76">
        <v>11.2</v>
      </c>
      <c r="I72" s="76">
        <v>11.2</v>
      </c>
      <c r="J72" s="76">
        <v>11.2</v>
      </c>
      <c r="K72" s="76">
        <v>11.2</v>
      </c>
      <c r="L72" s="76">
        <v>11.2</v>
      </c>
      <c r="M72" s="76">
        <v>11.2</v>
      </c>
      <c r="N72" s="76">
        <v>11.2</v>
      </c>
      <c r="O72" s="76">
        <v>11.2</v>
      </c>
      <c r="P72" s="76">
        <v>11.2</v>
      </c>
      <c r="Q72" s="76">
        <v>11.2</v>
      </c>
      <c r="R72" s="76">
        <v>11.2</v>
      </c>
      <c r="S72" s="76">
        <v>11.2</v>
      </c>
      <c r="T72" s="76">
        <v>11.2</v>
      </c>
      <c r="U72" s="76">
        <v>11.2</v>
      </c>
      <c r="V72" s="76">
        <v>11.2</v>
      </c>
      <c r="W72" s="76">
        <v>11.2</v>
      </c>
      <c r="X72" s="76">
        <v>11.2</v>
      </c>
      <c r="Y72" s="76">
        <v>11.2</v>
      </c>
      <c r="Z72" s="76">
        <v>11.2</v>
      </c>
      <c r="AA72" s="76">
        <v>11.2</v>
      </c>
      <c r="AB72" s="76">
        <v>11.2</v>
      </c>
      <c r="AC72" s="76">
        <v>11.2</v>
      </c>
      <c r="AD72" s="76">
        <v>11.2</v>
      </c>
      <c r="AE72" s="76">
        <v>11.2</v>
      </c>
      <c r="AF72" s="76">
        <v>11.2</v>
      </c>
      <c r="AG72" s="66">
        <v>24</v>
      </c>
      <c r="AH72" s="48">
        <f t="shared" si="2"/>
        <v>11.2</v>
      </c>
      <c r="AI72" s="49">
        <f t="shared" si="3"/>
        <v>11.2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7">VALUE(AZ66)</f>
        <v>0</v>
      </c>
      <c r="BA73" s="82">
        <f t="shared" si="27"/>
        <v>0</v>
      </c>
      <c r="BB73" s="82">
        <f t="shared" si="27"/>
        <v>-7</v>
      </c>
      <c r="BC73" s="82">
        <f t="shared" si="27"/>
        <v>-38.6</v>
      </c>
      <c r="BD73" s="82">
        <f t="shared" si="27"/>
        <v>-37</v>
      </c>
      <c r="BE73" s="82">
        <f t="shared" si="27"/>
        <v>-35</v>
      </c>
      <c r="BF73" s="82">
        <f t="shared" si="27"/>
        <v>-2</v>
      </c>
      <c r="BG73" s="82">
        <f t="shared" si="27"/>
        <v>-43</v>
      </c>
      <c r="BH73" s="82">
        <f t="shared" si="27"/>
        <v>-30</v>
      </c>
      <c r="BI73" s="82">
        <f t="shared" si="27"/>
        <v>-20</v>
      </c>
      <c r="BJ73" s="82">
        <f t="shared" si="27"/>
        <v>21</v>
      </c>
      <c r="BK73" s="82">
        <f t="shared" si="27"/>
        <v>30</v>
      </c>
      <c r="BL73" s="82">
        <f t="shared" si="27"/>
        <v>8</v>
      </c>
      <c r="BM73" s="82">
        <f t="shared" si="27"/>
        <v>7.8</v>
      </c>
      <c r="BN73" s="82">
        <f t="shared" si="27"/>
        <v>12.9</v>
      </c>
      <c r="BO73" s="82">
        <f t="shared" si="27"/>
        <v>44.5</v>
      </c>
      <c r="BP73" s="82">
        <f t="shared" si="27"/>
        <v>58</v>
      </c>
      <c r="BQ73" s="82">
        <f t="shared" si="27"/>
        <v>49</v>
      </c>
      <c r="BR73" s="82">
        <f t="shared" si="27"/>
        <v>1.6</v>
      </c>
      <c r="BS73" s="82">
        <f t="shared" si="27"/>
        <v>12</v>
      </c>
      <c r="BT73" s="82">
        <f t="shared" si="27"/>
        <v>9.1</v>
      </c>
      <c r="BU73" s="82">
        <f t="shared" si="27"/>
        <v>14</v>
      </c>
      <c r="BV73" s="82">
        <f t="shared" si="27"/>
        <v>14</v>
      </c>
      <c r="BW73" s="82">
        <f t="shared" si="27"/>
        <v>0</v>
      </c>
    </row>
    <row r="74" spans="1:75" x14ac:dyDescent="0.25">
      <c r="A74" s="65" t="s">
        <v>91</v>
      </c>
      <c r="B74" s="76">
        <v>5.9</v>
      </c>
      <c r="C74" s="76">
        <v>5.9</v>
      </c>
      <c r="D74" s="76">
        <v>5.9</v>
      </c>
      <c r="E74" s="76">
        <v>5.9</v>
      </c>
      <c r="F74" s="76">
        <v>5.9</v>
      </c>
      <c r="G74" s="76">
        <v>5.9</v>
      </c>
      <c r="H74" s="76">
        <v>5.9</v>
      </c>
      <c r="I74" s="76">
        <v>5.9</v>
      </c>
      <c r="J74" s="76">
        <v>5.9</v>
      </c>
      <c r="K74" s="76">
        <v>5.9</v>
      </c>
      <c r="L74" s="76">
        <v>5.9</v>
      </c>
      <c r="M74" s="76">
        <v>5.9</v>
      </c>
      <c r="N74" s="76">
        <v>5.9</v>
      </c>
      <c r="O74" s="76">
        <v>5.9</v>
      </c>
      <c r="P74" s="76">
        <v>5.9</v>
      </c>
      <c r="Q74" s="76">
        <v>5.9</v>
      </c>
      <c r="R74" s="76">
        <v>5.9</v>
      </c>
      <c r="S74" s="76">
        <v>5.9</v>
      </c>
      <c r="T74" s="76">
        <v>5.9</v>
      </c>
      <c r="U74" s="76">
        <v>5.9</v>
      </c>
      <c r="V74" s="76">
        <v>5.9</v>
      </c>
      <c r="W74" s="76">
        <v>5.9</v>
      </c>
      <c r="X74" s="76">
        <v>5.9</v>
      </c>
      <c r="Y74" s="76">
        <v>5.9</v>
      </c>
      <c r="Z74" s="76">
        <v>5.9</v>
      </c>
      <c r="AA74" s="76">
        <v>5.9</v>
      </c>
      <c r="AB74" s="76">
        <v>5.9</v>
      </c>
      <c r="AC74" s="76">
        <v>5.9</v>
      </c>
      <c r="AD74" s="76">
        <v>5.9</v>
      </c>
      <c r="AE74" s="76">
        <v>5.9</v>
      </c>
      <c r="AF74" s="76">
        <v>5.9</v>
      </c>
      <c r="AG74" s="66">
        <v>14.1</v>
      </c>
      <c r="AH74" s="48">
        <f t="shared" si="2"/>
        <v>5.9</v>
      </c>
      <c r="AI74" s="49">
        <f t="shared" si="3"/>
        <v>5.9</v>
      </c>
      <c r="AK74" s="51"/>
      <c r="AZ74" s="82">
        <f t="shared" si="27"/>
        <v>0</v>
      </c>
      <c r="BA74" s="82">
        <f t="shared" si="27"/>
        <v>0</v>
      </c>
      <c r="BB74" s="82">
        <f t="shared" si="27"/>
        <v>0</v>
      </c>
      <c r="BC74" s="82">
        <f t="shared" si="27"/>
        <v>0</v>
      </c>
      <c r="BD74" s="82">
        <f t="shared" si="27"/>
        <v>0</v>
      </c>
      <c r="BE74" s="82">
        <f t="shared" si="27"/>
        <v>0</v>
      </c>
      <c r="BF74" s="82">
        <f t="shared" si="27"/>
        <v>0</v>
      </c>
      <c r="BG74" s="82">
        <f t="shared" si="27"/>
        <v>0</v>
      </c>
      <c r="BH74" s="82">
        <f t="shared" si="27"/>
        <v>0</v>
      </c>
      <c r="BI74" s="82">
        <f t="shared" si="27"/>
        <v>0</v>
      </c>
      <c r="BJ74" s="82">
        <f t="shared" si="27"/>
        <v>0</v>
      </c>
      <c r="BK74" s="82">
        <f t="shared" si="27"/>
        <v>0</v>
      </c>
      <c r="BL74" s="82">
        <f t="shared" si="27"/>
        <v>0</v>
      </c>
      <c r="BM74" s="82">
        <f t="shared" si="27"/>
        <v>0</v>
      </c>
      <c r="BN74" s="82">
        <f t="shared" si="27"/>
        <v>0</v>
      </c>
      <c r="BO74" s="82">
        <f t="shared" si="27"/>
        <v>0</v>
      </c>
      <c r="BP74" s="82">
        <f t="shared" si="27"/>
        <v>0</v>
      </c>
      <c r="BQ74" s="82">
        <f t="shared" si="27"/>
        <v>0</v>
      </c>
      <c r="BR74" s="82">
        <f t="shared" si="27"/>
        <v>0</v>
      </c>
      <c r="BS74" s="82">
        <f t="shared" si="27"/>
        <v>0</v>
      </c>
      <c r="BT74" s="82">
        <f t="shared" si="27"/>
        <v>0</v>
      </c>
      <c r="BU74" s="82">
        <f t="shared" si="27"/>
        <v>0</v>
      </c>
      <c r="BV74" s="82">
        <f t="shared" si="27"/>
        <v>0</v>
      </c>
      <c r="BW74" s="82">
        <f t="shared" si="27"/>
        <v>0</v>
      </c>
    </row>
    <row r="75" spans="1:75" x14ac:dyDescent="0.25">
      <c r="A75" s="84" t="s">
        <v>93</v>
      </c>
      <c r="B75" s="76">
        <v>14.4</v>
      </c>
      <c r="C75" s="76">
        <v>14.4</v>
      </c>
      <c r="D75" s="76">
        <v>14.4</v>
      </c>
      <c r="E75" s="76">
        <v>14.4</v>
      </c>
      <c r="F75" s="76">
        <v>14.4</v>
      </c>
      <c r="G75" s="76">
        <v>14.4</v>
      </c>
      <c r="H75" s="76">
        <v>14.4</v>
      </c>
      <c r="I75" s="76">
        <v>14.4</v>
      </c>
      <c r="J75" s="76">
        <v>14.4</v>
      </c>
      <c r="K75" s="76">
        <v>14.4</v>
      </c>
      <c r="L75" s="76">
        <v>14.4</v>
      </c>
      <c r="M75" s="76">
        <v>14.4</v>
      </c>
      <c r="N75" s="76">
        <v>14.4</v>
      </c>
      <c r="O75" s="76">
        <v>14.4</v>
      </c>
      <c r="P75" s="76">
        <v>14.4</v>
      </c>
      <c r="Q75" s="76">
        <v>14.4</v>
      </c>
      <c r="R75" s="76">
        <v>14.4</v>
      </c>
      <c r="S75" s="76">
        <v>14.4</v>
      </c>
      <c r="T75" s="76">
        <v>14.4</v>
      </c>
      <c r="U75" s="76">
        <v>14.4</v>
      </c>
      <c r="V75" s="76">
        <v>14.4</v>
      </c>
      <c r="W75" s="76">
        <v>14.4</v>
      </c>
      <c r="X75" s="76">
        <v>14.4</v>
      </c>
      <c r="Y75" s="76">
        <v>14.4</v>
      </c>
      <c r="Z75" s="76">
        <v>14.4</v>
      </c>
      <c r="AA75" s="76">
        <v>14.4</v>
      </c>
      <c r="AB75" s="76">
        <v>14.4</v>
      </c>
      <c r="AC75" s="76">
        <v>14.4</v>
      </c>
      <c r="AD75" s="76">
        <v>14.4</v>
      </c>
      <c r="AE75" s="76">
        <v>14.4</v>
      </c>
      <c r="AF75" s="76">
        <v>14.4</v>
      </c>
      <c r="AG75" s="66">
        <v>14</v>
      </c>
      <c r="AH75" s="48">
        <f t="shared" ref="AH75:AH126" si="28">MAX(B75:AF75)</f>
        <v>14.4</v>
      </c>
      <c r="AI75" s="49">
        <f t="shared" ref="AI75:AI126" si="29">MIN(B75:AF75)</f>
        <v>14.4</v>
      </c>
      <c r="AK75" s="51"/>
      <c r="AZ75" s="82">
        <f t="shared" si="27"/>
        <v>-650</v>
      </c>
      <c r="BA75" s="82">
        <f t="shared" si="27"/>
        <v>-680</v>
      </c>
      <c r="BB75" s="82">
        <f t="shared" si="27"/>
        <v>-700</v>
      </c>
      <c r="BC75" s="82">
        <f t="shared" si="27"/>
        <v>-625</v>
      </c>
      <c r="BD75" s="82">
        <f t="shared" si="27"/>
        <v>-640</v>
      </c>
      <c r="BE75" s="82">
        <f t="shared" si="27"/>
        <v>-600</v>
      </c>
      <c r="BF75" s="82">
        <f t="shared" si="27"/>
        <v>-575</v>
      </c>
      <c r="BG75" s="82">
        <f t="shared" si="27"/>
        <v>-481</v>
      </c>
      <c r="BH75" s="82">
        <f t="shared" si="27"/>
        <v>-405</v>
      </c>
      <c r="BI75" s="82">
        <f t="shared" si="27"/>
        <v>-420</v>
      </c>
      <c r="BJ75" s="82">
        <f t="shared" si="27"/>
        <v>-427</v>
      </c>
      <c r="BK75" s="82">
        <f t="shared" si="27"/>
        <v>-465</v>
      </c>
      <c r="BL75" s="82">
        <f t="shared" si="27"/>
        <v>-470</v>
      </c>
      <c r="BM75" s="82">
        <f t="shared" si="27"/>
        <v>-484</v>
      </c>
      <c r="BN75" s="82">
        <f t="shared" si="27"/>
        <v>-441</v>
      </c>
      <c r="BO75" s="82">
        <f t="shared" si="27"/>
        <v>-456.4</v>
      </c>
      <c r="BP75" s="82">
        <f t="shared" si="27"/>
        <v>-480</v>
      </c>
      <c r="BQ75" s="82">
        <f t="shared" si="27"/>
        <v>-493</v>
      </c>
      <c r="BR75" s="82">
        <f t="shared" si="27"/>
        <v>-444</v>
      </c>
      <c r="BS75" s="82">
        <f t="shared" si="27"/>
        <v>-444</v>
      </c>
      <c r="BT75" s="82">
        <f t="shared" si="27"/>
        <v>-448</v>
      </c>
      <c r="BU75" s="82">
        <f t="shared" si="27"/>
        <v>-478</v>
      </c>
      <c r="BV75" s="82">
        <f t="shared" si="27"/>
        <v>-480</v>
      </c>
      <c r="BW75" s="82">
        <f t="shared" si="27"/>
        <v>-570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8"/>
        <v>10</v>
      </c>
      <c r="AI76" s="49">
        <f t="shared" si="29"/>
        <v>10</v>
      </c>
      <c r="AK76" s="51"/>
      <c r="AZ76" s="82">
        <f t="shared" si="27"/>
        <v>0</v>
      </c>
      <c r="BA76" s="82">
        <f t="shared" si="27"/>
        <v>0</v>
      </c>
      <c r="BB76" s="82">
        <f t="shared" si="27"/>
        <v>0</v>
      </c>
      <c r="BC76" s="82">
        <f t="shared" si="27"/>
        <v>0</v>
      </c>
      <c r="BD76" s="82">
        <f t="shared" si="27"/>
        <v>0</v>
      </c>
      <c r="BE76" s="82">
        <f t="shared" si="27"/>
        <v>0</v>
      </c>
      <c r="BF76" s="82">
        <f t="shared" si="27"/>
        <v>0</v>
      </c>
      <c r="BG76" s="82">
        <f t="shared" si="27"/>
        <v>0</v>
      </c>
      <c r="BH76" s="82">
        <f t="shared" si="27"/>
        <v>0</v>
      </c>
      <c r="BI76" s="82">
        <f t="shared" si="27"/>
        <v>0</v>
      </c>
      <c r="BJ76" s="82">
        <f t="shared" si="27"/>
        <v>0</v>
      </c>
      <c r="BK76" s="82">
        <f t="shared" si="27"/>
        <v>0</v>
      </c>
      <c r="BL76" s="82">
        <f t="shared" si="27"/>
        <v>0</v>
      </c>
      <c r="BM76" s="82">
        <f t="shared" si="27"/>
        <v>0</v>
      </c>
      <c r="BN76" s="82">
        <f t="shared" si="27"/>
        <v>0</v>
      </c>
      <c r="BO76" s="82">
        <f t="shared" si="27"/>
        <v>0</v>
      </c>
      <c r="BP76" s="82">
        <f t="shared" si="27"/>
        <v>0</v>
      </c>
      <c r="BQ76" s="82">
        <f t="shared" si="27"/>
        <v>0</v>
      </c>
      <c r="BR76" s="82">
        <f t="shared" si="27"/>
        <v>0</v>
      </c>
      <c r="BS76" s="82">
        <f t="shared" si="27"/>
        <v>0</v>
      </c>
      <c r="BT76" s="82">
        <f t="shared" si="27"/>
        <v>0</v>
      </c>
      <c r="BU76" s="82">
        <f t="shared" si="27"/>
        <v>0</v>
      </c>
      <c r="BV76" s="82">
        <f t="shared" si="27"/>
        <v>0</v>
      </c>
      <c r="BW76" s="82">
        <f t="shared" si="27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8"/>
        <v>6</v>
      </c>
      <c r="AI77" s="49">
        <f t="shared" si="29"/>
        <v>6</v>
      </c>
      <c r="AK77" s="51"/>
      <c r="AZ77" s="82">
        <f t="shared" si="27"/>
        <v>0</v>
      </c>
      <c r="BA77" s="82">
        <f t="shared" si="27"/>
        <v>0</v>
      </c>
      <c r="BB77" s="82">
        <f t="shared" si="27"/>
        <v>0</v>
      </c>
      <c r="BC77" s="82">
        <f t="shared" si="27"/>
        <v>0</v>
      </c>
      <c r="BD77" s="82">
        <f t="shared" si="27"/>
        <v>0</v>
      </c>
      <c r="BE77" s="82">
        <f t="shared" si="27"/>
        <v>0</v>
      </c>
      <c r="BF77" s="82">
        <f t="shared" si="27"/>
        <v>0</v>
      </c>
      <c r="BG77" s="82">
        <f t="shared" si="27"/>
        <v>0</v>
      </c>
      <c r="BH77" s="82">
        <f t="shared" si="27"/>
        <v>0</v>
      </c>
      <c r="BI77" s="82">
        <f t="shared" si="27"/>
        <v>0</v>
      </c>
      <c r="BJ77" s="82">
        <f t="shared" si="27"/>
        <v>0</v>
      </c>
      <c r="BK77" s="82">
        <f t="shared" si="27"/>
        <v>0</v>
      </c>
      <c r="BL77" s="82">
        <f t="shared" si="27"/>
        <v>0</v>
      </c>
      <c r="BM77" s="82">
        <f t="shared" si="27"/>
        <v>0</v>
      </c>
      <c r="BN77" s="82">
        <f t="shared" si="27"/>
        <v>0</v>
      </c>
      <c r="BO77" s="82">
        <f t="shared" si="27"/>
        <v>0</v>
      </c>
      <c r="BP77" s="82">
        <f t="shared" si="27"/>
        <v>0</v>
      </c>
      <c r="BQ77" s="82">
        <f t="shared" si="27"/>
        <v>0</v>
      </c>
      <c r="BR77" s="82">
        <f t="shared" si="27"/>
        <v>0</v>
      </c>
      <c r="BS77" s="82">
        <f t="shared" si="27"/>
        <v>0</v>
      </c>
      <c r="BT77" s="82">
        <f t="shared" si="27"/>
        <v>0</v>
      </c>
      <c r="BU77" s="82">
        <f t="shared" si="27"/>
        <v>0</v>
      </c>
      <c r="BV77" s="82">
        <f t="shared" si="27"/>
        <v>0</v>
      </c>
      <c r="BW77" s="82">
        <f t="shared" si="27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8"/>
        <v>5.5</v>
      </c>
      <c r="AI78" s="49">
        <f t="shared" si="29"/>
        <v>3.54</v>
      </c>
      <c r="AK78" s="51"/>
      <c r="AZ78" s="82">
        <f t="shared" si="27"/>
        <v>0</v>
      </c>
      <c r="BA78" s="82">
        <f t="shared" si="27"/>
        <v>0</v>
      </c>
      <c r="BB78" s="82">
        <f t="shared" si="27"/>
        <v>0</v>
      </c>
      <c r="BC78" s="82">
        <f t="shared" si="27"/>
        <v>0</v>
      </c>
      <c r="BD78" s="82">
        <f t="shared" si="27"/>
        <v>0</v>
      </c>
      <c r="BE78" s="82">
        <f t="shared" si="27"/>
        <v>0</v>
      </c>
      <c r="BF78" s="82">
        <f t="shared" si="27"/>
        <v>0</v>
      </c>
      <c r="BG78" s="82">
        <f t="shared" si="27"/>
        <v>0</v>
      </c>
      <c r="BH78" s="82">
        <f t="shared" si="27"/>
        <v>0</v>
      </c>
      <c r="BI78" s="82">
        <f t="shared" si="27"/>
        <v>0</v>
      </c>
      <c r="BJ78" s="82">
        <f t="shared" si="27"/>
        <v>0</v>
      </c>
      <c r="BK78" s="82">
        <f t="shared" si="27"/>
        <v>0</v>
      </c>
      <c r="BL78" s="82">
        <f t="shared" si="27"/>
        <v>0</v>
      </c>
      <c r="BM78" s="82">
        <f t="shared" si="27"/>
        <v>0</v>
      </c>
      <c r="BN78" s="82">
        <f t="shared" si="27"/>
        <v>0</v>
      </c>
      <c r="BO78" s="82">
        <f t="shared" si="27"/>
        <v>0</v>
      </c>
      <c r="BP78" s="82">
        <f t="shared" si="27"/>
        <v>0</v>
      </c>
      <c r="BQ78" s="82">
        <f t="shared" si="27"/>
        <v>0</v>
      </c>
      <c r="BR78" s="82">
        <f t="shared" si="27"/>
        <v>0</v>
      </c>
      <c r="BS78" s="82">
        <f t="shared" si="27"/>
        <v>0</v>
      </c>
      <c r="BT78" s="82">
        <f t="shared" si="27"/>
        <v>0</v>
      </c>
      <c r="BU78" s="82">
        <f t="shared" si="27"/>
        <v>0</v>
      </c>
      <c r="BV78" s="82">
        <f t="shared" si="27"/>
        <v>0</v>
      </c>
      <c r="BW78" s="82">
        <f t="shared" si="27"/>
        <v>0</v>
      </c>
    </row>
    <row r="79" spans="1:75" ht="15.75" thickBot="1" x14ac:dyDescent="0.3">
      <c r="A79" s="87" t="s">
        <v>99</v>
      </c>
      <c r="B79" s="71">
        <f>SUM(B66:B78)</f>
        <v>296.53999999999996</v>
      </c>
      <c r="C79" s="71">
        <f>SUM(C66:C78)</f>
        <v>196.54</v>
      </c>
      <c r="D79" s="71">
        <f>SUM(D66:D78)</f>
        <v>240.54</v>
      </c>
      <c r="E79" s="71">
        <f t="shared" ref="E79:AG79" si="30">SUM(E66:E78)</f>
        <v>300.53999999999996</v>
      </c>
      <c r="F79" s="71">
        <f t="shared" si="30"/>
        <v>300.53999999999996</v>
      </c>
      <c r="G79" s="71">
        <f t="shared" si="30"/>
        <v>296.53999999999996</v>
      </c>
      <c r="H79" s="71">
        <f t="shared" si="30"/>
        <v>344.94</v>
      </c>
      <c r="I79" s="71">
        <f>SUM(I66:I78)</f>
        <v>320.13999999999993</v>
      </c>
      <c r="J79" s="71">
        <f>SUM(J66:J78)</f>
        <v>338.14</v>
      </c>
      <c r="K79" s="71">
        <f>SUM(K66:K78)</f>
        <v>423.34</v>
      </c>
      <c r="L79" s="71">
        <f t="shared" si="30"/>
        <v>424.03999999999996</v>
      </c>
      <c r="M79" s="71">
        <f t="shared" si="30"/>
        <v>424.03999999999996</v>
      </c>
      <c r="N79" s="71">
        <f t="shared" si="30"/>
        <v>424.03999999999996</v>
      </c>
      <c r="O79" s="71">
        <f t="shared" si="30"/>
        <v>424.03999999999996</v>
      </c>
      <c r="P79" s="71">
        <f t="shared" si="30"/>
        <v>424.03999999999996</v>
      </c>
      <c r="Q79" s="71">
        <f t="shared" si="30"/>
        <v>424.03999999999996</v>
      </c>
      <c r="R79" s="71">
        <f t="shared" si="30"/>
        <v>424.03999999999996</v>
      </c>
      <c r="S79" s="71">
        <f t="shared" si="30"/>
        <v>435.34</v>
      </c>
      <c r="T79" s="71">
        <f t="shared" si="30"/>
        <v>434.34</v>
      </c>
      <c r="U79" s="71">
        <f t="shared" si="30"/>
        <v>431.34</v>
      </c>
      <c r="V79" s="71">
        <f>SUM(V66:V78)</f>
        <v>429.44</v>
      </c>
      <c r="W79" s="71">
        <f>SUM(W66:W78)</f>
        <v>422.44</v>
      </c>
      <c r="X79" s="71">
        <f>SUM(X66:X78)</f>
        <v>421.64</v>
      </c>
      <c r="Y79" s="71">
        <f>SUM(Y66:Y78)</f>
        <v>412.84</v>
      </c>
      <c r="Z79" s="71">
        <f t="shared" si="30"/>
        <v>414.29999999999995</v>
      </c>
      <c r="AA79" s="71">
        <f t="shared" si="30"/>
        <v>412.34</v>
      </c>
      <c r="AB79" s="71">
        <f t="shared" si="30"/>
        <v>420.94</v>
      </c>
      <c r="AC79" s="71">
        <f t="shared" si="30"/>
        <v>420.94</v>
      </c>
      <c r="AD79" s="71">
        <f t="shared" si="30"/>
        <v>420.94</v>
      </c>
      <c r="AE79" s="71">
        <f t="shared" si="30"/>
        <v>420.94</v>
      </c>
      <c r="AF79" s="71">
        <f t="shared" si="30"/>
        <v>420.94</v>
      </c>
      <c r="AG79" s="72">
        <f t="shared" si="30"/>
        <v>489.91</v>
      </c>
      <c r="AH79" s="48">
        <f t="shared" si="28"/>
        <v>435.34</v>
      </c>
      <c r="AI79" s="49">
        <f t="shared" si="29"/>
        <v>196.54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/>
      <c r="N80" s="46"/>
      <c r="O80" s="46"/>
      <c r="P80" s="46"/>
      <c r="Q80" s="46"/>
      <c r="R80" s="46"/>
      <c r="S80" s="46">
        <v>39</v>
      </c>
      <c r="T80" s="46">
        <v>39</v>
      </c>
      <c r="U80" s="46">
        <v>39.1</v>
      </c>
      <c r="V80" s="46">
        <v>39.1</v>
      </c>
      <c r="W80" s="46">
        <v>30.4</v>
      </c>
      <c r="X80" s="46">
        <v>10.3</v>
      </c>
      <c r="Y80" s="46">
        <v>10.3</v>
      </c>
      <c r="Z80" s="46">
        <v>29.8</v>
      </c>
      <c r="AA80" s="46">
        <v>29.8</v>
      </c>
      <c r="AB80" s="46">
        <v>39.4</v>
      </c>
      <c r="AC80" s="46">
        <v>20</v>
      </c>
      <c r="AD80" s="46">
        <v>29</v>
      </c>
      <c r="AE80" s="46">
        <v>0</v>
      </c>
      <c r="AF80" s="46">
        <v>0</v>
      </c>
      <c r="AG80" s="61">
        <v>60</v>
      </c>
      <c r="AH80" s="48">
        <f t="shared" si="28"/>
        <v>39.4</v>
      </c>
      <c r="AI80" s="49">
        <f t="shared" si="29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/>
      <c r="N81" s="76"/>
      <c r="O81" s="76"/>
      <c r="P81" s="76"/>
      <c r="Q81" s="76"/>
      <c r="R81" s="76"/>
      <c r="S81" s="76">
        <v>16</v>
      </c>
      <c r="T81" s="76">
        <v>16</v>
      </c>
      <c r="U81" s="76">
        <v>16.899999999999999</v>
      </c>
      <c r="V81" s="76">
        <v>16.899999999999999</v>
      </c>
      <c r="W81" s="76">
        <v>11</v>
      </c>
      <c r="X81" s="76">
        <v>4.0999999999999996</v>
      </c>
      <c r="Y81" s="76">
        <v>4.0999999999999996</v>
      </c>
      <c r="Z81" s="76">
        <v>11.1</v>
      </c>
      <c r="AA81" s="76">
        <v>11.1</v>
      </c>
      <c r="AB81" s="76">
        <v>17.3</v>
      </c>
      <c r="AC81" s="76">
        <v>-120</v>
      </c>
      <c r="AD81" s="76">
        <v>14</v>
      </c>
      <c r="AE81" s="46">
        <v>0</v>
      </c>
      <c r="AF81" s="46">
        <v>0</v>
      </c>
      <c r="AG81" s="66">
        <v>32</v>
      </c>
      <c r="AH81" s="48">
        <f t="shared" si="28"/>
        <v>17.3</v>
      </c>
      <c r="AI81" s="49">
        <f t="shared" si="29"/>
        <v>-120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/>
      <c r="N82" s="78"/>
      <c r="O82" s="78"/>
      <c r="P82" s="78"/>
      <c r="Q82" s="78"/>
      <c r="R82" s="78"/>
      <c r="S82" s="78">
        <v>5.8</v>
      </c>
      <c r="T82" s="78">
        <v>5.8</v>
      </c>
      <c r="U82" s="78">
        <v>6.2</v>
      </c>
      <c r="V82" s="78">
        <v>6.2</v>
      </c>
      <c r="W82" s="78">
        <v>5</v>
      </c>
      <c r="X82" s="78">
        <v>1.5</v>
      </c>
      <c r="Y82" s="78">
        <v>1.5</v>
      </c>
      <c r="Z82" s="78">
        <v>4.0999999999999996</v>
      </c>
      <c r="AA82" s="78">
        <v>4.0999999999999996</v>
      </c>
      <c r="AB82" s="78">
        <v>6.3</v>
      </c>
      <c r="AC82" s="78">
        <v>6.1</v>
      </c>
      <c r="AD82" s="78">
        <v>5.4</v>
      </c>
      <c r="AE82" s="46">
        <v>0</v>
      </c>
      <c r="AF82" s="46">
        <v>0</v>
      </c>
      <c r="AG82" s="79">
        <v>14</v>
      </c>
      <c r="AH82" s="48">
        <f t="shared" si="28"/>
        <v>6.3</v>
      </c>
      <c r="AI82" s="49">
        <f t="shared" si="29"/>
        <v>0</v>
      </c>
      <c r="AK82" s="51"/>
      <c r="AY82" s="82"/>
      <c r="BF82" s="81"/>
      <c r="BG82" s="82">
        <f t="array" ref="BG82:BL105">TRANSPOSE(AZ66:BW71)</f>
        <v>0</v>
      </c>
      <c r="BH82" s="82">
        <v>0</v>
      </c>
      <c r="BI82" s="82">
        <v>-650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0</v>
      </c>
      <c r="C83" s="71">
        <f>C80+C81+C82</f>
        <v>0</v>
      </c>
      <c r="D83" s="71">
        <f>D80+D81+D82</f>
        <v>0</v>
      </c>
      <c r="E83" s="71">
        <f t="shared" ref="E83:AF83" si="31">E80+E81+E82</f>
        <v>0</v>
      </c>
      <c r="F83" s="71">
        <f t="shared" si="31"/>
        <v>0</v>
      </c>
      <c r="G83" s="71">
        <f t="shared" si="31"/>
        <v>0</v>
      </c>
      <c r="H83" s="71">
        <f t="shared" si="31"/>
        <v>0</v>
      </c>
      <c r="I83" s="71">
        <f>I80+I81+I82</f>
        <v>0</v>
      </c>
      <c r="J83" s="71">
        <f>J80+J81+J82</f>
        <v>0</v>
      </c>
      <c r="K83" s="71">
        <f>K80+K81+K82</f>
        <v>0</v>
      </c>
      <c r="L83" s="71">
        <f t="shared" si="31"/>
        <v>0</v>
      </c>
      <c r="M83" s="71">
        <f t="shared" si="31"/>
        <v>0</v>
      </c>
      <c r="N83" s="71">
        <f t="shared" si="31"/>
        <v>0</v>
      </c>
      <c r="O83" s="71">
        <f t="shared" si="31"/>
        <v>0</v>
      </c>
      <c r="P83" s="71">
        <f t="shared" si="31"/>
        <v>0</v>
      </c>
      <c r="Q83" s="71">
        <f t="shared" si="31"/>
        <v>0</v>
      </c>
      <c r="R83" s="71">
        <f t="shared" si="31"/>
        <v>0</v>
      </c>
      <c r="S83" s="71">
        <f t="shared" si="31"/>
        <v>60.8</v>
      </c>
      <c r="T83" s="71">
        <f t="shared" si="31"/>
        <v>60.8</v>
      </c>
      <c r="U83" s="71">
        <f t="shared" si="31"/>
        <v>62.2</v>
      </c>
      <c r="V83" s="71">
        <f>V80+V81+V82</f>
        <v>62.2</v>
      </c>
      <c r="W83" s="71">
        <f>W80+W81+W82</f>
        <v>46.4</v>
      </c>
      <c r="X83" s="71">
        <f>X80+X81+X82</f>
        <v>15.9</v>
      </c>
      <c r="Y83" s="71">
        <f>Y80+Y81+Y82</f>
        <v>15.9</v>
      </c>
      <c r="Z83" s="71">
        <f t="shared" si="31"/>
        <v>45</v>
      </c>
      <c r="AA83" s="71">
        <f t="shared" si="31"/>
        <v>45</v>
      </c>
      <c r="AB83" s="71">
        <f t="shared" si="31"/>
        <v>63</v>
      </c>
      <c r="AC83" s="71">
        <f t="shared" si="31"/>
        <v>-93.9</v>
      </c>
      <c r="AD83" s="71">
        <f t="shared" si="31"/>
        <v>48.4</v>
      </c>
      <c r="AE83" s="71">
        <f t="shared" si="31"/>
        <v>0</v>
      </c>
      <c r="AF83" s="71">
        <f t="shared" si="31"/>
        <v>0</v>
      </c>
      <c r="AG83" s="72">
        <f>SUM(AG80:AG82)</f>
        <v>106</v>
      </c>
      <c r="AH83" s="48">
        <f t="shared" si="28"/>
        <v>63</v>
      </c>
      <c r="AI83" s="49">
        <f t="shared" si="29"/>
        <v>-93.9</v>
      </c>
      <c r="AK83" s="51"/>
      <c r="AY83" s="82"/>
      <c r="BF83" s="81"/>
      <c r="BG83" s="82">
        <v>0</v>
      </c>
      <c r="BH83" s="82">
        <v>0</v>
      </c>
      <c r="BI83" s="82">
        <v>-680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0</v>
      </c>
      <c r="C84" s="46">
        <v>0</v>
      </c>
      <c r="D84" s="46">
        <v>0</v>
      </c>
      <c r="E84" s="46">
        <v>-7</v>
      </c>
      <c r="F84" s="46">
        <v>-38.6</v>
      </c>
      <c r="G84" s="46">
        <v>-37</v>
      </c>
      <c r="H84" s="46">
        <v>-37</v>
      </c>
      <c r="I84" s="46">
        <v>-35</v>
      </c>
      <c r="J84" s="46">
        <v>-2</v>
      </c>
      <c r="K84" s="46">
        <v>-2</v>
      </c>
      <c r="L84" s="46">
        <v>12</v>
      </c>
      <c r="M84" s="46">
        <v>-43</v>
      </c>
      <c r="N84" s="46">
        <v>-30</v>
      </c>
      <c r="O84" s="46">
        <v>-20</v>
      </c>
      <c r="P84" s="46">
        <v>21</v>
      </c>
      <c r="Q84" s="46">
        <v>30</v>
      </c>
      <c r="R84" s="46">
        <v>8</v>
      </c>
      <c r="S84" s="46">
        <v>7.8</v>
      </c>
      <c r="T84" s="46">
        <v>12.9</v>
      </c>
      <c r="U84" s="46">
        <v>44.5</v>
      </c>
      <c r="V84" s="46">
        <v>58</v>
      </c>
      <c r="W84" s="46">
        <v>65.3</v>
      </c>
      <c r="X84" s="46">
        <v>49</v>
      </c>
      <c r="Y84" s="46">
        <v>3.6</v>
      </c>
      <c r="Z84" s="46">
        <v>1.6</v>
      </c>
      <c r="AA84" s="46">
        <v>1.6</v>
      </c>
      <c r="AB84" s="46">
        <v>12</v>
      </c>
      <c r="AC84" s="46">
        <v>-4</v>
      </c>
      <c r="AD84" s="46">
        <v>9.1</v>
      </c>
      <c r="AE84" s="46">
        <v>14</v>
      </c>
      <c r="AF84" s="46">
        <v>14</v>
      </c>
      <c r="AG84" s="61"/>
      <c r="AH84" s="48">
        <f t="shared" si="28"/>
        <v>65.3</v>
      </c>
      <c r="AI84" s="49">
        <f t="shared" si="29"/>
        <v>-43</v>
      </c>
      <c r="AK84" s="51"/>
      <c r="AY84" s="82"/>
      <c r="BF84" s="81"/>
      <c r="BG84" s="82">
        <v>-7</v>
      </c>
      <c r="BH84" s="82">
        <v>0</v>
      </c>
      <c r="BI84" s="82">
        <v>-700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8"/>
        <v>0</v>
      </c>
      <c r="AI85" s="49">
        <f t="shared" si="29"/>
        <v>0</v>
      </c>
      <c r="AK85" s="51"/>
      <c r="AL85" s="91" t="s">
        <v>111</v>
      </c>
      <c r="AM85" s="91"/>
      <c r="AY85" s="82"/>
      <c r="BF85" s="82"/>
      <c r="BG85" s="82">
        <v>-38.6</v>
      </c>
      <c r="BH85" s="82">
        <v>0</v>
      </c>
      <c r="BI85" s="82">
        <v>-625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-570</v>
      </c>
      <c r="C86" s="76">
        <v>-650</v>
      </c>
      <c r="D86" s="76">
        <v>-680</v>
      </c>
      <c r="E86" s="76">
        <v>-700</v>
      </c>
      <c r="F86" s="76">
        <v>-625</v>
      </c>
      <c r="G86" s="76">
        <v>-640</v>
      </c>
      <c r="H86" s="76">
        <v>-676</v>
      </c>
      <c r="I86" s="76">
        <v>-600</v>
      </c>
      <c r="J86" s="76">
        <v>-575</v>
      </c>
      <c r="K86" s="76">
        <v>-575</v>
      </c>
      <c r="L86" s="76">
        <v>-554</v>
      </c>
      <c r="M86" s="76">
        <v>-481</v>
      </c>
      <c r="N86" s="76">
        <v>-405</v>
      </c>
      <c r="O86" s="76">
        <v>-420</v>
      </c>
      <c r="P86" s="76">
        <v>-427</v>
      </c>
      <c r="Q86" s="76">
        <v>-465</v>
      </c>
      <c r="R86" s="76">
        <v>-470</v>
      </c>
      <c r="S86" s="76">
        <v>-484</v>
      </c>
      <c r="T86" s="76">
        <v>-441</v>
      </c>
      <c r="U86" s="76">
        <v>-456.4</v>
      </c>
      <c r="V86" s="76">
        <v>-480</v>
      </c>
      <c r="W86" s="76">
        <v>-473</v>
      </c>
      <c r="X86" s="76">
        <v>-493</v>
      </c>
      <c r="Y86" s="76">
        <v>-465</v>
      </c>
      <c r="Z86" s="76">
        <v>-444</v>
      </c>
      <c r="AA86" s="76">
        <v>-444</v>
      </c>
      <c r="AB86" s="76">
        <v>-444</v>
      </c>
      <c r="AC86" s="76">
        <v>-402</v>
      </c>
      <c r="AD86" s="76">
        <v>-448</v>
      </c>
      <c r="AE86" s="76">
        <v>-478</v>
      </c>
      <c r="AF86" s="76">
        <v>-480</v>
      </c>
      <c r="AG86" s="88"/>
      <c r="AH86" s="48">
        <f t="shared" si="28"/>
        <v>-402</v>
      </c>
      <c r="AI86" s="49">
        <f t="shared" si="29"/>
        <v>-700</v>
      </c>
      <c r="AK86" s="92"/>
      <c r="AL86" s="93"/>
      <c r="AM86" s="93"/>
      <c r="AN86" s="94"/>
      <c r="AY86" s="82"/>
      <c r="BF86" s="82"/>
      <c r="BG86" s="82">
        <v>-37</v>
      </c>
      <c r="BH86" s="82">
        <v>0</v>
      </c>
      <c r="BI86" s="82">
        <v>-640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8"/>
        <v>0</v>
      </c>
      <c r="AI87" s="49">
        <f t="shared" si="29"/>
        <v>0</v>
      </c>
      <c r="AK87" s="95" t="s">
        <v>114</v>
      </c>
      <c r="AL87" s="76"/>
      <c r="AM87" s="89"/>
      <c r="AN87" s="96"/>
      <c r="AY87" s="82"/>
      <c r="BF87" s="82"/>
      <c r="BG87" s="82">
        <v>-35</v>
      </c>
      <c r="BH87" s="82">
        <v>0</v>
      </c>
      <c r="BI87" s="82">
        <v>-600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8"/>
        <v>0</v>
      </c>
      <c r="AI88" s="49">
        <f t="shared" si="29"/>
        <v>0</v>
      </c>
      <c r="AK88" s="95" t="s">
        <v>116</v>
      </c>
      <c r="AL88" s="89"/>
      <c r="AM88" s="89"/>
      <c r="AN88" s="96"/>
      <c r="AY88" s="82"/>
      <c r="BF88" s="82"/>
      <c r="BG88" s="82">
        <v>-2</v>
      </c>
      <c r="BH88" s="82">
        <v>0</v>
      </c>
      <c r="BI88" s="82">
        <v>-575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>
        <v>50</v>
      </c>
      <c r="AB89" s="90">
        <v>52</v>
      </c>
      <c r="AC89" s="90">
        <v>52</v>
      </c>
      <c r="AD89" s="90">
        <v>51</v>
      </c>
      <c r="AE89" s="90">
        <v>50</v>
      </c>
      <c r="AF89" s="90">
        <v>50</v>
      </c>
      <c r="AG89" s="88"/>
      <c r="AH89" s="48">
        <f>MAX(B89:AF89)</f>
        <v>52</v>
      </c>
      <c r="AI89" s="49">
        <f t="shared" si="29"/>
        <v>0</v>
      </c>
      <c r="AK89" s="99"/>
      <c r="AL89" s="46"/>
      <c r="AM89" s="46"/>
      <c r="AN89" s="100"/>
      <c r="AY89" s="82"/>
      <c r="BF89" s="82"/>
      <c r="BG89" s="82">
        <v>-43</v>
      </c>
      <c r="BH89" s="82">
        <v>0</v>
      </c>
      <c r="BI89" s="82">
        <v>-481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8"/>
        <v>0</v>
      </c>
      <c r="AI90" s="49">
        <f t="shared" si="29"/>
        <v>0</v>
      </c>
      <c r="AK90" s="99"/>
      <c r="AL90" s="90"/>
      <c r="AM90" s="102"/>
      <c r="AN90" s="204"/>
      <c r="AY90" s="82"/>
      <c r="BF90" s="82"/>
      <c r="BG90" s="82">
        <v>-30</v>
      </c>
      <c r="BH90" s="82">
        <v>0</v>
      </c>
      <c r="BI90" s="82">
        <v>-405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8"/>
        <v>0</v>
      </c>
      <c r="AI91" s="49">
        <f t="shared" si="29"/>
        <v>0</v>
      </c>
      <c r="AK91" s="99"/>
      <c r="AL91" s="90"/>
      <c r="AM91" s="90"/>
      <c r="AN91" s="205"/>
      <c r="BF91" s="82"/>
      <c r="BG91" s="82">
        <v>-20</v>
      </c>
      <c r="BH91" s="82">
        <v>0</v>
      </c>
      <c r="BI91" s="82">
        <v>-420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8"/>
        <v>0</v>
      </c>
      <c r="AI92" s="49">
        <f t="shared" si="29"/>
        <v>0</v>
      </c>
      <c r="AK92" s="104"/>
      <c r="AL92" s="105"/>
      <c r="AM92" s="105"/>
      <c r="AN92" s="106"/>
      <c r="BF92" s="82"/>
      <c r="BG92" s="82">
        <v>21</v>
      </c>
      <c r="BH92" s="82">
        <v>0</v>
      </c>
      <c r="BI92" s="82">
        <v>-427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8"/>
        <v>0</v>
      </c>
      <c r="AI93" s="49">
        <f t="shared" si="29"/>
        <v>0</v>
      </c>
      <c r="BF93" s="82"/>
      <c r="BG93" s="82">
        <v>30</v>
      </c>
      <c r="BH93" s="82">
        <v>0</v>
      </c>
      <c r="BI93" s="82">
        <v>-465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8"/>
        <v>0</v>
      </c>
      <c r="AI94" s="49">
        <f t="shared" si="29"/>
        <v>0</v>
      </c>
      <c r="BF94" s="82"/>
      <c r="BG94" s="82">
        <v>8</v>
      </c>
      <c r="BH94" s="82">
        <v>0</v>
      </c>
      <c r="BI94" s="82">
        <v>-470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>SUMIF(D84:D94,"&gt;0")</f>
        <v>0</v>
      </c>
      <c r="E95" s="71">
        <f t="shared" ref="E95:AF95" si="32">SUMIF(E84:E94,"&gt;0")</f>
        <v>0</v>
      </c>
      <c r="F95" s="71">
        <f t="shared" si="32"/>
        <v>0</v>
      </c>
      <c r="G95" s="71">
        <f t="shared" si="32"/>
        <v>0</v>
      </c>
      <c r="H95" s="71">
        <f t="shared" si="32"/>
        <v>0</v>
      </c>
      <c r="I95" s="71">
        <f t="shared" si="32"/>
        <v>0</v>
      </c>
      <c r="J95" s="71">
        <f t="shared" si="32"/>
        <v>0</v>
      </c>
      <c r="K95" s="71">
        <f t="shared" si="32"/>
        <v>0</v>
      </c>
      <c r="L95" s="71">
        <f t="shared" si="32"/>
        <v>12</v>
      </c>
      <c r="M95" s="71">
        <f t="shared" si="32"/>
        <v>0</v>
      </c>
      <c r="N95" s="71">
        <f t="shared" si="32"/>
        <v>0</v>
      </c>
      <c r="O95" s="71">
        <f t="shared" si="32"/>
        <v>0</v>
      </c>
      <c r="P95" s="71">
        <f t="shared" si="32"/>
        <v>21</v>
      </c>
      <c r="Q95" s="71">
        <f t="shared" si="32"/>
        <v>30</v>
      </c>
      <c r="R95" s="71">
        <f t="shared" si="32"/>
        <v>8</v>
      </c>
      <c r="S95" s="71">
        <f t="shared" si="32"/>
        <v>7.8</v>
      </c>
      <c r="T95" s="71">
        <f t="shared" si="32"/>
        <v>12.9</v>
      </c>
      <c r="U95" s="71">
        <f>SUMIF(U84:U94,"&gt;0")</f>
        <v>44.5</v>
      </c>
      <c r="V95" s="71">
        <f t="shared" si="32"/>
        <v>58</v>
      </c>
      <c r="W95" s="71">
        <f t="shared" si="32"/>
        <v>65.3</v>
      </c>
      <c r="X95" s="71">
        <f t="shared" si="32"/>
        <v>49</v>
      </c>
      <c r="Y95" s="71">
        <f t="shared" si="32"/>
        <v>3.6</v>
      </c>
      <c r="Z95" s="71">
        <f t="shared" si="32"/>
        <v>1.6</v>
      </c>
      <c r="AA95" s="71">
        <f t="shared" si="32"/>
        <v>51.6</v>
      </c>
      <c r="AB95" s="71">
        <f t="shared" si="32"/>
        <v>64</v>
      </c>
      <c r="AC95" s="71">
        <f t="shared" si="32"/>
        <v>52</v>
      </c>
      <c r="AD95" s="71">
        <f t="shared" si="32"/>
        <v>60.1</v>
      </c>
      <c r="AE95" s="71">
        <f t="shared" si="32"/>
        <v>64</v>
      </c>
      <c r="AF95" s="71">
        <f t="shared" si="32"/>
        <v>64</v>
      </c>
      <c r="AG95" s="101">
        <f>SUM(AG84:AG94)</f>
        <v>0</v>
      </c>
      <c r="AH95" s="48">
        <f t="shared" si="28"/>
        <v>65.3</v>
      </c>
      <c r="AI95" s="49">
        <f t="shared" si="29"/>
        <v>0</v>
      </c>
      <c r="BF95" s="82"/>
      <c r="BG95" s="82">
        <v>7.8</v>
      </c>
      <c r="BH95" s="82">
        <v>0</v>
      </c>
      <c r="BI95" s="82">
        <v>-484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8"/>
        <v>0</v>
      </c>
      <c r="AI96" s="49">
        <f t="shared" si="29"/>
        <v>0</v>
      </c>
      <c r="BF96" s="82"/>
      <c r="BG96" s="82">
        <v>12.9</v>
      </c>
      <c r="BH96" s="82">
        <v>0</v>
      </c>
      <c r="BI96" s="82">
        <v>-441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8"/>
        <v>0</v>
      </c>
      <c r="AI97" s="49">
        <f t="shared" si="29"/>
        <v>0</v>
      </c>
      <c r="BF97" s="82"/>
      <c r="BG97" s="82">
        <v>44.5</v>
      </c>
      <c r="BH97" s="82">
        <v>0</v>
      </c>
      <c r="BI97" s="82">
        <v>-456.4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8"/>
        <v>0</v>
      </c>
      <c r="AI98" s="49">
        <f t="shared" si="29"/>
        <v>0</v>
      </c>
      <c r="BF98" s="82"/>
      <c r="BG98" s="82">
        <v>58</v>
      </c>
      <c r="BH98" s="82">
        <v>0</v>
      </c>
      <c r="BI98" s="82">
        <v>-480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8"/>
        <v>0</v>
      </c>
      <c r="AI99" s="49">
        <f t="shared" si="29"/>
        <v>0</v>
      </c>
      <c r="BF99" s="81"/>
      <c r="BG99" s="82">
        <v>49</v>
      </c>
      <c r="BH99" s="82">
        <v>0</v>
      </c>
      <c r="BI99" s="82">
        <v>-493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1649.6399999999999</v>
      </c>
      <c r="C100" s="108">
        <f>C61+C65+C83+C79+C95+C99</f>
        <v>1539.6399999999999</v>
      </c>
      <c r="D100" s="108">
        <f>D61+D65+D83+D79+D95+D99</f>
        <v>1523.6399999999999</v>
      </c>
      <c r="E100" s="108">
        <f t="shared" ref="E100:AG100" si="33">E61+E65+E83+E79+E95+E99</f>
        <v>1488.94</v>
      </c>
      <c r="F100" s="108">
        <f t="shared" si="33"/>
        <v>1549.94</v>
      </c>
      <c r="G100" s="108">
        <f t="shared" si="33"/>
        <v>1565.94</v>
      </c>
      <c r="H100" s="108">
        <f t="shared" si="33"/>
        <v>1614.3400000000001</v>
      </c>
      <c r="I100" s="108">
        <f t="shared" si="33"/>
        <v>1589.54</v>
      </c>
      <c r="J100" s="108">
        <f t="shared" si="33"/>
        <v>1607.54</v>
      </c>
      <c r="K100" s="108">
        <f t="shared" si="33"/>
        <v>1686.74</v>
      </c>
      <c r="L100" s="108">
        <f t="shared" si="33"/>
        <v>1699.44</v>
      </c>
      <c r="M100" s="108">
        <f t="shared" si="33"/>
        <v>1687.44</v>
      </c>
      <c r="N100" s="108">
        <f t="shared" si="33"/>
        <v>1687.44</v>
      </c>
      <c r="O100" s="108">
        <f t="shared" si="33"/>
        <v>1687.44</v>
      </c>
      <c r="P100" s="108">
        <f t="shared" si="33"/>
        <v>1708.44</v>
      </c>
      <c r="Q100" s="108">
        <f t="shared" si="33"/>
        <v>1717.44</v>
      </c>
      <c r="R100" s="108">
        <f t="shared" si="33"/>
        <v>1695.44</v>
      </c>
      <c r="S100" s="108">
        <f t="shared" si="33"/>
        <v>1955.5399999999997</v>
      </c>
      <c r="T100" s="108">
        <f t="shared" si="33"/>
        <v>1959.6399999999999</v>
      </c>
      <c r="U100" s="108">
        <f t="shared" si="33"/>
        <v>1989.6399999999999</v>
      </c>
      <c r="V100" s="108">
        <f t="shared" si="33"/>
        <v>2031.14</v>
      </c>
      <c r="W100" s="108">
        <f t="shared" si="33"/>
        <v>2015.64</v>
      </c>
      <c r="X100" s="108">
        <f t="shared" si="33"/>
        <v>1968.04</v>
      </c>
      <c r="Y100" s="108">
        <f t="shared" si="33"/>
        <v>1913.84</v>
      </c>
      <c r="Z100" s="108">
        <f t="shared" si="33"/>
        <v>1942.3999999999999</v>
      </c>
      <c r="AA100" s="108">
        <f t="shared" si="33"/>
        <v>1990.4399999999998</v>
      </c>
      <c r="AB100" s="108">
        <f t="shared" si="33"/>
        <v>2051.2399999999998</v>
      </c>
      <c r="AC100" s="108">
        <f t="shared" si="33"/>
        <v>1882.34</v>
      </c>
      <c r="AD100" s="108">
        <f t="shared" si="33"/>
        <v>2032.74</v>
      </c>
      <c r="AE100" s="108">
        <f t="shared" si="33"/>
        <v>1988.24</v>
      </c>
      <c r="AF100" s="108">
        <f t="shared" si="33"/>
        <v>1971.54</v>
      </c>
      <c r="AG100" s="72">
        <f t="shared" si="33"/>
        <v>2655.44</v>
      </c>
      <c r="AH100" s="48">
        <f t="shared" si="28"/>
        <v>2051.2399999999998</v>
      </c>
      <c r="AI100" s="49">
        <f t="shared" si="29"/>
        <v>1488.94</v>
      </c>
      <c r="BF100" s="81"/>
      <c r="BG100" s="82">
        <v>1.6</v>
      </c>
      <c r="BH100" s="82">
        <v>0</v>
      </c>
      <c r="BI100" s="82">
        <v>-444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8"/>
        <v>0</v>
      </c>
      <c r="AI101" s="49">
        <f t="shared" si="29"/>
        <v>0</v>
      </c>
      <c r="BF101" s="81"/>
      <c r="BG101" s="82">
        <v>12</v>
      </c>
      <c r="BH101" s="82">
        <v>0</v>
      </c>
      <c r="BI101" s="82">
        <v>-444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1649.6399999999999</v>
      </c>
      <c r="C102" s="108">
        <f>C100+C101</f>
        <v>1539.6399999999999</v>
      </c>
      <c r="D102" s="108">
        <f>D100+D101</f>
        <v>1523.6399999999999</v>
      </c>
      <c r="E102" s="108">
        <f t="shared" ref="E102:AF102" si="34">E100+E101</f>
        <v>1488.94</v>
      </c>
      <c r="F102" s="108">
        <f t="shared" si="34"/>
        <v>1549.94</v>
      </c>
      <c r="G102" s="108">
        <f t="shared" si="34"/>
        <v>1565.94</v>
      </c>
      <c r="H102" s="108">
        <f t="shared" si="34"/>
        <v>1614.3400000000001</v>
      </c>
      <c r="I102" s="108">
        <f t="shared" si="34"/>
        <v>1589.54</v>
      </c>
      <c r="J102" s="108">
        <f t="shared" si="34"/>
        <v>1607.54</v>
      </c>
      <c r="K102" s="108">
        <f t="shared" si="34"/>
        <v>1686.74</v>
      </c>
      <c r="L102" s="108">
        <f t="shared" si="34"/>
        <v>1699.44</v>
      </c>
      <c r="M102" s="108">
        <f t="shared" si="34"/>
        <v>1687.44</v>
      </c>
      <c r="N102" s="108">
        <f t="shared" si="34"/>
        <v>1687.44</v>
      </c>
      <c r="O102" s="108">
        <f t="shared" si="34"/>
        <v>1687.44</v>
      </c>
      <c r="P102" s="108">
        <f t="shared" si="34"/>
        <v>1708.44</v>
      </c>
      <c r="Q102" s="108">
        <f t="shared" si="34"/>
        <v>1717.44</v>
      </c>
      <c r="R102" s="108">
        <f t="shared" si="34"/>
        <v>1695.44</v>
      </c>
      <c r="S102" s="108">
        <f t="shared" si="34"/>
        <v>1955.5399999999997</v>
      </c>
      <c r="T102" s="108">
        <f t="shared" si="34"/>
        <v>1959.6399999999999</v>
      </c>
      <c r="U102" s="108">
        <f t="shared" si="34"/>
        <v>1989.6399999999999</v>
      </c>
      <c r="V102" s="108">
        <f t="shared" si="34"/>
        <v>2031.14</v>
      </c>
      <c r="W102" s="108">
        <f t="shared" si="34"/>
        <v>2015.64</v>
      </c>
      <c r="X102" s="108">
        <f t="shared" si="34"/>
        <v>1968.04</v>
      </c>
      <c r="Y102" s="108">
        <f t="shared" si="34"/>
        <v>1913.84</v>
      </c>
      <c r="Z102" s="108">
        <f t="shared" si="34"/>
        <v>1942.3999999999999</v>
      </c>
      <c r="AA102" s="108">
        <f t="shared" si="34"/>
        <v>1990.4399999999998</v>
      </c>
      <c r="AB102" s="108">
        <f t="shared" si="34"/>
        <v>2051.2399999999998</v>
      </c>
      <c r="AC102" s="108">
        <f t="shared" si="34"/>
        <v>1882.34</v>
      </c>
      <c r="AD102" s="108">
        <f t="shared" si="34"/>
        <v>2032.74</v>
      </c>
      <c r="AE102" s="108">
        <f t="shared" si="34"/>
        <v>1988.24</v>
      </c>
      <c r="AF102" s="108">
        <f t="shared" si="34"/>
        <v>1971.54</v>
      </c>
      <c r="AG102" s="101">
        <f>AG99+AG95+AG83+AG79+AG61+AG101</f>
        <v>2117.34</v>
      </c>
      <c r="AH102" s="48">
        <f t="shared" si="28"/>
        <v>2051.2399999999998</v>
      </c>
      <c r="AI102" s="49">
        <f t="shared" si="29"/>
        <v>1488.94</v>
      </c>
      <c r="BF102" s="81"/>
      <c r="BG102" s="82">
        <v>9.1</v>
      </c>
      <c r="BH102" s="82">
        <v>0</v>
      </c>
      <c r="BI102" s="82">
        <v>-448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1079.6399999999999</v>
      </c>
      <c r="C103" s="108">
        <f>C102-(C110)</f>
        <v>889.63999999999987</v>
      </c>
      <c r="D103" s="108">
        <f>D102-(D110)</f>
        <v>843.63999999999987</v>
      </c>
      <c r="E103" s="108">
        <f t="shared" ref="E103:AF103" si="35">E102-(E110)</f>
        <v>781.94</v>
      </c>
      <c r="F103" s="108">
        <f t="shared" si="35"/>
        <v>886.34</v>
      </c>
      <c r="G103" s="108">
        <f t="shared" si="35"/>
        <v>888.94</v>
      </c>
      <c r="H103" s="108">
        <f t="shared" si="35"/>
        <v>901.34000000000015</v>
      </c>
      <c r="I103" s="108">
        <f t="shared" si="35"/>
        <v>954.54</v>
      </c>
      <c r="J103" s="108">
        <f t="shared" si="35"/>
        <v>1030.54</v>
      </c>
      <c r="K103" s="108">
        <f t="shared" si="35"/>
        <v>1109.74</v>
      </c>
      <c r="L103" s="108">
        <f t="shared" si="35"/>
        <v>1145.44</v>
      </c>
      <c r="M103" s="108">
        <f t="shared" si="35"/>
        <v>1163.44</v>
      </c>
      <c r="N103" s="108">
        <f t="shared" si="35"/>
        <v>1252.44</v>
      </c>
      <c r="O103" s="108">
        <f t="shared" si="35"/>
        <v>1247.44</v>
      </c>
      <c r="P103" s="108">
        <f t="shared" si="35"/>
        <v>1281.44</v>
      </c>
      <c r="Q103" s="108">
        <f t="shared" si="35"/>
        <v>1252.44</v>
      </c>
      <c r="R103" s="108">
        <f t="shared" si="35"/>
        <v>1225.44</v>
      </c>
      <c r="S103" s="108">
        <f t="shared" si="35"/>
        <v>1471.5399999999997</v>
      </c>
      <c r="T103" s="108">
        <f t="shared" si="35"/>
        <v>1518.6399999999999</v>
      </c>
      <c r="U103" s="108">
        <f t="shared" si="35"/>
        <v>1533.2399999999998</v>
      </c>
      <c r="V103" s="108">
        <f t="shared" si="35"/>
        <v>1551.14</v>
      </c>
      <c r="W103" s="108">
        <f t="shared" si="35"/>
        <v>1542.64</v>
      </c>
      <c r="X103" s="108">
        <f t="shared" si="35"/>
        <v>1475.04</v>
      </c>
      <c r="Y103" s="108">
        <f t="shared" si="35"/>
        <v>1448.84</v>
      </c>
      <c r="Z103" s="108">
        <f t="shared" si="35"/>
        <v>1498.3999999999999</v>
      </c>
      <c r="AA103" s="108">
        <f t="shared" si="35"/>
        <v>1546.4399999999998</v>
      </c>
      <c r="AB103" s="108">
        <f t="shared" si="35"/>
        <v>1607.2399999999998</v>
      </c>
      <c r="AC103" s="108">
        <f t="shared" si="35"/>
        <v>1476.34</v>
      </c>
      <c r="AD103" s="108">
        <f t="shared" si="35"/>
        <v>1584.74</v>
      </c>
      <c r="AE103" s="108">
        <f t="shared" si="35"/>
        <v>1510.24</v>
      </c>
      <c r="AF103" s="108">
        <f t="shared" si="35"/>
        <v>1491.54</v>
      </c>
      <c r="AG103" s="101"/>
      <c r="AH103" s="48">
        <f t="shared" si="28"/>
        <v>1607.2399999999998</v>
      </c>
      <c r="AI103" s="49">
        <f t="shared" si="29"/>
        <v>781.94</v>
      </c>
      <c r="BF103" s="81"/>
      <c r="BG103" s="82">
        <v>14</v>
      </c>
      <c r="BH103" s="82">
        <v>0</v>
      </c>
      <c r="BI103" s="82">
        <v>-478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36">IF(B84&lt;0,B84*-1,0)</f>
        <v>0</v>
      </c>
      <c r="C104" s="89">
        <f t="shared" si="36"/>
        <v>0</v>
      </c>
      <c r="D104" s="89">
        <f t="shared" ref="D104:D109" si="37">IF(D84&lt;0,D84*-1,0)</f>
        <v>0</v>
      </c>
      <c r="E104" s="89">
        <f t="shared" ref="E104:AF109" si="38">IF(E84&lt;0,E84*-1,0)</f>
        <v>7</v>
      </c>
      <c r="F104" s="89">
        <f t="shared" si="38"/>
        <v>38.6</v>
      </c>
      <c r="G104" s="89">
        <f t="shared" si="38"/>
        <v>37</v>
      </c>
      <c r="H104" s="89">
        <f t="shared" si="38"/>
        <v>37</v>
      </c>
      <c r="I104" s="89">
        <f t="shared" si="38"/>
        <v>35</v>
      </c>
      <c r="J104" s="89">
        <f t="shared" si="38"/>
        <v>2</v>
      </c>
      <c r="K104" s="89">
        <f t="shared" si="38"/>
        <v>2</v>
      </c>
      <c r="L104" s="89">
        <f t="shared" si="38"/>
        <v>0</v>
      </c>
      <c r="M104" s="89">
        <f t="shared" si="38"/>
        <v>43</v>
      </c>
      <c r="N104" s="89">
        <f t="shared" si="38"/>
        <v>30</v>
      </c>
      <c r="O104" s="89">
        <f t="shared" si="38"/>
        <v>20</v>
      </c>
      <c r="P104" s="89">
        <f t="shared" si="38"/>
        <v>0</v>
      </c>
      <c r="Q104" s="89">
        <f t="shared" si="38"/>
        <v>0</v>
      </c>
      <c r="R104" s="89">
        <f t="shared" si="38"/>
        <v>0</v>
      </c>
      <c r="S104" s="89">
        <f t="shared" si="38"/>
        <v>0</v>
      </c>
      <c r="T104" s="89">
        <f t="shared" si="38"/>
        <v>0</v>
      </c>
      <c r="U104" s="89">
        <f t="shared" si="38"/>
        <v>0</v>
      </c>
      <c r="V104" s="89">
        <f t="shared" si="38"/>
        <v>0</v>
      </c>
      <c r="W104" s="89">
        <f t="shared" si="38"/>
        <v>0</v>
      </c>
      <c r="X104" s="89">
        <f t="shared" si="38"/>
        <v>0</v>
      </c>
      <c r="Y104" s="89">
        <f t="shared" si="38"/>
        <v>0</v>
      </c>
      <c r="Z104" s="89">
        <f t="shared" si="38"/>
        <v>0</v>
      </c>
      <c r="AA104" s="89">
        <f t="shared" si="38"/>
        <v>0</v>
      </c>
      <c r="AB104" s="89">
        <f t="shared" si="38"/>
        <v>0</v>
      </c>
      <c r="AC104" s="89">
        <f t="shared" si="38"/>
        <v>4</v>
      </c>
      <c r="AD104" s="89">
        <f t="shared" si="38"/>
        <v>0</v>
      </c>
      <c r="AE104" s="89">
        <f t="shared" si="38"/>
        <v>0</v>
      </c>
      <c r="AF104" s="89">
        <f t="shared" si="38"/>
        <v>0</v>
      </c>
      <c r="AG104" s="61"/>
      <c r="AH104" s="48">
        <f t="shared" si="28"/>
        <v>43</v>
      </c>
      <c r="AI104" s="49">
        <f t="shared" si="29"/>
        <v>0</v>
      </c>
      <c r="BG104" s="82">
        <v>14</v>
      </c>
      <c r="BH104" s="82">
        <v>0</v>
      </c>
      <c r="BI104" s="82">
        <v>-480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6"/>
        <v>0</v>
      </c>
      <c r="C105" s="89">
        <f t="shared" si="36"/>
        <v>0</v>
      </c>
      <c r="D105" s="89">
        <f t="shared" si="37"/>
        <v>0</v>
      </c>
      <c r="E105" s="89">
        <f t="shared" ref="E105:Q105" si="39">IF(E85&lt;0,E85*-1,0)</f>
        <v>0</v>
      </c>
      <c r="F105" s="89">
        <f t="shared" si="39"/>
        <v>0</v>
      </c>
      <c r="G105" s="89">
        <f t="shared" si="39"/>
        <v>0</v>
      </c>
      <c r="H105" s="89">
        <f t="shared" si="39"/>
        <v>0</v>
      </c>
      <c r="I105" s="89">
        <f t="shared" si="39"/>
        <v>0</v>
      </c>
      <c r="J105" s="89">
        <f t="shared" si="39"/>
        <v>0</v>
      </c>
      <c r="K105" s="89">
        <f t="shared" si="39"/>
        <v>0</v>
      </c>
      <c r="L105" s="89">
        <f t="shared" si="39"/>
        <v>0</v>
      </c>
      <c r="M105" s="89">
        <f t="shared" si="39"/>
        <v>0</v>
      </c>
      <c r="N105" s="89">
        <f t="shared" si="39"/>
        <v>0</v>
      </c>
      <c r="O105" s="89">
        <f t="shared" si="39"/>
        <v>0</v>
      </c>
      <c r="P105" s="89">
        <f t="shared" si="39"/>
        <v>0</v>
      </c>
      <c r="Q105" s="89">
        <f t="shared" si="39"/>
        <v>0</v>
      </c>
      <c r="R105" s="89">
        <f t="shared" si="38"/>
        <v>0</v>
      </c>
      <c r="S105" s="89">
        <f t="shared" si="38"/>
        <v>0</v>
      </c>
      <c r="T105" s="89">
        <f t="shared" si="38"/>
        <v>0</v>
      </c>
      <c r="U105" s="89">
        <f t="shared" si="38"/>
        <v>0</v>
      </c>
      <c r="V105" s="89">
        <f t="shared" si="38"/>
        <v>0</v>
      </c>
      <c r="W105" s="89">
        <f t="shared" si="38"/>
        <v>0</v>
      </c>
      <c r="X105" s="89">
        <f t="shared" si="38"/>
        <v>0</v>
      </c>
      <c r="Y105" s="89">
        <f t="shared" si="38"/>
        <v>0</v>
      </c>
      <c r="Z105" s="89">
        <f t="shared" si="38"/>
        <v>0</v>
      </c>
      <c r="AA105" s="89">
        <f t="shared" si="38"/>
        <v>0</v>
      </c>
      <c r="AB105" s="89">
        <f t="shared" si="38"/>
        <v>0</v>
      </c>
      <c r="AC105" s="89">
        <f t="shared" si="38"/>
        <v>0</v>
      </c>
      <c r="AD105" s="89">
        <f t="shared" si="38"/>
        <v>0</v>
      </c>
      <c r="AE105" s="89">
        <f t="shared" si="38"/>
        <v>0</v>
      </c>
      <c r="AF105" s="89">
        <f t="shared" si="38"/>
        <v>0</v>
      </c>
      <c r="AG105" s="66"/>
      <c r="AH105" s="48">
        <f t="shared" si="28"/>
        <v>0</v>
      </c>
      <c r="AI105" s="49">
        <f t="shared" si="29"/>
        <v>0</v>
      </c>
      <c r="AK105" s="51"/>
      <c r="BG105" s="82">
        <v>0</v>
      </c>
      <c r="BH105" s="82">
        <v>0</v>
      </c>
      <c r="BI105" s="82">
        <v>-570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6"/>
        <v>570</v>
      </c>
      <c r="C106" s="89">
        <f t="shared" si="36"/>
        <v>650</v>
      </c>
      <c r="D106" s="89">
        <f t="shared" si="37"/>
        <v>680</v>
      </c>
      <c r="E106" s="89">
        <f t="shared" si="38"/>
        <v>700</v>
      </c>
      <c r="F106" s="89">
        <f t="shared" si="38"/>
        <v>625</v>
      </c>
      <c r="G106" s="89">
        <f t="shared" si="38"/>
        <v>640</v>
      </c>
      <c r="H106" s="89">
        <f t="shared" si="38"/>
        <v>676</v>
      </c>
      <c r="I106" s="89">
        <f t="shared" si="38"/>
        <v>600</v>
      </c>
      <c r="J106" s="89">
        <f t="shared" si="38"/>
        <v>575</v>
      </c>
      <c r="K106" s="89">
        <f t="shared" si="38"/>
        <v>575</v>
      </c>
      <c r="L106" s="89">
        <f t="shared" si="38"/>
        <v>554</v>
      </c>
      <c r="M106" s="89">
        <f t="shared" si="38"/>
        <v>481</v>
      </c>
      <c r="N106" s="89">
        <f t="shared" si="38"/>
        <v>405</v>
      </c>
      <c r="O106" s="89">
        <f t="shared" si="38"/>
        <v>420</v>
      </c>
      <c r="P106" s="89">
        <f t="shared" si="38"/>
        <v>427</v>
      </c>
      <c r="Q106" s="89">
        <f t="shared" si="38"/>
        <v>465</v>
      </c>
      <c r="R106" s="89">
        <f t="shared" si="38"/>
        <v>470</v>
      </c>
      <c r="S106" s="89">
        <f t="shared" si="38"/>
        <v>484</v>
      </c>
      <c r="T106" s="89">
        <f t="shared" si="38"/>
        <v>441</v>
      </c>
      <c r="U106" s="89">
        <f t="shared" si="38"/>
        <v>456.4</v>
      </c>
      <c r="V106" s="89">
        <f t="shared" si="38"/>
        <v>480</v>
      </c>
      <c r="W106" s="89">
        <f t="shared" si="38"/>
        <v>473</v>
      </c>
      <c r="X106" s="89">
        <f t="shared" si="38"/>
        <v>493</v>
      </c>
      <c r="Y106" s="89">
        <f t="shared" si="38"/>
        <v>465</v>
      </c>
      <c r="Z106" s="89">
        <f t="shared" si="38"/>
        <v>444</v>
      </c>
      <c r="AA106" s="89">
        <f t="shared" si="38"/>
        <v>444</v>
      </c>
      <c r="AB106" s="89">
        <f t="shared" si="38"/>
        <v>444</v>
      </c>
      <c r="AC106" s="89">
        <f t="shared" si="38"/>
        <v>402</v>
      </c>
      <c r="AD106" s="89">
        <f t="shared" si="38"/>
        <v>448</v>
      </c>
      <c r="AE106" s="89">
        <f t="shared" si="38"/>
        <v>478</v>
      </c>
      <c r="AF106" s="89">
        <f t="shared" si="38"/>
        <v>480</v>
      </c>
      <c r="AG106" s="111"/>
      <c r="AH106" s="48">
        <f t="shared" si="28"/>
        <v>700</v>
      </c>
      <c r="AI106" s="49">
        <f t="shared" si="29"/>
        <v>402</v>
      </c>
    </row>
    <row r="107" spans="1:64" x14ac:dyDescent="0.25">
      <c r="A107" s="97" t="s">
        <v>107</v>
      </c>
      <c r="B107" s="89">
        <f t="shared" si="36"/>
        <v>0</v>
      </c>
      <c r="C107" s="89">
        <f t="shared" si="36"/>
        <v>0</v>
      </c>
      <c r="D107" s="89">
        <f t="shared" si="37"/>
        <v>0</v>
      </c>
      <c r="E107" s="89">
        <f t="shared" si="38"/>
        <v>0</v>
      </c>
      <c r="F107" s="89">
        <f t="shared" si="38"/>
        <v>0</v>
      </c>
      <c r="G107" s="89">
        <f t="shared" si="38"/>
        <v>0</v>
      </c>
      <c r="H107" s="89">
        <f t="shared" si="38"/>
        <v>0</v>
      </c>
      <c r="I107" s="89">
        <f t="shared" si="38"/>
        <v>0</v>
      </c>
      <c r="J107" s="89">
        <f t="shared" si="38"/>
        <v>0</v>
      </c>
      <c r="K107" s="89">
        <f t="shared" si="38"/>
        <v>0</v>
      </c>
      <c r="L107" s="89">
        <f t="shared" si="38"/>
        <v>0</v>
      </c>
      <c r="M107" s="89">
        <f t="shared" si="38"/>
        <v>0</v>
      </c>
      <c r="N107" s="89">
        <f t="shared" si="38"/>
        <v>0</v>
      </c>
      <c r="O107" s="89">
        <f t="shared" si="38"/>
        <v>0</v>
      </c>
      <c r="P107" s="89">
        <f t="shared" si="38"/>
        <v>0</v>
      </c>
      <c r="Q107" s="89">
        <f t="shared" si="38"/>
        <v>0</v>
      </c>
      <c r="R107" s="89">
        <f t="shared" si="38"/>
        <v>0</v>
      </c>
      <c r="S107" s="89">
        <f t="shared" si="38"/>
        <v>0</v>
      </c>
      <c r="T107" s="89">
        <f t="shared" si="38"/>
        <v>0</v>
      </c>
      <c r="U107" s="89">
        <f t="shared" si="38"/>
        <v>0</v>
      </c>
      <c r="V107" s="89">
        <f t="shared" si="38"/>
        <v>0</v>
      </c>
      <c r="W107" s="89">
        <f t="shared" si="38"/>
        <v>0</v>
      </c>
      <c r="X107" s="89">
        <f t="shared" si="38"/>
        <v>0</v>
      </c>
      <c r="Y107" s="89">
        <f t="shared" si="38"/>
        <v>0</v>
      </c>
      <c r="Z107" s="89">
        <f t="shared" si="38"/>
        <v>0</v>
      </c>
      <c r="AA107" s="89">
        <f t="shared" si="38"/>
        <v>0</v>
      </c>
      <c r="AB107" s="89">
        <f t="shared" si="38"/>
        <v>0</v>
      </c>
      <c r="AC107" s="89">
        <f t="shared" si="38"/>
        <v>0</v>
      </c>
      <c r="AD107" s="89">
        <f t="shared" si="38"/>
        <v>0</v>
      </c>
      <c r="AE107" s="89">
        <f t="shared" si="38"/>
        <v>0</v>
      </c>
      <c r="AF107" s="89">
        <f t="shared" si="38"/>
        <v>0</v>
      </c>
      <c r="AG107" s="111"/>
      <c r="AH107" s="48">
        <f t="shared" si="28"/>
        <v>0</v>
      </c>
      <c r="AI107" s="49">
        <f t="shared" si="29"/>
        <v>0</v>
      </c>
    </row>
    <row r="108" spans="1:64" x14ac:dyDescent="0.25">
      <c r="A108" s="97" t="s">
        <v>108</v>
      </c>
      <c r="B108" s="89">
        <f t="shared" si="36"/>
        <v>0</v>
      </c>
      <c r="C108" s="89">
        <f t="shared" si="36"/>
        <v>0</v>
      </c>
      <c r="D108" s="89">
        <f t="shared" si="37"/>
        <v>0</v>
      </c>
      <c r="E108" s="89">
        <f t="shared" si="38"/>
        <v>0</v>
      </c>
      <c r="F108" s="89">
        <f t="shared" si="38"/>
        <v>0</v>
      </c>
      <c r="G108" s="89">
        <f t="shared" si="38"/>
        <v>0</v>
      </c>
      <c r="H108" s="89">
        <f t="shared" si="38"/>
        <v>0</v>
      </c>
      <c r="I108" s="89">
        <f t="shared" si="38"/>
        <v>0</v>
      </c>
      <c r="J108" s="89">
        <f t="shared" si="38"/>
        <v>0</v>
      </c>
      <c r="K108" s="89">
        <f t="shared" si="38"/>
        <v>0</v>
      </c>
      <c r="L108" s="89">
        <f t="shared" si="38"/>
        <v>0</v>
      </c>
      <c r="M108" s="89">
        <f t="shared" si="38"/>
        <v>0</v>
      </c>
      <c r="N108" s="89">
        <f t="shared" si="38"/>
        <v>0</v>
      </c>
      <c r="O108" s="89">
        <f t="shared" si="38"/>
        <v>0</v>
      </c>
      <c r="P108" s="89">
        <f t="shared" si="38"/>
        <v>0</v>
      </c>
      <c r="Q108" s="89">
        <f t="shared" si="38"/>
        <v>0</v>
      </c>
      <c r="R108" s="89">
        <f t="shared" si="38"/>
        <v>0</v>
      </c>
      <c r="S108" s="89">
        <f t="shared" si="38"/>
        <v>0</v>
      </c>
      <c r="T108" s="89">
        <f t="shared" si="38"/>
        <v>0</v>
      </c>
      <c r="U108" s="89">
        <f t="shared" si="38"/>
        <v>0</v>
      </c>
      <c r="V108" s="89">
        <f t="shared" si="38"/>
        <v>0</v>
      </c>
      <c r="W108" s="89">
        <f t="shared" si="38"/>
        <v>0</v>
      </c>
      <c r="X108" s="89">
        <f t="shared" si="38"/>
        <v>0</v>
      </c>
      <c r="Y108" s="89">
        <f t="shared" si="38"/>
        <v>0</v>
      </c>
      <c r="Z108" s="89">
        <f t="shared" si="38"/>
        <v>0</v>
      </c>
      <c r="AA108" s="89">
        <f t="shared" si="38"/>
        <v>0</v>
      </c>
      <c r="AB108" s="89">
        <f t="shared" si="38"/>
        <v>0</v>
      </c>
      <c r="AC108" s="89">
        <f t="shared" si="38"/>
        <v>0</v>
      </c>
      <c r="AD108" s="89">
        <f t="shared" si="38"/>
        <v>0</v>
      </c>
      <c r="AE108" s="89">
        <f t="shared" si="38"/>
        <v>0</v>
      </c>
      <c r="AF108" s="89">
        <f t="shared" si="38"/>
        <v>0</v>
      </c>
      <c r="AG108" s="111"/>
      <c r="AH108" s="48">
        <f t="shared" si="28"/>
        <v>0</v>
      </c>
      <c r="AI108" s="49">
        <f t="shared" si="29"/>
        <v>0</v>
      </c>
    </row>
    <row r="109" spans="1:64" ht="15.75" thickBot="1" x14ac:dyDescent="0.3">
      <c r="A109" s="97" t="s">
        <v>117</v>
      </c>
      <c r="B109" s="89">
        <f t="shared" si="36"/>
        <v>0</v>
      </c>
      <c r="C109" s="89">
        <f t="shared" si="36"/>
        <v>0</v>
      </c>
      <c r="D109" s="89">
        <f t="shared" si="37"/>
        <v>0</v>
      </c>
      <c r="E109" s="89">
        <f t="shared" si="38"/>
        <v>0</v>
      </c>
      <c r="F109" s="89">
        <f t="shared" si="38"/>
        <v>0</v>
      </c>
      <c r="G109" s="89">
        <f t="shared" si="38"/>
        <v>0</v>
      </c>
      <c r="H109" s="89">
        <f t="shared" si="38"/>
        <v>0</v>
      </c>
      <c r="I109" s="89">
        <f t="shared" si="38"/>
        <v>0</v>
      </c>
      <c r="J109" s="89">
        <f t="shared" si="38"/>
        <v>0</v>
      </c>
      <c r="K109" s="89">
        <f t="shared" si="38"/>
        <v>0</v>
      </c>
      <c r="L109" s="89">
        <f t="shared" si="38"/>
        <v>0</v>
      </c>
      <c r="M109" s="89">
        <f t="shared" si="38"/>
        <v>0</v>
      </c>
      <c r="N109" s="89">
        <f t="shared" si="38"/>
        <v>0</v>
      </c>
      <c r="O109" s="89">
        <f t="shared" si="38"/>
        <v>0</v>
      </c>
      <c r="P109" s="89">
        <f t="shared" si="38"/>
        <v>0</v>
      </c>
      <c r="Q109" s="89">
        <f t="shared" si="38"/>
        <v>0</v>
      </c>
      <c r="R109" s="89">
        <f t="shared" si="38"/>
        <v>0</v>
      </c>
      <c r="S109" s="89">
        <f t="shared" si="38"/>
        <v>0</v>
      </c>
      <c r="T109" s="89">
        <f t="shared" si="38"/>
        <v>0</v>
      </c>
      <c r="U109" s="89">
        <f t="shared" si="38"/>
        <v>0</v>
      </c>
      <c r="V109" s="89">
        <f t="shared" si="38"/>
        <v>0</v>
      </c>
      <c r="W109" s="89">
        <f t="shared" si="38"/>
        <v>0</v>
      </c>
      <c r="X109" s="89">
        <f t="shared" si="38"/>
        <v>0</v>
      </c>
      <c r="Y109" s="89">
        <f t="shared" si="38"/>
        <v>0</v>
      </c>
      <c r="Z109" s="89">
        <f t="shared" si="38"/>
        <v>0</v>
      </c>
      <c r="AA109" s="89">
        <f t="shared" si="38"/>
        <v>0</v>
      </c>
      <c r="AB109" s="89">
        <f t="shared" si="38"/>
        <v>0</v>
      </c>
      <c r="AC109" s="89">
        <f t="shared" si="38"/>
        <v>0</v>
      </c>
      <c r="AD109" s="89">
        <f t="shared" si="38"/>
        <v>0</v>
      </c>
      <c r="AE109" s="89">
        <f t="shared" si="38"/>
        <v>0</v>
      </c>
      <c r="AF109" s="89">
        <f t="shared" si="38"/>
        <v>0</v>
      </c>
      <c r="AG109" s="98"/>
      <c r="AH109" s="48">
        <f t="shared" si="28"/>
        <v>0</v>
      </c>
      <c r="AI109" s="49">
        <f t="shared" si="29"/>
        <v>0</v>
      </c>
    </row>
    <row r="110" spans="1:64" ht="15.75" thickBot="1" x14ac:dyDescent="0.3">
      <c r="A110" s="112" t="s">
        <v>130</v>
      </c>
      <c r="B110" s="71">
        <f>SUM(B104:B109)</f>
        <v>570</v>
      </c>
      <c r="C110" s="71">
        <f>SUM(C104:C109)</f>
        <v>650</v>
      </c>
      <c r="D110" s="71">
        <f>SUM(D104:D109)</f>
        <v>680</v>
      </c>
      <c r="E110" s="71">
        <f t="shared" ref="E110:AF110" si="40">SUM(E104:E109)</f>
        <v>707</v>
      </c>
      <c r="F110" s="71">
        <f t="shared" si="40"/>
        <v>663.6</v>
      </c>
      <c r="G110" s="71">
        <f t="shared" si="40"/>
        <v>677</v>
      </c>
      <c r="H110" s="71">
        <f t="shared" si="40"/>
        <v>713</v>
      </c>
      <c r="I110" s="71">
        <f t="shared" si="40"/>
        <v>635</v>
      </c>
      <c r="J110" s="71">
        <f t="shared" si="40"/>
        <v>577</v>
      </c>
      <c r="K110" s="71">
        <f t="shared" si="40"/>
        <v>577</v>
      </c>
      <c r="L110" s="71">
        <f t="shared" si="40"/>
        <v>554</v>
      </c>
      <c r="M110" s="71">
        <f t="shared" si="40"/>
        <v>524</v>
      </c>
      <c r="N110" s="71">
        <f t="shared" si="40"/>
        <v>435</v>
      </c>
      <c r="O110" s="71">
        <f t="shared" si="40"/>
        <v>440</v>
      </c>
      <c r="P110" s="71">
        <f t="shared" si="40"/>
        <v>427</v>
      </c>
      <c r="Q110" s="71">
        <f t="shared" si="40"/>
        <v>465</v>
      </c>
      <c r="R110" s="71">
        <f t="shared" si="40"/>
        <v>470</v>
      </c>
      <c r="S110" s="71">
        <f t="shared" si="40"/>
        <v>484</v>
      </c>
      <c r="T110" s="71">
        <f t="shared" si="40"/>
        <v>441</v>
      </c>
      <c r="U110" s="71">
        <f t="shared" si="40"/>
        <v>456.4</v>
      </c>
      <c r="V110" s="71">
        <f t="shared" si="40"/>
        <v>480</v>
      </c>
      <c r="W110" s="71">
        <f t="shared" si="40"/>
        <v>473</v>
      </c>
      <c r="X110" s="71">
        <f t="shared" si="40"/>
        <v>493</v>
      </c>
      <c r="Y110" s="71">
        <f t="shared" si="40"/>
        <v>465</v>
      </c>
      <c r="Z110" s="71">
        <f t="shared" si="40"/>
        <v>444</v>
      </c>
      <c r="AA110" s="71">
        <f t="shared" si="40"/>
        <v>444</v>
      </c>
      <c r="AB110" s="71">
        <f t="shared" si="40"/>
        <v>444</v>
      </c>
      <c r="AC110" s="71">
        <f t="shared" si="40"/>
        <v>406</v>
      </c>
      <c r="AD110" s="71">
        <f t="shared" si="40"/>
        <v>448</v>
      </c>
      <c r="AE110" s="71">
        <f t="shared" si="40"/>
        <v>478</v>
      </c>
      <c r="AF110" s="71">
        <f t="shared" si="40"/>
        <v>480</v>
      </c>
      <c r="AG110" s="101"/>
      <c r="AH110" s="48">
        <f t="shared" si="28"/>
        <v>713</v>
      </c>
      <c r="AI110" s="49">
        <f t="shared" si="29"/>
        <v>406</v>
      </c>
    </row>
    <row r="111" spans="1:64" ht="15.75" thickBot="1" x14ac:dyDescent="0.3">
      <c r="A111" s="87" t="s">
        <v>131</v>
      </c>
      <c r="B111" s="71">
        <f>B95-B110</f>
        <v>-570</v>
      </c>
      <c r="C111" s="71">
        <f>C95-C110</f>
        <v>-650</v>
      </c>
      <c r="D111" s="71">
        <f>D95-D110</f>
        <v>-680</v>
      </c>
      <c r="E111" s="71">
        <f t="shared" ref="E111:AF111" si="41">E95-E110</f>
        <v>-707</v>
      </c>
      <c r="F111" s="71">
        <f t="shared" si="41"/>
        <v>-663.6</v>
      </c>
      <c r="G111" s="71">
        <f t="shared" si="41"/>
        <v>-677</v>
      </c>
      <c r="H111" s="71">
        <f t="shared" si="41"/>
        <v>-713</v>
      </c>
      <c r="I111" s="71">
        <f t="shared" si="41"/>
        <v>-635</v>
      </c>
      <c r="J111" s="71">
        <f t="shared" si="41"/>
        <v>-577</v>
      </c>
      <c r="K111" s="71">
        <f t="shared" si="41"/>
        <v>-577</v>
      </c>
      <c r="L111" s="71">
        <f t="shared" si="41"/>
        <v>-542</v>
      </c>
      <c r="M111" s="71">
        <f t="shared" si="41"/>
        <v>-524</v>
      </c>
      <c r="N111" s="71">
        <f t="shared" si="41"/>
        <v>-435</v>
      </c>
      <c r="O111" s="71">
        <f t="shared" si="41"/>
        <v>-440</v>
      </c>
      <c r="P111" s="71">
        <f t="shared" si="41"/>
        <v>-406</v>
      </c>
      <c r="Q111" s="71">
        <f t="shared" si="41"/>
        <v>-435</v>
      </c>
      <c r="R111" s="71">
        <f t="shared" si="41"/>
        <v>-462</v>
      </c>
      <c r="S111" s="71">
        <f t="shared" si="41"/>
        <v>-476.2</v>
      </c>
      <c r="T111" s="71">
        <f t="shared" si="41"/>
        <v>-428.1</v>
      </c>
      <c r="U111" s="71">
        <f t="shared" si="41"/>
        <v>-411.9</v>
      </c>
      <c r="V111" s="71">
        <f t="shared" si="41"/>
        <v>-422</v>
      </c>
      <c r="W111" s="71">
        <f t="shared" si="41"/>
        <v>-407.7</v>
      </c>
      <c r="X111" s="71">
        <f t="shared" si="41"/>
        <v>-444</v>
      </c>
      <c r="Y111" s="71">
        <f t="shared" si="41"/>
        <v>-461.4</v>
      </c>
      <c r="Z111" s="71">
        <f t="shared" si="41"/>
        <v>-442.4</v>
      </c>
      <c r="AA111" s="71">
        <f t="shared" si="41"/>
        <v>-392.4</v>
      </c>
      <c r="AB111" s="71">
        <f t="shared" si="41"/>
        <v>-380</v>
      </c>
      <c r="AC111" s="71">
        <f t="shared" si="41"/>
        <v>-354</v>
      </c>
      <c r="AD111" s="71">
        <f t="shared" si="41"/>
        <v>-387.9</v>
      </c>
      <c r="AE111" s="71">
        <f t="shared" si="41"/>
        <v>-414</v>
      </c>
      <c r="AF111" s="71">
        <f t="shared" si="41"/>
        <v>-416</v>
      </c>
      <c r="AG111" s="101"/>
      <c r="AH111" s="48">
        <f t="shared" si="28"/>
        <v>-354</v>
      </c>
      <c r="AI111" s="49">
        <f t="shared" si="29"/>
        <v>-713</v>
      </c>
    </row>
    <row r="112" spans="1:64" x14ac:dyDescent="0.25">
      <c r="A112" s="113" t="s">
        <v>132</v>
      </c>
      <c r="B112" s="114">
        <v>50.01</v>
      </c>
      <c r="C112" s="114">
        <v>50.01</v>
      </c>
      <c r="D112" s="114">
        <v>50.03</v>
      </c>
      <c r="E112" s="114">
        <v>50.03</v>
      </c>
      <c r="F112" s="114">
        <v>50.03</v>
      </c>
      <c r="G112" s="114">
        <v>50.03</v>
      </c>
      <c r="H112" s="114">
        <v>49.997</v>
      </c>
      <c r="I112" s="114">
        <v>50.012</v>
      </c>
      <c r="J112" s="114">
        <v>50.012</v>
      </c>
      <c r="K112" s="114">
        <v>50.012</v>
      </c>
      <c r="L112" s="114">
        <v>49.914999999999999</v>
      </c>
      <c r="M112" s="114">
        <v>50.072000000000003</v>
      </c>
      <c r="N112" s="114">
        <v>50.072000000000003</v>
      </c>
      <c r="O112" s="114">
        <v>50.012</v>
      </c>
      <c r="P112" s="114">
        <v>49.875999999999998</v>
      </c>
      <c r="Q112" s="114">
        <v>50.13</v>
      </c>
      <c r="R112" s="114">
        <v>50.091999999999999</v>
      </c>
      <c r="S112" s="114">
        <v>49.926000000000002</v>
      </c>
      <c r="T112" s="114">
        <v>49.896000000000001</v>
      </c>
      <c r="U112" s="114">
        <v>50.009</v>
      </c>
      <c r="V112" s="114">
        <v>49.923999999999999</v>
      </c>
      <c r="W112" s="114">
        <v>49.953000000000003</v>
      </c>
      <c r="X112" s="114">
        <v>49.95</v>
      </c>
      <c r="Y112" s="114">
        <v>49.905000000000001</v>
      </c>
      <c r="Z112" s="114">
        <v>49.893999999999998</v>
      </c>
      <c r="AA112" s="114">
        <v>49.893999999999998</v>
      </c>
      <c r="AB112" s="114">
        <v>49.962000000000003</v>
      </c>
      <c r="AC112" s="114">
        <v>50.021000000000001</v>
      </c>
      <c r="AD112" s="114">
        <v>50.112000000000002</v>
      </c>
      <c r="AE112" s="114">
        <v>50.112000000000002</v>
      </c>
      <c r="AF112" s="114">
        <v>49.994999999999997</v>
      </c>
      <c r="AG112" s="115"/>
      <c r="AH112" s="48">
        <f t="shared" si="28"/>
        <v>50.13</v>
      </c>
      <c r="AI112" s="49">
        <f t="shared" si="29"/>
        <v>49.875999999999998</v>
      </c>
    </row>
    <row r="113" spans="1:35" x14ac:dyDescent="0.25">
      <c r="A113" s="116" t="s">
        <v>133</v>
      </c>
      <c r="B113" s="76">
        <v>124</v>
      </c>
      <c r="C113" s="76">
        <v>124</v>
      </c>
      <c r="D113" s="76">
        <v>127</v>
      </c>
      <c r="E113" s="76">
        <v>127</v>
      </c>
      <c r="F113" s="76">
        <v>127</v>
      </c>
      <c r="G113" s="76">
        <v>127</v>
      </c>
      <c r="H113" s="76">
        <v>127.2</v>
      </c>
      <c r="I113" s="76">
        <v>125.5</v>
      </c>
      <c r="J113" s="76">
        <v>125.5</v>
      </c>
      <c r="K113" s="76">
        <v>125.5</v>
      </c>
      <c r="L113" s="76">
        <v>121.3</v>
      </c>
      <c r="M113" s="76">
        <v>122.1</v>
      </c>
      <c r="N113" s="76">
        <v>122.1</v>
      </c>
      <c r="O113" s="76">
        <v>125.5</v>
      </c>
      <c r="P113" s="76">
        <v>120.1</v>
      </c>
      <c r="Q113" s="76">
        <v>116.8</v>
      </c>
      <c r="R113" s="76">
        <v>117</v>
      </c>
      <c r="S113" s="76">
        <v>117</v>
      </c>
      <c r="T113" s="76">
        <v>117.7</v>
      </c>
      <c r="U113" s="76">
        <v>117.7</v>
      </c>
      <c r="V113" s="76">
        <v>118.3</v>
      </c>
      <c r="W113" s="76">
        <v>119</v>
      </c>
      <c r="X113" s="76">
        <v>119</v>
      </c>
      <c r="Y113" s="76">
        <v>120.9</v>
      </c>
      <c r="Z113" s="76">
        <v>123.5</v>
      </c>
      <c r="AA113" s="76">
        <v>123.5</v>
      </c>
      <c r="AB113" s="76">
        <v>123.2</v>
      </c>
      <c r="AC113" s="76">
        <v>122.7</v>
      </c>
      <c r="AD113" s="76">
        <v>124.1</v>
      </c>
      <c r="AE113" s="76">
        <v>124.1</v>
      </c>
      <c r="AF113" s="76">
        <v>120.7</v>
      </c>
      <c r="AG113" s="117"/>
      <c r="AH113" s="48">
        <f t="shared" si="28"/>
        <v>127.2</v>
      </c>
      <c r="AI113" s="49">
        <f t="shared" si="29"/>
        <v>116.8</v>
      </c>
    </row>
    <row r="114" spans="1:35" x14ac:dyDescent="0.25">
      <c r="A114" s="116" t="s">
        <v>134</v>
      </c>
      <c r="B114" s="76">
        <v>127.8</v>
      </c>
      <c r="C114" s="76">
        <v>127.8</v>
      </c>
      <c r="D114" s="76">
        <v>130</v>
      </c>
      <c r="E114" s="76">
        <v>130</v>
      </c>
      <c r="F114" s="76">
        <v>130</v>
      </c>
      <c r="G114" s="76">
        <v>130</v>
      </c>
      <c r="H114" s="76">
        <v>130.6</v>
      </c>
      <c r="I114" s="76">
        <v>128.80000000000001</v>
      </c>
      <c r="J114" s="76">
        <v>128.80000000000001</v>
      </c>
      <c r="K114" s="76">
        <v>128.80000000000001</v>
      </c>
      <c r="L114" s="76">
        <v>125.3</v>
      </c>
      <c r="M114" s="76">
        <v>125.3</v>
      </c>
      <c r="N114" s="76">
        <v>125.3</v>
      </c>
      <c r="O114" s="76">
        <v>128.80000000000001</v>
      </c>
      <c r="P114" s="76">
        <v>123.3</v>
      </c>
      <c r="Q114" s="76">
        <v>122</v>
      </c>
      <c r="R114" s="76">
        <v>122</v>
      </c>
      <c r="S114" s="76">
        <v>121.9</v>
      </c>
      <c r="T114" s="76">
        <v>121.6</v>
      </c>
      <c r="U114" s="76">
        <v>122.1</v>
      </c>
      <c r="V114" s="76">
        <v>123</v>
      </c>
      <c r="W114" s="76">
        <v>124</v>
      </c>
      <c r="X114" s="76">
        <v>124</v>
      </c>
      <c r="Y114" s="76">
        <v>124.9</v>
      </c>
      <c r="Z114" s="76">
        <v>127</v>
      </c>
      <c r="AA114" s="76">
        <v>127</v>
      </c>
      <c r="AB114" s="76">
        <v>127.1</v>
      </c>
      <c r="AC114" s="76">
        <v>126.6</v>
      </c>
      <c r="AD114" s="76">
        <v>128</v>
      </c>
      <c r="AE114" s="76">
        <v>128</v>
      </c>
      <c r="AF114" s="76">
        <v>126.8</v>
      </c>
      <c r="AG114" s="117"/>
      <c r="AH114" s="48">
        <f t="shared" si="28"/>
        <v>130.6</v>
      </c>
      <c r="AI114" s="49">
        <f t="shared" si="29"/>
        <v>121.6</v>
      </c>
    </row>
    <row r="115" spans="1:35" x14ac:dyDescent="0.25">
      <c r="A115" s="116" t="s">
        <v>135</v>
      </c>
      <c r="B115" s="76">
        <v>133</v>
      </c>
      <c r="C115" s="76">
        <v>133</v>
      </c>
      <c r="D115" s="76">
        <v>135</v>
      </c>
      <c r="E115" s="76">
        <v>135</v>
      </c>
      <c r="F115" s="76">
        <v>135</v>
      </c>
      <c r="G115" s="76">
        <v>135</v>
      </c>
      <c r="H115" s="76">
        <v>130.6</v>
      </c>
      <c r="I115" s="76">
        <v>131.1</v>
      </c>
      <c r="J115" s="76">
        <v>131.1</v>
      </c>
      <c r="K115" s="76">
        <v>131.1</v>
      </c>
      <c r="L115" s="76">
        <v>125.4</v>
      </c>
      <c r="M115" s="76">
        <v>128.80000000000001</v>
      </c>
      <c r="N115" s="76">
        <v>128.80000000000001</v>
      </c>
      <c r="O115" s="76">
        <v>131.1</v>
      </c>
      <c r="P115" s="76">
        <v>127.9</v>
      </c>
      <c r="Q115" s="76">
        <v>128.6</v>
      </c>
      <c r="R115" s="76">
        <v>128</v>
      </c>
      <c r="S115" s="76">
        <v>129.69999999999999</v>
      </c>
      <c r="T115" s="76">
        <v>129.69999999999999</v>
      </c>
      <c r="U115" s="76">
        <v>129.5</v>
      </c>
      <c r="V115" s="76">
        <v>128.9</v>
      </c>
      <c r="W115" s="76">
        <v>130</v>
      </c>
      <c r="X115" s="76">
        <v>130.5</v>
      </c>
      <c r="Y115" s="76">
        <v>130</v>
      </c>
      <c r="Z115" s="76">
        <v>130</v>
      </c>
      <c r="AA115" s="76">
        <v>130</v>
      </c>
      <c r="AB115" s="76">
        <v>130.80000000000001</v>
      </c>
      <c r="AC115" s="76">
        <v>131.4</v>
      </c>
      <c r="AD115" s="76">
        <v>130.69999999999999</v>
      </c>
      <c r="AE115" s="76">
        <v>130.69999999999999</v>
      </c>
      <c r="AF115" s="76">
        <v>127.4</v>
      </c>
      <c r="AG115" s="117"/>
      <c r="AH115" s="48">
        <f t="shared" si="28"/>
        <v>135</v>
      </c>
      <c r="AI115" s="49">
        <f t="shared" si="29"/>
        <v>125.4</v>
      </c>
    </row>
    <row r="116" spans="1:35" x14ac:dyDescent="0.25">
      <c r="A116" s="118" t="s">
        <v>136</v>
      </c>
      <c r="B116" s="76">
        <v>133</v>
      </c>
      <c r="C116" s="76">
        <v>133</v>
      </c>
      <c r="D116" s="76">
        <v>135.69999999999999</v>
      </c>
      <c r="E116" s="76">
        <v>135.69999999999999</v>
      </c>
      <c r="F116" s="76">
        <v>135.69999999999999</v>
      </c>
      <c r="G116" s="76">
        <v>135.69999999999999</v>
      </c>
      <c r="H116" s="76">
        <v>133</v>
      </c>
      <c r="I116" s="76">
        <v>132.69999999999999</v>
      </c>
      <c r="J116" s="76">
        <v>132.69999999999999</v>
      </c>
      <c r="K116" s="76">
        <v>132.69999999999999</v>
      </c>
      <c r="L116" s="76">
        <v>128.19999999999999</v>
      </c>
      <c r="M116" s="76">
        <v>129.4</v>
      </c>
      <c r="N116" s="76">
        <v>129.4</v>
      </c>
      <c r="O116" s="76">
        <v>132.69999999999999</v>
      </c>
      <c r="P116" s="76">
        <v>128.5</v>
      </c>
      <c r="Q116" s="76">
        <v>129.5</v>
      </c>
      <c r="R116" s="76">
        <v>128.69999999999999</v>
      </c>
      <c r="S116" s="76">
        <v>129.4</v>
      </c>
      <c r="T116" s="76">
        <v>129.19999999999999</v>
      </c>
      <c r="U116" s="76">
        <v>128.80000000000001</v>
      </c>
      <c r="V116" s="76">
        <v>130</v>
      </c>
      <c r="W116" s="76">
        <v>130.4</v>
      </c>
      <c r="X116" s="76">
        <v>131.30000000000001</v>
      </c>
      <c r="Y116" s="76">
        <v>130</v>
      </c>
      <c r="Z116" s="76">
        <v>130.1</v>
      </c>
      <c r="AA116" s="76">
        <v>130.1</v>
      </c>
      <c r="AB116" s="76">
        <v>131.80000000000001</v>
      </c>
      <c r="AC116" s="76">
        <v>132.4</v>
      </c>
      <c r="AD116" s="76">
        <v>133.19999999999999</v>
      </c>
      <c r="AE116" s="76">
        <v>133.19999999999999</v>
      </c>
      <c r="AF116" s="76">
        <v>128.4</v>
      </c>
      <c r="AG116" s="117"/>
      <c r="AH116" s="48">
        <f t="shared" si="28"/>
        <v>135.69999999999999</v>
      </c>
      <c r="AI116" s="49">
        <f t="shared" si="29"/>
        <v>128.19999999999999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8"/>
        <v>0</v>
      </c>
      <c r="AI117" s="49">
        <f t="shared" si="29"/>
        <v>0</v>
      </c>
    </row>
    <row r="118" spans="1:35" x14ac:dyDescent="0.25">
      <c r="A118" s="116" t="s">
        <v>138</v>
      </c>
      <c r="B118" s="76">
        <v>134</v>
      </c>
      <c r="C118" s="76">
        <v>134</v>
      </c>
      <c r="D118" s="76">
        <v>129</v>
      </c>
      <c r="E118" s="76">
        <v>129</v>
      </c>
      <c r="F118" s="76">
        <v>129</v>
      </c>
      <c r="G118" s="76">
        <v>129</v>
      </c>
      <c r="H118" s="76">
        <v>124.6</v>
      </c>
      <c r="I118" s="76">
        <v>119</v>
      </c>
      <c r="J118" s="76">
        <v>119</v>
      </c>
      <c r="K118" s="76">
        <v>119</v>
      </c>
      <c r="L118" s="76">
        <v>129</v>
      </c>
      <c r="M118" s="76">
        <v>129.6</v>
      </c>
      <c r="N118" s="76">
        <v>129.6</v>
      </c>
      <c r="O118" s="76">
        <v>119</v>
      </c>
      <c r="P118" s="76">
        <v>133.1</v>
      </c>
      <c r="Q118" s="76">
        <v>128.80000000000001</v>
      </c>
      <c r="R118" s="76">
        <v>132.4</v>
      </c>
      <c r="S118" s="76">
        <v>127.1</v>
      </c>
      <c r="T118" s="76">
        <v>126</v>
      </c>
      <c r="U118" s="76">
        <v>136.30000000000001</v>
      </c>
      <c r="V118" s="76">
        <v>121.8</v>
      </c>
      <c r="W118" s="76">
        <v>136</v>
      </c>
      <c r="X118" s="76">
        <v>131.19999999999999</v>
      </c>
      <c r="Y118" s="76">
        <v>124.5</v>
      </c>
      <c r="Z118" s="76">
        <v>134.1</v>
      </c>
      <c r="AA118" s="76">
        <v>134.1</v>
      </c>
      <c r="AB118" s="76">
        <v>131</v>
      </c>
      <c r="AC118" s="76">
        <v>118.9</v>
      </c>
      <c r="AD118" s="76">
        <v>118</v>
      </c>
      <c r="AE118" s="76">
        <v>118</v>
      </c>
      <c r="AF118" s="76">
        <v>122.5</v>
      </c>
      <c r="AG118" s="117"/>
      <c r="AH118" s="48">
        <f t="shared" si="28"/>
        <v>136.30000000000001</v>
      </c>
      <c r="AI118" s="49">
        <f t="shared" si="29"/>
        <v>118</v>
      </c>
    </row>
    <row r="119" spans="1:35" ht="15.75" thickBot="1" x14ac:dyDescent="0.3">
      <c r="A119" s="116" t="s">
        <v>139</v>
      </c>
      <c r="B119" s="105">
        <v>64.3</v>
      </c>
      <c r="C119" s="105">
        <v>64.3</v>
      </c>
      <c r="D119" s="105">
        <v>65.5</v>
      </c>
      <c r="E119" s="105">
        <v>65.5</v>
      </c>
      <c r="F119" s="105">
        <v>65.5</v>
      </c>
      <c r="G119" s="105">
        <v>65.5</v>
      </c>
      <c r="H119" s="105">
        <v>65.2</v>
      </c>
      <c r="I119" s="105">
        <v>64.5</v>
      </c>
      <c r="J119" s="105">
        <v>64.5</v>
      </c>
      <c r="K119" s="105">
        <v>64.5</v>
      </c>
      <c r="L119" s="105">
        <v>63.1</v>
      </c>
      <c r="M119" s="105">
        <v>62.8</v>
      </c>
      <c r="N119" s="105">
        <v>62.8</v>
      </c>
      <c r="O119" s="105">
        <v>64.5</v>
      </c>
      <c r="P119" s="105">
        <v>61.6</v>
      </c>
      <c r="Q119" s="105">
        <v>61.3</v>
      </c>
      <c r="R119" s="105">
        <v>61.3</v>
      </c>
      <c r="S119" s="105">
        <v>60.7</v>
      </c>
      <c r="T119" s="105">
        <v>60.8</v>
      </c>
      <c r="U119" s="105">
        <v>61</v>
      </c>
      <c r="V119" s="105">
        <v>61.7</v>
      </c>
      <c r="W119" s="105">
        <v>62.3</v>
      </c>
      <c r="X119" s="105">
        <v>62.6</v>
      </c>
      <c r="Y119" s="105">
        <v>63.1</v>
      </c>
      <c r="Z119" s="105">
        <v>64.099999999999994</v>
      </c>
      <c r="AA119" s="105">
        <v>64.099999999999994</v>
      </c>
      <c r="AB119" s="105">
        <v>64.599999999999994</v>
      </c>
      <c r="AC119" s="105">
        <v>64</v>
      </c>
      <c r="AD119" s="105">
        <v>64.900000000000006</v>
      </c>
      <c r="AE119" s="105">
        <v>64.900000000000006</v>
      </c>
      <c r="AF119" s="105">
        <v>63.8</v>
      </c>
      <c r="AG119" s="121"/>
      <c r="AH119" s="48">
        <f t="shared" si="28"/>
        <v>65.5</v>
      </c>
      <c r="AI119" s="49">
        <f t="shared" si="29"/>
        <v>60.7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8"/>
        <v>0</v>
      </c>
      <c r="AI120" s="49">
        <f t="shared" si="29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49.740000000000009</v>
      </c>
      <c r="C121" s="124">
        <f>SUM(C25,C31,C34:C35,C69,C71:C72,C74,C76,C122:C126,C158,C164,C170,C179,C181,C193,C200,C203:C204,C211,C213,C215,C219:C221,C223:C225,C230,C236:C237,C239:C241,C249,C254)</f>
        <v>49.740000000000009</v>
      </c>
      <c r="D121" s="124">
        <f>SUM(D25,D31,D34:D35,D69,D71:D72,D74,D76,D122:D126,D158,D164,D170,D179,D181,D193,D200,D203:D204,D211,D213,D215,D219:D221,D223:D225,D230,D236:D237,D239:D241,D249,D254)</f>
        <v>127.74000000000001</v>
      </c>
      <c r="E121" s="124">
        <f t="shared" ref="E121:O121" si="42">SUM(E25,E31,E34:E35,E69,E71:E72,E74,E76,E122:E126,E158,E164,E170,E179,E181,E193,E200,E203:E204,E211,E213,E215,E219:E221,E223:E225,E230,E236:E237,E239:E241,E249,E254)</f>
        <v>118.74000000000001</v>
      </c>
      <c r="F121" s="124">
        <f t="shared" si="42"/>
        <v>118.74000000000001</v>
      </c>
      <c r="G121" s="124">
        <f t="shared" si="42"/>
        <v>118.74000000000001</v>
      </c>
      <c r="H121" s="124">
        <f t="shared" si="42"/>
        <v>102.44</v>
      </c>
      <c r="I121" s="124">
        <f t="shared" si="42"/>
        <v>58.139999999999986</v>
      </c>
      <c r="J121" s="124">
        <f t="shared" si="42"/>
        <v>58.139999999999986</v>
      </c>
      <c r="K121" s="124">
        <f t="shared" si="42"/>
        <v>77.34</v>
      </c>
      <c r="L121" s="124">
        <f t="shared" si="42"/>
        <v>145.13999999999999</v>
      </c>
      <c r="M121" s="124">
        <f t="shared" si="42"/>
        <v>145.54</v>
      </c>
      <c r="N121" s="124">
        <f t="shared" si="42"/>
        <v>145.54</v>
      </c>
      <c r="O121" s="124">
        <f t="shared" si="42"/>
        <v>145.54</v>
      </c>
      <c r="P121" s="124">
        <v>42</v>
      </c>
      <c r="Q121" s="124">
        <f t="shared" ref="Q121:X121" si="43">SUM(Q25,Q31,Q34:Q35,Q69,Q71:Q72,Q74,Q76,Q122:Q126,Q158,Q164,Q170,Q179,Q181,Q193,Q200,Q203:Q204,Q211,Q213,Q215,Q219:Q221,Q223:Q225,Q230,Q236:Q237,Q239:Q241,Q249,Q254)</f>
        <v>132.04000000000002</v>
      </c>
      <c r="R121" s="124">
        <f t="shared" si="43"/>
        <v>130.94</v>
      </c>
      <c r="S121" s="124">
        <f t="shared" si="43"/>
        <v>140.24</v>
      </c>
      <c r="T121" s="124">
        <f t="shared" si="43"/>
        <v>156.44</v>
      </c>
      <c r="U121" s="124">
        <f t="shared" si="43"/>
        <v>171.94</v>
      </c>
      <c r="V121" s="124">
        <f t="shared" si="43"/>
        <v>161.83999999999997</v>
      </c>
      <c r="W121" s="124">
        <f t="shared" si="43"/>
        <v>155.33999999999997</v>
      </c>
      <c r="X121" s="124">
        <f t="shared" si="43"/>
        <v>164.14000000000001</v>
      </c>
      <c r="Y121" s="124">
        <f>SUM(Y23,Y29,Y40:Y41,Y69,Y71:Y72,Y74,Y76,Y122:Y126,Y151,Y157,Y163,Y172,Y174,Y186,Y193,Y196:Y197,Y204,Y206,Y208,Y212:Y214,Y216:Y218,Y223,Y229:Y230,Y232:Y234,Y242,Y247)</f>
        <v>184.7</v>
      </c>
      <c r="Z121" s="124">
        <f>SUM(Z23,Z29,Z40:Z41,Z69,Z71:Z72,Z74,Z76,Z122:Z126,Z151,Z157,Z163,Z172,Z174,Z186,Z193,Z196:Z197,Z204,Z206,Z208,Z212:Z214,Z216:Z218,Z223,Z229:Z230,Z232:Z234,Z242,Z247)</f>
        <v>202.50000000000003</v>
      </c>
      <c r="AA121" s="124">
        <f t="shared" ref="AA121:AF121" si="44">SUM(AA25,AA31,AA34:AA35,AA69,AA71:AA72,AA74,AA76,AA122:AA126,AA158,AA164,AA170,AA179,AA181,AA193,AA200,AA203:AA204,AA211,AA213,AA215,AA219:AA221,AA223:AA225,AA230,AA236:AA237,AA239:AA241,AA249,AA254)</f>
        <v>162.34</v>
      </c>
      <c r="AB121" s="124">
        <f t="shared" si="44"/>
        <v>153.04000000000002</v>
      </c>
      <c r="AC121" s="124">
        <f t="shared" si="44"/>
        <v>159.84</v>
      </c>
      <c r="AD121" s="124">
        <f t="shared" si="44"/>
        <v>120.94</v>
      </c>
      <c r="AE121" s="124">
        <f t="shared" si="44"/>
        <v>120.94</v>
      </c>
      <c r="AF121" s="124">
        <f t="shared" si="44"/>
        <v>32.240000000000009</v>
      </c>
      <c r="AG121" s="125"/>
      <c r="AH121" s="48">
        <f t="shared" si="28"/>
        <v>202.50000000000003</v>
      </c>
      <c r="AI121" s="49">
        <f t="shared" si="29"/>
        <v>32.240000000000009</v>
      </c>
    </row>
    <row r="122" spans="1:35" x14ac:dyDescent="0.25">
      <c r="A122" s="126" t="s">
        <v>142</v>
      </c>
      <c r="B122" s="127">
        <v>53</v>
      </c>
      <c r="C122" s="127">
        <v>53</v>
      </c>
      <c r="D122" s="127">
        <v>40</v>
      </c>
      <c r="E122" s="127">
        <v>40</v>
      </c>
      <c r="F122" s="127">
        <v>40</v>
      </c>
      <c r="G122" s="127">
        <v>40</v>
      </c>
      <c r="H122" s="127">
        <v>40</v>
      </c>
      <c r="I122" s="127">
        <v>18</v>
      </c>
      <c r="J122" s="127">
        <v>18</v>
      </c>
      <c r="K122" s="127">
        <v>18</v>
      </c>
      <c r="L122" s="127">
        <v>48.9</v>
      </c>
      <c r="M122" s="127">
        <v>39.9</v>
      </c>
      <c r="N122" s="127">
        <v>39.9</v>
      </c>
      <c r="O122" s="127">
        <v>39.9</v>
      </c>
      <c r="P122" s="127">
        <v>47</v>
      </c>
      <c r="Q122" s="127">
        <v>44.5</v>
      </c>
      <c r="R122" s="127">
        <v>35.9</v>
      </c>
      <c r="S122" s="127">
        <v>33.200000000000003</v>
      </c>
      <c r="T122" s="127">
        <v>31.2</v>
      </c>
      <c r="U122" s="127">
        <v>52.5</v>
      </c>
      <c r="V122" s="127">
        <v>50</v>
      </c>
      <c r="W122" s="127">
        <v>53</v>
      </c>
      <c r="X122" s="127">
        <v>69.400000000000006</v>
      </c>
      <c r="Y122" s="127">
        <v>56</v>
      </c>
      <c r="Z122" s="127">
        <v>48.2</v>
      </c>
      <c r="AA122" s="127">
        <v>48.2</v>
      </c>
      <c r="AB122" s="127">
        <v>55.6</v>
      </c>
      <c r="AC122" s="127">
        <v>59.5</v>
      </c>
      <c r="AD122" s="127">
        <v>47.6</v>
      </c>
      <c r="AE122" s="127">
        <v>47.6</v>
      </c>
      <c r="AF122" s="127">
        <v>39.200000000000003</v>
      </c>
      <c r="AG122" s="128">
        <v>75</v>
      </c>
      <c r="AH122" s="48">
        <f t="shared" si="28"/>
        <v>69.400000000000006</v>
      </c>
      <c r="AI122" s="49">
        <f t="shared" si="29"/>
        <v>18</v>
      </c>
    </row>
    <row r="123" spans="1:35" x14ac:dyDescent="0.25">
      <c r="A123" s="129" t="s">
        <v>143</v>
      </c>
      <c r="B123" s="130">
        <v>36</v>
      </c>
      <c r="C123" s="130">
        <v>36</v>
      </c>
      <c r="D123" s="130">
        <v>27</v>
      </c>
      <c r="E123" s="130">
        <v>27</v>
      </c>
      <c r="F123" s="130">
        <v>27</v>
      </c>
      <c r="G123" s="130">
        <v>27</v>
      </c>
      <c r="H123" s="130">
        <v>40.299999999999997</v>
      </c>
      <c r="I123" s="130">
        <v>28</v>
      </c>
      <c r="J123" s="130">
        <v>28</v>
      </c>
      <c r="K123" s="130">
        <v>28</v>
      </c>
      <c r="L123" s="130">
        <v>74.2</v>
      </c>
      <c r="M123" s="130">
        <v>61.2</v>
      </c>
      <c r="N123" s="130">
        <v>61.2</v>
      </c>
      <c r="O123" s="130">
        <v>61.2</v>
      </c>
      <c r="P123" s="130">
        <v>73</v>
      </c>
      <c r="Q123" s="130">
        <v>66.5</v>
      </c>
      <c r="R123" s="130">
        <v>55</v>
      </c>
      <c r="S123" s="130">
        <v>52</v>
      </c>
      <c r="T123" s="130">
        <v>49.8</v>
      </c>
      <c r="U123" s="130">
        <v>75.5</v>
      </c>
      <c r="V123" s="130">
        <v>74</v>
      </c>
      <c r="W123" s="130">
        <v>80</v>
      </c>
      <c r="X123" s="130">
        <v>98.1</v>
      </c>
      <c r="Y123" s="130">
        <v>83</v>
      </c>
      <c r="Z123" s="130">
        <v>76</v>
      </c>
      <c r="AA123" s="130">
        <v>76</v>
      </c>
      <c r="AB123" s="130">
        <v>81.2</v>
      </c>
      <c r="AC123" s="130">
        <v>87</v>
      </c>
      <c r="AD123" s="130">
        <v>73</v>
      </c>
      <c r="AE123" s="130">
        <v>73</v>
      </c>
      <c r="AF123" s="130">
        <v>68</v>
      </c>
      <c r="AG123" s="128">
        <v>240</v>
      </c>
      <c r="AH123" s="48">
        <f t="shared" si="28"/>
        <v>98.1</v>
      </c>
      <c r="AI123" s="49">
        <f t="shared" si="29"/>
        <v>27</v>
      </c>
    </row>
    <row r="124" spans="1:35" x14ac:dyDescent="0.25">
      <c r="A124" s="129" t="s">
        <v>144</v>
      </c>
      <c r="B124" s="130">
        <v>-149</v>
      </c>
      <c r="C124" s="130">
        <v>-149</v>
      </c>
      <c r="D124" s="130">
        <v>-50</v>
      </c>
      <c r="E124" s="130">
        <v>-50</v>
      </c>
      <c r="F124" s="130">
        <v>-50</v>
      </c>
      <c r="G124" s="130">
        <v>-50</v>
      </c>
      <c r="H124" s="130">
        <v>-105</v>
      </c>
      <c r="I124" s="130">
        <v>-115</v>
      </c>
      <c r="J124" s="130">
        <v>-115</v>
      </c>
      <c r="K124" s="130">
        <v>-115</v>
      </c>
      <c r="L124" s="130">
        <v>-124</v>
      </c>
      <c r="M124" s="130">
        <v>-100</v>
      </c>
      <c r="N124" s="130">
        <v>-100</v>
      </c>
      <c r="O124" s="130">
        <v>-100</v>
      </c>
      <c r="P124" s="130">
        <v>-64</v>
      </c>
      <c r="Q124" s="130">
        <v>-110</v>
      </c>
      <c r="R124" s="130">
        <v>-95</v>
      </c>
      <c r="S124" s="130">
        <f>-44.8-53</f>
        <v>-97.8</v>
      </c>
      <c r="T124" s="130">
        <f>-36.4-45.4</f>
        <v>-81.8</v>
      </c>
      <c r="U124" s="130">
        <f>-49-57.8</f>
        <v>-106.8</v>
      </c>
      <c r="V124" s="130">
        <v>-108</v>
      </c>
      <c r="W124" s="130">
        <v>-119</v>
      </c>
      <c r="X124" s="130">
        <v>-135</v>
      </c>
      <c r="Y124" s="130">
        <v>-127</v>
      </c>
      <c r="Z124" s="130">
        <v>-106</v>
      </c>
      <c r="AA124" s="130">
        <v>-106</v>
      </c>
      <c r="AB124" s="130">
        <v>-132</v>
      </c>
      <c r="AC124" s="130">
        <v>-120</v>
      </c>
      <c r="AD124" s="130">
        <v>-129</v>
      </c>
      <c r="AE124" s="130">
        <v>-129</v>
      </c>
      <c r="AF124" s="130">
        <v>-168</v>
      </c>
      <c r="AG124" s="128">
        <v>240</v>
      </c>
      <c r="AH124" s="48">
        <f t="shared" si="28"/>
        <v>-50</v>
      </c>
      <c r="AI124" s="49">
        <f t="shared" si="29"/>
        <v>-168</v>
      </c>
    </row>
    <row r="125" spans="1:35" ht="15.75" thickBot="1" x14ac:dyDescent="0.3">
      <c r="A125" s="129" t="s">
        <v>145</v>
      </c>
      <c r="B125" s="130">
        <v>17</v>
      </c>
      <c r="C125" s="130">
        <v>17</v>
      </c>
      <c r="D125" s="130">
        <v>18</v>
      </c>
      <c r="E125" s="130">
        <v>18</v>
      </c>
      <c r="F125" s="130">
        <v>18</v>
      </c>
      <c r="G125" s="130">
        <v>18</v>
      </c>
      <c r="H125" s="130">
        <v>25</v>
      </c>
      <c r="I125" s="130">
        <v>25</v>
      </c>
      <c r="J125" s="130">
        <v>25</v>
      </c>
      <c r="K125" s="130">
        <v>25</v>
      </c>
      <c r="L125" s="130">
        <v>24</v>
      </c>
      <c r="M125" s="130">
        <v>22.4</v>
      </c>
      <c r="N125" s="130">
        <v>22.4</v>
      </c>
      <c r="O125" s="130">
        <v>22.4</v>
      </c>
      <c r="P125" s="130">
        <v>8.9</v>
      </c>
      <c r="Q125" s="130">
        <v>9</v>
      </c>
      <c r="R125" s="130">
        <v>13</v>
      </c>
      <c r="S125" s="130">
        <v>12.1</v>
      </c>
      <c r="T125" s="130">
        <v>17.5</v>
      </c>
      <c r="U125" s="130">
        <v>14</v>
      </c>
      <c r="V125" s="130">
        <v>11</v>
      </c>
      <c r="W125" s="130">
        <v>8</v>
      </c>
      <c r="X125" s="130">
        <v>-0.9</v>
      </c>
      <c r="Y125" s="130">
        <v>0.3</v>
      </c>
      <c r="Z125" s="130">
        <v>12.4</v>
      </c>
      <c r="AA125" s="130">
        <v>12.4</v>
      </c>
      <c r="AB125" s="130">
        <v>16.5</v>
      </c>
      <c r="AC125" s="130">
        <v>1.6</v>
      </c>
      <c r="AD125" s="130">
        <v>-2.4</v>
      </c>
      <c r="AE125" s="130">
        <v>-2.4</v>
      </c>
      <c r="AF125" s="130">
        <v>-28</v>
      </c>
      <c r="AG125" s="128">
        <v>60</v>
      </c>
      <c r="AH125" s="48">
        <f t="shared" si="28"/>
        <v>25</v>
      </c>
      <c r="AI125" s="49">
        <f t="shared" si="29"/>
        <v>-28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8"/>
        <v>0</v>
      </c>
      <c r="AI126" s="49">
        <f t="shared" si="29"/>
        <v>0</v>
      </c>
    </row>
    <row r="127" spans="1:35" x14ac:dyDescent="0.25">
      <c r="A127" s="129" t="s">
        <v>147</v>
      </c>
      <c r="B127" s="131">
        <v>64</v>
      </c>
      <c r="C127" s="131">
        <v>64</v>
      </c>
      <c r="D127" s="131">
        <v>37</v>
      </c>
      <c r="E127" s="131">
        <v>37</v>
      </c>
      <c r="F127" s="131">
        <v>37</v>
      </c>
      <c r="G127" s="131">
        <v>37</v>
      </c>
      <c r="H127" s="131">
        <v>52</v>
      </c>
      <c r="I127" s="131">
        <v>83</v>
      </c>
      <c r="J127" s="131">
        <v>83</v>
      </c>
      <c r="K127" s="131">
        <v>83</v>
      </c>
      <c r="L127" s="131">
        <v>80</v>
      </c>
      <c r="M127" s="131">
        <v>86</v>
      </c>
      <c r="N127" s="131">
        <v>86</v>
      </c>
      <c r="O127" s="131">
        <v>86</v>
      </c>
      <c r="P127" s="131">
        <v>98</v>
      </c>
      <c r="Q127" s="131">
        <v>104</v>
      </c>
      <c r="R127" s="131">
        <v>107</v>
      </c>
      <c r="S127" s="131">
        <v>112.9</v>
      </c>
      <c r="T127" s="131">
        <v>112.2</v>
      </c>
      <c r="U127" s="131">
        <v>103.8</v>
      </c>
      <c r="V127" s="131">
        <v>98</v>
      </c>
      <c r="W127" s="131">
        <v>100</v>
      </c>
      <c r="X127" s="131">
        <v>89</v>
      </c>
      <c r="Y127" s="131">
        <v>100</v>
      </c>
      <c r="Z127" s="131">
        <v>103</v>
      </c>
      <c r="AA127" s="131">
        <v>103</v>
      </c>
      <c r="AB127" s="131">
        <v>103</v>
      </c>
      <c r="AC127" s="131">
        <v>101</v>
      </c>
      <c r="AD127" s="131">
        <v>89</v>
      </c>
      <c r="AE127" s="131">
        <v>89</v>
      </c>
      <c r="AF127" s="131">
        <v>86</v>
      </c>
      <c r="AG127" s="132"/>
      <c r="AH127" s="48"/>
      <c r="AI127" s="49"/>
    </row>
    <row r="128" spans="1:35" x14ac:dyDescent="0.25">
      <c r="A128" s="129" t="s">
        <v>148</v>
      </c>
      <c r="B128" s="131">
        <v>47</v>
      </c>
      <c r="C128" s="131">
        <v>47</v>
      </c>
      <c r="D128" s="131">
        <v>7</v>
      </c>
      <c r="E128" s="131">
        <v>7</v>
      </c>
      <c r="F128" s="131">
        <v>7</v>
      </c>
      <c r="G128" s="131">
        <v>7</v>
      </c>
      <c r="H128" s="131">
        <v>7</v>
      </c>
      <c r="I128" s="131">
        <v>64</v>
      </c>
      <c r="J128" s="131">
        <v>64</v>
      </c>
      <c r="K128" s="131">
        <v>64</v>
      </c>
      <c r="L128" s="131">
        <v>7</v>
      </c>
      <c r="M128" s="131">
        <v>16.8</v>
      </c>
      <c r="N128" s="131">
        <v>16.8</v>
      </c>
      <c r="O128" s="131">
        <v>16.8</v>
      </c>
      <c r="P128" s="131">
        <v>34</v>
      </c>
      <c r="Q128" s="131">
        <v>48</v>
      </c>
      <c r="R128" s="131">
        <v>53</v>
      </c>
      <c r="S128" s="131">
        <v>55.7</v>
      </c>
      <c r="T128" s="131">
        <v>49.6</v>
      </c>
      <c r="U128" s="131">
        <v>31.5</v>
      </c>
      <c r="V128" s="131">
        <v>21</v>
      </c>
      <c r="W128" s="131">
        <v>26</v>
      </c>
      <c r="X128" s="131">
        <v>6</v>
      </c>
      <c r="Y128" s="131">
        <v>24</v>
      </c>
      <c r="Z128" s="131">
        <v>15.1</v>
      </c>
      <c r="AA128" s="131">
        <v>15.1</v>
      </c>
      <c r="AB128" s="131">
        <v>12.6</v>
      </c>
      <c r="AC128" s="131">
        <v>15</v>
      </c>
      <c r="AD128" s="131">
        <v>28</v>
      </c>
      <c r="AE128" s="131">
        <v>28</v>
      </c>
      <c r="AF128" s="131">
        <v>60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17</v>
      </c>
      <c r="C129" s="131">
        <v>17</v>
      </c>
      <c r="D129" s="131">
        <v>42</v>
      </c>
      <c r="E129" s="131">
        <v>42</v>
      </c>
      <c r="F129" s="131">
        <v>42</v>
      </c>
      <c r="G129" s="131">
        <v>42</v>
      </c>
      <c r="H129" s="131">
        <v>42</v>
      </c>
      <c r="I129" s="131">
        <v>35</v>
      </c>
      <c r="J129" s="131">
        <v>35</v>
      </c>
      <c r="K129" s="131">
        <v>35</v>
      </c>
      <c r="L129" s="131">
        <v>24</v>
      </c>
      <c r="M129" s="131">
        <v>50</v>
      </c>
      <c r="N129" s="131">
        <v>50</v>
      </c>
      <c r="O129" s="131">
        <v>50</v>
      </c>
      <c r="P129" s="131">
        <v>66</v>
      </c>
      <c r="Q129" s="131">
        <v>72</v>
      </c>
      <c r="R129" s="131">
        <v>67</v>
      </c>
      <c r="S129" s="131">
        <v>73.7</v>
      </c>
      <c r="T129" s="131">
        <v>80.5</v>
      </c>
      <c r="U129" s="131">
        <v>67.2</v>
      </c>
      <c r="V129" s="131">
        <v>57</v>
      </c>
      <c r="W129" s="131">
        <v>68</v>
      </c>
      <c r="X129" s="131">
        <v>45</v>
      </c>
      <c r="Y129" s="131">
        <v>63</v>
      </c>
      <c r="Z129" s="131">
        <v>61.3</v>
      </c>
      <c r="AA129" s="131">
        <v>61.3</v>
      </c>
      <c r="AB129" s="131">
        <v>67.900000000000006</v>
      </c>
      <c r="AC129" s="131">
        <v>65.5</v>
      </c>
      <c r="AD129" s="131">
        <v>61</v>
      </c>
      <c r="AE129" s="131">
        <v>61</v>
      </c>
      <c r="AF129" s="131">
        <v>53</v>
      </c>
      <c r="AG129" s="128"/>
      <c r="AH129" s="48">
        <f>MAX(B129:AF129)</f>
        <v>80.5</v>
      </c>
      <c r="AI129" s="49">
        <f>MIN(B129:AF129)</f>
        <v>17</v>
      </c>
    </row>
    <row r="130" spans="1:37" x14ac:dyDescent="0.25">
      <c r="A130" s="126" t="s">
        <v>150</v>
      </c>
      <c r="B130" s="131">
        <v>-304</v>
      </c>
      <c r="C130" s="131">
        <v>-304</v>
      </c>
      <c r="D130" s="131">
        <v>-330</v>
      </c>
      <c r="E130" s="131">
        <v>-330</v>
      </c>
      <c r="F130" s="131">
        <v>-330</v>
      </c>
      <c r="G130" s="131">
        <v>-330</v>
      </c>
      <c r="H130" s="131">
        <v>-315</v>
      </c>
      <c r="I130" s="131">
        <v>-287</v>
      </c>
      <c r="J130" s="131">
        <v>-287</v>
      </c>
      <c r="K130" s="131">
        <v>-287</v>
      </c>
      <c r="L130" s="131">
        <v>-309</v>
      </c>
      <c r="M130" s="131">
        <v>-296</v>
      </c>
      <c r="N130" s="131">
        <v>-296</v>
      </c>
      <c r="O130" s="131">
        <v>-296</v>
      </c>
      <c r="P130" s="131">
        <v>-282</v>
      </c>
      <c r="Q130" s="131">
        <v>-308</v>
      </c>
      <c r="R130" s="131">
        <v>-311</v>
      </c>
      <c r="S130" s="131">
        <v>-310.60000000000002</v>
      </c>
      <c r="T130" s="131">
        <v>-305.89999999999998</v>
      </c>
      <c r="U130" s="131">
        <v>-320</v>
      </c>
      <c r="V130" s="131">
        <v>-326</v>
      </c>
      <c r="W130" s="131">
        <v>-325</v>
      </c>
      <c r="X130" s="131">
        <v>-330</v>
      </c>
      <c r="Y130" s="131">
        <v>-324</v>
      </c>
      <c r="Z130" s="131">
        <v>-313</v>
      </c>
      <c r="AA130" s="131">
        <v>-313</v>
      </c>
      <c r="AB130" s="131">
        <v>-312.3</v>
      </c>
      <c r="AC130" s="131">
        <v>-320</v>
      </c>
      <c r="AD130" s="131">
        <v>-325</v>
      </c>
      <c r="AE130" s="131">
        <v>-325</v>
      </c>
      <c r="AF130" s="131">
        <v>-361</v>
      </c>
      <c r="AG130" s="128"/>
      <c r="AH130" s="48">
        <f>MAX(B130:AF130)</f>
        <v>-282</v>
      </c>
      <c r="AI130" s="49">
        <f>MIN(B130:AF130)</f>
        <v>-361</v>
      </c>
    </row>
    <row r="131" spans="1:37" x14ac:dyDescent="0.25">
      <c r="A131" s="129" t="s">
        <v>151</v>
      </c>
      <c r="B131" s="119">
        <v>91</v>
      </c>
      <c r="C131" s="119">
        <v>91</v>
      </c>
      <c r="D131" s="119">
        <v>90</v>
      </c>
      <c r="E131" s="119">
        <v>90</v>
      </c>
      <c r="F131" s="119">
        <v>90</v>
      </c>
      <c r="G131" s="119">
        <v>90</v>
      </c>
      <c r="H131" s="119"/>
      <c r="I131" s="119"/>
      <c r="J131" s="119"/>
      <c r="K131" s="119"/>
      <c r="L131" s="119"/>
      <c r="M131" s="119">
        <v>63.7</v>
      </c>
      <c r="N131" s="119">
        <v>63.7</v>
      </c>
      <c r="O131" s="119">
        <v>63.7</v>
      </c>
      <c r="P131" s="119">
        <v>62</v>
      </c>
      <c r="Q131" s="119">
        <v>67</v>
      </c>
      <c r="R131" s="119">
        <v>68</v>
      </c>
      <c r="S131" s="119">
        <v>64.400000000000006</v>
      </c>
      <c r="T131" s="119">
        <v>64.8</v>
      </c>
      <c r="U131" s="119">
        <v>61.4</v>
      </c>
      <c r="V131" s="119">
        <v>55</v>
      </c>
      <c r="W131" s="119">
        <v>53</v>
      </c>
      <c r="X131" s="119">
        <v>23</v>
      </c>
      <c r="Y131" s="119">
        <v>35</v>
      </c>
      <c r="Z131" s="119">
        <v>51</v>
      </c>
      <c r="AA131" s="119">
        <v>51</v>
      </c>
      <c r="AB131" s="119">
        <v>50.6</v>
      </c>
      <c r="AC131" s="119">
        <v>52</v>
      </c>
      <c r="AD131" s="119">
        <v>59</v>
      </c>
      <c r="AE131" s="119">
        <v>59</v>
      </c>
      <c r="AF131" s="119"/>
      <c r="AG131" s="128"/>
      <c r="AH131" s="48">
        <f>MAX(B131:AF131)</f>
        <v>91</v>
      </c>
      <c r="AI131" s="49">
        <f>MIN(B131:AF131)</f>
        <v>23</v>
      </c>
    </row>
    <row r="132" spans="1:37" x14ac:dyDescent="0.25">
      <c r="A132" s="129" t="s">
        <v>152</v>
      </c>
      <c r="B132" s="119">
        <v>-45</v>
      </c>
      <c r="C132" s="119">
        <v>-45</v>
      </c>
      <c r="D132" s="119">
        <v>-76</v>
      </c>
      <c r="E132" s="119">
        <v>-76</v>
      </c>
      <c r="F132" s="119">
        <v>-76</v>
      </c>
      <c r="G132" s="119">
        <v>-76</v>
      </c>
      <c r="H132" s="119">
        <v>-67</v>
      </c>
      <c r="I132" s="119">
        <v>-59</v>
      </c>
      <c r="J132" s="119">
        <v>-59</v>
      </c>
      <c r="K132" s="119">
        <v>-59</v>
      </c>
      <c r="L132" s="119">
        <v>-12</v>
      </c>
      <c r="M132" s="119">
        <v>-2.8</v>
      </c>
      <c r="N132" s="119">
        <v>-2.8</v>
      </c>
      <c r="O132" s="119">
        <v>-2.8</v>
      </c>
      <c r="P132" s="119">
        <v>-27.9</v>
      </c>
      <c r="Q132" s="119">
        <v>-16</v>
      </c>
      <c r="R132" s="119">
        <v>-20</v>
      </c>
      <c r="S132" s="119">
        <v>-22.9</v>
      </c>
      <c r="T132" s="119">
        <v>-13.5</v>
      </c>
      <c r="U132" s="119">
        <v>-2.9</v>
      </c>
      <c r="V132" s="119">
        <v>-7</v>
      </c>
      <c r="W132" s="119">
        <v>-7</v>
      </c>
      <c r="X132" s="119">
        <v>7</v>
      </c>
      <c r="Y132" s="119">
        <v>-2</v>
      </c>
      <c r="Z132" s="119">
        <v>-3</v>
      </c>
      <c r="AA132" s="119">
        <v>-3</v>
      </c>
      <c r="AB132" s="119">
        <v>16.3</v>
      </c>
      <c r="AC132" s="119">
        <v>12</v>
      </c>
      <c r="AD132" s="119">
        <v>2.1</v>
      </c>
      <c r="AE132" s="119">
        <v>2.1</v>
      </c>
      <c r="AF132" s="119">
        <v>8.6999999999999993</v>
      </c>
      <c r="AG132" s="128"/>
      <c r="AH132" s="48">
        <f>MAX(B132:AF132)</f>
        <v>16.3</v>
      </c>
      <c r="AI132" s="49">
        <f>MIN(B132:AF132)</f>
        <v>-76</v>
      </c>
    </row>
    <row r="133" spans="1:37" ht="15.75" thickBot="1" x14ac:dyDescent="0.3">
      <c r="A133" s="129" t="s">
        <v>153</v>
      </c>
      <c r="B133" s="119">
        <v>-14</v>
      </c>
      <c r="C133" s="119">
        <v>-14</v>
      </c>
      <c r="D133" s="119">
        <v>-22</v>
      </c>
      <c r="E133" s="119">
        <v>-22</v>
      </c>
      <c r="F133" s="119">
        <v>-22</v>
      </c>
      <c r="G133" s="119">
        <v>-22</v>
      </c>
      <c r="H133" s="119">
        <v>-16</v>
      </c>
      <c r="I133" s="119">
        <v>-13</v>
      </c>
      <c r="J133" s="119">
        <v>-13</v>
      </c>
      <c r="K133" s="119">
        <v>-13</v>
      </c>
      <c r="L133" s="119">
        <v>29</v>
      </c>
      <c r="M133" s="119">
        <v>46.7</v>
      </c>
      <c r="N133" s="119">
        <v>46.7</v>
      </c>
      <c r="O133" s="119">
        <v>46.7</v>
      </c>
      <c r="P133" s="119">
        <v>10.3</v>
      </c>
      <c r="Q133" s="119">
        <v>26</v>
      </c>
      <c r="R133" s="119">
        <v>22</v>
      </c>
      <c r="S133" s="119">
        <v>21.3</v>
      </c>
      <c r="T133" s="119">
        <v>18.3</v>
      </c>
      <c r="U133" s="119">
        <v>35.1</v>
      </c>
      <c r="V133" s="119">
        <v>34.299999999999997</v>
      </c>
      <c r="W133" s="119">
        <v>29</v>
      </c>
      <c r="X133" s="119">
        <v>29</v>
      </c>
      <c r="Y133" s="119">
        <v>37</v>
      </c>
      <c r="Z133" s="119">
        <v>23</v>
      </c>
      <c r="AA133" s="119">
        <v>23</v>
      </c>
      <c r="AB133" s="119">
        <v>46.9</v>
      </c>
      <c r="AC133" s="119">
        <v>37.5</v>
      </c>
      <c r="AD133" s="119">
        <v>29</v>
      </c>
      <c r="AE133" s="119">
        <v>29</v>
      </c>
      <c r="AF133" s="119">
        <v>51.7</v>
      </c>
      <c r="AG133" s="128"/>
      <c r="AH133" s="48">
        <f>MAX(B133:AF133)</f>
        <v>51.7</v>
      </c>
      <c r="AI133" s="49">
        <f>MIN(B133:AF133)</f>
        <v>-22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>
        <v>1985.25</v>
      </c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>
        <v>883</v>
      </c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1485.17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>
        <v>885.5</v>
      </c>
      <c r="T140" s="142"/>
      <c r="U140" s="142"/>
      <c r="V140" s="142"/>
      <c r="W140" s="142"/>
      <c r="X140" s="142">
        <v>1485.41</v>
      </c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5">SUM(B142:B246)</f>
        <v>0</v>
      </c>
      <c r="C247" s="161">
        <f t="shared" si="45"/>
        <v>0</v>
      </c>
      <c r="D247" s="161">
        <f t="shared" si="45"/>
        <v>0</v>
      </c>
      <c r="E247" s="161">
        <f t="shared" si="45"/>
        <v>0</v>
      </c>
      <c r="F247" s="161">
        <f t="shared" si="45"/>
        <v>0</v>
      </c>
      <c r="G247" s="161">
        <f t="shared" si="45"/>
        <v>0</v>
      </c>
      <c r="H247" s="161">
        <f t="shared" si="45"/>
        <v>0</v>
      </c>
      <c r="I247" s="161">
        <f t="shared" si="45"/>
        <v>0</v>
      </c>
      <c r="J247" s="161">
        <f t="shared" si="45"/>
        <v>0</v>
      </c>
      <c r="K247" s="161">
        <f t="shared" si="45"/>
        <v>0</v>
      </c>
      <c r="L247" s="161">
        <f t="shared" si="45"/>
        <v>0</v>
      </c>
      <c r="M247" s="161">
        <f t="shared" si="45"/>
        <v>0</v>
      </c>
      <c r="N247" s="161">
        <f t="shared" si="45"/>
        <v>0</v>
      </c>
      <c r="O247" s="161">
        <f t="shared" si="45"/>
        <v>0</v>
      </c>
      <c r="P247" s="161">
        <f t="shared" si="45"/>
        <v>0</v>
      </c>
      <c r="Q247" s="161">
        <f t="shared" si="45"/>
        <v>0</v>
      </c>
      <c r="R247" s="161">
        <f t="shared" si="45"/>
        <v>0</v>
      </c>
      <c r="S247" s="161">
        <f t="shared" si="45"/>
        <v>0</v>
      </c>
      <c r="T247" s="161">
        <f t="shared" si="45"/>
        <v>0</v>
      </c>
      <c r="U247" s="161">
        <f t="shared" si="45"/>
        <v>0</v>
      </c>
      <c r="V247" s="161">
        <f t="shared" si="45"/>
        <v>0</v>
      </c>
      <c r="W247" s="161">
        <f t="shared" si="45"/>
        <v>0</v>
      </c>
      <c r="X247" s="161">
        <f t="shared" si="45"/>
        <v>0</v>
      </c>
      <c r="Y247" s="161">
        <f t="shared" si="45"/>
        <v>0</v>
      </c>
      <c r="Z247" s="161">
        <f t="shared" si="45"/>
        <v>0</v>
      </c>
      <c r="AA247" s="161">
        <f t="shared" si="45"/>
        <v>0</v>
      </c>
      <c r="AB247" s="161">
        <f t="shared" si="45"/>
        <v>0</v>
      </c>
      <c r="AC247" s="161">
        <f t="shared" si="45"/>
        <v>0</v>
      </c>
      <c r="AD247" s="161">
        <f t="shared" si="45"/>
        <v>0</v>
      </c>
      <c r="AE247" s="161">
        <f t="shared" si="45"/>
        <v>0</v>
      </c>
      <c r="AF247" s="162">
        <f t="shared" si="45"/>
        <v>0</v>
      </c>
      <c r="AG247" s="163">
        <f t="shared" si="45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6">AF249</f>
        <v>0.3</v>
      </c>
      <c r="C249" s="166">
        <v>0.3</v>
      </c>
      <c r="D249" s="166">
        <f t="shared" ref="D249:S254" si="47">C249</f>
        <v>0.3</v>
      </c>
      <c r="E249" s="166">
        <f t="shared" si="47"/>
        <v>0.3</v>
      </c>
      <c r="F249" s="166">
        <f t="shared" si="47"/>
        <v>0.3</v>
      </c>
      <c r="G249" s="166">
        <f t="shared" si="47"/>
        <v>0.3</v>
      </c>
      <c r="H249" s="166">
        <f t="shared" si="47"/>
        <v>0.3</v>
      </c>
      <c r="I249" s="166">
        <f t="shared" si="47"/>
        <v>0.3</v>
      </c>
      <c r="J249" s="166">
        <f t="shared" si="47"/>
        <v>0.3</v>
      </c>
      <c r="K249" s="166">
        <f t="shared" si="47"/>
        <v>0.3</v>
      </c>
      <c r="L249" s="166">
        <f t="shared" si="47"/>
        <v>0.3</v>
      </c>
      <c r="M249" s="166">
        <f t="shared" si="47"/>
        <v>0.3</v>
      </c>
      <c r="N249" s="166">
        <f t="shared" si="47"/>
        <v>0.3</v>
      </c>
      <c r="O249" s="166">
        <f t="shared" si="47"/>
        <v>0.3</v>
      </c>
      <c r="P249" s="166">
        <f t="shared" si="47"/>
        <v>0.3</v>
      </c>
      <c r="Q249" s="166">
        <f t="shared" si="47"/>
        <v>0.3</v>
      </c>
      <c r="R249" s="166">
        <f t="shared" si="47"/>
        <v>0.3</v>
      </c>
      <c r="S249" s="166">
        <f t="shared" si="47"/>
        <v>0.3</v>
      </c>
      <c r="T249" s="166">
        <f t="shared" ref="T249:AF254" si="48">S249</f>
        <v>0.3</v>
      </c>
      <c r="U249" s="166">
        <f t="shared" si="48"/>
        <v>0.3</v>
      </c>
      <c r="V249" s="166">
        <f t="shared" si="48"/>
        <v>0.3</v>
      </c>
      <c r="W249" s="166">
        <f t="shared" si="48"/>
        <v>0.3</v>
      </c>
      <c r="X249" s="166">
        <f t="shared" si="48"/>
        <v>0.3</v>
      </c>
      <c r="Y249" s="166">
        <f t="shared" si="48"/>
        <v>0.3</v>
      </c>
      <c r="Z249" s="166">
        <f t="shared" si="48"/>
        <v>0.3</v>
      </c>
      <c r="AA249" s="166">
        <f t="shared" si="48"/>
        <v>0.3</v>
      </c>
      <c r="AB249" s="166">
        <f t="shared" si="48"/>
        <v>0.3</v>
      </c>
      <c r="AC249" s="166">
        <f t="shared" si="48"/>
        <v>0.3</v>
      </c>
      <c r="AD249" s="166">
        <f t="shared" si="48"/>
        <v>0.3</v>
      </c>
      <c r="AE249" s="166">
        <f t="shared" si="48"/>
        <v>0.3</v>
      </c>
      <c r="AF249" s="166">
        <f t="shared" si="48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6"/>
        <v>0.4</v>
      </c>
      <c r="C250" s="152">
        <v>0.4</v>
      </c>
      <c r="D250" s="152">
        <f t="shared" si="47"/>
        <v>0.4</v>
      </c>
      <c r="E250" s="152">
        <f t="shared" si="47"/>
        <v>0.4</v>
      </c>
      <c r="F250" s="152">
        <f t="shared" si="47"/>
        <v>0.4</v>
      </c>
      <c r="G250" s="152">
        <f t="shared" si="47"/>
        <v>0.4</v>
      </c>
      <c r="H250" s="152">
        <f t="shared" si="47"/>
        <v>0.4</v>
      </c>
      <c r="I250" s="152">
        <f t="shared" si="47"/>
        <v>0.4</v>
      </c>
      <c r="J250" s="152">
        <f t="shared" si="47"/>
        <v>0.4</v>
      </c>
      <c r="K250" s="152">
        <f t="shared" si="47"/>
        <v>0.4</v>
      </c>
      <c r="L250" s="152">
        <f t="shared" si="47"/>
        <v>0.4</v>
      </c>
      <c r="M250" s="152">
        <f t="shared" si="47"/>
        <v>0.4</v>
      </c>
      <c r="N250" s="152">
        <f t="shared" si="47"/>
        <v>0.4</v>
      </c>
      <c r="O250" s="152">
        <f t="shared" si="47"/>
        <v>0.4</v>
      </c>
      <c r="P250" s="152">
        <f t="shared" si="47"/>
        <v>0.4</v>
      </c>
      <c r="Q250" s="152">
        <f t="shared" si="47"/>
        <v>0.4</v>
      </c>
      <c r="R250" s="152">
        <f t="shared" si="47"/>
        <v>0.4</v>
      </c>
      <c r="S250" s="152">
        <f t="shared" si="47"/>
        <v>0.4</v>
      </c>
      <c r="T250" s="152">
        <f t="shared" si="48"/>
        <v>0.4</v>
      </c>
      <c r="U250" s="152">
        <f t="shared" si="48"/>
        <v>0.4</v>
      </c>
      <c r="V250" s="152">
        <f t="shared" si="48"/>
        <v>0.4</v>
      </c>
      <c r="W250" s="152">
        <f t="shared" si="48"/>
        <v>0.4</v>
      </c>
      <c r="X250" s="152">
        <f t="shared" si="48"/>
        <v>0.4</v>
      </c>
      <c r="Y250" s="152">
        <f t="shared" si="48"/>
        <v>0.4</v>
      </c>
      <c r="Z250" s="152">
        <f t="shared" si="48"/>
        <v>0.4</v>
      </c>
      <c r="AA250" s="152">
        <f t="shared" si="48"/>
        <v>0.4</v>
      </c>
      <c r="AB250" s="152">
        <f t="shared" si="48"/>
        <v>0.4</v>
      </c>
      <c r="AC250" s="152">
        <f t="shared" si="48"/>
        <v>0.4</v>
      </c>
      <c r="AD250" s="152">
        <f t="shared" si="48"/>
        <v>0.4</v>
      </c>
      <c r="AE250" s="152">
        <f t="shared" si="48"/>
        <v>0.4</v>
      </c>
      <c r="AF250" s="152">
        <f t="shared" si="48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6"/>
        <v>1.5</v>
      </c>
      <c r="C251" s="152">
        <v>1.5</v>
      </c>
      <c r="D251" s="152">
        <f t="shared" si="47"/>
        <v>1.5</v>
      </c>
      <c r="E251" s="152">
        <f t="shared" si="47"/>
        <v>1.5</v>
      </c>
      <c r="F251" s="152">
        <f t="shared" si="47"/>
        <v>1.5</v>
      </c>
      <c r="G251" s="152">
        <f t="shared" si="47"/>
        <v>1.5</v>
      </c>
      <c r="H251" s="152">
        <f t="shared" si="47"/>
        <v>1.5</v>
      </c>
      <c r="I251" s="152">
        <f t="shared" si="47"/>
        <v>1.5</v>
      </c>
      <c r="J251" s="152">
        <f t="shared" si="47"/>
        <v>1.5</v>
      </c>
      <c r="K251" s="152">
        <f t="shared" si="47"/>
        <v>1.5</v>
      </c>
      <c r="L251" s="152">
        <f t="shared" si="47"/>
        <v>1.5</v>
      </c>
      <c r="M251" s="152">
        <f t="shared" si="47"/>
        <v>1.5</v>
      </c>
      <c r="N251" s="152">
        <f t="shared" si="47"/>
        <v>1.5</v>
      </c>
      <c r="O251" s="152">
        <f t="shared" si="47"/>
        <v>1.5</v>
      </c>
      <c r="P251" s="152">
        <f t="shared" si="47"/>
        <v>1.5</v>
      </c>
      <c r="Q251" s="152">
        <f t="shared" si="47"/>
        <v>1.5</v>
      </c>
      <c r="R251" s="152">
        <f t="shared" si="47"/>
        <v>1.5</v>
      </c>
      <c r="S251" s="152">
        <f t="shared" si="47"/>
        <v>1.5</v>
      </c>
      <c r="T251" s="152">
        <f t="shared" si="48"/>
        <v>1.5</v>
      </c>
      <c r="U251" s="152">
        <f t="shared" si="48"/>
        <v>1.5</v>
      </c>
      <c r="V251" s="152">
        <f t="shared" si="48"/>
        <v>1.5</v>
      </c>
      <c r="W251" s="152">
        <f t="shared" si="48"/>
        <v>1.5</v>
      </c>
      <c r="X251" s="152">
        <f t="shared" si="48"/>
        <v>1.5</v>
      </c>
      <c r="Y251" s="152">
        <f t="shared" si="48"/>
        <v>1.5</v>
      </c>
      <c r="Z251" s="152">
        <f t="shared" si="48"/>
        <v>1.5</v>
      </c>
      <c r="AA251" s="152">
        <f t="shared" si="48"/>
        <v>1.5</v>
      </c>
      <c r="AB251" s="152">
        <f t="shared" si="48"/>
        <v>1.5</v>
      </c>
      <c r="AC251" s="152">
        <f t="shared" si="48"/>
        <v>1.5</v>
      </c>
      <c r="AD251" s="152">
        <f t="shared" si="48"/>
        <v>1.5</v>
      </c>
      <c r="AE251" s="152">
        <f t="shared" si="48"/>
        <v>1.5</v>
      </c>
      <c r="AF251" s="152">
        <f t="shared" si="48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6"/>
        <v>0.3</v>
      </c>
      <c r="C252" s="152">
        <v>0.3</v>
      </c>
      <c r="D252" s="152">
        <f t="shared" si="47"/>
        <v>0.3</v>
      </c>
      <c r="E252" s="152">
        <f t="shared" si="47"/>
        <v>0.3</v>
      </c>
      <c r="F252" s="152">
        <f t="shared" si="47"/>
        <v>0.3</v>
      </c>
      <c r="G252" s="152">
        <f t="shared" si="47"/>
        <v>0.3</v>
      </c>
      <c r="H252" s="152">
        <f t="shared" si="47"/>
        <v>0.3</v>
      </c>
      <c r="I252" s="152">
        <f t="shared" si="47"/>
        <v>0.3</v>
      </c>
      <c r="J252" s="152">
        <f t="shared" si="47"/>
        <v>0.3</v>
      </c>
      <c r="K252" s="152">
        <f t="shared" si="47"/>
        <v>0.3</v>
      </c>
      <c r="L252" s="152">
        <f t="shared" si="47"/>
        <v>0.3</v>
      </c>
      <c r="M252" s="152">
        <f t="shared" si="47"/>
        <v>0.3</v>
      </c>
      <c r="N252" s="152">
        <f t="shared" si="47"/>
        <v>0.3</v>
      </c>
      <c r="O252" s="152">
        <f t="shared" si="47"/>
        <v>0.3</v>
      </c>
      <c r="P252" s="152">
        <f t="shared" si="47"/>
        <v>0.3</v>
      </c>
      <c r="Q252" s="152">
        <f t="shared" si="47"/>
        <v>0.3</v>
      </c>
      <c r="R252" s="152">
        <f t="shared" si="47"/>
        <v>0.3</v>
      </c>
      <c r="S252" s="152">
        <f t="shared" si="47"/>
        <v>0.3</v>
      </c>
      <c r="T252" s="152">
        <f t="shared" si="48"/>
        <v>0.3</v>
      </c>
      <c r="U252" s="152">
        <f t="shared" si="48"/>
        <v>0.3</v>
      </c>
      <c r="V252" s="152">
        <f t="shared" si="48"/>
        <v>0.3</v>
      </c>
      <c r="W252" s="152">
        <f t="shared" si="48"/>
        <v>0.3</v>
      </c>
      <c r="X252" s="152">
        <f t="shared" si="48"/>
        <v>0.3</v>
      </c>
      <c r="Y252" s="152">
        <f t="shared" si="48"/>
        <v>0.3</v>
      </c>
      <c r="Z252" s="152">
        <f t="shared" si="48"/>
        <v>0.3</v>
      </c>
      <c r="AA252" s="152">
        <f t="shared" si="48"/>
        <v>0.3</v>
      </c>
      <c r="AB252" s="152">
        <f t="shared" si="48"/>
        <v>0.3</v>
      </c>
      <c r="AC252" s="152">
        <f t="shared" si="48"/>
        <v>0.3</v>
      </c>
      <c r="AD252" s="152">
        <f t="shared" si="48"/>
        <v>0.3</v>
      </c>
      <c r="AE252" s="152">
        <f t="shared" si="48"/>
        <v>0.3</v>
      </c>
      <c r="AF252" s="152">
        <f t="shared" si="48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6"/>
        <v>0.4</v>
      </c>
      <c r="C253" s="152">
        <v>0.4</v>
      </c>
      <c r="D253" s="152">
        <f t="shared" si="47"/>
        <v>0.4</v>
      </c>
      <c r="E253" s="152">
        <f t="shared" si="47"/>
        <v>0.4</v>
      </c>
      <c r="F253" s="152">
        <f t="shared" si="47"/>
        <v>0.4</v>
      </c>
      <c r="G253" s="152">
        <f t="shared" si="47"/>
        <v>0.4</v>
      </c>
      <c r="H253" s="152">
        <f t="shared" si="47"/>
        <v>0.4</v>
      </c>
      <c r="I253" s="152">
        <f t="shared" si="47"/>
        <v>0.4</v>
      </c>
      <c r="J253" s="152">
        <f t="shared" si="47"/>
        <v>0.4</v>
      </c>
      <c r="K253" s="152">
        <f t="shared" si="47"/>
        <v>0.4</v>
      </c>
      <c r="L253" s="152">
        <f t="shared" si="47"/>
        <v>0.4</v>
      </c>
      <c r="M253" s="152">
        <f t="shared" si="47"/>
        <v>0.4</v>
      </c>
      <c r="N253" s="152">
        <f t="shared" si="47"/>
        <v>0.4</v>
      </c>
      <c r="O253" s="152">
        <f t="shared" si="47"/>
        <v>0.4</v>
      </c>
      <c r="P253" s="152">
        <f t="shared" si="47"/>
        <v>0.4</v>
      </c>
      <c r="Q253" s="152">
        <f t="shared" si="47"/>
        <v>0.4</v>
      </c>
      <c r="R253" s="152">
        <f t="shared" si="47"/>
        <v>0.4</v>
      </c>
      <c r="S253" s="152">
        <f t="shared" si="47"/>
        <v>0.4</v>
      </c>
      <c r="T253" s="152">
        <f t="shared" si="48"/>
        <v>0.4</v>
      </c>
      <c r="U253" s="152">
        <f t="shared" si="48"/>
        <v>0.4</v>
      </c>
      <c r="V253" s="152">
        <f t="shared" si="48"/>
        <v>0.4</v>
      </c>
      <c r="W253" s="152">
        <f t="shared" si="48"/>
        <v>0.4</v>
      </c>
      <c r="X253" s="152">
        <f t="shared" si="48"/>
        <v>0.4</v>
      </c>
      <c r="Y253" s="152">
        <f t="shared" si="48"/>
        <v>0.4</v>
      </c>
      <c r="Z253" s="152">
        <f t="shared" si="48"/>
        <v>0.4</v>
      </c>
      <c r="AA253" s="152">
        <f t="shared" si="48"/>
        <v>0.4</v>
      </c>
      <c r="AB253" s="152">
        <f t="shared" si="48"/>
        <v>0.4</v>
      </c>
      <c r="AC253" s="152">
        <f t="shared" si="48"/>
        <v>0.4</v>
      </c>
      <c r="AD253" s="152">
        <f t="shared" si="48"/>
        <v>0.4</v>
      </c>
      <c r="AE253" s="152">
        <f t="shared" si="48"/>
        <v>0.4</v>
      </c>
      <c r="AF253" s="152">
        <f t="shared" si="48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6"/>
        <v>0.64</v>
      </c>
      <c r="C254" s="157">
        <v>0.64</v>
      </c>
      <c r="D254" s="157">
        <f t="shared" si="47"/>
        <v>0.64</v>
      </c>
      <c r="E254" s="157">
        <f t="shared" si="47"/>
        <v>0.64</v>
      </c>
      <c r="F254" s="157">
        <f t="shared" si="47"/>
        <v>0.64</v>
      </c>
      <c r="G254" s="157">
        <f t="shared" si="47"/>
        <v>0.64</v>
      </c>
      <c r="H254" s="157">
        <f t="shared" si="47"/>
        <v>0.64</v>
      </c>
      <c r="I254" s="157">
        <f t="shared" si="47"/>
        <v>0.64</v>
      </c>
      <c r="J254" s="157">
        <f t="shared" si="47"/>
        <v>0.64</v>
      </c>
      <c r="K254" s="157">
        <f t="shared" si="47"/>
        <v>0.64</v>
      </c>
      <c r="L254" s="157">
        <f t="shared" si="47"/>
        <v>0.64</v>
      </c>
      <c r="M254" s="157">
        <f t="shared" si="47"/>
        <v>0.64</v>
      </c>
      <c r="N254" s="157">
        <f t="shared" si="47"/>
        <v>0.64</v>
      </c>
      <c r="O254" s="157">
        <f t="shared" si="47"/>
        <v>0.64</v>
      </c>
      <c r="P254" s="157">
        <f t="shared" si="47"/>
        <v>0.64</v>
      </c>
      <c r="Q254" s="157">
        <f t="shared" si="47"/>
        <v>0.64</v>
      </c>
      <c r="R254" s="157">
        <f t="shared" si="47"/>
        <v>0.64</v>
      </c>
      <c r="S254" s="157">
        <f t="shared" si="47"/>
        <v>0.64</v>
      </c>
      <c r="T254" s="157">
        <f t="shared" si="48"/>
        <v>0.64</v>
      </c>
      <c r="U254" s="157">
        <f t="shared" si="48"/>
        <v>0.64</v>
      </c>
      <c r="V254" s="157">
        <f t="shared" si="48"/>
        <v>0.64</v>
      </c>
      <c r="W254" s="157">
        <f t="shared" si="48"/>
        <v>0.64</v>
      </c>
      <c r="X254" s="157">
        <f t="shared" si="48"/>
        <v>0.64</v>
      </c>
      <c r="Y254" s="157">
        <f t="shared" si="48"/>
        <v>0.64</v>
      </c>
      <c r="Z254" s="157">
        <f t="shared" si="48"/>
        <v>0.64</v>
      </c>
      <c r="AA254" s="157">
        <f t="shared" si="48"/>
        <v>0.64</v>
      </c>
      <c r="AB254" s="157">
        <f t="shared" si="48"/>
        <v>0.64</v>
      </c>
      <c r="AC254" s="157">
        <f t="shared" si="48"/>
        <v>0.64</v>
      </c>
      <c r="AD254" s="157">
        <f t="shared" si="48"/>
        <v>0.64</v>
      </c>
      <c r="AE254" s="157">
        <f t="shared" si="48"/>
        <v>0.64</v>
      </c>
      <c r="AF254" s="157">
        <f t="shared" si="48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9">SUM(B249:B254)</f>
        <v>3.54</v>
      </c>
      <c r="C255" s="161">
        <f t="shared" si="49"/>
        <v>3.54</v>
      </c>
      <c r="D255" s="161">
        <f t="shared" si="49"/>
        <v>3.54</v>
      </c>
      <c r="E255" s="161">
        <f t="shared" si="49"/>
        <v>3.54</v>
      </c>
      <c r="F255" s="161">
        <f t="shared" si="49"/>
        <v>3.54</v>
      </c>
      <c r="G255" s="161">
        <f t="shared" si="49"/>
        <v>3.54</v>
      </c>
      <c r="H255" s="161">
        <f t="shared" si="49"/>
        <v>3.54</v>
      </c>
      <c r="I255" s="161">
        <f t="shared" si="49"/>
        <v>3.54</v>
      </c>
      <c r="J255" s="161">
        <f t="shared" si="49"/>
        <v>3.54</v>
      </c>
      <c r="K255" s="161">
        <f t="shared" si="49"/>
        <v>3.54</v>
      </c>
      <c r="L255" s="161">
        <f t="shared" si="49"/>
        <v>3.54</v>
      </c>
      <c r="M255" s="161">
        <f t="shared" si="49"/>
        <v>3.54</v>
      </c>
      <c r="N255" s="161">
        <f t="shared" si="49"/>
        <v>3.54</v>
      </c>
      <c r="O255" s="161">
        <f t="shared" si="49"/>
        <v>3.54</v>
      </c>
      <c r="P255" s="161">
        <f t="shared" si="49"/>
        <v>3.54</v>
      </c>
      <c r="Q255" s="161">
        <f t="shared" si="49"/>
        <v>3.54</v>
      </c>
      <c r="R255" s="161">
        <f t="shared" si="49"/>
        <v>3.54</v>
      </c>
      <c r="S255" s="161">
        <f t="shared" si="49"/>
        <v>3.54</v>
      </c>
      <c r="T255" s="161">
        <f t="shared" si="49"/>
        <v>3.54</v>
      </c>
      <c r="U255" s="161">
        <f t="shared" si="49"/>
        <v>3.54</v>
      </c>
      <c r="V255" s="161">
        <f t="shared" si="49"/>
        <v>3.54</v>
      </c>
      <c r="W255" s="161">
        <f t="shared" si="49"/>
        <v>3.54</v>
      </c>
      <c r="X255" s="161">
        <f t="shared" si="49"/>
        <v>3.54</v>
      </c>
      <c r="Y255" s="161">
        <f t="shared" si="49"/>
        <v>3.54</v>
      </c>
      <c r="Z255" s="161">
        <f t="shared" si="49"/>
        <v>3.54</v>
      </c>
      <c r="AA255" s="161">
        <f t="shared" si="49"/>
        <v>3.54</v>
      </c>
      <c r="AB255" s="161">
        <f t="shared" si="49"/>
        <v>3.54</v>
      </c>
      <c r="AC255" s="161">
        <f t="shared" si="49"/>
        <v>3.54</v>
      </c>
      <c r="AD255" s="161">
        <f t="shared" si="49"/>
        <v>3.54</v>
      </c>
      <c r="AE255" s="161">
        <f t="shared" si="49"/>
        <v>3.54</v>
      </c>
      <c r="AF255" s="161">
        <f t="shared" si="49"/>
        <v>3.54</v>
      </c>
      <c r="AG255" s="171">
        <f t="shared" si="49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1699.44</v>
      </c>
      <c r="C259" s="174">
        <f>INDEX(G9:N9,1,MATCH(MAX(G102:N102),G102:N102,0))</f>
        <v>0.3125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2080/10/6)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3595" priority="80">
      <formula>$AH11=0</formula>
    </cfRule>
  </conditionalFormatting>
  <conditionalFormatting sqref="A89">
    <cfRule type="expression" dxfId="3594" priority="138">
      <formula>$AH94=0</formula>
    </cfRule>
  </conditionalFormatting>
  <conditionalFormatting sqref="A90:A94">
    <cfRule type="expression" dxfId="3593" priority="81">
      <formula>$AH89=0</formula>
    </cfRule>
  </conditionalFormatting>
  <conditionalFormatting sqref="B8">
    <cfRule type="expression" dxfId="3592" priority="134">
      <formula>AND(C$9&gt;=14/24,C$9&lt;20/24)</formula>
    </cfRule>
    <cfRule type="expression" dxfId="3591" priority="135">
      <formula>AND(C$9&gt;=8/24,C$9&lt;14/24)</formula>
    </cfRule>
    <cfRule type="expression" dxfId="3590" priority="136">
      <formula>C$9&lt;8/24</formula>
    </cfRule>
    <cfRule type="expression" dxfId="3589" priority="137">
      <formula>C$9&gt;=20/24</formula>
    </cfRule>
  </conditionalFormatting>
  <conditionalFormatting sqref="B9:AF57 B62:D77 E63:R64 E66:R77 S67:AF77 N72:U77 B80:AF102 B104:AF120 B122:AF140 B247:AF247 B249:B255">
    <cfRule type="expression" dxfId="3588" priority="41">
      <formula>B$9&gt;=20/24</formula>
    </cfRule>
    <cfRule type="expression" dxfId="3587" priority="42">
      <formula>AND(B$9&gt;=14/24,B$9&lt;20/24)</formula>
    </cfRule>
    <cfRule type="expression" dxfId="3586" priority="43">
      <formula>AND(B$9&gt;=8/24,B$9&lt;14/24)</formula>
    </cfRule>
  </conditionalFormatting>
  <conditionalFormatting sqref="B9:AF60 B62:D77 E63:R64 E66:R77 S67:AF77 N72:U77 B80:AF102 B104:AF120 B122:AF140 B247:AF247 B249:B255">
    <cfRule type="expression" dxfId="3585" priority="44">
      <formula>B$9&lt;8/24</formula>
    </cfRule>
  </conditionalFormatting>
  <conditionalFormatting sqref="B58:AF60">
    <cfRule type="expression" dxfId="3584" priority="37">
      <formula>B$9&gt;=20/24</formula>
    </cfRule>
    <cfRule type="expression" dxfId="3583" priority="38">
      <formula>AND(B$9&gt;=14/24,B$9&lt;20/24)</formula>
    </cfRule>
    <cfRule type="expression" dxfId="3582" priority="39">
      <formula>AND(B$9&gt;=8/24,B$9&lt;14/24)</formula>
    </cfRule>
  </conditionalFormatting>
  <conditionalFormatting sqref="D249:AF255">
    <cfRule type="expression" dxfId="3581" priority="119">
      <formula>D$9&gt;=20/24</formula>
    </cfRule>
    <cfRule type="expression" dxfId="3580" priority="120">
      <formula>AND(D$9&gt;=14/24,D$9&lt;20/24)</formula>
    </cfRule>
    <cfRule type="expression" dxfId="3579" priority="121">
      <formula>AND(D$9&gt;=8/24,D$9&lt;14/24)</formula>
    </cfRule>
    <cfRule type="expression" dxfId="3578" priority="122">
      <formula>D$9&lt;8/24</formula>
    </cfRule>
  </conditionalFormatting>
  <conditionalFormatting sqref="E66:R70 S67:AF70">
    <cfRule type="expression" dxfId="3577" priority="50">
      <formula>E$9&gt;=20/24</formula>
    </cfRule>
    <cfRule type="expression" dxfId="3576" priority="51">
      <formula>AND(E$9&gt;=14/24,E$9&lt;20/24)</formula>
    </cfRule>
    <cfRule type="expression" dxfId="3575" priority="52">
      <formula>AND(E$9&gt;=8/24,E$9&lt;14/24)</formula>
    </cfRule>
    <cfRule type="expression" dxfId="3574" priority="53">
      <formula>E$9&lt;8/24</formula>
    </cfRule>
  </conditionalFormatting>
  <conditionalFormatting sqref="E62:AF65">
    <cfRule type="expression" dxfId="3573" priority="60">
      <formula>E$9&gt;=20/24</formula>
    </cfRule>
    <cfRule type="expression" dxfId="3572" priority="61">
      <formula>AND(E$9&gt;=14/24,E$9&lt;20/24)</formula>
    </cfRule>
    <cfRule type="expression" dxfId="3571" priority="62">
      <formula>AND(E$9&gt;=8/24,E$9&lt;14/24)</formula>
    </cfRule>
    <cfRule type="expression" dxfId="3570" priority="63">
      <formula>E$9&lt;8/24</formula>
    </cfRule>
  </conditionalFormatting>
  <conditionalFormatting sqref="E71:AF71">
    <cfRule type="expression" dxfId="3569" priority="45">
      <formula>E$9&gt;=20/24</formula>
    </cfRule>
    <cfRule type="expression" dxfId="3568" priority="46">
      <formula>AND(E$9&gt;=14/24,E$9&lt;20/24)</formula>
    </cfRule>
    <cfRule type="expression" dxfId="3567" priority="47">
      <formula>AND(E$9&gt;=8/24,E$9&lt;14/24)</formula>
    </cfRule>
    <cfRule type="expression" dxfId="3566" priority="48">
      <formula>E$9&lt;8/24</formula>
    </cfRule>
  </conditionalFormatting>
  <conditionalFormatting sqref="F66:R68 S67:AF68">
    <cfRule type="expression" dxfId="3565" priority="73">
      <formula>AND(F$9&gt;=14/24,F$9&lt;20/24)</formula>
    </cfRule>
    <cfRule type="expression" dxfId="3564" priority="74">
      <formula>AND(F$9&gt;=8/24,F$9&lt;14/24)</formula>
    </cfRule>
    <cfRule type="expression" dxfId="3563" priority="75">
      <formula>F$9&lt;8/24</formula>
    </cfRule>
  </conditionalFormatting>
  <conditionalFormatting sqref="L71:AF71">
    <cfRule type="expression" dxfId="3562" priority="68">
      <formula>L$9&gt;=20/24</formula>
    </cfRule>
    <cfRule type="expression" dxfId="3561" priority="69">
      <formula>AND(L$9&gt;=14/24,L$9&lt;20/24)</formula>
    </cfRule>
    <cfRule type="expression" dxfId="3560" priority="70">
      <formula>AND(L$9&gt;=8/24,L$9&lt;14/24)</formula>
    </cfRule>
    <cfRule type="expression" dxfId="3559" priority="71">
      <formula>L$9&lt;8/24</formula>
    </cfRule>
  </conditionalFormatting>
  <conditionalFormatting sqref="M8 S8 AB8">
    <cfRule type="expression" dxfId="3558" priority="126">
      <formula>AND(N$9&gt;=14/24,N$9&lt;20/24)</formula>
    </cfRule>
    <cfRule type="expression" dxfId="3557" priority="127">
      <formula>AND(N$9&gt;=8/24,N$9&lt;14/24)</formula>
    </cfRule>
    <cfRule type="expression" dxfId="3556" priority="128">
      <formula>N$9&lt;8/24</formula>
    </cfRule>
  </conditionalFormatting>
  <conditionalFormatting sqref="N66:AF70">
    <cfRule type="expression" dxfId="3555" priority="76">
      <formula>N$9&gt;=20/24</formula>
    </cfRule>
    <cfRule type="expression" dxfId="3554" priority="77">
      <formula>AND(N$9&gt;=14/24,N$9&lt;20/24)</formula>
    </cfRule>
    <cfRule type="expression" dxfId="3553" priority="78">
      <formula>AND(N$9&gt;=8/24,N$9&lt;14/24)</formula>
    </cfRule>
    <cfRule type="expression" dxfId="3552" priority="79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551" priority="125">
      <formula>N$9&gt;=20/24</formula>
    </cfRule>
  </conditionalFormatting>
  <conditionalFormatting sqref="S8">
    <cfRule type="expression" dxfId="3550" priority="112">
      <formula>U$9&gt;=20/24</formula>
    </cfRule>
    <cfRule type="expression" dxfId="3549" priority="113">
      <formula>AND(U$9&gt;=14/24,U$9&lt;20/24)</formula>
    </cfRule>
    <cfRule type="expression" dxfId="3548" priority="114">
      <formula>AND(U$9&gt;=8/24,U$9&lt;14/24)</formula>
    </cfRule>
    <cfRule type="expression" dxfId="3547" priority="115">
      <formula>U$9&lt;8/24</formula>
    </cfRule>
  </conditionalFormatting>
  <conditionalFormatting sqref="S67:AF68 F66:R68">
    <cfRule type="expression" dxfId="3546" priority="72">
      <formula>F$9&gt;=20/24</formula>
    </cfRule>
  </conditionalFormatting>
  <conditionalFormatting sqref="T66:AF71">
    <cfRule type="expression" dxfId="3545" priority="64">
      <formula>T$9&gt;=20/24</formula>
    </cfRule>
    <cfRule type="expression" dxfId="3544" priority="65">
      <formula>AND(T$9&gt;=14/24,T$9&lt;20/24)</formula>
    </cfRule>
    <cfRule type="expression" dxfId="3543" priority="66">
      <formula>AND(T$9&gt;=8/24,T$9&lt;14/24)</formula>
    </cfRule>
    <cfRule type="expression" dxfId="3542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Z11:AF60 B11:Y83 Z61:AG61 Z62:AF64 Z65:AG65 Z66:AF83 AG83">
    <cfRule type="expression" dxfId="3541" priority="40">
      <formula>B11&gt;$AG11</formula>
    </cfRule>
  </conditionalFormatting>
  <conditionalFormatting sqref="AB8">
    <cfRule type="expression" dxfId="3540" priority="108">
      <formula>AD$9&gt;=20/24</formula>
    </cfRule>
    <cfRule type="expression" dxfId="3539" priority="109">
      <formula>AND(AD$9&gt;=14/24,AD$9&lt;20/24)</formula>
    </cfRule>
    <cfRule type="expression" dxfId="3538" priority="110">
      <formula>AND(AD$9&gt;=8/24,AD$9&lt;14/24)</formula>
    </cfRule>
    <cfRule type="expression" dxfId="3537" priority="111">
      <formula>AD$9&lt;8/24</formula>
    </cfRule>
  </conditionalFormatting>
  <conditionalFormatting sqref="AG65">
    <cfRule type="expression" dxfId="3536" priority="87">
      <formula>AG$9&gt;=20/24</formula>
    </cfRule>
    <cfRule type="expression" dxfId="3535" priority="88">
      <formula>AND(AG$9&gt;=14/24,AG$9&lt;20/24)</formula>
    </cfRule>
    <cfRule type="expression" dxfId="3534" priority="89">
      <formula>AND(AG$9&gt;=8/24,AG$9&lt;14/24)</formula>
    </cfRule>
    <cfRule type="expression" dxfId="3533" priority="90">
      <formula>AG$9&lt;8/24</formula>
    </cfRule>
  </conditionalFormatting>
  <conditionalFormatting sqref="AG78:AG79">
    <cfRule type="expression" dxfId="3532" priority="82">
      <formula>AG78&gt;$AG78</formula>
    </cfRule>
  </conditionalFormatting>
  <conditionalFormatting sqref="AG83">
    <cfRule type="expression" dxfId="3531" priority="83">
      <formula>AG$9&gt;=20/24</formula>
    </cfRule>
    <cfRule type="expression" dxfId="3530" priority="84">
      <formula>AND(AG$9&gt;=14/24,AG$9&lt;20/24)</formula>
    </cfRule>
    <cfRule type="expression" dxfId="3529" priority="85">
      <formula>AND(AG$9&gt;=8/24,AG$9&lt;14/24)</formula>
    </cfRule>
    <cfRule type="expression" dxfId="3528" priority="86">
      <formula>AG$9&lt;8/24</formula>
    </cfRule>
  </conditionalFormatting>
  <conditionalFormatting sqref="AG100">
    <cfRule type="expression" dxfId="3527" priority="104">
      <formula>AG$9&gt;=20/24</formula>
    </cfRule>
    <cfRule type="expression" dxfId="3526" priority="105">
      <formula>AND(AG$9&gt;=14/24,AG$9&lt;20/24)</formula>
    </cfRule>
    <cfRule type="expression" dxfId="3525" priority="106">
      <formula>AND(AG$9&gt;=8/24,AG$9&lt;14/24)</formula>
    </cfRule>
    <cfRule type="expression" dxfId="352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523" priority="129">
      <formula>AJ$9&gt;=20/24</formula>
    </cfRule>
    <cfRule type="expression" dxfId="3522" priority="130">
      <formula>AND(AJ$9&gt;=14/24,AJ$9&lt;20/24)</formula>
    </cfRule>
    <cfRule type="expression" dxfId="3521" priority="131">
      <formula>AND(AJ$9&gt;=8/24,AJ$9&lt;14/24)</formula>
    </cfRule>
    <cfRule type="expression" dxfId="3520" priority="132">
      <formula>AJ$9&lt;8/24</formula>
    </cfRule>
  </conditionalFormatting>
  <conditionalFormatting sqref="AL86:AN86 AL92:AN92">
    <cfRule type="expression" dxfId="3519" priority="97">
      <formula>AL$9&gt;=20/24</formula>
    </cfRule>
    <cfRule type="expression" dxfId="3518" priority="98">
      <formula>AND(AL$9&gt;=14/24,AL$9&lt;20/24)</formula>
    </cfRule>
    <cfRule type="expression" dxfId="3517" priority="99">
      <formula>AND(AL$9&gt;=8/24,AL$9&lt;14/24)</formula>
    </cfRule>
    <cfRule type="expression" dxfId="3516" priority="100">
      <formula>AL$9&lt;8/24</formula>
    </cfRule>
  </conditionalFormatting>
  <conditionalFormatting sqref="AM15:AM21 AN16:AR21">
    <cfRule type="expression" dxfId="3515" priority="13">
      <formula>AX$9&gt;=20/24</formula>
    </cfRule>
    <cfRule type="expression" dxfId="3514" priority="14">
      <formula>AND(AX$9&gt;=14/24,AX$9&lt;20/24)</formula>
    </cfRule>
    <cfRule type="expression" dxfId="3513" priority="15">
      <formula>AND(AX$9&gt;=8/24,AX$9&lt;14/24)</formula>
    </cfRule>
    <cfRule type="expression" dxfId="3512" priority="16">
      <formula>AX$9&lt;8/24</formula>
    </cfRule>
  </conditionalFormatting>
  <conditionalFormatting sqref="AN87:AN90">
    <cfRule type="expression" dxfId="3511" priority="93">
      <formula>AN$9&gt;=20/24</formula>
    </cfRule>
    <cfRule type="expression" dxfId="3510" priority="94">
      <formula>AND(AN$9&gt;=14/24,AN$9&lt;20/24)</formula>
    </cfRule>
    <cfRule type="expression" dxfId="3509" priority="95">
      <formula>AND(AN$9&gt;=8/24,AN$9&lt;14/24)</formula>
    </cfRule>
    <cfRule type="expression" dxfId="3508" priority="96">
      <formula>AN$9&lt;8/24</formula>
    </cfRule>
  </conditionalFormatting>
  <conditionalFormatting sqref="AN15:AR15">
    <cfRule type="expression" dxfId="3507" priority="1">
      <formula>U$9&gt;=20/24</formula>
    </cfRule>
    <cfRule type="expression" dxfId="3506" priority="2">
      <formula>AND(U$9&gt;=14/24,U$9&lt;20/24)</formula>
    </cfRule>
    <cfRule type="expression" dxfId="3505" priority="3">
      <formula>AND(U$9&gt;=8/24,U$9&lt;14/24)</formula>
    </cfRule>
    <cfRule type="expression" dxfId="3504" priority="4">
      <formula>U$9&lt;8/24</formula>
    </cfRule>
  </conditionalFormatting>
  <conditionalFormatting sqref="AS15">
    <cfRule type="expression" dxfId="3503" priority="9">
      <formula>AA$9&gt;=20/24</formula>
    </cfRule>
    <cfRule type="expression" dxfId="3502" priority="10">
      <formula>AND(AA$9&gt;=14/24,AA$9&lt;20/24)</formula>
    </cfRule>
    <cfRule type="expression" dxfId="3501" priority="11">
      <formula>AND(AA$9&gt;=8/24,AA$9&lt;14/24)</formula>
    </cfRule>
    <cfRule type="expression" dxfId="3500" priority="12">
      <formula>AA$9&lt;8/24</formula>
    </cfRule>
  </conditionalFormatting>
  <conditionalFormatting sqref="AS16:AS21">
    <cfRule type="expression" dxfId="3499" priority="17">
      <formula>BE$9&gt;=20/24</formula>
    </cfRule>
    <cfRule type="expression" dxfId="3498" priority="18">
      <formula>AND(BE$9&gt;=14/24,BE$9&lt;20/24)</formula>
    </cfRule>
    <cfRule type="expression" dxfId="3497" priority="19">
      <formula>AND(BE$9&gt;=8/24,BE$9&lt;14/24)</formula>
    </cfRule>
    <cfRule type="expression" dxfId="3496" priority="20">
      <formula>BE$9&lt;8/24</formula>
    </cfRule>
  </conditionalFormatting>
  <conditionalFormatting sqref="AT15 AX15:BJ15">
    <cfRule type="expression" dxfId="3495" priority="21">
      <formula>AC$9&gt;=20/24</formula>
    </cfRule>
    <cfRule type="expression" dxfId="3494" priority="22">
      <formula>AND(AC$9&gt;=14/24,AC$9&lt;20/24)</formula>
    </cfRule>
    <cfRule type="expression" dxfId="3493" priority="23">
      <formula>AND(AC$9&gt;=8/24,AC$9&lt;14/24)</formula>
    </cfRule>
    <cfRule type="expression" dxfId="3492" priority="24">
      <formula>AC$9&lt;8/24</formula>
    </cfRule>
  </conditionalFormatting>
  <conditionalFormatting sqref="AT16:AT21">
    <cfRule type="expression" dxfId="3491" priority="25">
      <formula>BG$9&gt;=20/24</formula>
    </cfRule>
    <cfRule type="expression" dxfId="3490" priority="26">
      <formula>AND(BG$9&gt;=14/24,BG$9&lt;20/24)</formula>
    </cfRule>
    <cfRule type="expression" dxfId="3489" priority="27">
      <formula>AND(BG$9&gt;=8/24,BG$9&lt;14/24)</formula>
    </cfRule>
    <cfRule type="expression" dxfId="3488" priority="28">
      <formula>BG$9&lt;8/24</formula>
    </cfRule>
  </conditionalFormatting>
  <conditionalFormatting sqref="AU15:AV15">
    <cfRule type="expression" dxfId="3487" priority="29">
      <formula>AE$9&gt;=20/24</formula>
    </cfRule>
    <cfRule type="expression" dxfId="3486" priority="30">
      <formula>AND(AE$9&gt;=14/24,AE$9&lt;20/24)</formula>
    </cfRule>
    <cfRule type="expression" dxfId="3485" priority="31">
      <formula>AND(AE$9&gt;=8/24,AE$9&lt;14/24)</formula>
    </cfRule>
    <cfRule type="expression" dxfId="3484" priority="32">
      <formula>AE$9&lt;8/24</formula>
    </cfRule>
  </conditionalFormatting>
  <conditionalFormatting sqref="AU16:BJ21">
    <cfRule type="expression" dxfId="3483" priority="33">
      <formula>BI$9&gt;=20/24</formula>
    </cfRule>
    <cfRule type="expression" dxfId="3482" priority="34">
      <formula>AND(BI$9&gt;=14/24,BI$9&lt;20/24)</formula>
    </cfRule>
    <cfRule type="expression" dxfId="3481" priority="35">
      <formula>AND(BI$9&gt;=8/24,BI$9&lt;14/24)</formula>
    </cfRule>
    <cfRule type="expression" dxfId="3480" priority="36">
      <formula>BI$9&lt;8/24</formula>
    </cfRule>
  </conditionalFormatting>
  <conditionalFormatting sqref="AW15">
    <cfRule type="expression" dxfId="3479" priority="5">
      <formula>B$9&gt;=20/24</formula>
    </cfRule>
    <cfRule type="expression" dxfId="3478" priority="6">
      <formula>AND(B$9&gt;=14/24,B$9&lt;20/24)</formula>
    </cfRule>
    <cfRule type="expression" dxfId="3477" priority="7">
      <formula>AND(B$9&gt;=8/24,B$9&lt;14/24)</formula>
    </cfRule>
    <cfRule type="expression" dxfId="347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D92E-D65B-418A-8798-9B7975499F9B}">
  <dimension ref="A1:CJ297"/>
  <sheetViews>
    <sheetView zoomScale="106" workbookViewId="0">
      <pane xSplit="1" ySplit="10" topLeftCell="B6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C86" sqref="AC8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2080/10/7</v>
      </c>
      <c r="C4" s="189"/>
      <c r="D4" s="189"/>
      <c r="E4" s="190" t="str">
        <f ca="1">"2080/"&amp;"10/"&amp;INT(MID(CELL("filename",G6),FIND("]",CELL("filename",G6))+1,200))</f>
        <v>2080/10/7</v>
      </c>
      <c r="F4" s="190"/>
      <c r="G4" s="190"/>
      <c r="H4" s="190" t="str">
        <f ca="1">TEXT(E4,"dddd")</f>
        <v>Monday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50</v>
      </c>
      <c r="C5" s="30">
        <f t="shared" si="0"/>
        <v>25</v>
      </c>
      <c r="D5" s="30">
        <f t="shared" si="0"/>
        <v>28.3</v>
      </c>
      <c r="E5" s="30">
        <f t="shared" si="0"/>
        <v>26.7</v>
      </c>
      <c r="F5" s="30">
        <f t="shared" si="0"/>
        <v>23.7</v>
      </c>
      <c r="G5" s="30">
        <f t="shared" si="0"/>
        <v>25</v>
      </c>
      <c r="H5" s="30">
        <f t="shared" si="0"/>
        <v>30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23</v>
      </c>
      <c r="M5" s="30">
        <f t="shared" si="0"/>
        <v>0</v>
      </c>
      <c r="N5" s="30">
        <f t="shared" si="0"/>
        <v>64</v>
      </c>
      <c r="O5" s="30">
        <f t="shared" si="0"/>
        <v>79.099999999999994</v>
      </c>
      <c r="P5" s="30">
        <f t="shared" si="0"/>
        <v>84</v>
      </c>
      <c r="Q5" s="30">
        <f t="shared" si="0"/>
        <v>113.3</v>
      </c>
      <c r="R5" s="30">
        <f t="shared" si="0"/>
        <v>100.4</v>
      </c>
      <c r="S5" s="30">
        <f t="shared" si="0"/>
        <v>72.900000000000006</v>
      </c>
      <c r="T5" s="30">
        <f t="shared" si="0"/>
        <v>73.3</v>
      </c>
      <c r="U5" s="30">
        <f t="shared" si="0"/>
        <v>67.7</v>
      </c>
      <c r="V5" s="30">
        <f t="shared" si="0"/>
        <v>53.1</v>
      </c>
      <c r="W5" s="30">
        <f t="shared" si="0"/>
        <v>48.5</v>
      </c>
      <c r="X5" s="30">
        <f t="shared" si="0"/>
        <v>44.9</v>
      </c>
      <c r="Y5" s="30">
        <f t="shared" si="0"/>
        <v>39.200000000000003</v>
      </c>
      <c r="Z5" s="30">
        <f t="shared" si="0"/>
        <v>40.9</v>
      </c>
      <c r="AA5" s="30">
        <f t="shared" si="0"/>
        <v>34.200000000000003</v>
      </c>
      <c r="AB5" s="30">
        <f t="shared" si="0"/>
        <v>34.200000000000003</v>
      </c>
      <c r="AC5" s="30">
        <f t="shared" si="0"/>
        <v>44.2</v>
      </c>
      <c r="AD5" s="30">
        <f t="shared" si="0"/>
        <v>55</v>
      </c>
      <c r="AE5" s="30">
        <f t="shared" si="0"/>
        <v>52.699999999999996</v>
      </c>
      <c r="AF5" s="30">
        <f>B95</f>
        <v>51.7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2054MW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1445.14</v>
      </c>
      <c r="C7" s="35">
        <f t="shared" si="1"/>
        <v>203.54</v>
      </c>
      <c r="D7" s="35">
        <f t="shared" si="1"/>
        <v>1344.44</v>
      </c>
      <c r="E7" s="35">
        <f t="shared" si="1"/>
        <v>1337.7399999999998</v>
      </c>
      <c r="F7" s="35">
        <f t="shared" si="1"/>
        <v>1348.1400000000003</v>
      </c>
      <c r="G7" s="35">
        <f t="shared" si="1"/>
        <v>1332.44</v>
      </c>
      <c r="H7" s="35">
        <f t="shared" si="1"/>
        <v>1306.3399999999999</v>
      </c>
      <c r="I7" s="35">
        <f t="shared" si="1"/>
        <v>1354.1399999999999</v>
      </c>
      <c r="J7" s="35">
        <f t="shared" si="1"/>
        <v>1429.44</v>
      </c>
      <c r="K7" s="35">
        <f t="shared" si="1"/>
        <v>153.54</v>
      </c>
      <c r="L7" s="35">
        <f t="shared" si="1"/>
        <v>1441.64</v>
      </c>
      <c r="M7" s="35">
        <f t="shared" si="1"/>
        <v>1593.64</v>
      </c>
      <c r="N7" s="35">
        <f t="shared" si="1"/>
        <v>1540.04</v>
      </c>
      <c r="O7" s="35">
        <f t="shared" si="1"/>
        <v>1620.64</v>
      </c>
      <c r="P7" s="35">
        <f t="shared" si="1"/>
        <v>1619.04</v>
      </c>
      <c r="Q7" s="35">
        <f t="shared" si="1"/>
        <v>1701.74</v>
      </c>
      <c r="R7" s="35">
        <f t="shared" si="1"/>
        <v>1652.2400000000002</v>
      </c>
      <c r="S7" s="35">
        <f t="shared" si="1"/>
        <v>1599.1399999999999</v>
      </c>
      <c r="T7" s="35">
        <f t="shared" si="1"/>
        <v>1634.2399999999998</v>
      </c>
      <c r="U7" s="35">
        <f t="shared" si="1"/>
        <v>1638.9399999999998</v>
      </c>
      <c r="V7" s="35">
        <f t="shared" si="1"/>
        <v>1593.4399999999998</v>
      </c>
      <c r="W7" s="35">
        <f t="shared" si="1"/>
        <v>1555.54</v>
      </c>
      <c r="X7" s="35">
        <f t="shared" si="1"/>
        <v>1541.04</v>
      </c>
      <c r="Y7" s="35">
        <f t="shared" si="1"/>
        <v>1668.8399999999997</v>
      </c>
      <c r="Z7" s="35">
        <f t="shared" si="1"/>
        <v>1715.1399999999996</v>
      </c>
      <c r="AA7" s="35">
        <f t="shared" si="1"/>
        <v>1761.1399999999999</v>
      </c>
      <c r="AB7" s="35">
        <f t="shared" si="1"/>
        <v>1656.4399999999998</v>
      </c>
      <c r="AC7" s="35">
        <f t="shared" si="1"/>
        <v>1656.4399999999998</v>
      </c>
      <c r="AD7" s="35">
        <f t="shared" si="1"/>
        <v>1667.2399999999998</v>
      </c>
      <c r="AE7" s="35">
        <f t="shared" si="1"/>
        <v>1642.1399999999999</v>
      </c>
      <c r="AF7" s="35">
        <f t="shared" si="1"/>
        <v>1653.8399999999997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2196.94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1715.14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47.8</v>
      </c>
      <c r="C11" s="46" t="s">
        <v>291</v>
      </c>
      <c r="D11" s="46">
        <v>47.8</v>
      </c>
      <c r="E11" s="46">
        <v>60</v>
      </c>
      <c r="F11" s="46">
        <v>86.9</v>
      </c>
      <c r="G11" s="46">
        <v>86.9</v>
      </c>
      <c r="H11" s="46">
        <v>86.9</v>
      </c>
      <c r="I11" s="46">
        <v>86.9</v>
      </c>
      <c r="J11" s="46">
        <v>86.9</v>
      </c>
      <c r="K11" s="46" t="s">
        <v>291</v>
      </c>
      <c r="L11" s="46">
        <v>86.9</v>
      </c>
      <c r="M11" s="46">
        <v>85.9</v>
      </c>
      <c r="N11" s="46">
        <v>68.5</v>
      </c>
      <c r="O11" s="46">
        <v>68.599999999999994</v>
      </c>
      <c r="P11" s="46">
        <v>0</v>
      </c>
      <c r="Q11" s="46">
        <v>0</v>
      </c>
      <c r="R11" s="46">
        <v>0</v>
      </c>
      <c r="S11" s="46">
        <v>0</v>
      </c>
      <c r="T11" s="46">
        <v>48.5</v>
      </c>
      <c r="U11" s="46">
        <v>48.5</v>
      </c>
      <c r="V11" s="46">
        <v>48.5</v>
      </c>
      <c r="W11" s="46">
        <v>48.5</v>
      </c>
      <c r="X11" s="46">
        <v>48.5</v>
      </c>
      <c r="Y11" s="46">
        <v>48.5</v>
      </c>
      <c r="Z11" s="46">
        <v>48.5</v>
      </c>
      <c r="AA11" s="46">
        <v>48.5</v>
      </c>
      <c r="AB11" s="46">
        <v>41</v>
      </c>
      <c r="AC11" s="46">
        <v>41</v>
      </c>
      <c r="AD11" s="46">
        <v>41</v>
      </c>
      <c r="AE11" s="46">
        <v>41</v>
      </c>
      <c r="AF11" s="46">
        <v>41</v>
      </c>
      <c r="AG11" s="47">
        <v>86</v>
      </c>
      <c r="AH11" s="48">
        <f t="shared" ref="AH11:AH74" si="2">MAX(B11:AF11)</f>
        <v>86.9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45.1</v>
      </c>
      <c r="C12" s="46" t="s">
        <v>295</v>
      </c>
      <c r="D12" s="46">
        <v>45.1</v>
      </c>
      <c r="E12" s="46">
        <v>56.3</v>
      </c>
      <c r="F12" s="46">
        <v>56.3</v>
      </c>
      <c r="G12" s="46">
        <v>56.3</v>
      </c>
      <c r="H12" s="46">
        <v>56.3</v>
      </c>
      <c r="I12" s="46">
        <v>56.3</v>
      </c>
      <c r="J12" s="46">
        <v>56.3</v>
      </c>
      <c r="K12" s="46" t="s">
        <v>295</v>
      </c>
      <c r="L12" s="46">
        <v>0</v>
      </c>
      <c r="M12" s="46">
        <v>40</v>
      </c>
      <c r="N12" s="46">
        <v>40</v>
      </c>
      <c r="O12" s="46">
        <v>54</v>
      </c>
      <c r="P12" s="46">
        <v>54</v>
      </c>
      <c r="Q12" s="46">
        <v>54</v>
      </c>
      <c r="R12" s="46">
        <v>54</v>
      </c>
      <c r="S12" s="46">
        <v>54</v>
      </c>
      <c r="T12" s="46">
        <v>54</v>
      </c>
      <c r="U12" s="46">
        <v>54</v>
      </c>
      <c r="V12" s="46">
        <v>54</v>
      </c>
      <c r="W12" s="46">
        <v>54</v>
      </c>
      <c r="X12" s="46">
        <v>54</v>
      </c>
      <c r="Y12" s="46">
        <v>54</v>
      </c>
      <c r="Z12" s="46">
        <v>54</v>
      </c>
      <c r="AA12" s="46">
        <v>54</v>
      </c>
      <c r="AB12" s="46">
        <v>64.2</v>
      </c>
      <c r="AC12" s="46">
        <v>64.2</v>
      </c>
      <c r="AD12" s="46">
        <v>64.2</v>
      </c>
      <c r="AE12" s="46">
        <v>64.2</v>
      </c>
      <c r="AF12" s="46">
        <v>64.2</v>
      </c>
      <c r="AG12" s="50">
        <v>77</v>
      </c>
      <c r="AH12" s="48">
        <f t="shared" si="2"/>
        <v>64.2</v>
      </c>
      <c r="AI12" s="49">
        <f t="shared" si="3"/>
        <v>0</v>
      </c>
      <c r="AK12" s="51"/>
      <c r="AL12" s="52" t="str">
        <f ca="1">MID(CELL("filename",C7),FIND("]",CELL("filename",C7))+1,600)</f>
        <v>07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58.5</v>
      </c>
      <c r="C13" s="46" t="s">
        <v>291</v>
      </c>
      <c r="D13" s="46">
        <v>58.5</v>
      </c>
      <c r="E13" s="46">
        <v>43.2</v>
      </c>
      <c r="F13" s="46">
        <v>53.8</v>
      </c>
      <c r="G13" s="46">
        <v>53.8</v>
      </c>
      <c r="H13" s="46">
        <v>53.8</v>
      </c>
      <c r="I13" s="46">
        <v>53.8</v>
      </c>
      <c r="J13" s="46">
        <v>53.8</v>
      </c>
      <c r="K13" s="46" t="s">
        <v>291</v>
      </c>
      <c r="L13" s="46">
        <v>63.5</v>
      </c>
      <c r="M13" s="46">
        <v>64.400000000000006</v>
      </c>
      <c r="N13" s="46">
        <v>64.400000000000006</v>
      </c>
      <c r="O13" s="46">
        <v>57.3</v>
      </c>
      <c r="P13" s="46">
        <v>57.3</v>
      </c>
      <c r="Q13" s="46">
        <v>57.3</v>
      </c>
      <c r="R13" s="46">
        <v>57.3</v>
      </c>
      <c r="S13" s="46">
        <v>57.3</v>
      </c>
      <c r="T13" s="46">
        <v>57.3</v>
      </c>
      <c r="U13" s="46">
        <v>57.3</v>
      </c>
      <c r="V13" s="46">
        <v>57.3</v>
      </c>
      <c r="W13" s="46">
        <v>57.3</v>
      </c>
      <c r="X13" s="46">
        <v>57.3</v>
      </c>
      <c r="Y13" s="46">
        <v>57.3</v>
      </c>
      <c r="Z13" s="46">
        <v>57.3</v>
      </c>
      <c r="AA13" s="46">
        <v>57.3</v>
      </c>
      <c r="AB13" s="46">
        <v>73.7</v>
      </c>
      <c r="AC13" s="46">
        <v>73.7</v>
      </c>
      <c r="AD13" s="46">
        <v>73.7</v>
      </c>
      <c r="AE13" s="46">
        <v>73.7</v>
      </c>
      <c r="AF13" s="46">
        <v>73.7</v>
      </c>
      <c r="AG13" s="50">
        <v>73</v>
      </c>
      <c r="AH13" s="48">
        <f t="shared" si="2"/>
        <v>73.7</v>
      </c>
      <c r="AI13" s="49">
        <f t="shared" si="3"/>
        <v>43.2</v>
      </c>
      <c r="AK13" s="51"/>
      <c r="AL13" s="52" t="str">
        <f ca="1">"Daily Load Curve(Excluding of Export) of Nepal ("&amp;A4&amp;" "&amp;B4&amp;")"</f>
        <v>Daily Load Curve(Excluding of Export) of Nepal (Nepali Date: 2080/10/7)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40.6</v>
      </c>
      <c r="C14" s="46" t="s">
        <v>296</v>
      </c>
      <c r="D14" s="46">
        <v>40.6</v>
      </c>
      <c r="E14" s="46">
        <v>30.7</v>
      </c>
      <c r="F14" s="46">
        <v>30.7</v>
      </c>
      <c r="G14" s="46">
        <v>40.700000000000003</v>
      </c>
      <c r="H14" s="46">
        <v>40.700000000000003</v>
      </c>
      <c r="I14" s="46">
        <v>40.700000000000003</v>
      </c>
      <c r="J14" s="46">
        <v>40.700000000000003</v>
      </c>
      <c r="K14" s="46" t="s">
        <v>296</v>
      </c>
      <c r="L14" s="46">
        <v>40.700000000000003</v>
      </c>
      <c r="M14" s="46">
        <v>40.700000000000003</v>
      </c>
      <c r="N14" s="46">
        <v>40.700000000000003</v>
      </c>
      <c r="O14" s="46">
        <v>40.700000000000003</v>
      </c>
      <c r="P14" s="46">
        <v>40.700000000000003</v>
      </c>
      <c r="Q14" s="46">
        <v>40.700000000000003</v>
      </c>
      <c r="R14" s="46">
        <v>40.700000000000003</v>
      </c>
      <c r="S14" s="46">
        <v>40.700000000000003</v>
      </c>
      <c r="T14" s="46">
        <v>40.700000000000003</v>
      </c>
      <c r="U14" s="46">
        <v>40.700000000000003</v>
      </c>
      <c r="V14" s="46">
        <v>40.700000000000003</v>
      </c>
      <c r="W14" s="46">
        <v>40.700000000000003</v>
      </c>
      <c r="X14" s="46">
        <v>40.700000000000003</v>
      </c>
      <c r="Y14" s="46">
        <v>40.700000000000003</v>
      </c>
      <c r="Z14" s="46">
        <v>40.700000000000003</v>
      </c>
      <c r="AA14" s="46">
        <v>40.700000000000003</v>
      </c>
      <c r="AB14" s="46">
        <v>41.4</v>
      </c>
      <c r="AC14" s="46">
        <v>41.4</v>
      </c>
      <c r="AD14" s="46">
        <v>41.4</v>
      </c>
      <c r="AE14" s="46">
        <v>41.4</v>
      </c>
      <c r="AF14" s="46">
        <v>41.4</v>
      </c>
      <c r="AG14" s="50">
        <v>71</v>
      </c>
      <c r="AH14" s="48">
        <f t="shared" si="2"/>
        <v>41.4</v>
      </c>
      <c r="AI14" s="49">
        <f t="shared" si="3"/>
        <v>30.7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40</v>
      </c>
      <c r="C15" s="46" t="s">
        <v>297</v>
      </c>
      <c r="D15" s="46">
        <v>40</v>
      </c>
      <c r="E15" s="46">
        <v>40</v>
      </c>
      <c r="F15" s="46">
        <v>40</v>
      </c>
      <c r="G15" s="46">
        <v>40</v>
      </c>
      <c r="H15" s="46">
        <v>40</v>
      </c>
      <c r="I15" s="46">
        <v>40</v>
      </c>
      <c r="J15" s="46">
        <v>40</v>
      </c>
      <c r="K15" s="46" t="s">
        <v>297</v>
      </c>
      <c r="L15" s="46">
        <v>40</v>
      </c>
      <c r="M15" s="46">
        <v>59.9</v>
      </c>
      <c r="N15" s="46">
        <v>59.9</v>
      </c>
      <c r="O15" s="46">
        <v>59.9</v>
      </c>
      <c r="P15" s="46">
        <v>59.9</v>
      </c>
      <c r="Q15" s="46">
        <v>59.9</v>
      </c>
      <c r="R15" s="46">
        <v>59.9</v>
      </c>
      <c r="S15" s="46">
        <v>59.9</v>
      </c>
      <c r="T15" s="46">
        <v>59.9</v>
      </c>
      <c r="U15" s="46">
        <v>59.9</v>
      </c>
      <c r="V15" s="46">
        <v>59.9</v>
      </c>
      <c r="W15" s="46">
        <v>59.9</v>
      </c>
      <c r="X15" s="46">
        <v>59.9</v>
      </c>
      <c r="Y15" s="46">
        <v>59.9</v>
      </c>
      <c r="Z15" s="46">
        <v>59.9</v>
      </c>
      <c r="AA15" s="46">
        <v>59.9</v>
      </c>
      <c r="AB15" s="46">
        <v>45.4</v>
      </c>
      <c r="AC15" s="46">
        <v>45.4</v>
      </c>
      <c r="AD15" s="46">
        <v>45.4</v>
      </c>
      <c r="AE15" s="46">
        <v>45.4</v>
      </c>
      <c r="AF15" s="46">
        <v>45.4</v>
      </c>
      <c r="AG15" s="50">
        <v>54</v>
      </c>
      <c r="AH15" s="48">
        <f t="shared" si="2"/>
        <v>59.9</v>
      </c>
      <c r="AI15" s="49">
        <f t="shared" si="3"/>
        <v>40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15.6</v>
      </c>
      <c r="C16" s="46" t="s">
        <v>298</v>
      </c>
      <c r="D16" s="46">
        <v>15.6</v>
      </c>
      <c r="E16" s="46">
        <v>15.6</v>
      </c>
      <c r="F16" s="46">
        <v>15.6</v>
      </c>
      <c r="G16" s="46">
        <v>15.6</v>
      </c>
      <c r="H16" s="46">
        <v>15.6</v>
      </c>
      <c r="I16" s="46">
        <v>15.6</v>
      </c>
      <c r="J16" s="46">
        <v>15.6</v>
      </c>
      <c r="K16" s="46" t="s">
        <v>298</v>
      </c>
      <c r="L16" s="46">
        <v>15.6</v>
      </c>
      <c r="M16" s="46">
        <v>15.6</v>
      </c>
      <c r="N16" s="46">
        <v>15.6</v>
      </c>
      <c r="O16" s="46">
        <v>15.6</v>
      </c>
      <c r="P16" s="46">
        <v>15.6</v>
      </c>
      <c r="Q16" s="46">
        <v>15.6</v>
      </c>
      <c r="R16" s="46">
        <v>15.6</v>
      </c>
      <c r="S16" s="46">
        <v>15.6</v>
      </c>
      <c r="T16" s="46">
        <v>15.6</v>
      </c>
      <c r="U16" s="46">
        <v>15.6</v>
      </c>
      <c r="V16" s="46">
        <v>15.6</v>
      </c>
      <c r="W16" s="46">
        <v>15.6</v>
      </c>
      <c r="X16" s="46">
        <v>15.6</v>
      </c>
      <c r="Y16" s="46">
        <v>15.6</v>
      </c>
      <c r="Z16" s="46">
        <v>15.6</v>
      </c>
      <c r="AA16" s="46">
        <v>15.6</v>
      </c>
      <c r="AB16" s="46">
        <v>27.1</v>
      </c>
      <c r="AC16" s="46">
        <v>27.1</v>
      </c>
      <c r="AD16" s="46">
        <v>27.1</v>
      </c>
      <c r="AE16" s="46">
        <v>27.1</v>
      </c>
      <c r="AF16" s="46">
        <v>27.1</v>
      </c>
      <c r="AG16" s="50">
        <v>54</v>
      </c>
      <c r="AH16" s="48">
        <f t="shared" si="2"/>
        <v>27.1</v>
      </c>
      <c r="AI16" s="49">
        <f t="shared" si="3"/>
        <v>15.6</v>
      </c>
      <c r="AK16" s="51"/>
      <c r="AL16" s="54" t="s">
        <v>7</v>
      </c>
      <c r="AM16" s="59">
        <f t="shared" ref="AM16:AR16" si="4">B61</f>
        <v>948.7</v>
      </c>
      <c r="AN16" s="59">
        <f t="shared" si="4"/>
        <v>150</v>
      </c>
      <c r="AO16" s="59">
        <f t="shared" si="4"/>
        <v>949.7</v>
      </c>
      <c r="AP16" s="59">
        <f t="shared" si="4"/>
        <v>948.3</v>
      </c>
      <c r="AQ16" s="59">
        <f t="shared" si="4"/>
        <v>976.50000000000011</v>
      </c>
      <c r="AR16" s="59">
        <f t="shared" si="4"/>
        <v>989.90000000000009</v>
      </c>
      <c r="AS16" s="59">
        <f>I61</f>
        <v>989.90000000000009</v>
      </c>
      <c r="AT16" s="59">
        <f>K61</f>
        <v>150</v>
      </c>
      <c r="AU16" s="59">
        <f t="shared" ref="AU16:BD16" si="5">M61</f>
        <v>1027.5</v>
      </c>
      <c r="AV16" s="59">
        <f t="shared" si="5"/>
        <v>1010.1</v>
      </c>
      <c r="AW16" s="59">
        <f t="shared" si="5"/>
        <v>1017.0999999999999</v>
      </c>
      <c r="AX16" s="59">
        <f t="shared" si="5"/>
        <v>948.5</v>
      </c>
      <c r="AY16" s="59">
        <f t="shared" si="5"/>
        <v>948.5</v>
      </c>
      <c r="AZ16" s="59">
        <f t="shared" si="5"/>
        <v>948.5</v>
      </c>
      <c r="BA16" s="59">
        <f t="shared" si="5"/>
        <v>948.5</v>
      </c>
      <c r="BB16" s="59">
        <f t="shared" si="5"/>
        <v>1018.2</v>
      </c>
      <c r="BC16" s="59">
        <f t="shared" si="5"/>
        <v>1018.2</v>
      </c>
      <c r="BD16" s="59">
        <f t="shared" si="5"/>
        <v>1018.2</v>
      </c>
      <c r="BE16" s="60">
        <f>X61</f>
        <v>1018.2</v>
      </c>
      <c r="BF16" s="60">
        <f>Z61</f>
        <v>1018.2</v>
      </c>
      <c r="BG16" s="60">
        <f>AB61</f>
        <v>1035.6999999999998</v>
      </c>
      <c r="BH16" s="60">
        <f>AD61</f>
        <v>1035.6999999999998</v>
      </c>
      <c r="BI16" s="60">
        <f>AE61</f>
        <v>1035.6999999999998</v>
      </c>
      <c r="BJ16" s="60">
        <f>AF61</f>
        <v>1035.6999999999998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41</v>
      </c>
      <c r="C17" s="46" t="s">
        <v>293</v>
      </c>
      <c r="D17" s="46">
        <v>41</v>
      </c>
      <c r="E17" s="46">
        <v>41</v>
      </c>
      <c r="F17" s="46">
        <v>41</v>
      </c>
      <c r="G17" s="46">
        <v>41</v>
      </c>
      <c r="H17" s="46">
        <v>41</v>
      </c>
      <c r="I17" s="46">
        <v>41</v>
      </c>
      <c r="J17" s="46">
        <v>41</v>
      </c>
      <c r="K17" s="46" t="s">
        <v>293</v>
      </c>
      <c r="L17" s="46">
        <v>41</v>
      </c>
      <c r="M17" s="46">
        <v>55.1</v>
      </c>
      <c r="N17" s="46">
        <v>55.1</v>
      </c>
      <c r="O17" s="46">
        <v>55.1</v>
      </c>
      <c r="P17" s="46">
        <v>55.1</v>
      </c>
      <c r="Q17" s="46">
        <v>55.1</v>
      </c>
      <c r="R17" s="46">
        <v>55.1</v>
      </c>
      <c r="S17" s="46">
        <v>55.1</v>
      </c>
      <c r="T17" s="46">
        <v>55.1</v>
      </c>
      <c r="U17" s="46">
        <v>55.1</v>
      </c>
      <c r="V17" s="46">
        <v>55.1</v>
      </c>
      <c r="W17" s="46">
        <v>55.1</v>
      </c>
      <c r="X17" s="46">
        <v>55.1</v>
      </c>
      <c r="Y17" s="46">
        <v>55.1</v>
      </c>
      <c r="Z17" s="46">
        <v>55.1</v>
      </c>
      <c r="AA17" s="46">
        <v>55.1</v>
      </c>
      <c r="AB17" s="46">
        <v>51.2</v>
      </c>
      <c r="AC17" s="46">
        <v>51.2</v>
      </c>
      <c r="AD17" s="46">
        <v>51.2</v>
      </c>
      <c r="AE17" s="46">
        <v>51.2</v>
      </c>
      <c r="AF17" s="46">
        <v>51.2</v>
      </c>
      <c r="AG17" s="47">
        <v>52.4</v>
      </c>
      <c r="AH17" s="48">
        <f t="shared" si="2"/>
        <v>55.1</v>
      </c>
      <c r="AI17" s="49">
        <f t="shared" si="3"/>
        <v>41</v>
      </c>
      <c r="AK17" s="51"/>
      <c r="AL17" s="54" t="s">
        <v>27</v>
      </c>
      <c r="AM17" s="59">
        <f t="shared" ref="AM17:AR17" si="6">B65</f>
        <v>542.79999999999995</v>
      </c>
      <c r="AN17" s="59">
        <f t="shared" si="6"/>
        <v>0</v>
      </c>
      <c r="AO17" s="59">
        <f t="shared" si="6"/>
        <v>542.79999999999995</v>
      </c>
      <c r="AP17" s="59">
        <f t="shared" si="6"/>
        <v>542.79999999999995</v>
      </c>
      <c r="AQ17" s="59">
        <f t="shared" si="6"/>
        <v>542.79999999999995</v>
      </c>
      <c r="AR17" s="59">
        <f t="shared" si="6"/>
        <v>542.79999999999995</v>
      </c>
      <c r="AS17" s="59">
        <f>I65</f>
        <v>542.79999999999995</v>
      </c>
      <c r="AT17" s="59">
        <f>K65</f>
        <v>0</v>
      </c>
      <c r="AU17" s="59">
        <f t="shared" ref="AU17:BD17" si="7">M65</f>
        <v>542.4</v>
      </c>
      <c r="AV17" s="59">
        <f t="shared" si="7"/>
        <v>542.4</v>
      </c>
      <c r="AW17" s="59">
        <f t="shared" si="7"/>
        <v>542.4</v>
      </c>
      <c r="AX17" s="59">
        <f t="shared" si="7"/>
        <v>542.4</v>
      </c>
      <c r="AY17" s="59">
        <f t="shared" si="7"/>
        <v>542.4</v>
      </c>
      <c r="AZ17" s="59">
        <f t="shared" si="7"/>
        <v>542.4</v>
      </c>
      <c r="BA17" s="59">
        <f t="shared" si="7"/>
        <v>542.4</v>
      </c>
      <c r="BB17" s="59">
        <f t="shared" si="7"/>
        <v>542.4</v>
      </c>
      <c r="BC17" s="59">
        <f t="shared" si="7"/>
        <v>542.4</v>
      </c>
      <c r="BD17" s="59">
        <f t="shared" si="7"/>
        <v>542.4</v>
      </c>
      <c r="BE17" s="60">
        <f>X65</f>
        <v>542.4</v>
      </c>
      <c r="BF17" s="60">
        <f>Z65</f>
        <v>542.4</v>
      </c>
      <c r="BG17" s="60">
        <f>AB65</f>
        <v>542.20000000000005</v>
      </c>
      <c r="BH17" s="60">
        <f>AD65</f>
        <v>542.20000000000005</v>
      </c>
      <c r="BI17" s="60">
        <f>AE65</f>
        <v>542.20000000000005</v>
      </c>
      <c r="BJ17" s="60">
        <f>AF65</f>
        <v>542.20000000000005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 t="s">
        <v>292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 t="s">
        <v>292</v>
      </c>
      <c r="L18" s="46">
        <v>50.5</v>
      </c>
      <c r="M18" s="46">
        <v>50.4</v>
      </c>
      <c r="N18" s="46">
        <v>50.4</v>
      </c>
      <c r="O18" s="46">
        <v>50.4</v>
      </c>
      <c r="P18" s="46">
        <v>50.4</v>
      </c>
      <c r="Q18" s="46">
        <v>50.4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53">
        <v>50.4</v>
      </c>
      <c r="AB18" s="53">
        <v>50.3</v>
      </c>
      <c r="AC18" s="53">
        <v>50.3</v>
      </c>
      <c r="AD18" s="53">
        <v>50.3</v>
      </c>
      <c r="AE18" s="53">
        <v>50.3</v>
      </c>
      <c r="AF18" s="53">
        <v>50.3</v>
      </c>
      <c r="AG18" s="50">
        <v>50</v>
      </c>
      <c r="AH18" s="48">
        <f t="shared" si="2"/>
        <v>50.5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420.94</v>
      </c>
      <c r="AN18" s="59">
        <f t="shared" si="8"/>
        <v>3.54</v>
      </c>
      <c r="AO18" s="59">
        <f t="shared" si="8"/>
        <v>420.94</v>
      </c>
      <c r="AP18" s="59">
        <f t="shared" si="8"/>
        <v>420.94</v>
      </c>
      <c r="AQ18" s="59">
        <f t="shared" si="8"/>
        <v>420.94</v>
      </c>
      <c r="AR18" s="59">
        <f t="shared" si="8"/>
        <v>420.94</v>
      </c>
      <c r="AS18" s="59">
        <f>I79</f>
        <v>412.84</v>
      </c>
      <c r="AT18" s="59">
        <f>K79</f>
        <v>3.54</v>
      </c>
      <c r="AU18" s="59">
        <f t="shared" ref="AU18:BD18" si="9">M79</f>
        <v>420.34</v>
      </c>
      <c r="AV18" s="59">
        <f t="shared" si="9"/>
        <v>428.03999999999996</v>
      </c>
      <c r="AW18" s="59">
        <f t="shared" si="9"/>
        <v>427.34</v>
      </c>
      <c r="AX18" s="59">
        <f t="shared" si="9"/>
        <v>427.34</v>
      </c>
      <c r="AY18" s="59">
        <f t="shared" si="9"/>
        <v>425.13999999999993</v>
      </c>
      <c r="AZ18" s="59">
        <f t="shared" si="9"/>
        <v>416.34</v>
      </c>
      <c r="BA18" s="59">
        <f t="shared" si="9"/>
        <v>420.03999999999996</v>
      </c>
      <c r="BB18" s="59">
        <f t="shared" si="9"/>
        <v>416.43999999999994</v>
      </c>
      <c r="BC18" s="59">
        <f t="shared" si="9"/>
        <v>413.73999999999995</v>
      </c>
      <c r="BD18" s="59">
        <f t="shared" si="9"/>
        <v>406.73999999999995</v>
      </c>
      <c r="BE18" s="60">
        <f>X79</f>
        <v>407.34</v>
      </c>
      <c r="BF18" s="60">
        <f>Z79</f>
        <v>405.53999999999996</v>
      </c>
      <c r="BG18" s="60">
        <f>AB79</f>
        <v>413.43999999999994</v>
      </c>
      <c r="BH18" s="60">
        <f>AD79</f>
        <v>413.43999999999994</v>
      </c>
      <c r="BI18" s="60">
        <f>AE79</f>
        <v>413.43999999999994</v>
      </c>
      <c r="BJ18" s="60">
        <f>AF79</f>
        <v>413.43999999999994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36</v>
      </c>
      <c r="C19" s="46" t="s">
        <v>291</v>
      </c>
      <c r="D19" s="46">
        <v>36</v>
      </c>
      <c r="E19" s="46">
        <v>36</v>
      </c>
      <c r="F19" s="46">
        <v>36</v>
      </c>
      <c r="G19" s="46">
        <v>36</v>
      </c>
      <c r="H19" s="46">
        <v>36</v>
      </c>
      <c r="I19" s="46">
        <v>36</v>
      </c>
      <c r="J19" s="46">
        <v>36</v>
      </c>
      <c r="K19" s="46" t="s">
        <v>291</v>
      </c>
      <c r="L19" s="46">
        <v>36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36</v>
      </c>
      <c r="AK19" s="51"/>
      <c r="AL19" s="54" t="s">
        <v>31</v>
      </c>
      <c r="AM19" s="59">
        <f t="shared" ref="AM19:AR19" si="10">B95</f>
        <v>51.7</v>
      </c>
      <c r="AN19" s="59">
        <f t="shared" si="10"/>
        <v>50</v>
      </c>
      <c r="AO19" s="59">
        <f t="shared" si="10"/>
        <v>25</v>
      </c>
      <c r="AP19" s="59">
        <f t="shared" si="10"/>
        <v>28.3</v>
      </c>
      <c r="AQ19" s="59">
        <f t="shared" si="10"/>
        <v>26.7</v>
      </c>
      <c r="AR19" s="59">
        <f t="shared" si="10"/>
        <v>23.7</v>
      </c>
      <c r="AS19" s="59">
        <f>I95</f>
        <v>30</v>
      </c>
      <c r="AT19" s="59">
        <f>K95</f>
        <v>0</v>
      </c>
      <c r="AU19" s="59">
        <f t="shared" ref="AU19:BD19" si="11">M95</f>
        <v>23</v>
      </c>
      <c r="AV19" s="59">
        <f t="shared" si="11"/>
        <v>0</v>
      </c>
      <c r="AW19" s="59">
        <f t="shared" si="11"/>
        <v>64</v>
      </c>
      <c r="AX19" s="59">
        <f t="shared" si="11"/>
        <v>79.099999999999994</v>
      </c>
      <c r="AY19" s="59">
        <f t="shared" si="11"/>
        <v>84</v>
      </c>
      <c r="AZ19" s="59">
        <f t="shared" si="11"/>
        <v>113.3</v>
      </c>
      <c r="BA19" s="59">
        <f t="shared" si="11"/>
        <v>100.4</v>
      </c>
      <c r="BB19" s="59">
        <f t="shared" si="11"/>
        <v>72.900000000000006</v>
      </c>
      <c r="BC19" s="59">
        <f t="shared" si="11"/>
        <v>73.3</v>
      </c>
      <c r="BD19" s="59">
        <f t="shared" si="11"/>
        <v>67.7</v>
      </c>
      <c r="BE19" s="60">
        <f>X95</f>
        <v>48.5</v>
      </c>
      <c r="BF19" s="60">
        <f>Z95</f>
        <v>39.200000000000003</v>
      </c>
      <c r="BG19" s="60">
        <f>AB95</f>
        <v>34.200000000000003</v>
      </c>
      <c r="BH19" s="60">
        <f>AD95</f>
        <v>44.2</v>
      </c>
      <c r="BI19" s="60">
        <f>AE95</f>
        <v>55</v>
      </c>
      <c r="BJ19" s="60">
        <f>AF95</f>
        <v>52.699999999999996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44.6</v>
      </c>
      <c r="C20" s="46" t="s">
        <v>296</v>
      </c>
      <c r="D20" s="46">
        <v>44.6</v>
      </c>
      <c r="E20" s="46">
        <v>44.6</v>
      </c>
      <c r="F20" s="46">
        <v>44.6</v>
      </c>
      <c r="G20" s="46">
        <v>44.6</v>
      </c>
      <c r="H20" s="46">
        <v>44.6</v>
      </c>
      <c r="I20" s="46">
        <v>44.6</v>
      </c>
      <c r="J20" s="46">
        <v>44.6</v>
      </c>
      <c r="K20" s="46" t="s">
        <v>296</v>
      </c>
      <c r="L20" s="46">
        <v>44.6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46.2</v>
      </c>
      <c r="AC20" s="46">
        <v>46.2</v>
      </c>
      <c r="AD20" s="46">
        <v>46.2</v>
      </c>
      <c r="AE20" s="46">
        <v>46.2</v>
      </c>
      <c r="AF20" s="46">
        <v>46.2</v>
      </c>
      <c r="AG20" s="50">
        <v>44</v>
      </c>
      <c r="AH20" s="48">
        <f t="shared" si="2"/>
        <v>46.2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41.1</v>
      </c>
      <c r="AV20" s="59">
        <f t="shared" si="13"/>
        <v>42.5</v>
      </c>
      <c r="AW20" s="59">
        <f t="shared" si="13"/>
        <v>42.5</v>
      </c>
      <c r="AX20" s="59">
        <f t="shared" si="13"/>
        <v>41.699999999999996</v>
      </c>
      <c r="AY20" s="59">
        <f t="shared" si="13"/>
        <v>41.699999999999996</v>
      </c>
      <c r="AZ20" s="59">
        <f t="shared" si="13"/>
        <v>41.699999999999996</v>
      </c>
      <c r="BA20" s="59">
        <f t="shared" si="13"/>
        <v>40.699999999999996</v>
      </c>
      <c r="BB20" s="59">
        <f t="shared" si="13"/>
        <v>40.299999999999997</v>
      </c>
      <c r="BC20" s="59">
        <f t="shared" si="13"/>
        <v>41.599999999999994</v>
      </c>
      <c r="BD20" s="59">
        <f t="shared" si="13"/>
        <v>41.599999999999994</v>
      </c>
      <c r="BE20" s="60">
        <f>X83</f>
        <v>41.599999999999994</v>
      </c>
      <c r="BF20" s="60">
        <f>Z83</f>
        <v>41.599999999999994</v>
      </c>
      <c r="BG20" s="60">
        <f>AB83</f>
        <v>65.7</v>
      </c>
      <c r="BH20" s="60">
        <f>AD83</f>
        <v>65.7</v>
      </c>
      <c r="BI20" s="60">
        <f>AE83</f>
        <v>33.799999999999997</v>
      </c>
      <c r="BJ20" s="60">
        <f>AF83</f>
        <v>33.799999999999997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 t="s">
        <v>299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 t="s">
        <v>299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150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 t="s">
        <v>294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 t="s">
        <v>294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1964.14</v>
      </c>
      <c r="AN22" s="63">
        <f t="shared" si="16"/>
        <v>203.54</v>
      </c>
      <c r="AO22" s="63">
        <f t="shared" si="16"/>
        <v>1938.44</v>
      </c>
      <c r="AP22" s="63">
        <f t="shared" si="16"/>
        <v>1940.34</v>
      </c>
      <c r="AQ22" s="63">
        <f t="shared" si="16"/>
        <v>1966.9400000000003</v>
      </c>
      <c r="AR22" s="63">
        <f t="shared" si="16"/>
        <v>1977.3400000000001</v>
      </c>
      <c r="AS22" s="63">
        <f t="shared" si="16"/>
        <v>1975.54</v>
      </c>
      <c r="AT22" s="63">
        <f t="shared" si="16"/>
        <v>153.54</v>
      </c>
      <c r="AU22" s="63">
        <f t="shared" si="16"/>
        <v>2054.34</v>
      </c>
      <c r="AV22" s="63">
        <f t="shared" si="16"/>
        <v>2023.04</v>
      </c>
      <c r="AW22" s="63">
        <f t="shared" si="16"/>
        <v>2093.34</v>
      </c>
      <c r="AX22" s="63">
        <f t="shared" si="16"/>
        <v>2039.04</v>
      </c>
      <c r="AY22" s="63">
        <f t="shared" si="16"/>
        <v>2041.74</v>
      </c>
      <c r="AZ22" s="63">
        <f t="shared" si="16"/>
        <v>2062.2399999999998</v>
      </c>
      <c r="BA22" s="63">
        <f t="shared" si="16"/>
        <v>2052.04</v>
      </c>
      <c r="BB22" s="63">
        <f t="shared" si="16"/>
        <v>2090.2400000000002</v>
      </c>
      <c r="BC22" s="63">
        <f t="shared" si="16"/>
        <v>2089.2399999999998</v>
      </c>
      <c r="BD22" s="63">
        <f t="shared" si="16"/>
        <v>2076.64</v>
      </c>
      <c r="BE22" s="63">
        <f t="shared" si="16"/>
        <v>2058.04</v>
      </c>
      <c r="BF22" s="63">
        <f t="shared" si="16"/>
        <v>2196.9399999999996</v>
      </c>
      <c r="BG22" s="63">
        <f t="shared" si="16"/>
        <v>2091.2399999999998</v>
      </c>
      <c r="BH22" s="63">
        <f t="shared" si="16"/>
        <v>2101.2399999999998</v>
      </c>
      <c r="BI22" s="63">
        <f t="shared" si="16"/>
        <v>2080.14</v>
      </c>
      <c r="BJ22" s="63">
        <f t="shared" si="16"/>
        <v>2077.8399999999997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41</v>
      </c>
      <c r="C23" s="46" t="s">
        <v>300</v>
      </c>
      <c r="D23" s="46">
        <v>41</v>
      </c>
      <c r="E23" s="46">
        <v>41</v>
      </c>
      <c r="F23" s="46">
        <v>41</v>
      </c>
      <c r="G23" s="46">
        <v>41</v>
      </c>
      <c r="H23" s="46">
        <v>41</v>
      </c>
      <c r="I23" s="46">
        <v>41</v>
      </c>
      <c r="J23" s="46">
        <v>41</v>
      </c>
      <c r="K23" s="46" t="s">
        <v>300</v>
      </c>
      <c r="L23" s="46">
        <v>41</v>
      </c>
      <c r="M23" s="46">
        <v>41</v>
      </c>
      <c r="N23" s="46">
        <v>41</v>
      </c>
      <c r="O23" s="46">
        <v>41</v>
      </c>
      <c r="P23" s="46">
        <v>41</v>
      </c>
      <c r="Q23" s="46">
        <v>41</v>
      </c>
      <c r="R23" s="46">
        <v>41</v>
      </c>
      <c r="S23" s="46">
        <v>41</v>
      </c>
      <c r="T23" s="46">
        <v>41</v>
      </c>
      <c r="U23" s="46">
        <v>41</v>
      </c>
      <c r="V23" s="46">
        <v>41</v>
      </c>
      <c r="W23" s="46">
        <v>41</v>
      </c>
      <c r="X23" s="46">
        <v>41</v>
      </c>
      <c r="Y23" s="46">
        <v>41</v>
      </c>
      <c r="Z23" s="46">
        <v>41</v>
      </c>
      <c r="AA23" s="46">
        <v>41</v>
      </c>
      <c r="AB23" s="46">
        <v>33</v>
      </c>
      <c r="AC23" s="46">
        <v>33</v>
      </c>
      <c r="AD23" s="46">
        <v>33</v>
      </c>
      <c r="AE23" s="46">
        <v>33</v>
      </c>
      <c r="AF23" s="46">
        <v>33</v>
      </c>
      <c r="AG23" s="50">
        <v>38.46</v>
      </c>
      <c r="AH23" s="48">
        <f t="shared" si="2"/>
        <v>41</v>
      </c>
      <c r="AI23" s="49">
        <f t="shared" si="3"/>
        <v>33</v>
      </c>
      <c r="AK23" s="51"/>
      <c r="AL23" s="62" t="s">
        <v>39</v>
      </c>
      <c r="AM23" s="63">
        <f t="shared" ref="AM23:AR23" si="17">B110*-1</f>
        <v>-519</v>
      </c>
      <c r="AN23" s="63">
        <f t="shared" si="17"/>
        <v>0</v>
      </c>
      <c r="AO23" s="63">
        <f t="shared" si="17"/>
        <v>-594</v>
      </c>
      <c r="AP23" s="63">
        <f t="shared" si="17"/>
        <v>-602.6</v>
      </c>
      <c r="AQ23" s="63">
        <f t="shared" si="17"/>
        <v>-618.79999999999995</v>
      </c>
      <c r="AR23" s="63">
        <f t="shared" si="17"/>
        <v>-644.9</v>
      </c>
      <c r="AS23" s="63">
        <f>I110*-1</f>
        <v>-621.4</v>
      </c>
      <c r="AT23" s="63">
        <f>K110*-1</f>
        <v>0</v>
      </c>
      <c r="AU23" s="63">
        <f t="shared" ref="AU23:BD23" si="18">M110*-1</f>
        <v>-460.7</v>
      </c>
      <c r="AV23" s="63">
        <f t="shared" si="18"/>
        <v>-483</v>
      </c>
      <c r="AW23" s="63">
        <f t="shared" si="18"/>
        <v>-472.7</v>
      </c>
      <c r="AX23" s="63">
        <f t="shared" si="18"/>
        <v>-420</v>
      </c>
      <c r="AY23" s="63">
        <f t="shared" si="18"/>
        <v>-340</v>
      </c>
      <c r="AZ23" s="63">
        <f t="shared" si="18"/>
        <v>-410</v>
      </c>
      <c r="BA23" s="63">
        <f t="shared" si="18"/>
        <v>-452.9</v>
      </c>
      <c r="BB23" s="63">
        <f t="shared" si="18"/>
        <v>-456</v>
      </c>
      <c r="BC23" s="63">
        <f t="shared" si="18"/>
        <v>-450.3</v>
      </c>
      <c r="BD23" s="63">
        <f t="shared" si="18"/>
        <v>-483.2</v>
      </c>
      <c r="BE23" s="63">
        <f>X110*-1</f>
        <v>-517</v>
      </c>
      <c r="BF23" s="63">
        <f>Z110*-1</f>
        <v>-481.8</v>
      </c>
      <c r="BG23" s="63">
        <f>AB110*-1</f>
        <v>-434.8</v>
      </c>
      <c r="BH23" s="63">
        <f>AD110*-1</f>
        <v>-434</v>
      </c>
      <c r="BI23" s="63">
        <f>AE110*-1</f>
        <v>-438</v>
      </c>
      <c r="BJ23" s="63">
        <f>AF110*-1</f>
        <v>-424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26</v>
      </c>
      <c r="C24" s="46"/>
      <c r="D24" s="46">
        <v>26</v>
      </c>
      <c r="E24" s="46">
        <v>26</v>
      </c>
      <c r="F24" s="46">
        <v>26</v>
      </c>
      <c r="G24" s="46">
        <v>26</v>
      </c>
      <c r="H24" s="46">
        <v>26</v>
      </c>
      <c r="I24" s="46">
        <v>26</v>
      </c>
      <c r="J24" s="46">
        <v>26</v>
      </c>
      <c r="K24" s="46"/>
      <c r="L24" s="46">
        <v>26</v>
      </c>
      <c r="M24" s="46">
        <v>26</v>
      </c>
      <c r="N24" s="46">
        <v>26</v>
      </c>
      <c r="O24" s="46">
        <v>26</v>
      </c>
      <c r="P24" s="46">
        <v>26</v>
      </c>
      <c r="Q24" s="46">
        <v>26</v>
      </c>
      <c r="R24" s="46">
        <v>26</v>
      </c>
      <c r="S24" s="46">
        <v>26</v>
      </c>
      <c r="T24" s="46">
        <v>26</v>
      </c>
      <c r="U24" s="46">
        <v>26</v>
      </c>
      <c r="V24" s="46">
        <v>26</v>
      </c>
      <c r="W24" s="46">
        <v>26</v>
      </c>
      <c r="X24" s="46">
        <v>26</v>
      </c>
      <c r="Y24" s="46">
        <v>26</v>
      </c>
      <c r="Z24" s="46">
        <v>26</v>
      </c>
      <c r="AA24" s="46">
        <v>26</v>
      </c>
      <c r="AB24" s="46">
        <v>26</v>
      </c>
      <c r="AC24" s="46">
        <v>26</v>
      </c>
      <c r="AD24" s="46">
        <v>26</v>
      </c>
      <c r="AE24" s="46">
        <v>26</v>
      </c>
      <c r="AF24" s="46">
        <v>26</v>
      </c>
      <c r="AG24" s="50">
        <v>36</v>
      </c>
      <c r="AH24" s="48">
        <f t="shared" si="2"/>
        <v>26</v>
      </c>
      <c r="AI24" s="49">
        <f t="shared" si="3"/>
        <v>26</v>
      </c>
      <c r="AK24" s="51"/>
      <c r="AL24" s="62" t="s">
        <v>41</v>
      </c>
      <c r="AM24" s="63">
        <f t="shared" ref="AM24:BJ24" si="19">AM22+AM23</f>
        <v>1445.14</v>
      </c>
      <c r="AN24" s="63">
        <f t="shared" si="19"/>
        <v>203.54</v>
      </c>
      <c r="AO24" s="63">
        <f t="shared" si="19"/>
        <v>1344.44</v>
      </c>
      <c r="AP24" s="63">
        <f t="shared" si="19"/>
        <v>1337.7399999999998</v>
      </c>
      <c r="AQ24" s="63">
        <f t="shared" si="19"/>
        <v>1348.1400000000003</v>
      </c>
      <c r="AR24" s="63">
        <f t="shared" si="19"/>
        <v>1332.44</v>
      </c>
      <c r="AS24" s="63">
        <f t="shared" si="19"/>
        <v>1354.1399999999999</v>
      </c>
      <c r="AT24" s="63">
        <f t="shared" si="19"/>
        <v>153.54</v>
      </c>
      <c r="AU24" s="63">
        <f t="shared" si="19"/>
        <v>1593.64</v>
      </c>
      <c r="AV24" s="63">
        <f t="shared" si="19"/>
        <v>1540.04</v>
      </c>
      <c r="AW24" s="63">
        <f t="shared" si="19"/>
        <v>1620.64</v>
      </c>
      <c r="AX24" s="63">
        <f t="shared" si="19"/>
        <v>1619.04</v>
      </c>
      <c r="AY24" s="63">
        <f t="shared" si="19"/>
        <v>1701.74</v>
      </c>
      <c r="AZ24" s="63">
        <f t="shared" si="19"/>
        <v>1652.2399999999998</v>
      </c>
      <c r="BA24" s="63">
        <f t="shared" si="19"/>
        <v>1599.1399999999999</v>
      </c>
      <c r="BB24" s="63">
        <f t="shared" si="19"/>
        <v>1634.2400000000002</v>
      </c>
      <c r="BC24" s="63">
        <f t="shared" si="19"/>
        <v>1638.9399999999998</v>
      </c>
      <c r="BD24" s="63">
        <f t="shared" si="19"/>
        <v>1593.4399999999998</v>
      </c>
      <c r="BE24" s="63">
        <f t="shared" si="19"/>
        <v>1541.04</v>
      </c>
      <c r="BF24" s="63">
        <f t="shared" si="19"/>
        <v>1715.1399999999996</v>
      </c>
      <c r="BG24" s="63">
        <f t="shared" si="19"/>
        <v>1656.4399999999998</v>
      </c>
      <c r="BH24" s="63">
        <f t="shared" si="19"/>
        <v>1667.2399999999998</v>
      </c>
      <c r="BI24" s="63">
        <f t="shared" si="19"/>
        <v>1642.1399999999999</v>
      </c>
      <c r="BJ24" s="63">
        <f t="shared" si="19"/>
        <v>1653.8399999999997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10</v>
      </c>
      <c r="C25" s="46"/>
      <c r="D25" s="46">
        <v>10</v>
      </c>
      <c r="E25" s="46">
        <v>10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/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21.2</v>
      </c>
      <c r="U25" s="46">
        <v>21.2</v>
      </c>
      <c r="V25" s="46">
        <v>21.2</v>
      </c>
      <c r="W25" s="46">
        <v>21.2</v>
      </c>
      <c r="X25" s="46">
        <v>21.2</v>
      </c>
      <c r="Y25" s="46">
        <v>21.2</v>
      </c>
      <c r="Z25" s="46">
        <v>21.2</v>
      </c>
      <c r="AA25" s="46">
        <v>21.4</v>
      </c>
      <c r="AB25" s="46">
        <v>21.4</v>
      </c>
      <c r="AC25" s="46">
        <v>21.4</v>
      </c>
      <c r="AD25" s="46">
        <v>21.4</v>
      </c>
      <c r="AE25" s="46">
        <v>21.4</v>
      </c>
      <c r="AF25" s="46">
        <v>21.4</v>
      </c>
      <c r="AG25" s="61">
        <v>30</v>
      </c>
      <c r="AH25" s="48">
        <f t="shared" si="2"/>
        <v>21.4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28</v>
      </c>
      <c r="C26" s="46"/>
      <c r="D26" s="46">
        <v>28</v>
      </c>
      <c r="E26" s="46">
        <v>28</v>
      </c>
      <c r="F26" s="46">
        <v>28</v>
      </c>
      <c r="G26" s="46">
        <v>28</v>
      </c>
      <c r="H26" s="46">
        <v>28</v>
      </c>
      <c r="I26" s="46">
        <v>28</v>
      </c>
      <c r="J26" s="46">
        <v>28</v>
      </c>
      <c r="K26" s="46"/>
      <c r="L26" s="46">
        <v>28</v>
      </c>
      <c r="M26" s="46">
        <v>27.4</v>
      </c>
      <c r="N26" s="46">
        <v>27.4</v>
      </c>
      <c r="O26" s="46">
        <v>27.4</v>
      </c>
      <c r="P26" s="46">
        <v>27.4</v>
      </c>
      <c r="Q26" s="46">
        <v>27.4</v>
      </c>
      <c r="R26" s="46">
        <v>27.4</v>
      </c>
      <c r="S26" s="46">
        <v>27.4</v>
      </c>
      <c r="T26" s="46">
        <v>27.4</v>
      </c>
      <c r="U26" s="46">
        <v>27.4</v>
      </c>
      <c r="V26" s="46">
        <v>27.4</v>
      </c>
      <c r="W26" s="46">
        <v>27.4</v>
      </c>
      <c r="X26" s="46">
        <v>27.4</v>
      </c>
      <c r="Y26" s="46">
        <v>27.4</v>
      </c>
      <c r="Z26" s="46">
        <v>27.4</v>
      </c>
      <c r="AA26" s="46">
        <v>27.4</v>
      </c>
      <c r="AB26" s="46">
        <v>25.3</v>
      </c>
      <c r="AC26" s="46">
        <v>25.3</v>
      </c>
      <c r="AD26" s="46">
        <v>25.3</v>
      </c>
      <c r="AE26" s="46">
        <v>25.3</v>
      </c>
      <c r="AF26" s="46">
        <v>25.3</v>
      </c>
      <c r="AG26" s="50">
        <v>24.2</v>
      </c>
      <c r="AH26" s="48">
        <f t="shared" si="2"/>
        <v>28</v>
      </c>
      <c r="AI26" s="49">
        <f t="shared" si="3"/>
        <v>25.3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25.9</v>
      </c>
      <c r="C27" s="46"/>
      <c r="D27" s="46">
        <v>25.9</v>
      </c>
      <c r="E27" s="46">
        <v>25.9</v>
      </c>
      <c r="F27" s="46">
        <v>25.9</v>
      </c>
      <c r="G27" s="46">
        <v>25.9</v>
      </c>
      <c r="H27" s="46">
        <v>25.9</v>
      </c>
      <c r="I27" s="46">
        <v>25.9</v>
      </c>
      <c r="J27" s="46">
        <v>25.9</v>
      </c>
      <c r="K27" s="46"/>
      <c r="L27" s="46">
        <v>25.9</v>
      </c>
      <c r="M27" s="46">
        <v>28.5</v>
      </c>
      <c r="N27" s="46">
        <v>28.5</v>
      </c>
      <c r="O27" s="46">
        <v>28.5</v>
      </c>
      <c r="P27" s="46">
        <v>28.5</v>
      </c>
      <c r="Q27" s="46">
        <v>28.5</v>
      </c>
      <c r="R27" s="46">
        <v>28.5</v>
      </c>
      <c r="S27" s="46">
        <v>28.5</v>
      </c>
      <c r="T27" s="46">
        <v>28.5</v>
      </c>
      <c r="U27" s="46">
        <v>28.5</v>
      </c>
      <c r="V27" s="46">
        <v>28.5</v>
      </c>
      <c r="W27" s="46">
        <v>28.5</v>
      </c>
      <c r="X27" s="46">
        <v>28.5</v>
      </c>
      <c r="Y27" s="46">
        <v>28.5</v>
      </c>
      <c r="Z27" s="46">
        <v>28.5</v>
      </c>
      <c r="AA27" s="46">
        <v>28.5</v>
      </c>
      <c r="AB27" s="46">
        <v>25.3</v>
      </c>
      <c r="AC27" s="46">
        <v>25.3</v>
      </c>
      <c r="AD27" s="46">
        <v>25.3</v>
      </c>
      <c r="AE27" s="46">
        <v>25.3</v>
      </c>
      <c r="AF27" s="46">
        <v>25.3</v>
      </c>
      <c r="AG27" s="50">
        <v>28</v>
      </c>
      <c r="AH27" s="48">
        <f t="shared" si="2"/>
        <v>28.5</v>
      </c>
      <c r="AI27" s="49">
        <f t="shared" si="3"/>
        <v>25.3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6</v>
      </c>
      <c r="C28" s="46"/>
      <c r="D28" s="46">
        <v>6</v>
      </c>
      <c r="E28" s="46">
        <v>6</v>
      </c>
      <c r="F28" s="46">
        <v>6</v>
      </c>
      <c r="G28" s="46">
        <v>9.4</v>
      </c>
      <c r="H28" s="46">
        <v>9.4</v>
      </c>
      <c r="I28" s="46">
        <v>9.4</v>
      </c>
      <c r="J28" s="46">
        <v>9.4</v>
      </c>
      <c r="K28" s="46"/>
      <c r="L28" s="46">
        <v>9.4</v>
      </c>
      <c r="M28" s="46">
        <v>9.4</v>
      </c>
      <c r="N28" s="46">
        <v>9.4</v>
      </c>
      <c r="O28" s="46">
        <v>9.4</v>
      </c>
      <c r="P28" s="46">
        <v>9.4</v>
      </c>
      <c r="Q28" s="46">
        <v>9.4</v>
      </c>
      <c r="R28" s="46">
        <v>9.4</v>
      </c>
      <c r="S28" s="46">
        <v>9.4</v>
      </c>
      <c r="T28" s="46">
        <v>9.4</v>
      </c>
      <c r="U28" s="46">
        <v>9.4</v>
      </c>
      <c r="V28" s="46">
        <v>9.4</v>
      </c>
      <c r="W28" s="46">
        <v>9.4</v>
      </c>
      <c r="X28" s="46">
        <v>9.4</v>
      </c>
      <c r="Y28" s="46">
        <v>9.4</v>
      </c>
      <c r="Z28" s="46">
        <v>9.4</v>
      </c>
      <c r="AA28" s="46">
        <v>9.4</v>
      </c>
      <c r="AB28" s="46">
        <v>27.2</v>
      </c>
      <c r="AC28" s="46">
        <v>27.2</v>
      </c>
      <c r="AD28" s="46">
        <v>27.2</v>
      </c>
      <c r="AE28" s="46">
        <v>27.2</v>
      </c>
      <c r="AF28" s="46">
        <v>27.2</v>
      </c>
      <c r="AG28" s="61">
        <v>30</v>
      </c>
      <c r="AH28" s="48">
        <f t="shared" si="2"/>
        <v>27.2</v>
      </c>
      <c r="AI28" s="49">
        <f t="shared" si="3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24</v>
      </c>
      <c r="C29" s="46"/>
      <c r="D29" s="46">
        <v>24</v>
      </c>
      <c r="E29" s="46">
        <v>24</v>
      </c>
      <c r="F29" s="46">
        <v>24</v>
      </c>
      <c r="G29" s="46">
        <v>24</v>
      </c>
      <c r="H29" s="46">
        <v>24</v>
      </c>
      <c r="I29" s="46">
        <v>24</v>
      </c>
      <c r="J29" s="46">
        <v>24</v>
      </c>
      <c r="K29" s="46"/>
      <c r="L29" s="46">
        <v>24</v>
      </c>
      <c r="M29" s="46">
        <v>24</v>
      </c>
      <c r="N29" s="46">
        <v>24</v>
      </c>
      <c r="O29" s="46">
        <v>24</v>
      </c>
      <c r="P29" s="46">
        <v>24</v>
      </c>
      <c r="Q29" s="46">
        <v>24</v>
      </c>
      <c r="R29" s="46">
        <v>24</v>
      </c>
      <c r="S29" s="46">
        <v>24</v>
      </c>
      <c r="T29" s="46">
        <v>24</v>
      </c>
      <c r="U29" s="46">
        <v>24</v>
      </c>
      <c r="V29" s="46">
        <v>24</v>
      </c>
      <c r="W29" s="46">
        <v>24</v>
      </c>
      <c r="X29" s="46">
        <v>24</v>
      </c>
      <c r="Y29" s="46">
        <v>24</v>
      </c>
      <c r="Z29" s="46">
        <v>24</v>
      </c>
      <c r="AA29" s="46">
        <v>24</v>
      </c>
      <c r="AB29" s="46">
        <v>26</v>
      </c>
      <c r="AC29" s="46">
        <v>26</v>
      </c>
      <c r="AD29" s="46">
        <v>26</v>
      </c>
      <c r="AE29" s="46">
        <v>26</v>
      </c>
      <c r="AF29" s="46">
        <v>26</v>
      </c>
      <c r="AG29" s="50">
        <v>25</v>
      </c>
      <c r="AH29" s="48">
        <f t="shared" si="2"/>
        <v>26</v>
      </c>
      <c r="AI29" s="49">
        <f t="shared" si="3"/>
        <v>24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/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/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15</v>
      </c>
      <c r="C31" s="46"/>
      <c r="D31" s="46">
        <v>15</v>
      </c>
      <c r="E31" s="46">
        <v>15</v>
      </c>
      <c r="F31" s="46">
        <v>15</v>
      </c>
      <c r="G31" s="46">
        <v>15</v>
      </c>
      <c r="H31" s="46">
        <v>15</v>
      </c>
      <c r="I31" s="46">
        <v>15</v>
      </c>
      <c r="J31" s="46">
        <v>15</v>
      </c>
      <c r="K31" s="46"/>
      <c r="L31" s="46">
        <v>15</v>
      </c>
      <c r="M31" s="46">
        <v>15</v>
      </c>
      <c r="N31" s="46">
        <v>15</v>
      </c>
      <c r="O31" s="46">
        <v>15</v>
      </c>
      <c r="P31" s="46">
        <v>15</v>
      </c>
      <c r="Q31" s="46">
        <v>15</v>
      </c>
      <c r="R31" s="46">
        <v>15</v>
      </c>
      <c r="S31" s="46">
        <v>15</v>
      </c>
      <c r="T31" s="46">
        <v>15</v>
      </c>
      <c r="U31" s="46">
        <v>15</v>
      </c>
      <c r="V31" s="46">
        <v>15</v>
      </c>
      <c r="W31" s="46">
        <v>15</v>
      </c>
      <c r="X31" s="46">
        <v>15</v>
      </c>
      <c r="Y31" s="46">
        <v>15</v>
      </c>
      <c r="Z31" s="46">
        <v>15</v>
      </c>
      <c r="AA31" s="46">
        <v>15</v>
      </c>
      <c r="AB31" s="46">
        <v>15</v>
      </c>
      <c r="AC31" s="46">
        <v>15</v>
      </c>
      <c r="AD31" s="46">
        <v>15</v>
      </c>
      <c r="AE31" s="46">
        <v>15</v>
      </c>
      <c r="AF31" s="46">
        <v>15</v>
      </c>
      <c r="AG31" s="50">
        <v>25</v>
      </c>
      <c r="AH31" s="48">
        <f t="shared" si="2"/>
        <v>15</v>
      </c>
      <c r="AI31" s="49">
        <f t="shared" si="3"/>
        <v>15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8.5</v>
      </c>
      <c r="C32" s="46"/>
      <c r="D32" s="46">
        <v>8.5</v>
      </c>
      <c r="E32" s="46">
        <v>8.5</v>
      </c>
      <c r="F32" s="46">
        <v>8.5</v>
      </c>
      <c r="G32" s="46">
        <v>8.5</v>
      </c>
      <c r="H32" s="46">
        <v>8.5</v>
      </c>
      <c r="I32" s="46">
        <v>8.5</v>
      </c>
      <c r="J32" s="46">
        <v>8.5</v>
      </c>
      <c r="K32" s="46"/>
      <c r="L32" s="46">
        <v>8.5</v>
      </c>
      <c r="M32" s="46">
        <v>8.5</v>
      </c>
      <c r="N32" s="46">
        <v>8.5</v>
      </c>
      <c r="O32" s="46">
        <v>8.5</v>
      </c>
      <c r="P32" s="46">
        <v>8.5</v>
      </c>
      <c r="Q32" s="46">
        <v>8.5</v>
      </c>
      <c r="R32" s="46">
        <v>8.5</v>
      </c>
      <c r="S32" s="46">
        <v>8.5</v>
      </c>
      <c r="T32" s="46">
        <v>8.5</v>
      </c>
      <c r="U32" s="46">
        <v>8.5</v>
      </c>
      <c r="V32" s="46">
        <v>8.5</v>
      </c>
      <c r="W32" s="46">
        <v>8.5</v>
      </c>
      <c r="X32" s="46">
        <v>8.5</v>
      </c>
      <c r="Y32" s="46">
        <v>8.5</v>
      </c>
      <c r="Z32" s="46">
        <v>8.5</v>
      </c>
      <c r="AA32" s="46">
        <v>8.5</v>
      </c>
      <c r="AB32" s="46">
        <v>25.5</v>
      </c>
      <c r="AC32" s="46">
        <v>25.5</v>
      </c>
      <c r="AD32" s="46">
        <v>25.5</v>
      </c>
      <c r="AE32" s="46">
        <v>25.5</v>
      </c>
      <c r="AF32" s="46">
        <v>25.5</v>
      </c>
      <c r="AG32" s="50">
        <v>25</v>
      </c>
      <c r="AH32" s="48">
        <f t="shared" si="2"/>
        <v>25.5</v>
      </c>
      <c r="AI32" s="49">
        <f t="shared" si="3"/>
        <v>8.5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</v>
      </c>
      <c r="C33" s="46"/>
      <c r="D33" s="46">
        <v>24</v>
      </c>
      <c r="E33" s="46">
        <v>24</v>
      </c>
      <c r="F33" s="46">
        <v>24.7</v>
      </c>
      <c r="G33" s="46">
        <v>24.7</v>
      </c>
      <c r="H33" s="46">
        <v>24.7</v>
      </c>
      <c r="I33" s="46">
        <v>24.7</v>
      </c>
      <c r="J33" s="46">
        <v>24.7</v>
      </c>
      <c r="K33" s="46"/>
      <c r="L33" s="46">
        <v>24.7</v>
      </c>
      <c r="M33" s="46">
        <v>24.7</v>
      </c>
      <c r="N33" s="46">
        <v>24.7</v>
      </c>
      <c r="O33" s="46">
        <v>24.7</v>
      </c>
      <c r="P33" s="46">
        <v>24.7</v>
      </c>
      <c r="Q33" s="46">
        <v>24.7</v>
      </c>
      <c r="R33" s="46">
        <v>24.7</v>
      </c>
      <c r="S33" s="46">
        <v>24.7</v>
      </c>
      <c r="T33" s="46">
        <v>24.7</v>
      </c>
      <c r="U33" s="46">
        <v>24.7</v>
      </c>
      <c r="V33" s="46">
        <v>24.7</v>
      </c>
      <c r="W33" s="46">
        <v>24.7</v>
      </c>
      <c r="X33" s="46">
        <v>24.7</v>
      </c>
      <c r="Y33" s="46">
        <v>24.7</v>
      </c>
      <c r="Z33" s="46">
        <v>24.7</v>
      </c>
      <c r="AA33" s="46">
        <v>24.7</v>
      </c>
      <c r="AB33" s="46">
        <v>11.9</v>
      </c>
      <c r="AC33" s="46">
        <v>11.9</v>
      </c>
      <c r="AD33" s="46">
        <v>11.9</v>
      </c>
      <c r="AE33" s="46">
        <v>11.9</v>
      </c>
      <c r="AF33" s="46">
        <v>11.9</v>
      </c>
      <c r="AG33" s="50">
        <v>23.5</v>
      </c>
      <c r="AH33" s="48">
        <f t="shared" si="2"/>
        <v>24.7</v>
      </c>
      <c r="AI33" s="49">
        <f t="shared" si="3"/>
        <v>11.9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/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/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/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/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/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/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14</v>
      </c>
      <c r="C37" s="46"/>
      <c r="D37" s="46">
        <v>14</v>
      </c>
      <c r="E37" s="46">
        <v>14</v>
      </c>
      <c r="F37" s="46">
        <v>14</v>
      </c>
      <c r="G37" s="46">
        <v>14</v>
      </c>
      <c r="H37" s="46">
        <v>14</v>
      </c>
      <c r="I37" s="46">
        <v>14</v>
      </c>
      <c r="J37" s="46">
        <v>14</v>
      </c>
      <c r="K37" s="46"/>
      <c r="L37" s="46">
        <v>14</v>
      </c>
      <c r="M37" s="46">
        <v>14</v>
      </c>
      <c r="N37" s="46">
        <v>14</v>
      </c>
      <c r="O37" s="46">
        <v>14</v>
      </c>
      <c r="P37" s="46">
        <v>14</v>
      </c>
      <c r="Q37" s="46">
        <v>14</v>
      </c>
      <c r="R37" s="46">
        <v>14</v>
      </c>
      <c r="S37" s="46">
        <v>14</v>
      </c>
      <c r="T37" s="46">
        <v>14</v>
      </c>
      <c r="U37" s="46">
        <v>14</v>
      </c>
      <c r="V37" s="46">
        <v>14</v>
      </c>
      <c r="W37" s="46">
        <v>14</v>
      </c>
      <c r="X37" s="46">
        <v>14</v>
      </c>
      <c r="Y37" s="46">
        <v>14</v>
      </c>
      <c r="Z37" s="46">
        <v>14</v>
      </c>
      <c r="AA37" s="46">
        <v>14</v>
      </c>
      <c r="AB37" s="46">
        <v>12.4</v>
      </c>
      <c r="AC37" s="46">
        <v>12.4</v>
      </c>
      <c r="AD37" s="46">
        <v>12.4</v>
      </c>
      <c r="AE37" s="46">
        <v>12.4</v>
      </c>
      <c r="AF37" s="46">
        <v>12.4</v>
      </c>
      <c r="AG37" s="50">
        <v>22</v>
      </c>
      <c r="AH37" s="48">
        <f t="shared" si="2"/>
        <v>14</v>
      </c>
      <c r="AI37" s="49">
        <f t="shared" si="3"/>
        <v>12.4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/>
      <c r="D38" s="46">
        <v>20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/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20.2</v>
      </c>
      <c r="AC38" s="46">
        <v>20.2</v>
      </c>
      <c r="AD38" s="46">
        <v>20.2</v>
      </c>
      <c r="AE38" s="46">
        <v>20.2</v>
      </c>
      <c r="AF38" s="46">
        <v>20.2</v>
      </c>
      <c r="AG38" s="50">
        <v>20</v>
      </c>
      <c r="AH38" s="48">
        <f t="shared" si="2"/>
        <v>20.2</v>
      </c>
      <c r="AI38" s="49">
        <f t="shared" si="3"/>
        <v>20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/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/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</v>
      </c>
      <c r="C40" s="46"/>
      <c r="D40" s="46">
        <v>14</v>
      </c>
      <c r="E40" s="46">
        <v>14.4</v>
      </c>
      <c r="F40" s="46">
        <v>14.4</v>
      </c>
      <c r="G40" s="46">
        <v>14.4</v>
      </c>
      <c r="H40" s="46">
        <v>14.4</v>
      </c>
      <c r="I40" s="46">
        <v>14.4</v>
      </c>
      <c r="J40" s="46">
        <v>14.4</v>
      </c>
      <c r="K40" s="46"/>
      <c r="L40" s="46">
        <v>14.4</v>
      </c>
      <c r="M40" s="46">
        <v>14.4</v>
      </c>
      <c r="N40" s="46">
        <v>14.4</v>
      </c>
      <c r="O40" s="46">
        <v>14.4</v>
      </c>
      <c r="P40" s="46">
        <v>14.4</v>
      </c>
      <c r="Q40" s="46">
        <v>14.4</v>
      </c>
      <c r="R40" s="46">
        <v>14.4</v>
      </c>
      <c r="S40" s="46">
        <v>14.4</v>
      </c>
      <c r="T40" s="46">
        <v>14.4</v>
      </c>
      <c r="U40" s="46">
        <v>14.4</v>
      </c>
      <c r="V40" s="46">
        <v>14.4</v>
      </c>
      <c r="W40" s="46">
        <v>14.4</v>
      </c>
      <c r="X40" s="46">
        <v>14.4</v>
      </c>
      <c r="Y40" s="46">
        <v>14.4</v>
      </c>
      <c r="Z40" s="46">
        <v>14.4</v>
      </c>
      <c r="AA40" s="46">
        <v>14.4</v>
      </c>
      <c r="AB40" s="46">
        <v>14.4</v>
      </c>
      <c r="AC40" s="46">
        <v>14.4</v>
      </c>
      <c r="AD40" s="46">
        <v>14.4</v>
      </c>
      <c r="AE40" s="46">
        <v>14.4</v>
      </c>
      <c r="AF40" s="46">
        <v>14.4</v>
      </c>
      <c r="AG40" s="50">
        <v>18</v>
      </c>
      <c r="AH40" s="48">
        <f t="shared" si="2"/>
        <v>14.4</v>
      </c>
      <c r="AI40" s="49">
        <f t="shared" si="3"/>
        <v>13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7</v>
      </c>
      <c r="C41" s="46"/>
      <c r="D41" s="46">
        <v>7</v>
      </c>
      <c r="E41" s="46">
        <v>7</v>
      </c>
      <c r="F41" s="46">
        <v>7</v>
      </c>
      <c r="G41" s="46">
        <v>7</v>
      </c>
      <c r="H41" s="46">
        <v>7</v>
      </c>
      <c r="I41" s="46">
        <v>7</v>
      </c>
      <c r="J41" s="46">
        <v>7</v>
      </c>
      <c r="K41" s="46"/>
      <c r="L41" s="46">
        <v>7</v>
      </c>
      <c r="M41" s="46">
        <v>7</v>
      </c>
      <c r="N41" s="46">
        <v>7</v>
      </c>
      <c r="O41" s="46">
        <v>7</v>
      </c>
      <c r="P41" s="46">
        <v>7</v>
      </c>
      <c r="Q41" s="46">
        <v>7</v>
      </c>
      <c r="R41" s="46">
        <v>7</v>
      </c>
      <c r="S41" s="46">
        <v>7</v>
      </c>
      <c r="T41" s="46">
        <v>7</v>
      </c>
      <c r="U41" s="46">
        <v>7</v>
      </c>
      <c r="V41" s="46">
        <v>7</v>
      </c>
      <c r="W41" s="46">
        <v>7</v>
      </c>
      <c r="X41" s="46">
        <v>7</v>
      </c>
      <c r="Y41" s="46">
        <v>7</v>
      </c>
      <c r="Z41" s="46">
        <v>7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50">
        <v>15.33</v>
      </c>
      <c r="AH41" s="48">
        <f t="shared" si="2"/>
        <v>7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/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/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/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/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/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/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>
        <v>7</v>
      </c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/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/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3.6</v>
      </c>
      <c r="C46" s="46"/>
      <c r="D46" s="46">
        <v>3.6</v>
      </c>
      <c r="E46" s="46">
        <v>3.6</v>
      </c>
      <c r="F46" s="46">
        <v>3.6</v>
      </c>
      <c r="G46" s="46">
        <v>3.6</v>
      </c>
      <c r="H46" s="46">
        <v>3.6</v>
      </c>
      <c r="I46" s="46">
        <v>3.6</v>
      </c>
      <c r="J46" s="46">
        <v>3.6</v>
      </c>
      <c r="K46" s="46"/>
      <c r="L46" s="46">
        <v>3.6</v>
      </c>
      <c r="M46" s="46">
        <v>3.6</v>
      </c>
      <c r="N46" s="46">
        <v>3.6</v>
      </c>
      <c r="O46" s="46">
        <v>3.6</v>
      </c>
      <c r="P46" s="46">
        <v>3.6</v>
      </c>
      <c r="Q46" s="46">
        <v>3.6</v>
      </c>
      <c r="R46" s="46">
        <v>3.6</v>
      </c>
      <c r="S46" s="46">
        <v>3.6</v>
      </c>
      <c r="T46" s="46">
        <v>3.6</v>
      </c>
      <c r="U46" s="46">
        <v>3.6</v>
      </c>
      <c r="V46" s="46">
        <v>3.6</v>
      </c>
      <c r="W46" s="46">
        <v>3.6</v>
      </c>
      <c r="X46" s="46">
        <v>3.6</v>
      </c>
      <c r="Y46" s="46">
        <v>3.6</v>
      </c>
      <c r="Z46" s="46">
        <v>3.6</v>
      </c>
      <c r="AA46" s="46">
        <v>3.6</v>
      </c>
      <c r="AB46" s="46">
        <v>3.6</v>
      </c>
      <c r="AC46" s="46">
        <v>3.6</v>
      </c>
      <c r="AD46" s="46">
        <v>3.6</v>
      </c>
      <c r="AE46" s="46">
        <v>3.6</v>
      </c>
      <c r="AF46" s="46">
        <v>3.6</v>
      </c>
      <c r="AG46" s="50">
        <v>14</v>
      </c>
      <c r="AH46" s="48">
        <f t="shared" si="2"/>
        <v>3.6</v>
      </c>
      <c r="AI46" s="49">
        <f t="shared" si="3"/>
        <v>3.6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/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/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/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/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4</v>
      </c>
      <c r="C49" s="46"/>
      <c r="D49" s="46">
        <v>4</v>
      </c>
      <c r="E49" s="46">
        <v>4</v>
      </c>
      <c r="F49" s="46">
        <v>4</v>
      </c>
      <c r="G49" s="46">
        <v>4</v>
      </c>
      <c r="H49" s="46">
        <v>4</v>
      </c>
      <c r="I49" s="46">
        <v>4</v>
      </c>
      <c r="J49" s="46">
        <v>4</v>
      </c>
      <c r="K49" s="46"/>
      <c r="L49" s="46">
        <v>4</v>
      </c>
      <c r="M49" s="46">
        <v>4</v>
      </c>
      <c r="N49" s="46">
        <v>4</v>
      </c>
      <c r="O49" s="46">
        <v>4</v>
      </c>
      <c r="P49" s="46">
        <v>4</v>
      </c>
      <c r="Q49" s="46">
        <v>4</v>
      </c>
      <c r="R49" s="46">
        <v>4</v>
      </c>
      <c r="S49" s="46">
        <v>4</v>
      </c>
      <c r="T49" s="46">
        <v>4</v>
      </c>
      <c r="U49" s="46">
        <v>4</v>
      </c>
      <c r="V49" s="46">
        <v>4</v>
      </c>
      <c r="W49" s="46">
        <v>4</v>
      </c>
      <c r="X49" s="46">
        <v>4</v>
      </c>
      <c r="Y49" s="46">
        <v>4</v>
      </c>
      <c r="Z49" s="46">
        <v>4</v>
      </c>
      <c r="AA49" s="46">
        <v>4</v>
      </c>
      <c r="AB49" s="46">
        <v>4</v>
      </c>
      <c r="AC49" s="46">
        <v>4</v>
      </c>
      <c r="AD49" s="46">
        <v>4</v>
      </c>
      <c r="AE49" s="46">
        <v>4</v>
      </c>
      <c r="AF49" s="46">
        <v>4</v>
      </c>
      <c r="AG49" s="50">
        <v>12</v>
      </c>
      <c r="AH49" s="48">
        <f t="shared" si="2"/>
        <v>4</v>
      </c>
      <c r="AI49" s="49">
        <f t="shared" si="3"/>
        <v>4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2</v>
      </c>
      <c r="C50" s="46"/>
      <c r="D50" s="46">
        <v>2</v>
      </c>
      <c r="E50" s="46">
        <v>2</v>
      </c>
      <c r="F50" s="46">
        <v>2</v>
      </c>
      <c r="G50" s="46">
        <v>2</v>
      </c>
      <c r="H50" s="46">
        <v>2</v>
      </c>
      <c r="I50" s="46">
        <v>2</v>
      </c>
      <c r="J50" s="46">
        <v>2</v>
      </c>
      <c r="K50" s="46"/>
      <c r="L50" s="46">
        <v>2</v>
      </c>
      <c r="M50" s="46">
        <v>2</v>
      </c>
      <c r="N50" s="46">
        <v>2</v>
      </c>
      <c r="O50" s="46">
        <v>2</v>
      </c>
      <c r="P50" s="46">
        <v>2</v>
      </c>
      <c r="Q50" s="46">
        <v>2</v>
      </c>
      <c r="R50" s="46">
        <v>2</v>
      </c>
      <c r="S50" s="46">
        <v>2</v>
      </c>
      <c r="T50" s="46">
        <v>2</v>
      </c>
      <c r="U50" s="46">
        <v>2</v>
      </c>
      <c r="V50" s="46">
        <v>2</v>
      </c>
      <c r="W50" s="46">
        <v>2</v>
      </c>
      <c r="X50" s="46">
        <v>2</v>
      </c>
      <c r="Y50" s="46">
        <v>2</v>
      </c>
      <c r="Z50" s="46">
        <v>2</v>
      </c>
      <c r="AA50" s="46">
        <v>2</v>
      </c>
      <c r="AB50" s="46">
        <v>2</v>
      </c>
      <c r="AC50" s="46">
        <v>2</v>
      </c>
      <c r="AD50" s="46">
        <v>2</v>
      </c>
      <c r="AE50" s="46">
        <v>2</v>
      </c>
      <c r="AF50" s="46">
        <v>2</v>
      </c>
      <c r="AG50" s="50">
        <v>12</v>
      </c>
      <c r="AH50" s="48">
        <f t="shared" si="2"/>
        <v>2</v>
      </c>
      <c r="AI50" s="49">
        <f t="shared" si="3"/>
        <v>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/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/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/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/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/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/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/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/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/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/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/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/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9</v>
      </c>
      <c r="C57" s="46"/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/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5</v>
      </c>
      <c r="C58" s="46"/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/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42+96.3</f>
        <v>138.30000000000001</v>
      </c>
      <c r="C60" s="68"/>
      <c r="D60" s="68">
        <v>138</v>
      </c>
      <c r="E60" s="68">
        <v>138</v>
      </c>
      <c r="F60" s="68">
        <v>138</v>
      </c>
      <c r="G60" s="68">
        <v>138</v>
      </c>
      <c r="H60" s="68">
        <v>138</v>
      </c>
      <c r="I60" s="68">
        <v>138</v>
      </c>
      <c r="J60" s="68">
        <v>138</v>
      </c>
      <c r="K60" s="53"/>
      <c r="L60" s="53">
        <v>138</v>
      </c>
      <c r="M60" s="53">
        <f>88.7+36</f>
        <v>124.7</v>
      </c>
      <c r="N60" s="53">
        <f>88.4+35.9</f>
        <v>124.30000000000001</v>
      </c>
      <c r="O60" s="53">
        <f>92.2+38</f>
        <v>130.19999999999999</v>
      </c>
      <c r="P60" s="53">
        <f>93.8+39.6</f>
        <v>133.4</v>
      </c>
      <c r="Q60" s="53">
        <f>84.1+12.9</f>
        <v>97</v>
      </c>
      <c r="R60" s="53">
        <f>89.3+35.8</f>
        <v>125.1</v>
      </c>
      <c r="S60" s="53">
        <v>128.9</v>
      </c>
      <c r="T60" s="53">
        <v>128.19999999999999</v>
      </c>
      <c r="U60" s="53">
        <v>128.19999999999999</v>
      </c>
      <c r="V60" s="53">
        <v>128.19999999999999</v>
      </c>
      <c r="W60" s="53">
        <v>128.19999999999999</v>
      </c>
      <c r="X60" s="53">
        <v>128.19999999999999</v>
      </c>
      <c r="Y60" s="53">
        <v>128.19999999999999</v>
      </c>
      <c r="Z60" s="53">
        <v>115.5</v>
      </c>
      <c r="AA60" s="68">
        <v>115.5</v>
      </c>
      <c r="AB60" s="68">
        <v>114.1</v>
      </c>
      <c r="AC60" s="68">
        <v>114.1</v>
      </c>
      <c r="AD60" s="68">
        <v>114.1</v>
      </c>
      <c r="AE60" s="68">
        <v>114.1</v>
      </c>
      <c r="AF60" s="68">
        <v>114.1</v>
      </c>
      <c r="AG60" s="66">
        <v>240</v>
      </c>
      <c r="AH60" s="48">
        <f t="shared" si="2"/>
        <v>138.30000000000001</v>
      </c>
      <c r="AI60" s="49">
        <f t="shared" si="3"/>
        <v>97</v>
      </c>
      <c r="AK60" s="51"/>
    </row>
    <row r="61" spans="1:88" ht="15.75" thickBot="1" x14ac:dyDescent="0.3">
      <c r="A61" s="70" t="s">
        <v>75</v>
      </c>
      <c r="B61" s="71">
        <f>SUM(B11:B59)</f>
        <v>948.7</v>
      </c>
      <c r="C61" s="71">
        <f t="shared" ref="C61:AG61" si="20">SUM(C11:C59)</f>
        <v>150</v>
      </c>
      <c r="D61" s="71">
        <f t="shared" si="20"/>
        <v>949.7</v>
      </c>
      <c r="E61" s="71">
        <f t="shared" si="20"/>
        <v>948.3</v>
      </c>
      <c r="F61" s="71">
        <f t="shared" si="20"/>
        <v>976.50000000000011</v>
      </c>
      <c r="G61" s="71">
        <f t="shared" si="20"/>
        <v>989.90000000000009</v>
      </c>
      <c r="H61" s="71">
        <f t="shared" si="20"/>
        <v>989.90000000000009</v>
      </c>
      <c r="I61" s="71">
        <f t="shared" si="20"/>
        <v>989.90000000000009</v>
      </c>
      <c r="J61" s="71">
        <f t="shared" si="20"/>
        <v>989.90000000000009</v>
      </c>
      <c r="K61" s="71">
        <f t="shared" si="20"/>
        <v>150</v>
      </c>
      <c r="L61" s="71">
        <f t="shared" si="20"/>
        <v>943.30000000000007</v>
      </c>
      <c r="M61" s="71">
        <f t="shared" si="20"/>
        <v>1027.5</v>
      </c>
      <c r="N61" s="71">
        <f t="shared" si="20"/>
        <v>1010.1</v>
      </c>
      <c r="O61" s="71">
        <f t="shared" si="20"/>
        <v>1017.0999999999999</v>
      </c>
      <c r="P61" s="71">
        <f t="shared" si="20"/>
        <v>948.5</v>
      </c>
      <c r="Q61" s="71">
        <f t="shared" si="20"/>
        <v>948.5</v>
      </c>
      <c r="R61" s="71">
        <f t="shared" si="20"/>
        <v>948.5</v>
      </c>
      <c r="S61" s="71">
        <f t="shared" ref="S61:AA61" si="21">SUM(S11:S59)</f>
        <v>948.5</v>
      </c>
      <c r="T61" s="71">
        <f t="shared" si="21"/>
        <v>1018.2</v>
      </c>
      <c r="U61" s="71">
        <f t="shared" si="21"/>
        <v>1018.2</v>
      </c>
      <c r="V61" s="71">
        <f t="shared" si="21"/>
        <v>1018.2</v>
      </c>
      <c r="W61" s="71">
        <f t="shared" si="21"/>
        <v>1018.2</v>
      </c>
      <c r="X61" s="71">
        <f t="shared" si="21"/>
        <v>1018.2</v>
      </c>
      <c r="Y61" s="71">
        <f t="shared" si="21"/>
        <v>1018.2</v>
      </c>
      <c r="Z61" s="71">
        <f t="shared" si="21"/>
        <v>1018.2</v>
      </c>
      <c r="AA61" s="71">
        <f t="shared" si="21"/>
        <v>1011.4</v>
      </c>
      <c r="AB61" s="71">
        <f t="shared" si="20"/>
        <v>1035.6999999999998</v>
      </c>
      <c r="AC61" s="71">
        <f>SUM(AC11:AC59)</f>
        <v>1035.6999999999998</v>
      </c>
      <c r="AD61" s="71">
        <f>SUM(AD11:AD59)</f>
        <v>1035.6999999999998</v>
      </c>
      <c r="AE61" s="71">
        <f t="shared" si="20"/>
        <v>1035.6999999999998</v>
      </c>
      <c r="AF61" s="71">
        <f t="shared" si="20"/>
        <v>1035.6999999999998</v>
      </c>
      <c r="AG61" s="71">
        <f t="shared" si="20"/>
        <v>1466.0300000000002</v>
      </c>
      <c r="AH61" s="48">
        <f t="shared" si="2"/>
        <v>1035.6999999999998</v>
      </c>
      <c r="AI61" s="49">
        <f t="shared" si="3"/>
        <v>150</v>
      </c>
      <c r="AK61" s="51"/>
    </row>
    <row r="62" spans="1:88" x14ac:dyDescent="0.25">
      <c r="A62" s="73" t="s">
        <v>76</v>
      </c>
      <c r="B62" s="46">
        <v>460.3</v>
      </c>
      <c r="C62" s="46"/>
      <c r="D62" s="46">
        <v>460.3</v>
      </c>
      <c r="E62" s="46">
        <v>460.3</v>
      </c>
      <c r="F62" s="46">
        <v>460.3</v>
      </c>
      <c r="G62" s="46">
        <v>460.3</v>
      </c>
      <c r="H62" s="46">
        <v>460.3</v>
      </c>
      <c r="I62" s="46">
        <v>460.3</v>
      </c>
      <c r="J62" s="46">
        <v>460.3</v>
      </c>
      <c r="K62" s="46"/>
      <c r="L62" s="46">
        <v>460</v>
      </c>
      <c r="M62" s="46">
        <v>460</v>
      </c>
      <c r="N62" s="74">
        <v>460</v>
      </c>
      <c r="O62" s="74">
        <v>460</v>
      </c>
      <c r="P62" s="74">
        <v>460</v>
      </c>
      <c r="Q62" s="74">
        <v>460</v>
      </c>
      <c r="R62" s="74">
        <v>460</v>
      </c>
      <c r="S62" s="74">
        <v>460</v>
      </c>
      <c r="T62" s="74">
        <v>460</v>
      </c>
      <c r="U62" s="74">
        <v>460</v>
      </c>
      <c r="V62" s="74">
        <v>460</v>
      </c>
      <c r="W62" s="74">
        <v>460</v>
      </c>
      <c r="X62" s="74">
        <v>460</v>
      </c>
      <c r="Y62" s="74">
        <v>460</v>
      </c>
      <c r="Z62" s="74">
        <v>460</v>
      </c>
      <c r="AA62" s="46">
        <v>460</v>
      </c>
      <c r="AB62" s="46">
        <v>459.6</v>
      </c>
      <c r="AC62" s="46">
        <v>459.6</v>
      </c>
      <c r="AD62" s="46">
        <v>459.6</v>
      </c>
      <c r="AE62" s="46">
        <v>459.6</v>
      </c>
      <c r="AF62" s="46">
        <v>459.6</v>
      </c>
      <c r="AG62" s="61">
        <v>456</v>
      </c>
      <c r="AH62" s="48">
        <f t="shared" si="2"/>
        <v>460.3</v>
      </c>
      <c r="AI62" s="49">
        <f t="shared" si="3"/>
        <v>459.6</v>
      </c>
      <c r="AK62" s="51"/>
    </row>
    <row r="63" spans="1:88" x14ac:dyDescent="0.25">
      <c r="A63" s="75" t="s">
        <v>77</v>
      </c>
      <c r="B63" s="76">
        <v>60</v>
      </c>
      <c r="C63" s="76"/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/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22.5</v>
      </c>
      <c r="C64" s="78"/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/>
      <c r="L64" s="78">
        <v>22.5</v>
      </c>
      <c r="M64" s="78">
        <v>22.4</v>
      </c>
      <c r="N64" s="78">
        <v>22.4</v>
      </c>
      <c r="O64" s="78">
        <v>22.4</v>
      </c>
      <c r="P64" s="78">
        <v>22.4</v>
      </c>
      <c r="Q64" s="78">
        <v>22.4</v>
      </c>
      <c r="R64" s="78">
        <v>22.4</v>
      </c>
      <c r="S64" s="78">
        <v>22.4</v>
      </c>
      <c r="T64" s="78">
        <v>22.4</v>
      </c>
      <c r="U64" s="78">
        <v>22.4</v>
      </c>
      <c r="V64" s="78">
        <v>22.4</v>
      </c>
      <c r="W64" s="78">
        <v>22.4</v>
      </c>
      <c r="X64" s="78">
        <v>22.4</v>
      </c>
      <c r="Y64" s="78">
        <v>22.4</v>
      </c>
      <c r="Z64" s="78">
        <v>22.4</v>
      </c>
      <c r="AA64" s="78">
        <v>22.4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22.4</v>
      </c>
      <c r="AK64" s="51"/>
    </row>
    <row r="65" spans="1:75" ht="15.75" thickBot="1" x14ac:dyDescent="0.3">
      <c r="A65" s="80" t="s">
        <v>79</v>
      </c>
      <c r="B65" s="71">
        <f t="shared" ref="B65:AG65" si="22">SUM(B62:B64)</f>
        <v>542.79999999999995</v>
      </c>
      <c r="C65" s="71">
        <f t="shared" si="22"/>
        <v>0</v>
      </c>
      <c r="D65" s="71">
        <f t="shared" si="22"/>
        <v>542.79999999999995</v>
      </c>
      <c r="E65" s="71">
        <f t="shared" si="22"/>
        <v>542.79999999999995</v>
      </c>
      <c r="F65" s="71">
        <f t="shared" si="22"/>
        <v>542.79999999999995</v>
      </c>
      <c r="G65" s="71">
        <f t="shared" si="22"/>
        <v>542.79999999999995</v>
      </c>
      <c r="H65" s="71">
        <f t="shared" si="22"/>
        <v>542.79999999999995</v>
      </c>
      <c r="I65" s="71">
        <f t="shared" si="22"/>
        <v>542.79999999999995</v>
      </c>
      <c r="J65" s="71">
        <f t="shared" si="22"/>
        <v>542.79999999999995</v>
      </c>
      <c r="K65" s="71">
        <f t="shared" si="22"/>
        <v>0</v>
      </c>
      <c r="L65" s="71">
        <f t="shared" si="22"/>
        <v>542.5</v>
      </c>
      <c r="M65" s="71">
        <f t="shared" si="22"/>
        <v>542.4</v>
      </c>
      <c r="N65" s="71">
        <f t="shared" si="22"/>
        <v>542.4</v>
      </c>
      <c r="O65" s="71">
        <f t="shared" si="22"/>
        <v>542.4</v>
      </c>
      <c r="P65" s="71">
        <f t="shared" si="22"/>
        <v>542.4</v>
      </c>
      <c r="Q65" s="71">
        <f t="shared" si="22"/>
        <v>542.4</v>
      </c>
      <c r="R65" s="71">
        <f t="shared" si="22"/>
        <v>542.4</v>
      </c>
      <c r="S65" s="71">
        <f t="shared" ref="S65:AA65" si="23">SUM(S62:S64)</f>
        <v>542.4</v>
      </c>
      <c r="T65" s="71">
        <f t="shared" si="23"/>
        <v>542.4</v>
      </c>
      <c r="U65" s="71">
        <f t="shared" si="23"/>
        <v>542.4</v>
      </c>
      <c r="V65" s="71">
        <f t="shared" si="23"/>
        <v>542.4</v>
      </c>
      <c r="W65" s="71">
        <f t="shared" si="23"/>
        <v>542.4</v>
      </c>
      <c r="X65" s="71">
        <f t="shared" si="23"/>
        <v>542.4</v>
      </c>
      <c r="Y65" s="71">
        <f t="shared" si="23"/>
        <v>542.4</v>
      </c>
      <c r="Z65" s="71">
        <f t="shared" si="23"/>
        <v>542.4</v>
      </c>
      <c r="AA65" s="71">
        <f t="shared" si="23"/>
        <v>542.4</v>
      </c>
      <c r="AB65" s="71">
        <f t="shared" si="22"/>
        <v>542.20000000000005</v>
      </c>
      <c r="AC65" s="71">
        <f>SUM(AC62:AC64)</f>
        <v>542.20000000000005</v>
      </c>
      <c r="AD65" s="71">
        <f>SUM(AD62:AD64)</f>
        <v>542.20000000000005</v>
      </c>
      <c r="AE65" s="71">
        <f t="shared" si="22"/>
        <v>542.20000000000005</v>
      </c>
      <c r="AF65" s="71">
        <f t="shared" si="22"/>
        <v>542.20000000000005</v>
      </c>
      <c r="AG65" s="72">
        <f t="shared" si="22"/>
        <v>538.1</v>
      </c>
      <c r="AH65" s="48">
        <f t="shared" si="2"/>
        <v>542.79999999999995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/>
      <c r="D66" s="46">
        <v>144</v>
      </c>
      <c r="E66" s="46">
        <v>144</v>
      </c>
      <c r="F66" s="46">
        <v>144</v>
      </c>
      <c r="G66" s="46">
        <v>144</v>
      </c>
      <c r="H66" s="46">
        <v>144</v>
      </c>
      <c r="I66" s="46">
        <v>144</v>
      </c>
      <c r="J66" s="46">
        <v>144</v>
      </c>
      <c r="K66" s="46"/>
      <c r="L66" s="46">
        <v>144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144</v>
      </c>
      <c r="AB66" s="46">
        <v>144</v>
      </c>
      <c r="AC66" s="46">
        <v>144</v>
      </c>
      <c r="AD66" s="46">
        <v>144</v>
      </c>
      <c r="AE66" s="46">
        <v>144</v>
      </c>
      <c r="AF66" s="46">
        <v>144</v>
      </c>
      <c r="AG66" s="61">
        <v>144</v>
      </c>
      <c r="AH66" s="48">
        <f t="shared" si="2"/>
        <v>144</v>
      </c>
      <c r="AI66" s="49">
        <f t="shared" si="3"/>
        <v>144</v>
      </c>
      <c r="AK66" s="51"/>
      <c r="AY66" s="1" t="s">
        <v>86</v>
      </c>
      <c r="AZ66" s="82">
        <f>ROUND(C84,0)</f>
        <v>0</v>
      </c>
      <c r="BA66" s="81">
        <f t="shared" ref="BA66:BD70" si="24">D84</f>
        <v>25</v>
      </c>
      <c r="BB66" s="81">
        <f t="shared" si="24"/>
        <v>28.3</v>
      </c>
      <c r="BC66" s="81">
        <f t="shared" si="24"/>
        <v>26.7</v>
      </c>
      <c r="BD66" s="81">
        <f t="shared" si="24"/>
        <v>23.7</v>
      </c>
      <c r="BE66" s="82">
        <f>I84</f>
        <v>30</v>
      </c>
      <c r="BF66" s="82">
        <f>K84</f>
        <v>0</v>
      </c>
      <c r="BG66" s="82">
        <f t="shared" ref="BG66:BP70" si="25">M84</f>
        <v>23</v>
      </c>
      <c r="BH66" s="82">
        <f t="shared" si="25"/>
        <v>-8</v>
      </c>
      <c r="BI66" s="82">
        <f t="shared" si="25"/>
        <v>26</v>
      </c>
      <c r="BJ66" s="82">
        <f t="shared" si="25"/>
        <v>37</v>
      </c>
      <c r="BK66" s="82">
        <f t="shared" si="25"/>
        <v>40</v>
      </c>
      <c r="BL66" s="82">
        <f t="shared" si="25"/>
        <v>60</v>
      </c>
      <c r="BM66" s="82">
        <f t="shared" si="25"/>
        <v>54.7</v>
      </c>
      <c r="BN66" s="82">
        <f t="shared" si="25"/>
        <v>24</v>
      </c>
      <c r="BO66" s="82">
        <f t="shared" si="25"/>
        <v>19.8</v>
      </c>
      <c r="BP66" s="82">
        <f t="shared" si="25"/>
        <v>12.8</v>
      </c>
      <c r="BQ66" s="82">
        <f>X84</f>
        <v>-9.9</v>
      </c>
      <c r="BR66" s="82">
        <f>Z84</f>
        <v>-27.3</v>
      </c>
      <c r="BS66" s="81">
        <f>AB84</f>
        <v>-0.8</v>
      </c>
      <c r="BT66" s="81">
        <f t="shared" ref="BT66:BV70" si="26">AD84</f>
        <v>10</v>
      </c>
      <c r="BU66" s="81">
        <f t="shared" si="26"/>
        <v>10</v>
      </c>
      <c r="BV66" s="81">
        <f t="shared" si="26"/>
        <v>5.9</v>
      </c>
      <c r="BW66" s="81">
        <f>B84</f>
        <v>1.7</v>
      </c>
    </row>
    <row r="67" spans="1:75" x14ac:dyDescent="0.25">
      <c r="A67" s="65" t="s">
        <v>81</v>
      </c>
      <c r="B67" s="76">
        <v>70</v>
      </c>
      <c r="C67" s="76"/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/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46">
        <v>70</v>
      </c>
      <c r="AB67" s="46">
        <v>69.2</v>
      </c>
      <c r="AC67" s="46">
        <v>69.2</v>
      </c>
      <c r="AD67" s="46">
        <v>69.2</v>
      </c>
      <c r="AE67" s="46">
        <v>69.2</v>
      </c>
      <c r="AF67" s="46">
        <v>69.2</v>
      </c>
      <c r="AG67" s="66">
        <v>70</v>
      </c>
      <c r="AH67" s="48">
        <f t="shared" si="2"/>
        <v>70</v>
      </c>
      <c r="AI67" s="49">
        <f t="shared" si="3"/>
        <v>69.2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67</v>
      </c>
      <c r="C68" s="76"/>
      <c r="D68" s="76">
        <v>67</v>
      </c>
      <c r="E68" s="76">
        <v>67</v>
      </c>
      <c r="F68" s="76">
        <v>67</v>
      </c>
      <c r="G68" s="76">
        <v>67</v>
      </c>
      <c r="H68" s="76">
        <v>67</v>
      </c>
      <c r="I68" s="76">
        <v>67</v>
      </c>
      <c r="J68" s="76">
        <v>67</v>
      </c>
      <c r="K68" s="76"/>
      <c r="L68" s="76">
        <v>67</v>
      </c>
      <c r="M68" s="76">
        <v>67</v>
      </c>
      <c r="N68" s="76">
        <v>67</v>
      </c>
      <c r="O68" s="76">
        <v>67</v>
      </c>
      <c r="P68" s="76">
        <v>67</v>
      </c>
      <c r="Q68" s="76">
        <v>67</v>
      </c>
      <c r="R68" s="76">
        <v>67</v>
      </c>
      <c r="S68" s="76">
        <v>67</v>
      </c>
      <c r="T68" s="76">
        <v>67</v>
      </c>
      <c r="U68" s="76">
        <v>67</v>
      </c>
      <c r="V68" s="76">
        <v>67</v>
      </c>
      <c r="W68" s="76">
        <v>67</v>
      </c>
      <c r="X68" s="76">
        <v>67</v>
      </c>
      <c r="Y68" s="76">
        <v>67</v>
      </c>
      <c r="Z68" s="76">
        <v>67</v>
      </c>
      <c r="AA68" s="46">
        <v>67</v>
      </c>
      <c r="AB68" s="46">
        <v>68</v>
      </c>
      <c r="AC68" s="46">
        <v>68</v>
      </c>
      <c r="AD68" s="46">
        <v>68</v>
      </c>
      <c r="AE68" s="46">
        <v>68</v>
      </c>
      <c r="AF68" s="46">
        <v>68</v>
      </c>
      <c r="AG68" s="66">
        <v>69</v>
      </c>
      <c r="AH68" s="48">
        <f t="shared" si="2"/>
        <v>68</v>
      </c>
      <c r="AI68" s="49">
        <f t="shared" si="3"/>
        <v>67</v>
      </c>
      <c r="AK68" s="51"/>
      <c r="AL68" s="83"/>
      <c r="AO68" s="83"/>
      <c r="AY68" s="1" t="s">
        <v>90</v>
      </c>
      <c r="AZ68" s="82">
        <f>ROUND(C86,0)</f>
        <v>0</v>
      </c>
      <c r="BA68" s="81">
        <f t="shared" si="24"/>
        <v>-594</v>
      </c>
      <c r="BB68" s="81">
        <f t="shared" si="24"/>
        <v>-602.6</v>
      </c>
      <c r="BC68" s="81">
        <f t="shared" si="24"/>
        <v>-618.79999999999995</v>
      </c>
      <c r="BD68" s="81">
        <f t="shared" si="24"/>
        <v>-644.9</v>
      </c>
      <c r="BE68" s="82">
        <f>I86</f>
        <v>-621.4</v>
      </c>
      <c r="BF68" s="82">
        <f>K86</f>
        <v>0</v>
      </c>
      <c r="BG68" s="82">
        <f t="shared" si="25"/>
        <v>-460.7</v>
      </c>
      <c r="BH68" s="82">
        <f t="shared" si="25"/>
        <v>-475</v>
      </c>
      <c r="BI68" s="82">
        <f t="shared" si="25"/>
        <v>-472.7</v>
      </c>
      <c r="BJ68" s="82">
        <f t="shared" si="25"/>
        <v>-420</v>
      </c>
      <c r="BK68" s="82">
        <f t="shared" si="25"/>
        <v>-340</v>
      </c>
      <c r="BL68" s="82">
        <f t="shared" si="25"/>
        <v>-410</v>
      </c>
      <c r="BM68" s="82">
        <f t="shared" si="25"/>
        <v>-452.9</v>
      </c>
      <c r="BN68" s="82">
        <f t="shared" si="25"/>
        <v>-456</v>
      </c>
      <c r="BO68" s="82">
        <f t="shared" si="25"/>
        <v>-450.3</v>
      </c>
      <c r="BP68" s="82">
        <f t="shared" si="25"/>
        <v>-483.2</v>
      </c>
      <c r="BQ68" s="82">
        <f>X86</f>
        <v>-507.1</v>
      </c>
      <c r="BR68" s="82">
        <f>Z86</f>
        <v>-454.5</v>
      </c>
      <c r="BS68" s="81">
        <f>AB86</f>
        <v>-434</v>
      </c>
      <c r="BT68" s="81">
        <f t="shared" si="26"/>
        <v>-434</v>
      </c>
      <c r="BU68" s="81">
        <f t="shared" si="26"/>
        <v>-438</v>
      </c>
      <c r="BV68" s="81">
        <f t="shared" si="26"/>
        <v>-424</v>
      </c>
      <c r="BW68" s="81">
        <f>B86</f>
        <v>-519</v>
      </c>
    </row>
    <row r="69" spans="1:75" s="83" customFormat="1" x14ac:dyDescent="0.25">
      <c r="A69" s="65" t="s">
        <v>83</v>
      </c>
      <c r="B69" s="76">
        <v>62</v>
      </c>
      <c r="C69" s="76"/>
      <c r="D69" s="76">
        <v>62</v>
      </c>
      <c r="E69" s="76">
        <v>62</v>
      </c>
      <c r="F69" s="76">
        <v>62</v>
      </c>
      <c r="G69" s="76">
        <v>62</v>
      </c>
      <c r="H69" s="76">
        <v>62</v>
      </c>
      <c r="I69" s="76">
        <v>62</v>
      </c>
      <c r="J69" s="76">
        <v>62</v>
      </c>
      <c r="K69" s="68"/>
      <c r="L69" s="76">
        <v>62</v>
      </c>
      <c r="M69" s="76">
        <v>62</v>
      </c>
      <c r="N69" s="76">
        <v>62</v>
      </c>
      <c r="O69" s="76">
        <v>62</v>
      </c>
      <c r="P69" s="76">
        <v>62</v>
      </c>
      <c r="Q69" s="76">
        <v>62</v>
      </c>
      <c r="R69" s="76">
        <v>62</v>
      </c>
      <c r="S69" s="76">
        <v>62</v>
      </c>
      <c r="T69" s="76">
        <v>62</v>
      </c>
      <c r="U69" s="76">
        <v>62</v>
      </c>
      <c r="V69" s="76">
        <v>62</v>
      </c>
      <c r="W69" s="76">
        <v>62</v>
      </c>
      <c r="X69" s="76">
        <v>62</v>
      </c>
      <c r="Y69" s="76">
        <v>62</v>
      </c>
      <c r="Z69" s="76">
        <v>62</v>
      </c>
      <c r="AA69" s="46">
        <v>62</v>
      </c>
      <c r="AB69" s="46">
        <v>60.4</v>
      </c>
      <c r="AC69" s="46">
        <v>60.4</v>
      </c>
      <c r="AD69" s="46">
        <v>60.4</v>
      </c>
      <c r="AE69" s="46">
        <v>60.4</v>
      </c>
      <c r="AF69" s="46">
        <v>60.4</v>
      </c>
      <c r="AG69" s="66">
        <v>60</v>
      </c>
      <c r="AH69" s="48">
        <f t="shared" si="2"/>
        <v>62</v>
      </c>
      <c r="AI69" s="49">
        <f t="shared" si="3"/>
        <v>60.4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23.1</v>
      </c>
      <c r="C70" s="46"/>
      <c r="D70" s="46">
        <v>23.1</v>
      </c>
      <c r="E70" s="46">
        <v>23.1</v>
      </c>
      <c r="F70" s="46">
        <v>23.1</v>
      </c>
      <c r="G70" s="46">
        <v>23.1</v>
      </c>
      <c r="H70" s="46">
        <v>15</v>
      </c>
      <c r="I70" s="46">
        <v>15</v>
      </c>
      <c r="J70" s="46">
        <v>15</v>
      </c>
      <c r="K70" s="76"/>
      <c r="L70" s="46">
        <v>15</v>
      </c>
      <c r="M70" s="46">
        <v>15</v>
      </c>
      <c r="N70" s="46">
        <v>22.2</v>
      </c>
      <c r="O70" s="46">
        <v>13.9</v>
      </c>
      <c r="P70" s="46">
        <v>13.9</v>
      </c>
      <c r="Q70" s="46">
        <v>13.9</v>
      </c>
      <c r="R70" s="46">
        <v>13.9</v>
      </c>
      <c r="S70" s="46">
        <v>13.9</v>
      </c>
      <c r="T70" s="46">
        <v>13.9</v>
      </c>
      <c r="U70" s="46">
        <v>13.9</v>
      </c>
      <c r="V70" s="46">
        <v>13.9</v>
      </c>
      <c r="W70" s="46">
        <v>13.9</v>
      </c>
      <c r="X70" s="46">
        <v>13.9</v>
      </c>
      <c r="Y70" s="46">
        <v>13.9</v>
      </c>
      <c r="Z70" s="46">
        <v>13.9</v>
      </c>
      <c r="AA70" s="46">
        <v>9.9</v>
      </c>
      <c r="AB70" s="46">
        <v>23.2</v>
      </c>
      <c r="AC70" s="46">
        <v>23.2</v>
      </c>
      <c r="AD70" s="46">
        <v>23.2</v>
      </c>
      <c r="AE70" s="46">
        <v>23.2</v>
      </c>
      <c r="AF70" s="46">
        <v>23.2</v>
      </c>
      <c r="AG70" s="66">
        <v>30</v>
      </c>
      <c r="AH70" s="48">
        <f t="shared" si="2"/>
        <v>23.2</v>
      </c>
      <c r="AI70" s="49">
        <f t="shared" si="3"/>
        <v>9.9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/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/>
      <c r="L71" s="46">
        <v>0</v>
      </c>
      <c r="M71" s="46">
        <v>7.5</v>
      </c>
      <c r="N71" s="46">
        <v>8</v>
      </c>
      <c r="O71" s="46">
        <v>14.6</v>
      </c>
      <c r="P71" s="46">
        <v>14.6</v>
      </c>
      <c r="Q71" s="46">
        <v>12.4</v>
      </c>
      <c r="R71" s="46">
        <v>10.8</v>
      </c>
      <c r="S71" s="46">
        <v>14.5</v>
      </c>
      <c r="T71" s="46">
        <v>10.9</v>
      </c>
      <c r="U71" s="46">
        <v>8.1999999999999993</v>
      </c>
      <c r="V71" s="46">
        <v>1.2</v>
      </c>
      <c r="W71" s="46">
        <v>1.8</v>
      </c>
      <c r="X71" s="46">
        <v>1.8</v>
      </c>
      <c r="Y71" s="46">
        <v>0.3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14.6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11.2</v>
      </c>
      <c r="C72" s="76"/>
      <c r="D72" s="76">
        <v>11.2</v>
      </c>
      <c r="E72" s="76">
        <v>11.2</v>
      </c>
      <c r="F72" s="76">
        <v>11.2</v>
      </c>
      <c r="G72" s="76">
        <v>11.2</v>
      </c>
      <c r="H72" s="76">
        <v>11.2</v>
      </c>
      <c r="I72" s="76">
        <v>11.2</v>
      </c>
      <c r="J72" s="76">
        <v>11.2</v>
      </c>
      <c r="K72" s="76"/>
      <c r="L72" s="76">
        <v>11.2</v>
      </c>
      <c r="M72" s="76">
        <v>11.2</v>
      </c>
      <c r="N72" s="76">
        <v>11.2</v>
      </c>
      <c r="O72" s="76">
        <v>12.2</v>
      </c>
      <c r="P72" s="76">
        <v>12.2</v>
      </c>
      <c r="Q72" s="76">
        <v>12.2</v>
      </c>
      <c r="R72" s="76">
        <v>12.2</v>
      </c>
      <c r="S72" s="76">
        <v>12.2</v>
      </c>
      <c r="T72" s="76">
        <v>12.2</v>
      </c>
      <c r="U72" s="76">
        <v>12.2</v>
      </c>
      <c r="V72" s="76">
        <v>12.2</v>
      </c>
      <c r="W72" s="76">
        <v>12.2</v>
      </c>
      <c r="X72" s="76">
        <v>12.2</v>
      </c>
      <c r="Y72" s="76">
        <v>12.2</v>
      </c>
      <c r="Z72" s="76">
        <v>12.2</v>
      </c>
      <c r="AA72" s="76">
        <v>12.2</v>
      </c>
      <c r="AB72" s="76">
        <v>12.2</v>
      </c>
      <c r="AC72" s="76">
        <v>12.2</v>
      </c>
      <c r="AD72" s="76">
        <v>12.2</v>
      </c>
      <c r="AE72" s="76">
        <v>12.2</v>
      </c>
      <c r="AF72" s="76">
        <v>12.2</v>
      </c>
      <c r="AG72" s="66">
        <v>24</v>
      </c>
      <c r="AH72" s="48">
        <f t="shared" si="2"/>
        <v>12.2</v>
      </c>
      <c r="AI72" s="49">
        <f t="shared" si="3"/>
        <v>11.2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/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/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8">VALUE(AZ66)</f>
        <v>0</v>
      </c>
      <c r="BA73" s="82">
        <f t="shared" si="28"/>
        <v>25</v>
      </c>
      <c r="BB73" s="82">
        <f t="shared" si="28"/>
        <v>28.3</v>
      </c>
      <c r="BC73" s="82">
        <f t="shared" si="28"/>
        <v>26.7</v>
      </c>
      <c r="BD73" s="82">
        <f t="shared" si="28"/>
        <v>23.7</v>
      </c>
      <c r="BE73" s="82">
        <f t="shared" si="28"/>
        <v>30</v>
      </c>
      <c r="BF73" s="82">
        <f t="shared" si="28"/>
        <v>0</v>
      </c>
      <c r="BG73" s="82">
        <f t="shared" si="28"/>
        <v>23</v>
      </c>
      <c r="BH73" s="82">
        <f t="shared" si="28"/>
        <v>-8</v>
      </c>
      <c r="BI73" s="82">
        <f t="shared" si="28"/>
        <v>26</v>
      </c>
      <c r="BJ73" s="82">
        <f t="shared" si="28"/>
        <v>37</v>
      </c>
      <c r="BK73" s="82">
        <f t="shared" si="28"/>
        <v>40</v>
      </c>
      <c r="BL73" s="82">
        <f t="shared" si="28"/>
        <v>60</v>
      </c>
      <c r="BM73" s="82">
        <f t="shared" si="28"/>
        <v>54.7</v>
      </c>
      <c r="BN73" s="82">
        <f t="shared" si="28"/>
        <v>24</v>
      </c>
      <c r="BO73" s="82">
        <f t="shared" si="28"/>
        <v>19.8</v>
      </c>
      <c r="BP73" s="82">
        <f t="shared" si="28"/>
        <v>12.8</v>
      </c>
      <c r="BQ73" s="82">
        <f t="shared" si="28"/>
        <v>-9.9</v>
      </c>
      <c r="BR73" s="82">
        <f t="shared" si="28"/>
        <v>-27.3</v>
      </c>
      <c r="BS73" s="82">
        <f t="shared" si="28"/>
        <v>-0.8</v>
      </c>
      <c r="BT73" s="82">
        <f t="shared" si="28"/>
        <v>10</v>
      </c>
      <c r="BU73" s="82">
        <f t="shared" si="28"/>
        <v>10</v>
      </c>
      <c r="BV73" s="82">
        <f t="shared" si="28"/>
        <v>5.9</v>
      </c>
      <c r="BW73" s="82">
        <f t="shared" si="28"/>
        <v>1.7</v>
      </c>
    </row>
    <row r="74" spans="1:75" x14ac:dyDescent="0.25">
      <c r="A74" s="65" t="s">
        <v>91</v>
      </c>
      <c r="B74" s="76">
        <v>5.9</v>
      </c>
      <c r="C74" s="76"/>
      <c r="D74" s="76">
        <v>5.9</v>
      </c>
      <c r="E74" s="76">
        <v>5.9</v>
      </c>
      <c r="F74" s="76">
        <v>5.9</v>
      </c>
      <c r="G74" s="76">
        <v>5.9</v>
      </c>
      <c r="H74" s="76">
        <v>5.9</v>
      </c>
      <c r="I74" s="76">
        <v>5.9</v>
      </c>
      <c r="J74" s="76">
        <v>5.9</v>
      </c>
      <c r="K74" s="76"/>
      <c r="L74" s="76">
        <v>5.9</v>
      </c>
      <c r="M74" s="76">
        <v>5.9</v>
      </c>
      <c r="N74" s="76">
        <v>5.9</v>
      </c>
      <c r="O74" s="76">
        <v>5.9</v>
      </c>
      <c r="P74" s="76">
        <v>5.9</v>
      </c>
      <c r="Q74" s="76">
        <v>5.9</v>
      </c>
      <c r="R74" s="76">
        <v>5.9</v>
      </c>
      <c r="S74" s="76">
        <v>5.9</v>
      </c>
      <c r="T74" s="76">
        <v>5.9</v>
      </c>
      <c r="U74" s="76">
        <v>5.9</v>
      </c>
      <c r="V74" s="76">
        <v>5.9</v>
      </c>
      <c r="W74" s="76">
        <v>5.9</v>
      </c>
      <c r="X74" s="76">
        <v>5.9</v>
      </c>
      <c r="Y74" s="76">
        <v>5.9</v>
      </c>
      <c r="Z74" s="76">
        <v>5.9</v>
      </c>
      <c r="AA74" s="76">
        <v>5.9</v>
      </c>
      <c r="AB74" s="76">
        <v>5.9</v>
      </c>
      <c r="AC74" s="76">
        <v>5.9</v>
      </c>
      <c r="AD74" s="76">
        <v>5.9</v>
      </c>
      <c r="AE74" s="76">
        <v>5.9</v>
      </c>
      <c r="AF74" s="76">
        <v>5.9</v>
      </c>
      <c r="AG74" s="66">
        <v>14.1</v>
      </c>
      <c r="AH74" s="48">
        <f t="shared" si="2"/>
        <v>5.9</v>
      </c>
      <c r="AI74" s="49">
        <f t="shared" si="3"/>
        <v>5.9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14.4</v>
      </c>
      <c r="C75" s="76"/>
      <c r="D75" s="76">
        <v>14.4</v>
      </c>
      <c r="E75" s="76">
        <v>14.4</v>
      </c>
      <c r="F75" s="76">
        <v>14.4</v>
      </c>
      <c r="G75" s="76">
        <v>14.4</v>
      </c>
      <c r="H75" s="76">
        <v>14.4</v>
      </c>
      <c r="I75" s="76">
        <v>14.4</v>
      </c>
      <c r="J75" s="76">
        <v>14.4</v>
      </c>
      <c r="K75" s="76"/>
      <c r="L75" s="76">
        <v>14.4</v>
      </c>
      <c r="M75" s="76">
        <v>14.4</v>
      </c>
      <c r="N75" s="76">
        <v>14.4</v>
      </c>
      <c r="O75" s="76">
        <v>14.4</v>
      </c>
      <c r="P75" s="76">
        <v>14.4</v>
      </c>
      <c r="Q75" s="76">
        <v>14.4</v>
      </c>
      <c r="R75" s="76">
        <v>7.2</v>
      </c>
      <c r="S75" s="76">
        <v>7.2</v>
      </c>
      <c r="T75" s="76">
        <v>7.2</v>
      </c>
      <c r="U75" s="76">
        <v>7.2</v>
      </c>
      <c r="V75" s="76">
        <v>7.2</v>
      </c>
      <c r="W75" s="76">
        <v>7.2</v>
      </c>
      <c r="X75" s="76">
        <v>7.2</v>
      </c>
      <c r="Y75" s="76">
        <v>7.2</v>
      </c>
      <c r="Z75" s="76">
        <v>7.2</v>
      </c>
      <c r="AA75" s="76">
        <v>7.2</v>
      </c>
      <c r="AB75" s="76">
        <v>7.2</v>
      </c>
      <c r="AC75" s="76">
        <v>7.2</v>
      </c>
      <c r="AD75" s="76">
        <v>7.2</v>
      </c>
      <c r="AE75" s="76">
        <v>7.2</v>
      </c>
      <c r="AF75" s="76">
        <v>7.2</v>
      </c>
      <c r="AG75" s="66">
        <v>14</v>
      </c>
      <c r="AH75" s="48">
        <f t="shared" ref="AH75:AH126" si="29">MAX(B75:AF75)</f>
        <v>14.4</v>
      </c>
      <c r="AI75" s="49">
        <f t="shared" ref="AI75:AI126" si="30">MIN(B75:AF75)</f>
        <v>7.2</v>
      </c>
      <c r="AK75" s="51"/>
      <c r="AZ75" s="82">
        <f t="shared" si="28"/>
        <v>0</v>
      </c>
      <c r="BA75" s="82">
        <f t="shared" si="28"/>
        <v>-594</v>
      </c>
      <c r="BB75" s="82">
        <f t="shared" si="28"/>
        <v>-602.6</v>
      </c>
      <c r="BC75" s="82">
        <f t="shared" si="28"/>
        <v>-618.79999999999995</v>
      </c>
      <c r="BD75" s="82">
        <f t="shared" si="28"/>
        <v>-644.9</v>
      </c>
      <c r="BE75" s="82">
        <f t="shared" si="28"/>
        <v>-621.4</v>
      </c>
      <c r="BF75" s="82">
        <f t="shared" si="28"/>
        <v>0</v>
      </c>
      <c r="BG75" s="82">
        <f t="shared" si="28"/>
        <v>-460.7</v>
      </c>
      <c r="BH75" s="82">
        <f t="shared" si="28"/>
        <v>-475</v>
      </c>
      <c r="BI75" s="82">
        <f t="shared" si="28"/>
        <v>-472.7</v>
      </c>
      <c r="BJ75" s="82">
        <f t="shared" si="28"/>
        <v>-420</v>
      </c>
      <c r="BK75" s="82">
        <f t="shared" si="28"/>
        <v>-340</v>
      </c>
      <c r="BL75" s="82">
        <f t="shared" si="28"/>
        <v>-410</v>
      </c>
      <c r="BM75" s="82">
        <f t="shared" si="28"/>
        <v>-452.9</v>
      </c>
      <c r="BN75" s="82">
        <f t="shared" si="28"/>
        <v>-456</v>
      </c>
      <c r="BO75" s="82">
        <f t="shared" si="28"/>
        <v>-450.3</v>
      </c>
      <c r="BP75" s="82">
        <f t="shared" si="28"/>
        <v>-483.2</v>
      </c>
      <c r="BQ75" s="82">
        <f t="shared" si="28"/>
        <v>-507.1</v>
      </c>
      <c r="BR75" s="82">
        <f t="shared" si="28"/>
        <v>-454.5</v>
      </c>
      <c r="BS75" s="82">
        <f t="shared" si="28"/>
        <v>-434</v>
      </c>
      <c r="BT75" s="82">
        <f t="shared" si="28"/>
        <v>-434</v>
      </c>
      <c r="BU75" s="82">
        <f t="shared" si="28"/>
        <v>-438</v>
      </c>
      <c r="BV75" s="82">
        <f t="shared" si="28"/>
        <v>-424</v>
      </c>
      <c r="BW75" s="82">
        <f t="shared" si="28"/>
        <v>-519</v>
      </c>
    </row>
    <row r="76" spans="1:75" x14ac:dyDescent="0.25">
      <c r="A76" s="65" t="s">
        <v>95</v>
      </c>
      <c r="B76" s="76">
        <v>10</v>
      </c>
      <c r="C76" s="76"/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/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9"/>
        <v>10</v>
      </c>
      <c r="AI76" s="49">
        <f t="shared" si="30"/>
        <v>10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6</v>
      </c>
      <c r="C77" s="76"/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/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9"/>
        <v>6</v>
      </c>
      <c r="AI77" s="49">
        <f t="shared" si="30"/>
        <v>6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9"/>
        <v>3.54</v>
      </c>
      <c r="AI78" s="49">
        <f t="shared" si="30"/>
        <v>3.54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f t="shared" ref="B79:AG79" si="31">SUM(B66:B78)</f>
        <v>420.94</v>
      </c>
      <c r="C79" s="71">
        <f t="shared" si="31"/>
        <v>3.54</v>
      </c>
      <c r="D79" s="71">
        <f t="shared" si="31"/>
        <v>420.94</v>
      </c>
      <c r="E79" s="71">
        <f t="shared" si="31"/>
        <v>420.94</v>
      </c>
      <c r="F79" s="71">
        <f t="shared" si="31"/>
        <v>420.94</v>
      </c>
      <c r="G79" s="71">
        <f t="shared" si="31"/>
        <v>420.94</v>
      </c>
      <c r="H79" s="71">
        <f t="shared" si="31"/>
        <v>412.84</v>
      </c>
      <c r="I79" s="71">
        <f t="shared" si="31"/>
        <v>412.84</v>
      </c>
      <c r="J79" s="71">
        <f t="shared" si="31"/>
        <v>412.84</v>
      </c>
      <c r="K79" s="71">
        <f t="shared" si="31"/>
        <v>3.54</v>
      </c>
      <c r="L79" s="71">
        <f t="shared" si="31"/>
        <v>412.84</v>
      </c>
      <c r="M79" s="71">
        <f t="shared" si="31"/>
        <v>420.34</v>
      </c>
      <c r="N79" s="71">
        <f t="shared" si="31"/>
        <v>428.03999999999996</v>
      </c>
      <c r="O79" s="71">
        <f t="shared" si="31"/>
        <v>427.34</v>
      </c>
      <c r="P79" s="71">
        <f t="shared" si="31"/>
        <v>427.34</v>
      </c>
      <c r="Q79" s="71">
        <f t="shared" si="31"/>
        <v>425.13999999999993</v>
      </c>
      <c r="R79" s="71">
        <f t="shared" si="31"/>
        <v>416.34</v>
      </c>
      <c r="S79" s="71">
        <f t="shared" ref="S79:AB79" si="32">SUM(S66:S78)</f>
        <v>420.03999999999996</v>
      </c>
      <c r="T79" s="71">
        <f t="shared" si="32"/>
        <v>416.43999999999994</v>
      </c>
      <c r="U79" s="71">
        <f t="shared" si="32"/>
        <v>413.73999999999995</v>
      </c>
      <c r="V79" s="71">
        <f t="shared" si="32"/>
        <v>406.73999999999995</v>
      </c>
      <c r="W79" s="71">
        <f t="shared" si="32"/>
        <v>407.34</v>
      </c>
      <c r="X79" s="71">
        <f t="shared" si="32"/>
        <v>407.34</v>
      </c>
      <c r="Y79" s="71">
        <f t="shared" si="32"/>
        <v>405.84</v>
      </c>
      <c r="Z79" s="71">
        <f t="shared" si="32"/>
        <v>405.53999999999996</v>
      </c>
      <c r="AA79" s="71">
        <f t="shared" si="32"/>
        <v>401.53999999999996</v>
      </c>
      <c r="AB79" s="71">
        <f t="shared" si="32"/>
        <v>413.43999999999994</v>
      </c>
      <c r="AC79" s="71">
        <f t="shared" si="31"/>
        <v>413.43999999999994</v>
      </c>
      <c r="AD79" s="71">
        <f t="shared" si="31"/>
        <v>413.43999999999994</v>
      </c>
      <c r="AE79" s="71">
        <f t="shared" si="31"/>
        <v>413.43999999999994</v>
      </c>
      <c r="AF79" s="71">
        <f t="shared" si="31"/>
        <v>413.43999999999994</v>
      </c>
      <c r="AG79" s="72">
        <f t="shared" si="31"/>
        <v>489.91</v>
      </c>
      <c r="AH79" s="48">
        <f t="shared" si="29"/>
        <v>428.03999999999996</v>
      </c>
      <c r="AI79" s="49">
        <f t="shared" si="30"/>
        <v>3.54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>
        <v>25.3</v>
      </c>
      <c r="N80" s="46">
        <v>25.3</v>
      </c>
      <c r="O80" s="46">
        <v>25.3</v>
      </c>
      <c r="P80" s="46">
        <v>25.2</v>
      </c>
      <c r="Q80" s="46">
        <v>25.2</v>
      </c>
      <c r="R80" s="46">
        <v>25.2</v>
      </c>
      <c r="S80" s="46">
        <v>25.4</v>
      </c>
      <c r="T80" s="46">
        <v>25.4</v>
      </c>
      <c r="U80" s="46">
        <v>25.4</v>
      </c>
      <c r="V80" s="46">
        <v>25.4</v>
      </c>
      <c r="W80" s="46">
        <v>25.4</v>
      </c>
      <c r="X80" s="46">
        <v>25.4</v>
      </c>
      <c r="Y80" s="46">
        <v>25.4</v>
      </c>
      <c r="Z80" s="46">
        <v>25.4</v>
      </c>
      <c r="AA80" s="46">
        <v>41</v>
      </c>
      <c r="AB80" s="46">
        <v>40.299999999999997</v>
      </c>
      <c r="AC80" s="46">
        <v>40.299999999999997</v>
      </c>
      <c r="AD80" s="46">
        <v>40.299999999999997</v>
      </c>
      <c r="AE80" s="46">
        <v>20</v>
      </c>
      <c r="AF80" s="46">
        <v>20</v>
      </c>
      <c r="AG80" s="61">
        <v>60</v>
      </c>
      <c r="AH80" s="48">
        <f t="shared" si="29"/>
        <v>41</v>
      </c>
      <c r="AI80" s="49">
        <f t="shared" si="30"/>
        <v>20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>
        <v>11.6</v>
      </c>
      <c r="N81" s="76">
        <v>12.6</v>
      </c>
      <c r="O81" s="76">
        <v>12.6</v>
      </c>
      <c r="P81" s="76">
        <v>12.1</v>
      </c>
      <c r="Q81" s="76">
        <v>12.1</v>
      </c>
      <c r="R81" s="76">
        <v>12.1</v>
      </c>
      <c r="S81" s="76">
        <v>11.2</v>
      </c>
      <c r="T81" s="76">
        <v>10.9</v>
      </c>
      <c r="U81" s="76">
        <v>12.2</v>
      </c>
      <c r="V81" s="76">
        <v>12.2</v>
      </c>
      <c r="W81" s="76">
        <v>12.2</v>
      </c>
      <c r="X81" s="76">
        <v>12.2</v>
      </c>
      <c r="Y81" s="76">
        <v>12.2</v>
      </c>
      <c r="Z81" s="76">
        <v>12.2</v>
      </c>
      <c r="AA81" s="76">
        <v>14.5</v>
      </c>
      <c r="AB81" s="76">
        <v>18.600000000000001</v>
      </c>
      <c r="AC81" s="76">
        <v>18.600000000000001</v>
      </c>
      <c r="AD81" s="76">
        <v>18.600000000000001</v>
      </c>
      <c r="AE81" s="76">
        <v>10</v>
      </c>
      <c r="AF81" s="76">
        <v>10</v>
      </c>
      <c r="AG81" s="66">
        <v>32</v>
      </c>
      <c r="AH81" s="48">
        <f t="shared" si="29"/>
        <v>18.600000000000001</v>
      </c>
      <c r="AI81" s="49">
        <f t="shared" si="30"/>
        <v>10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>
        <v>4.2</v>
      </c>
      <c r="N82" s="78">
        <v>4.5999999999999996</v>
      </c>
      <c r="O82" s="78">
        <v>4.5999999999999996</v>
      </c>
      <c r="P82" s="78">
        <v>4.4000000000000004</v>
      </c>
      <c r="Q82" s="78">
        <v>4.4000000000000004</v>
      </c>
      <c r="R82" s="78">
        <v>4.4000000000000004</v>
      </c>
      <c r="S82" s="78">
        <v>4.0999999999999996</v>
      </c>
      <c r="T82" s="78">
        <v>4</v>
      </c>
      <c r="U82" s="78">
        <v>4</v>
      </c>
      <c r="V82" s="78">
        <v>4</v>
      </c>
      <c r="W82" s="78">
        <v>4</v>
      </c>
      <c r="X82" s="78">
        <v>4</v>
      </c>
      <c r="Y82" s="78">
        <v>4</v>
      </c>
      <c r="Z82" s="78">
        <v>4</v>
      </c>
      <c r="AA82" s="78">
        <v>4.4000000000000004</v>
      </c>
      <c r="AB82" s="78">
        <v>6.8</v>
      </c>
      <c r="AC82" s="78">
        <v>6.8</v>
      </c>
      <c r="AD82" s="78">
        <v>6.8</v>
      </c>
      <c r="AE82" s="78">
        <v>3.8</v>
      </c>
      <c r="AF82" s="78">
        <v>3.8</v>
      </c>
      <c r="AG82" s="79">
        <v>14</v>
      </c>
      <c r="AH82" s="48">
        <f t="shared" si="29"/>
        <v>6.8</v>
      </c>
      <c r="AI82" s="49">
        <f t="shared" si="30"/>
        <v>3.8</v>
      </c>
      <c r="AK82" s="51"/>
      <c r="AY82" s="82"/>
      <c r="BF82" s="81"/>
      <c r="BG82" s="82">
        <f t="array" ref="BG82:BL105">TRANSPOSE(AZ66:BW71)</f>
        <v>0</v>
      </c>
      <c r="BH82" s="82">
        <v>0</v>
      </c>
      <c r="BI82" s="82">
        <v>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3">B80+B81+B82</f>
        <v>0</v>
      </c>
      <c r="C83" s="71">
        <f t="shared" si="33"/>
        <v>0</v>
      </c>
      <c r="D83" s="71">
        <f t="shared" si="33"/>
        <v>0</v>
      </c>
      <c r="E83" s="71">
        <f t="shared" si="33"/>
        <v>0</v>
      </c>
      <c r="F83" s="71">
        <f t="shared" si="33"/>
        <v>0</v>
      </c>
      <c r="G83" s="71">
        <f t="shared" si="33"/>
        <v>0</v>
      </c>
      <c r="H83" s="71">
        <f t="shared" si="33"/>
        <v>0</v>
      </c>
      <c r="I83" s="71">
        <f t="shared" si="33"/>
        <v>0</v>
      </c>
      <c r="J83" s="71">
        <f t="shared" si="33"/>
        <v>0</v>
      </c>
      <c r="K83" s="71">
        <f t="shared" si="33"/>
        <v>0</v>
      </c>
      <c r="L83" s="71">
        <f t="shared" si="33"/>
        <v>0</v>
      </c>
      <c r="M83" s="71">
        <f t="shared" si="33"/>
        <v>41.1</v>
      </c>
      <c r="N83" s="71">
        <f t="shared" si="33"/>
        <v>42.5</v>
      </c>
      <c r="O83" s="71">
        <f t="shared" si="33"/>
        <v>42.5</v>
      </c>
      <c r="P83" s="71">
        <f t="shared" si="33"/>
        <v>41.699999999999996</v>
      </c>
      <c r="Q83" s="71">
        <f t="shared" si="33"/>
        <v>41.699999999999996</v>
      </c>
      <c r="R83" s="71">
        <f t="shared" si="33"/>
        <v>41.699999999999996</v>
      </c>
      <c r="S83" s="71">
        <f t="shared" ref="S83:AB83" si="34">S80+S81+S82</f>
        <v>40.699999999999996</v>
      </c>
      <c r="T83" s="71">
        <f t="shared" si="34"/>
        <v>40.299999999999997</v>
      </c>
      <c r="U83" s="71">
        <f t="shared" si="34"/>
        <v>41.599999999999994</v>
      </c>
      <c r="V83" s="71">
        <f t="shared" si="34"/>
        <v>41.599999999999994</v>
      </c>
      <c r="W83" s="71">
        <f t="shared" si="34"/>
        <v>41.599999999999994</v>
      </c>
      <c r="X83" s="71">
        <f t="shared" si="34"/>
        <v>41.599999999999994</v>
      </c>
      <c r="Y83" s="71">
        <f t="shared" si="34"/>
        <v>41.599999999999994</v>
      </c>
      <c r="Z83" s="71">
        <f t="shared" si="34"/>
        <v>41.599999999999994</v>
      </c>
      <c r="AA83" s="71">
        <f t="shared" si="34"/>
        <v>59.9</v>
      </c>
      <c r="AB83" s="71">
        <f t="shared" si="34"/>
        <v>65.7</v>
      </c>
      <c r="AC83" s="71">
        <f t="shared" si="33"/>
        <v>65.7</v>
      </c>
      <c r="AD83" s="71">
        <f t="shared" si="33"/>
        <v>65.7</v>
      </c>
      <c r="AE83" s="71">
        <f t="shared" si="33"/>
        <v>33.799999999999997</v>
      </c>
      <c r="AF83" s="71">
        <f t="shared" si="33"/>
        <v>33.799999999999997</v>
      </c>
      <c r="AG83" s="72">
        <f>SUM(AG80:AG82)</f>
        <v>106</v>
      </c>
      <c r="AH83" s="48">
        <f t="shared" si="29"/>
        <v>65.7</v>
      </c>
      <c r="AI83" s="49">
        <f t="shared" si="30"/>
        <v>0</v>
      </c>
      <c r="AK83" s="51"/>
      <c r="AY83" s="82"/>
      <c r="BF83" s="81"/>
      <c r="BG83" s="82">
        <v>25</v>
      </c>
      <c r="BH83" s="82">
        <v>0</v>
      </c>
      <c r="BI83" s="82">
        <v>-594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1.7</v>
      </c>
      <c r="C84" s="46"/>
      <c r="D84" s="46">
        <v>25</v>
      </c>
      <c r="E84" s="46">
        <v>28.3</v>
      </c>
      <c r="F84" s="46">
        <v>26.7</v>
      </c>
      <c r="G84" s="46">
        <v>23.7</v>
      </c>
      <c r="H84" s="46">
        <v>25</v>
      </c>
      <c r="I84" s="46">
        <v>30</v>
      </c>
      <c r="J84" s="46"/>
      <c r="K84" s="46"/>
      <c r="L84" s="46"/>
      <c r="M84" s="46">
        <v>23</v>
      </c>
      <c r="N84" s="46">
        <v>-8</v>
      </c>
      <c r="O84" s="46">
        <v>26</v>
      </c>
      <c r="P84" s="46">
        <v>37</v>
      </c>
      <c r="Q84" s="46">
        <v>40</v>
      </c>
      <c r="R84" s="46">
        <v>60</v>
      </c>
      <c r="S84" s="46">
        <v>54.7</v>
      </c>
      <c r="T84" s="46">
        <v>24</v>
      </c>
      <c r="U84" s="46">
        <v>19.8</v>
      </c>
      <c r="V84" s="46">
        <v>12.8</v>
      </c>
      <c r="W84" s="46">
        <v>4.5999999999999996</v>
      </c>
      <c r="X84" s="46">
        <v>-9.9</v>
      </c>
      <c r="Y84" s="46">
        <v>-17.399999999999999</v>
      </c>
      <c r="Z84" s="46">
        <v>-27.3</v>
      </c>
      <c r="AA84" s="46">
        <v>-8.5</v>
      </c>
      <c r="AB84" s="46">
        <v>-0.8</v>
      </c>
      <c r="AC84" s="46">
        <v>-0.8</v>
      </c>
      <c r="AD84" s="46">
        <v>10</v>
      </c>
      <c r="AE84" s="46">
        <v>10</v>
      </c>
      <c r="AF84" s="46">
        <v>5.9</v>
      </c>
      <c r="AG84" s="61"/>
      <c r="AH84" s="48">
        <f t="shared" si="29"/>
        <v>60</v>
      </c>
      <c r="AI84" s="49">
        <f t="shared" si="30"/>
        <v>-27.3</v>
      </c>
      <c r="AK84" s="51"/>
      <c r="AY84" s="82"/>
      <c r="BF84" s="81"/>
      <c r="BG84" s="82">
        <v>28.3</v>
      </c>
      <c r="BH84" s="82">
        <v>0</v>
      </c>
      <c r="BI84" s="82">
        <v>-602.6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26.7</v>
      </c>
      <c r="BH85" s="82">
        <v>0</v>
      </c>
      <c r="BI85" s="82">
        <v>-618.79999999999995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-519</v>
      </c>
      <c r="C86" s="76"/>
      <c r="D86" s="76">
        <v>-594</v>
      </c>
      <c r="E86" s="76">
        <v>-602.6</v>
      </c>
      <c r="F86" s="76">
        <v>-618.79999999999995</v>
      </c>
      <c r="G86" s="76">
        <v>-644.9</v>
      </c>
      <c r="H86" s="76">
        <v>-664.2</v>
      </c>
      <c r="I86" s="76">
        <v>-621.4</v>
      </c>
      <c r="J86" s="76">
        <v>-516.1</v>
      </c>
      <c r="K86" s="76"/>
      <c r="L86" s="76">
        <v>-457</v>
      </c>
      <c r="M86" s="76">
        <v>-460.7</v>
      </c>
      <c r="N86" s="76">
        <v>-475</v>
      </c>
      <c r="O86" s="76">
        <v>-472.7</v>
      </c>
      <c r="P86" s="76">
        <v>-420</v>
      </c>
      <c r="Q86" s="76">
        <v>-340</v>
      </c>
      <c r="R86" s="76">
        <v>-410</v>
      </c>
      <c r="S86" s="76">
        <v>-452.9</v>
      </c>
      <c r="T86" s="76">
        <v>-456</v>
      </c>
      <c r="U86" s="76">
        <v>-450.3</v>
      </c>
      <c r="V86" s="76">
        <v>-483.2</v>
      </c>
      <c r="W86" s="76">
        <v>-507.1</v>
      </c>
      <c r="X86" s="76">
        <v>-507.1</v>
      </c>
      <c r="Y86" s="76">
        <v>-516.70000000000005</v>
      </c>
      <c r="Z86" s="76">
        <v>-454.5</v>
      </c>
      <c r="AA86" s="76">
        <v>-366.5</v>
      </c>
      <c r="AB86" s="76">
        <v>-434</v>
      </c>
      <c r="AC86" s="76">
        <v>-434</v>
      </c>
      <c r="AD86" s="76">
        <v>-434</v>
      </c>
      <c r="AE86" s="76">
        <v>-438</v>
      </c>
      <c r="AF86" s="76">
        <v>-424</v>
      </c>
      <c r="AG86" s="88"/>
      <c r="AH86" s="48">
        <f t="shared" si="29"/>
        <v>-340</v>
      </c>
      <c r="AI86" s="49">
        <f t="shared" si="30"/>
        <v>-664.2</v>
      </c>
      <c r="AK86" s="92"/>
      <c r="AL86" s="93"/>
      <c r="AM86" s="93"/>
      <c r="AN86" s="94"/>
      <c r="AY86" s="82"/>
      <c r="BF86" s="82"/>
      <c r="BG86" s="82">
        <v>23.7</v>
      </c>
      <c r="BH86" s="82">
        <v>0</v>
      </c>
      <c r="BI86" s="82">
        <v>-644.9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9"/>
        <v>0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30</v>
      </c>
      <c r="BH87" s="82">
        <v>0</v>
      </c>
      <c r="BI87" s="82">
        <v>-621.4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9"/>
        <v>0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0</v>
      </c>
      <c r="BH88" s="82">
        <v>0</v>
      </c>
      <c r="BI88" s="82">
        <v>0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50</v>
      </c>
      <c r="C89" s="90">
        <v>50</v>
      </c>
      <c r="D89" s="90">
        <v>0</v>
      </c>
      <c r="E89" s="90">
        <v>0</v>
      </c>
      <c r="F89" s="90"/>
      <c r="G89" s="90"/>
      <c r="H89" s="90"/>
      <c r="I89" s="90"/>
      <c r="J89" s="90"/>
      <c r="K89" s="90"/>
      <c r="L89" s="90"/>
      <c r="M89" s="90">
        <v>0</v>
      </c>
      <c r="N89" s="90"/>
      <c r="O89" s="90">
        <v>38</v>
      </c>
      <c r="P89" s="90">
        <v>42.1</v>
      </c>
      <c r="Q89" s="90">
        <v>44</v>
      </c>
      <c r="R89" s="90">
        <v>53.3</v>
      </c>
      <c r="S89" s="90">
        <v>45.7</v>
      </c>
      <c r="T89" s="90">
        <v>48.9</v>
      </c>
      <c r="U89" s="90">
        <v>53.5</v>
      </c>
      <c r="V89" s="90">
        <v>54.9</v>
      </c>
      <c r="W89" s="90">
        <v>48.5</v>
      </c>
      <c r="X89" s="90">
        <v>48.5</v>
      </c>
      <c r="Y89" s="90">
        <v>44.9</v>
      </c>
      <c r="Z89" s="90">
        <v>39.200000000000003</v>
      </c>
      <c r="AA89" s="90">
        <v>40.9</v>
      </c>
      <c r="AB89" s="90">
        <v>34.200000000000003</v>
      </c>
      <c r="AC89" s="90">
        <v>34.200000000000003</v>
      </c>
      <c r="AD89" s="90">
        <v>34.200000000000003</v>
      </c>
      <c r="AE89" s="90">
        <v>45</v>
      </c>
      <c r="AF89" s="90">
        <v>46.8</v>
      </c>
      <c r="AG89" s="88"/>
      <c r="AH89" s="48">
        <f>MAX(B89:AF89)</f>
        <v>54.9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23</v>
      </c>
      <c r="BH89" s="82">
        <v>0</v>
      </c>
      <c r="BI89" s="82">
        <v>-460.7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4"/>
      <c r="AY90" s="82"/>
      <c r="BF90" s="82"/>
      <c r="BG90" s="82">
        <v>-8</v>
      </c>
      <c r="BH90" s="82">
        <v>0</v>
      </c>
      <c r="BI90" s="82">
        <v>-475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5"/>
      <c r="BF91" s="82"/>
      <c r="BG91" s="82">
        <v>26</v>
      </c>
      <c r="BH91" s="82">
        <v>0</v>
      </c>
      <c r="BI91" s="82">
        <v>-472.7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37</v>
      </c>
      <c r="BH92" s="82">
        <v>0</v>
      </c>
      <c r="BI92" s="82">
        <v>-420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40</v>
      </c>
      <c r="BH93" s="82">
        <v>0</v>
      </c>
      <c r="BI93" s="82">
        <v>-340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60</v>
      </c>
      <c r="BH94" s="82">
        <v>0</v>
      </c>
      <c r="BI94" s="82">
        <v>-410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51.7</v>
      </c>
      <c r="C95" s="71">
        <f>SUMIF(C84:C94,"&gt;0")</f>
        <v>50</v>
      </c>
      <c r="D95" s="71">
        <f t="shared" ref="D95:AF95" si="35">SUMIF(D84:D94,"&gt;0")</f>
        <v>25</v>
      </c>
      <c r="E95" s="71">
        <f t="shared" si="35"/>
        <v>28.3</v>
      </c>
      <c r="F95" s="71">
        <f t="shared" si="35"/>
        <v>26.7</v>
      </c>
      <c r="G95" s="71">
        <f t="shared" si="35"/>
        <v>23.7</v>
      </c>
      <c r="H95" s="71">
        <f t="shared" si="35"/>
        <v>25</v>
      </c>
      <c r="I95" s="71">
        <f t="shared" si="35"/>
        <v>30</v>
      </c>
      <c r="J95" s="71">
        <f t="shared" si="35"/>
        <v>0</v>
      </c>
      <c r="K95" s="71">
        <f t="shared" si="35"/>
        <v>0</v>
      </c>
      <c r="L95" s="71">
        <f t="shared" si="35"/>
        <v>0</v>
      </c>
      <c r="M95" s="71">
        <f t="shared" si="35"/>
        <v>23</v>
      </c>
      <c r="N95" s="71">
        <f t="shared" si="35"/>
        <v>0</v>
      </c>
      <c r="O95" s="71">
        <f t="shared" si="35"/>
        <v>64</v>
      </c>
      <c r="P95" s="71">
        <f t="shared" si="35"/>
        <v>79.099999999999994</v>
      </c>
      <c r="Q95" s="71">
        <f t="shared" si="35"/>
        <v>84</v>
      </c>
      <c r="R95" s="71">
        <f t="shared" si="35"/>
        <v>113.3</v>
      </c>
      <c r="S95" s="71">
        <f t="shared" ref="S95:AA95" si="36">SUMIF(S84:S94,"&gt;0")</f>
        <v>100.4</v>
      </c>
      <c r="T95" s="71">
        <f t="shared" si="36"/>
        <v>72.900000000000006</v>
      </c>
      <c r="U95" s="71">
        <f t="shared" si="36"/>
        <v>73.3</v>
      </c>
      <c r="V95" s="71">
        <f t="shared" si="36"/>
        <v>67.7</v>
      </c>
      <c r="W95" s="71">
        <f t="shared" si="36"/>
        <v>53.1</v>
      </c>
      <c r="X95" s="71">
        <f t="shared" si="36"/>
        <v>48.5</v>
      </c>
      <c r="Y95" s="71">
        <f t="shared" si="36"/>
        <v>44.9</v>
      </c>
      <c r="Z95" s="71">
        <f t="shared" si="36"/>
        <v>39.200000000000003</v>
      </c>
      <c r="AA95" s="71">
        <f t="shared" si="36"/>
        <v>40.9</v>
      </c>
      <c r="AB95" s="71">
        <f t="shared" si="35"/>
        <v>34.200000000000003</v>
      </c>
      <c r="AC95" s="71">
        <f t="shared" si="35"/>
        <v>34.200000000000003</v>
      </c>
      <c r="AD95" s="71">
        <f t="shared" si="35"/>
        <v>44.2</v>
      </c>
      <c r="AE95" s="71">
        <f t="shared" si="35"/>
        <v>55</v>
      </c>
      <c r="AF95" s="71">
        <f t="shared" si="35"/>
        <v>52.699999999999996</v>
      </c>
      <c r="AG95" s="101">
        <f>SUM(AG84:AG94)</f>
        <v>0</v>
      </c>
      <c r="AH95" s="48">
        <f t="shared" si="29"/>
        <v>113.3</v>
      </c>
      <c r="AI95" s="49">
        <f t="shared" si="30"/>
        <v>0</v>
      </c>
      <c r="BF95" s="82"/>
      <c r="BG95" s="82">
        <v>54.7</v>
      </c>
      <c r="BH95" s="82">
        <v>0</v>
      </c>
      <c r="BI95" s="82">
        <v>-452.9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24</v>
      </c>
      <c r="BH96" s="82">
        <v>0</v>
      </c>
      <c r="BI96" s="82">
        <v>-456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19.8</v>
      </c>
      <c r="BH97" s="82">
        <v>0</v>
      </c>
      <c r="BI97" s="82">
        <v>-450.3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12.8</v>
      </c>
      <c r="BH98" s="82">
        <v>0</v>
      </c>
      <c r="BI98" s="82">
        <v>-483.2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-9.9</v>
      </c>
      <c r="BH99" s="82">
        <v>0</v>
      </c>
      <c r="BI99" s="82">
        <v>-507.1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7">B61+B65+B83+B79+B95+B99</f>
        <v>1964.14</v>
      </c>
      <c r="C100" s="108">
        <f t="shared" si="37"/>
        <v>203.54</v>
      </c>
      <c r="D100" s="108">
        <f t="shared" si="37"/>
        <v>1938.44</v>
      </c>
      <c r="E100" s="108">
        <f t="shared" si="37"/>
        <v>1940.34</v>
      </c>
      <c r="F100" s="108">
        <f t="shared" si="37"/>
        <v>1966.9400000000003</v>
      </c>
      <c r="G100" s="108">
        <f t="shared" si="37"/>
        <v>1977.3400000000001</v>
      </c>
      <c r="H100" s="108">
        <f t="shared" si="37"/>
        <v>1970.54</v>
      </c>
      <c r="I100" s="108">
        <f t="shared" si="37"/>
        <v>1975.54</v>
      </c>
      <c r="J100" s="108">
        <f t="shared" si="37"/>
        <v>1945.54</v>
      </c>
      <c r="K100" s="108">
        <f t="shared" si="37"/>
        <v>153.54</v>
      </c>
      <c r="L100" s="108">
        <f t="shared" si="37"/>
        <v>1898.64</v>
      </c>
      <c r="M100" s="108">
        <f t="shared" si="37"/>
        <v>2054.34</v>
      </c>
      <c r="N100" s="108">
        <f t="shared" si="37"/>
        <v>2023.04</v>
      </c>
      <c r="O100" s="108">
        <f t="shared" si="37"/>
        <v>2093.34</v>
      </c>
      <c r="P100" s="108">
        <f t="shared" si="37"/>
        <v>2039.04</v>
      </c>
      <c r="Q100" s="108">
        <f t="shared" si="37"/>
        <v>2041.74</v>
      </c>
      <c r="R100" s="108">
        <f t="shared" si="37"/>
        <v>2062.2400000000002</v>
      </c>
      <c r="S100" s="108">
        <f t="shared" ref="S100:AA100" si="38">S61+S65+S83+S79+S95+S99</f>
        <v>2052.04</v>
      </c>
      <c r="T100" s="108">
        <f t="shared" si="38"/>
        <v>2090.2399999999998</v>
      </c>
      <c r="U100" s="108">
        <f t="shared" si="38"/>
        <v>2089.2399999999998</v>
      </c>
      <c r="V100" s="108">
        <f t="shared" si="38"/>
        <v>2076.64</v>
      </c>
      <c r="W100" s="108">
        <f t="shared" si="38"/>
        <v>2062.64</v>
      </c>
      <c r="X100" s="108">
        <f t="shared" si="38"/>
        <v>2058.04</v>
      </c>
      <c r="Y100" s="108">
        <f t="shared" si="38"/>
        <v>2052.9399999999996</v>
      </c>
      <c r="Z100" s="108">
        <f t="shared" si="38"/>
        <v>2046.9399999999998</v>
      </c>
      <c r="AA100" s="108">
        <f t="shared" si="38"/>
        <v>2056.14</v>
      </c>
      <c r="AB100" s="108">
        <f t="shared" si="37"/>
        <v>2091.2399999999998</v>
      </c>
      <c r="AC100" s="108">
        <f t="shared" si="37"/>
        <v>2091.2399999999998</v>
      </c>
      <c r="AD100" s="108">
        <f t="shared" si="37"/>
        <v>2101.2399999999998</v>
      </c>
      <c r="AE100" s="108">
        <f t="shared" si="37"/>
        <v>2080.14</v>
      </c>
      <c r="AF100" s="108">
        <f t="shared" si="37"/>
        <v>2077.8399999999997</v>
      </c>
      <c r="AG100" s="72">
        <f t="shared" si="37"/>
        <v>2655.44</v>
      </c>
      <c r="AH100" s="48">
        <f t="shared" si="29"/>
        <v>2101.2399999999998</v>
      </c>
      <c r="AI100" s="49">
        <f t="shared" si="30"/>
        <v>153.54</v>
      </c>
      <c r="BF100" s="81"/>
      <c r="BG100" s="82">
        <v>-27.3</v>
      </c>
      <c r="BH100" s="82">
        <v>0</v>
      </c>
      <c r="BI100" s="82">
        <v>-454.5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150</v>
      </c>
      <c r="Z101" s="110">
        <v>150</v>
      </c>
      <c r="AA101" s="110">
        <v>80</v>
      </c>
      <c r="AB101" s="110"/>
      <c r="AC101" s="110"/>
      <c r="AD101" s="110"/>
      <c r="AE101" s="110"/>
      <c r="AF101" s="110"/>
      <c r="AG101" s="101"/>
      <c r="AH101" s="48">
        <f t="shared" si="29"/>
        <v>150</v>
      </c>
      <c r="AI101" s="49">
        <f t="shared" si="30"/>
        <v>80</v>
      </c>
      <c r="BF101" s="81"/>
      <c r="BG101" s="82">
        <v>-0.8</v>
      </c>
      <c r="BH101" s="82">
        <v>0</v>
      </c>
      <c r="BI101" s="82">
        <v>-434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1964.14</v>
      </c>
      <c r="C102" s="108">
        <f t="shared" ref="C102:AF102" si="39">C100+C101</f>
        <v>203.54</v>
      </c>
      <c r="D102" s="108">
        <f t="shared" si="39"/>
        <v>1938.44</v>
      </c>
      <c r="E102" s="108">
        <f t="shared" si="39"/>
        <v>1940.34</v>
      </c>
      <c r="F102" s="108">
        <f t="shared" si="39"/>
        <v>1966.9400000000003</v>
      </c>
      <c r="G102" s="108">
        <f t="shared" si="39"/>
        <v>1977.3400000000001</v>
      </c>
      <c r="H102" s="108">
        <f t="shared" si="39"/>
        <v>1970.54</v>
      </c>
      <c r="I102" s="108">
        <f t="shared" si="39"/>
        <v>1975.54</v>
      </c>
      <c r="J102" s="108">
        <f t="shared" si="39"/>
        <v>1945.54</v>
      </c>
      <c r="K102" s="108">
        <f t="shared" si="39"/>
        <v>153.54</v>
      </c>
      <c r="L102" s="108">
        <f t="shared" si="39"/>
        <v>1898.64</v>
      </c>
      <c r="M102" s="108">
        <f t="shared" si="39"/>
        <v>2054.34</v>
      </c>
      <c r="N102" s="108">
        <f t="shared" si="39"/>
        <v>2023.04</v>
      </c>
      <c r="O102" s="108">
        <f t="shared" si="39"/>
        <v>2093.34</v>
      </c>
      <c r="P102" s="108">
        <f t="shared" si="39"/>
        <v>2039.04</v>
      </c>
      <c r="Q102" s="108">
        <f t="shared" si="39"/>
        <v>2041.74</v>
      </c>
      <c r="R102" s="108">
        <f t="shared" si="39"/>
        <v>2062.2400000000002</v>
      </c>
      <c r="S102" s="108">
        <f t="shared" ref="S102:AA102" si="40">S100+S101</f>
        <v>2052.04</v>
      </c>
      <c r="T102" s="108">
        <f t="shared" si="40"/>
        <v>2090.2399999999998</v>
      </c>
      <c r="U102" s="108">
        <f t="shared" si="40"/>
        <v>2089.2399999999998</v>
      </c>
      <c r="V102" s="108">
        <f t="shared" si="40"/>
        <v>2076.64</v>
      </c>
      <c r="W102" s="108">
        <f t="shared" si="40"/>
        <v>2062.64</v>
      </c>
      <c r="X102" s="108">
        <f t="shared" si="40"/>
        <v>2058.04</v>
      </c>
      <c r="Y102" s="108">
        <f t="shared" si="40"/>
        <v>2202.9399999999996</v>
      </c>
      <c r="Z102" s="108">
        <f t="shared" si="40"/>
        <v>2196.9399999999996</v>
      </c>
      <c r="AA102" s="108">
        <f t="shared" si="40"/>
        <v>2136.14</v>
      </c>
      <c r="AB102" s="108">
        <f t="shared" si="39"/>
        <v>2091.2399999999998</v>
      </c>
      <c r="AC102" s="108">
        <f t="shared" si="39"/>
        <v>2091.2399999999998</v>
      </c>
      <c r="AD102" s="108">
        <f t="shared" si="39"/>
        <v>2101.2399999999998</v>
      </c>
      <c r="AE102" s="108">
        <f t="shared" si="39"/>
        <v>2080.14</v>
      </c>
      <c r="AF102" s="108">
        <f t="shared" si="39"/>
        <v>2077.8399999999997</v>
      </c>
      <c r="AG102" s="101">
        <f>AG99+AG95+AG83+AG79+AG61+AG101</f>
        <v>2117.34</v>
      </c>
      <c r="AH102" s="48">
        <f t="shared" si="29"/>
        <v>2202.9399999999996</v>
      </c>
      <c r="AI102" s="49">
        <f t="shared" si="30"/>
        <v>153.54</v>
      </c>
      <c r="BF102" s="81"/>
      <c r="BG102" s="82">
        <v>10</v>
      </c>
      <c r="BH102" s="82">
        <v>0</v>
      </c>
      <c r="BI102" s="82">
        <v>-434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1445.14</v>
      </c>
      <c r="C103" s="108">
        <f t="shared" ref="C103:AF103" si="41">C102-(C110)</f>
        <v>203.54</v>
      </c>
      <c r="D103" s="108">
        <f t="shared" si="41"/>
        <v>1344.44</v>
      </c>
      <c r="E103" s="108">
        <f t="shared" si="41"/>
        <v>1337.7399999999998</v>
      </c>
      <c r="F103" s="108">
        <f t="shared" si="41"/>
        <v>1348.1400000000003</v>
      </c>
      <c r="G103" s="108">
        <f t="shared" si="41"/>
        <v>1332.44</v>
      </c>
      <c r="H103" s="108">
        <f t="shared" si="41"/>
        <v>1306.3399999999999</v>
      </c>
      <c r="I103" s="108">
        <f t="shared" si="41"/>
        <v>1354.1399999999999</v>
      </c>
      <c r="J103" s="108">
        <f t="shared" si="41"/>
        <v>1429.44</v>
      </c>
      <c r="K103" s="108">
        <f t="shared" si="41"/>
        <v>153.54</v>
      </c>
      <c r="L103" s="108">
        <f t="shared" si="41"/>
        <v>1441.64</v>
      </c>
      <c r="M103" s="108">
        <f t="shared" si="41"/>
        <v>1593.64</v>
      </c>
      <c r="N103" s="108">
        <f t="shared" si="41"/>
        <v>1540.04</v>
      </c>
      <c r="O103" s="108">
        <f t="shared" si="41"/>
        <v>1620.64</v>
      </c>
      <c r="P103" s="108">
        <f t="shared" si="41"/>
        <v>1619.04</v>
      </c>
      <c r="Q103" s="108">
        <f t="shared" si="41"/>
        <v>1701.74</v>
      </c>
      <c r="R103" s="108">
        <f t="shared" si="41"/>
        <v>1652.2400000000002</v>
      </c>
      <c r="S103" s="108">
        <f t="shared" ref="S103:AA103" si="42">S102-(S110)</f>
        <v>1599.1399999999999</v>
      </c>
      <c r="T103" s="108">
        <f t="shared" si="42"/>
        <v>1634.2399999999998</v>
      </c>
      <c r="U103" s="108">
        <f t="shared" si="42"/>
        <v>1638.9399999999998</v>
      </c>
      <c r="V103" s="108">
        <f t="shared" si="42"/>
        <v>1593.4399999999998</v>
      </c>
      <c r="W103" s="108">
        <f t="shared" si="42"/>
        <v>1555.54</v>
      </c>
      <c r="X103" s="108">
        <f t="shared" si="42"/>
        <v>1541.04</v>
      </c>
      <c r="Y103" s="108">
        <f t="shared" si="42"/>
        <v>1668.8399999999997</v>
      </c>
      <c r="Z103" s="108">
        <f t="shared" si="42"/>
        <v>1715.1399999999996</v>
      </c>
      <c r="AA103" s="108">
        <f t="shared" si="42"/>
        <v>1761.1399999999999</v>
      </c>
      <c r="AB103" s="108">
        <f t="shared" si="41"/>
        <v>1656.4399999999998</v>
      </c>
      <c r="AC103" s="108">
        <f t="shared" si="41"/>
        <v>1656.4399999999998</v>
      </c>
      <c r="AD103" s="108">
        <f t="shared" si="41"/>
        <v>1667.2399999999998</v>
      </c>
      <c r="AE103" s="108">
        <f t="shared" si="41"/>
        <v>1642.1399999999999</v>
      </c>
      <c r="AF103" s="108">
        <f t="shared" si="41"/>
        <v>1653.8399999999997</v>
      </c>
      <c r="AG103" s="101"/>
      <c r="AH103" s="48">
        <f t="shared" si="29"/>
        <v>1761.1399999999999</v>
      </c>
      <c r="AI103" s="49">
        <f t="shared" si="30"/>
        <v>153.54</v>
      </c>
      <c r="BF103" s="81"/>
      <c r="BG103" s="82">
        <v>10</v>
      </c>
      <c r="BH103" s="82">
        <v>0</v>
      </c>
      <c r="BI103" s="82">
        <v>-438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43">IF(B84&lt;0,B84*-1,0)</f>
        <v>0</v>
      </c>
      <c r="C104" s="89">
        <f t="shared" ref="C104:AF109" si="44">IF(C84&lt;0,C84*-1,0)</f>
        <v>0</v>
      </c>
      <c r="D104" s="89">
        <f t="shared" si="44"/>
        <v>0</v>
      </c>
      <c r="E104" s="89">
        <f t="shared" si="44"/>
        <v>0</v>
      </c>
      <c r="F104" s="89">
        <f t="shared" si="44"/>
        <v>0</v>
      </c>
      <c r="G104" s="89">
        <f t="shared" si="44"/>
        <v>0</v>
      </c>
      <c r="H104" s="89">
        <f t="shared" si="44"/>
        <v>0</v>
      </c>
      <c r="I104" s="89">
        <f t="shared" si="44"/>
        <v>0</v>
      </c>
      <c r="J104" s="89">
        <f t="shared" si="44"/>
        <v>0</v>
      </c>
      <c r="K104" s="89">
        <f t="shared" si="44"/>
        <v>0</v>
      </c>
      <c r="L104" s="89">
        <f t="shared" si="44"/>
        <v>0</v>
      </c>
      <c r="M104" s="89">
        <f t="shared" si="44"/>
        <v>0</v>
      </c>
      <c r="N104" s="89">
        <f t="shared" si="44"/>
        <v>8</v>
      </c>
      <c r="O104" s="89">
        <f t="shared" si="44"/>
        <v>0</v>
      </c>
      <c r="P104" s="89">
        <f t="shared" si="44"/>
        <v>0</v>
      </c>
      <c r="Q104" s="89">
        <f t="shared" si="44"/>
        <v>0</v>
      </c>
      <c r="R104" s="89">
        <f t="shared" si="44"/>
        <v>0</v>
      </c>
      <c r="S104" s="89">
        <f t="shared" ref="S104:AA104" si="45">IF(S84&lt;0,S84*-1,0)</f>
        <v>0</v>
      </c>
      <c r="T104" s="89">
        <f t="shared" si="45"/>
        <v>0</v>
      </c>
      <c r="U104" s="89">
        <f t="shared" si="45"/>
        <v>0</v>
      </c>
      <c r="V104" s="89">
        <f t="shared" si="45"/>
        <v>0</v>
      </c>
      <c r="W104" s="89">
        <f t="shared" si="45"/>
        <v>0</v>
      </c>
      <c r="X104" s="89">
        <f t="shared" si="45"/>
        <v>9.9</v>
      </c>
      <c r="Y104" s="89">
        <f t="shared" si="45"/>
        <v>17.399999999999999</v>
      </c>
      <c r="Z104" s="89">
        <f t="shared" si="45"/>
        <v>27.3</v>
      </c>
      <c r="AA104" s="89">
        <f t="shared" si="45"/>
        <v>8.5</v>
      </c>
      <c r="AB104" s="89">
        <f t="shared" si="44"/>
        <v>0.8</v>
      </c>
      <c r="AC104" s="89">
        <f t="shared" si="44"/>
        <v>0.8</v>
      </c>
      <c r="AD104" s="89">
        <f t="shared" si="44"/>
        <v>0</v>
      </c>
      <c r="AE104" s="89">
        <f t="shared" si="44"/>
        <v>0</v>
      </c>
      <c r="AF104" s="89">
        <f t="shared" si="44"/>
        <v>0</v>
      </c>
      <c r="AG104" s="61"/>
      <c r="AH104" s="48">
        <f t="shared" si="29"/>
        <v>27.3</v>
      </c>
      <c r="AI104" s="49">
        <f t="shared" si="30"/>
        <v>0</v>
      </c>
      <c r="BG104" s="82">
        <v>5.9</v>
      </c>
      <c r="BH104" s="82">
        <v>0</v>
      </c>
      <c r="BI104" s="82">
        <v>-424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3"/>
        <v>0</v>
      </c>
      <c r="C105" s="89">
        <f t="shared" ref="C105:Q105" si="46">IF(C85&lt;0,C85*-1,0)</f>
        <v>0</v>
      </c>
      <c r="D105" s="89">
        <f t="shared" si="46"/>
        <v>0</v>
      </c>
      <c r="E105" s="89">
        <f t="shared" si="46"/>
        <v>0</v>
      </c>
      <c r="F105" s="89">
        <f t="shared" si="46"/>
        <v>0</v>
      </c>
      <c r="G105" s="89">
        <f t="shared" si="46"/>
        <v>0</v>
      </c>
      <c r="H105" s="89">
        <f t="shared" si="46"/>
        <v>0</v>
      </c>
      <c r="I105" s="89">
        <f t="shared" si="46"/>
        <v>0</v>
      </c>
      <c r="J105" s="89">
        <f t="shared" si="46"/>
        <v>0</v>
      </c>
      <c r="K105" s="89">
        <f t="shared" si="46"/>
        <v>0</v>
      </c>
      <c r="L105" s="89">
        <f t="shared" si="46"/>
        <v>0</v>
      </c>
      <c r="M105" s="89">
        <f t="shared" si="46"/>
        <v>0</v>
      </c>
      <c r="N105" s="89">
        <f t="shared" si="46"/>
        <v>0</v>
      </c>
      <c r="O105" s="89">
        <f t="shared" si="46"/>
        <v>0</v>
      </c>
      <c r="P105" s="89">
        <f t="shared" si="46"/>
        <v>0</v>
      </c>
      <c r="Q105" s="89">
        <f t="shared" si="46"/>
        <v>0</v>
      </c>
      <c r="R105" s="89">
        <f t="shared" si="44"/>
        <v>0</v>
      </c>
      <c r="S105" s="89">
        <f t="shared" si="44"/>
        <v>0</v>
      </c>
      <c r="T105" s="89">
        <f t="shared" si="44"/>
        <v>0</v>
      </c>
      <c r="U105" s="89">
        <f t="shared" si="44"/>
        <v>0</v>
      </c>
      <c r="V105" s="89">
        <f t="shared" si="44"/>
        <v>0</v>
      </c>
      <c r="W105" s="89">
        <f t="shared" si="44"/>
        <v>0</v>
      </c>
      <c r="X105" s="89">
        <f t="shared" si="44"/>
        <v>0</v>
      </c>
      <c r="Y105" s="89">
        <f t="shared" si="44"/>
        <v>0</v>
      </c>
      <c r="Z105" s="89">
        <f t="shared" si="44"/>
        <v>0</v>
      </c>
      <c r="AA105" s="89">
        <f t="shared" si="44"/>
        <v>0</v>
      </c>
      <c r="AB105" s="89">
        <f t="shared" si="44"/>
        <v>0</v>
      </c>
      <c r="AC105" s="89">
        <f t="shared" si="44"/>
        <v>0</v>
      </c>
      <c r="AD105" s="89">
        <f t="shared" si="44"/>
        <v>0</v>
      </c>
      <c r="AE105" s="89">
        <f t="shared" si="44"/>
        <v>0</v>
      </c>
      <c r="AF105" s="89">
        <f t="shared" si="44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1.7</v>
      </c>
      <c r="BH105" s="82">
        <v>0</v>
      </c>
      <c r="BI105" s="82">
        <v>-519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3"/>
        <v>519</v>
      </c>
      <c r="C106" s="89">
        <f t="shared" si="44"/>
        <v>0</v>
      </c>
      <c r="D106" s="89">
        <f t="shared" si="44"/>
        <v>594</v>
      </c>
      <c r="E106" s="89">
        <f t="shared" si="44"/>
        <v>602.6</v>
      </c>
      <c r="F106" s="89">
        <f t="shared" si="44"/>
        <v>618.79999999999995</v>
      </c>
      <c r="G106" s="89">
        <f t="shared" si="44"/>
        <v>644.9</v>
      </c>
      <c r="H106" s="89">
        <f t="shared" si="44"/>
        <v>664.2</v>
      </c>
      <c r="I106" s="89">
        <f t="shared" si="44"/>
        <v>621.4</v>
      </c>
      <c r="J106" s="89">
        <f t="shared" si="44"/>
        <v>516.1</v>
      </c>
      <c r="K106" s="89">
        <f t="shared" si="44"/>
        <v>0</v>
      </c>
      <c r="L106" s="89">
        <f t="shared" si="44"/>
        <v>457</v>
      </c>
      <c r="M106" s="89">
        <f t="shared" si="44"/>
        <v>460.7</v>
      </c>
      <c r="N106" s="89">
        <f t="shared" si="44"/>
        <v>475</v>
      </c>
      <c r="O106" s="89">
        <f t="shared" si="44"/>
        <v>472.7</v>
      </c>
      <c r="P106" s="89">
        <f t="shared" si="44"/>
        <v>420</v>
      </c>
      <c r="Q106" s="89">
        <f t="shared" si="44"/>
        <v>340</v>
      </c>
      <c r="R106" s="89">
        <f t="shared" si="44"/>
        <v>410</v>
      </c>
      <c r="S106" s="89">
        <f t="shared" si="44"/>
        <v>452.9</v>
      </c>
      <c r="T106" s="89">
        <f t="shared" si="44"/>
        <v>456</v>
      </c>
      <c r="U106" s="89">
        <f t="shared" si="44"/>
        <v>450.3</v>
      </c>
      <c r="V106" s="89">
        <f t="shared" si="44"/>
        <v>483.2</v>
      </c>
      <c r="W106" s="89">
        <f t="shared" si="44"/>
        <v>507.1</v>
      </c>
      <c r="X106" s="89">
        <f t="shared" si="44"/>
        <v>507.1</v>
      </c>
      <c r="Y106" s="89">
        <f t="shared" si="44"/>
        <v>516.70000000000005</v>
      </c>
      <c r="Z106" s="89">
        <f t="shared" si="44"/>
        <v>454.5</v>
      </c>
      <c r="AA106" s="89">
        <f t="shared" si="44"/>
        <v>366.5</v>
      </c>
      <c r="AB106" s="89">
        <f t="shared" si="44"/>
        <v>434</v>
      </c>
      <c r="AC106" s="89">
        <f t="shared" si="44"/>
        <v>434</v>
      </c>
      <c r="AD106" s="89">
        <f t="shared" si="44"/>
        <v>434</v>
      </c>
      <c r="AE106" s="89">
        <f t="shared" si="44"/>
        <v>438</v>
      </c>
      <c r="AF106" s="89">
        <f t="shared" si="44"/>
        <v>424</v>
      </c>
      <c r="AG106" s="111"/>
      <c r="AH106" s="48">
        <f t="shared" si="29"/>
        <v>664.2</v>
      </c>
      <c r="AI106" s="49">
        <f t="shared" si="30"/>
        <v>0</v>
      </c>
    </row>
    <row r="107" spans="1:64" x14ac:dyDescent="0.25">
      <c r="A107" s="97" t="s">
        <v>107</v>
      </c>
      <c r="B107" s="89">
        <f t="shared" si="43"/>
        <v>0</v>
      </c>
      <c r="C107" s="89">
        <f t="shared" si="44"/>
        <v>0</v>
      </c>
      <c r="D107" s="89">
        <f t="shared" si="44"/>
        <v>0</v>
      </c>
      <c r="E107" s="89">
        <f t="shared" si="44"/>
        <v>0</v>
      </c>
      <c r="F107" s="89">
        <f t="shared" si="44"/>
        <v>0</v>
      </c>
      <c r="G107" s="89">
        <f t="shared" si="44"/>
        <v>0</v>
      </c>
      <c r="H107" s="89">
        <f t="shared" si="44"/>
        <v>0</v>
      </c>
      <c r="I107" s="89">
        <f t="shared" si="44"/>
        <v>0</v>
      </c>
      <c r="J107" s="89">
        <f t="shared" si="44"/>
        <v>0</v>
      </c>
      <c r="K107" s="89">
        <f t="shared" si="44"/>
        <v>0</v>
      </c>
      <c r="L107" s="89">
        <f t="shared" si="44"/>
        <v>0</v>
      </c>
      <c r="M107" s="89">
        <f t="shared" si="44"/>
        <v>0</v>
      </c>
      <c r="N107" s="89">
        <f t="shared" si="44"/>
        <v>0</v>
      </c>
      <c r="O107" s="89">
        <f t="shared" si="44"/>
        <v>0</v>
      </c>
      <c r="P107" s="89">
        <f t="shared" si="44"/>
        <v>0</v>
      </c>
      <c r="Q107" s="89">
        <f t="shared" si="44"/>
        <v>0</v>
      </c>
      <c r="R107" s="89">
        <f t="shared" si="44"/>
        <v>0</v>
      </c>
      <c r="S107" s="89">
        <f t="shared" si="44"/>
        <v>0</v>
      </c>
      <c r="T107" s="89">
        <f t="shared" si="44"/>
        <v>0</v>
      </c>
      <c r="U107" s="89">
        <f t="shared" si="44"/>
        <v>0</v>
      </c>
      <c r="V107" s="89">
        <f t="shared" si="44"/>
        <v>0</v>
      </c>
      <c r="W107" s="89">
        <f t="shared" si="44"/>
        <v>0</v>
      </c>
      <c r="X107" s="89">
        <f t="shared" si="44"/>
        <v>0</v>
      </c>
      <c r="Y107" s="89">
        <f t="shared" si="44"/>
        <v>0</v>
      </c>
      <c r="Z107" s="89">
        <f t="shared" si="44"/>
        <v>0</v>
      </c>
      <c r="AA107" s="89">
        <f t="shared" si="44"/>
        <v>0</v>
      </c>
      <c r="AB107" s="89">
        <f t="shared" si="44"/>
        <v>0</v>
      </c>
      <c r="AC107" s="89">
        <f t="shared" si="44"/>
        <v>0</v>
      </c>
      <c r="AD107" s="89">
        <f t="shared" si="44"/>
        <v>0</v>
      </c>
      <c r="AE107" s="89">
        <f t="shared" si="44"/>
        <v>0</v>
      </c>
      <c r="AF107" s="89">
        <f t="shared" si="44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43"/>
        <v>0</v>
      </c>
      <c r="C108" s="89">
        <f t="shared" si="44"/>
        <v>0</v>
      </c>
      <c r="D108" s="89">
        <f t="shared" si="44"/>
        <v>0</v>
      </c>
      <c r="E108" s="89">
        <f t="shared" si="44"/>
        <v>0</v>
      </c>
      <c r="F108" s="89">
        <f t="shared" si="44"/>
        <v>0</v>
      </c>
      <c r="G108" s="89">
        <f t="shared" si="44"/>
        <v>0</v>
      </c>
      <c r="H108" s="89">
        <f t="shared" si="44"/>
        <v>0</v>
      </c>
      <c r="I108" s="89">
        <f t="shared" si="44"/>
        <v>0</v>
      </c>
      <c r="J108" s="89">
        <f t="shared" si="44"/>
        <v>0</v>
      </c>
      <c r="K108" s="89">
        <f t="shared" si="44"/>
        <v>0</v>
      </c>
      <c r="L108" s="89">
        <f t="shared" si="44"/>
        <v>0</v>
      </c>
      <c r="M108" s="89">
        <f t="shared" si="44"/>
        <v>0</v>
      </c>
      <c r="N108" s="89">
        <f t="shared" si="44"/>
        <v>0</v>
      </c>
      <c r="O108" s="89">
        <f t="shared" si="44"/>
        <v>0</v>
      </c>
      <c r="P108" s="89">
        <f t="shared" si="44"/>
        <v>0</v>
      </c>
      <c r="Q108" s="89">
        <f t="shared" si="44"/>
        <v>0</v>
      </c>
      <c r="R108" s="89">
        <f t="shared" si="44"/>
        <v>0</v>
      </c>
      <c r="S108" s="89">
        <f t="shared" si="44"/>
        <v>0</v>
      </c>
      <c r="T108" s="89">
        <f t="shared" si="44"/>
        <v>0</v>
      </c>
      <c r="U108" s="89">
        <f t="shared" si="44"/>
        <v>0</v>
      </c>
      <c r="V108" s="89">
        <f t="shared" si="44"/>
        <v>0</v>
      </c>
      <c r="W108" s="89">
        <f t="shared" si="44"/>
        <v>0</v>
      </c>
      <c r="X108" s="89">
        <f t="shared" si="44"/>
        <v>0</v>
      </c>
      <c r="Y108" s="89">
        <f t="shared" si="44"/>
        <v>0</v>
      </c>
      <c r="Z108" s="89">
        <f t="shared" si="44"/>
        <v>0</v>
      </c>
      <c r="AA108" s="89">
        <f t="shared" si="44"/>
        <v>0</v>
      </c>
      <c r="AB108" s="89">
        <f t="shared" si="44"/>
        <v>0</v>
      </c>
      <c r="AC108" s="89">
        <f t="shared" si="44"/>
        <v>0</v>
      </c>
      <c r="AD108" s="89">
        <f t="shared" si="44"/>
        <v>0</v>
      </c>
      <c r="AE108" s="89">
        <f t="shared" si="44"/>
        <v>0</v>
      </c>
      <c r="AF108" s="89">
        <f t="shared" si="44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43"/>
        <v>0</v>
      </c>
      <c r="C109" s="89">
        <f t="shared" si="44"/>
        <v>0</v>
      </c>
      <c r="D109" s="89">
        <f t="shared" si="44"/>
        <v>0</v>
      </c>
      <c r="E109" s="89">
        <f t="shared" si="44"/>
        <v>0</v>
      </c>
      <c r="F109" s="89">
        <f t="shared" si="44"/>
        <v>0</v>
      </c>
      <c r="G109" s="89">
        <f t="shared" si="44"/>
        <v>0</v>
      </c>
      <c r="H109" s="89">
        <f t="shared" si="44"/>
        <v>0</v>
      </c>
      <c r="I109" s="89">
        <f t="shared" si="44"/>
        <v>0</v>
      </c>
      <c r="J109" s="89">
        <f t="shared" si="44"/>
        <v>0</v>
      </c>
      <c r="K109" s="89">
        <f t="shared" si="44"/>
        <v>0</v>
      </c>
      <c r="L109" s="89">
        <f t="shared" si="44"/>
        <v>0</v>
      </c>
      <c r="M109" s="89">
        <f t="shared" si="44"/>
        <v>0</v>
      </c>
      <c r="N109" s="89">
        <f t="shared" si="44"/>
        <v>0</v>
      </c>
      <c r="O109" s="89">
        <f t="shared" si="44"/>
        <v>0</v>
      </c>
      <c r="P109" s="89">
        <f t="shared" si="44"/>
        <v>0</v>
      </c>
      <c r="Q109" s="89">
        <f t="shared" si="44"/>
        <v>0</v>
      </c>
      <c r="R109" s="89">
        <f t="shared" si="44"/>
        <v>0</v>
      </c>
      <c r="S109" s="89">
        <f t="shared" si="44"/>
        <v>0</v>
      </c>
      <c r="T109" s="89">
        <f t="shared" si="44"/>
        <v>0</v>
      </c>
      <c r="U109" s="89">
        <f t="shared" si="44"/>
        <v>0</v>
      </c>
      <c r="V109" s="89">
        <f t="shared" si="44"/>
        <v>0</v>
      </c>
      <c r="W109" s="89">
        <f t="shared" si="44"/>
        <v>0</v>
      </c>
      <c r="X109" s="89">
        <f t="shared" si="44"/>
        <v>0</v>
      </c>
      <c r="Y109" s="89">
        <f t="shared" si="44"/>
        <v>0</v>
      </c>
      <c r="Z109" s="89">
        <f t="shared" si="44"/>
        <v>0</v>
      </c>
      <c r="AA109" s="89">
        <f t="shared" si="44"/>
        <v>0</v>
      </c>
      <c r="AB109" s="89">
        <f t="shared" si="44"/>
        <v>0</v>
      </c>
      <c r="AC109" s="89">
        <f t="shared" si="44"/>
        <v>0</v>
      </c>
      <c r="AD109" s="89">
        <f t="shared" si="44"/>
        <v>0</v>
      </c>
      <c r="AE109" s="89">
        <f t="shared" si="44"/>
        <v>0</v>
      </c>
      <c r="AF109" s="89">
        <f t="shared" si="44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519</v>
      </c>
      <c r="C110" s="71">
        <f t="shared" ref="C110:AF110" si="47">SUM(C104:C109)</f>
        <v>0</v>
      </c>
      <c r="D110" s="71">
        <f t="shared" si="47"/>
        <v>594</v>
      </c>
      <c r="E110" s="71">
        <f t="shared" si="47"/>
        <v>602.6</v>
      </c>
      <c r="F110" s="71">
        <f t="shared" si="47"/>
        <v>618.79999999999995</v>
      </c>
      <c r="G110" s="71">
        <f t="shared" si="47"/>
        <v>644.9</v>
      </c>
      <c r="H110" s="71">
        <f t="shared" si="47"/>
        <v>664.2</v>
      </c>
      <c r="I110" s="71">
        <f t="shared" si="47"/>
        <v>621.4</v>
      </c>
      <c r="J110" s="71">
        <f t="shared" si="47"/>
        <v>516.1</v>
      </c>
      <c r="K110" s="71">
        <f t="shared" si="47"/>
        <v>0</v>
      </c>
      <c r="L110" s="71">
        <f t="shared" si="47"/>
        <v>457</v>
      </c>
      <c r="M110" s="71">
        <f t="shared" si="47"/>
        <v>460.7</v>
      </c>
      <c r="N110" s="71">
        <f t="shared" si="47"/>
        <v>483</v>
      </c>
      <c r="O110" s="71">
        <f t="shared" si="47"/>
        <v>472.7</v>
      </c>
      <c r="P110" s="71">
        <f t="shared" si="47"/>
        <v>420</v>
      </c>
      <c r="Q110" s="71">
        <f t="shared" si="47"/>
        <v>340</v>
      </c>
      <c r="R110" s="71">
        <f t="shared" si="47"/>
        <v>410</v>
      </c>
      <c r="S110" s="71">
        <f t="shared" ref="S110:AA110" si="48">SUM(S104:S109)</f>
        <v>452.9</v>
      </c>
      <c r="T110" s="71">
        <f t="shared" si="48"/>
        <v>456</v>
      </c>
      <c r="U110" s="71">
        <f t="shared" si="48"/>
        <v>450.3</v>
      </c>
      <c r="V110" s="71">
        <f t="shared" si="48"/>
        <v>483.2</v>
      </c>
      <c r="W110" s="71">
        <f t="shared" si="48"/>
        <v>507.1</v>
      </c>
      <c r="X110" s="71">
        <f t="shared" si="48"/>
        <v>517</v>
      </c>
      <c r="Y110" s="71">
        <f t="shared" si="48"/>
        <v>534.1</v>
      </c>
      <c r="Z110" s="71">
        <f t="shared" si="48"/>
        <v>481.8</v>
      </c>
      <c r="AA110" s="71">
        <f t="shared" si="48"/>
        <v>375</v>
      </c>
      <c r="AB110" s="71">
        <f t="shared" si="47"/>
        <v>434.8</v>
      </c>
      <c r="AC110" s="71">
        <f t="shared" si="47"/>
        <v>434.8</v>
      </c>
      <c r="AD110" s="71">
        <f t="shared" si="47"/>
        <v>434</v>
      </c>
      <c r="AE110" s="71">
        <f t="shared" si="47"/>
        <v>438</v>
      </c>
      <c r="AF110" s="71">
        <f t="shared" si="47"/>
        <v>424</v>
      </c>
      <c r="AG110" s="101"/>
      <c r="AH110" s="48">
        <f t="shared" si="29"/>
        <v>664.2</v>
      </c>
      <c r="AI110" s="49">
        <f t="shared" si="30"/>
        <v>0</v>
      </c>
    </row>
    <row r="111" spans="1:64" ht="15.75" thickBot="1" x14ac:dyDescent="0.3">
      <c r="A111" s="87" t="s">
        <v>131</v>
      </c>
      <c r="B111" s="71">
        <f t="shared" ref="B111:AF111" si="49">B95-B110</f>
        <v>-467.3</v>
      </c>
      <c r="C111" s="71">
        <f t="shared" si="49"/>
        <v>50</v>
      </c>
      <c r="D111" s="71">
        <f t="shared" si="49"/>
        <v>-569</v>
      </c>
      <c r="E111" s="71">
        <f t="shared" si="49"/>
        <v>-574.30000000000007</v>
      </c>
      <c r="F111" s="71">
        <f t="shared" si="49"/>
        <v>-592.09999999999991</v>
      </c>
      <c r="G111" s="71">
        <f t="shared" si="49"/>
        <v>-621.19999999999993</v>
      </c>
      <c r="H111" s="71">
        <f t="shared" si="49"/>
        <v>-639.20000000000005</v>
      </c>
      <c r="I111" s="71">
        <f t="shared" si="49"/>
        <v>-591.4</v>
      </c>
      <c r="J111" s="71">
        <f t="shared" si="49"/>
        <v>-516.1</v>
      </c>
      <c r="K111" s="71">
        <f t="shared" si="49"/>
        <v>0</v>
      </c>
      <c r="L111" s="71">
        <f t="shared" si="49"/>
        <v>-457</v>
      </c>
      <c r="M111" s="71">
        <f t="shared" si="49"/>
        <v>-437.7</v>
      </c>
      <c r="N111" s="71">
        <f t="shared" si="49"/>
        <v>-483</v>
      </c>
      <c r="O111" s="71">
        <f t="shared" si="49"/>
        <v>-408.7</v>
      </c>
      <c r="P111" s="71">
        <f t="shared" si="49"/>
        <v>-340.9</v>
      </c>
      <c r="Q111" s="71">
        <f t="shared" si="49"/>
        <v>-256</v>
      </c>
      <c r="R111" s="71">
        <f t="shared" si="49"/>
        <v>-296.7</v>
      </c>
      <c r="S111" s="71">
        <f t="shared" ref="S111:AA111" si="50">S95-S110</f>
        <v>-352.5</v>
      </c>
      <c r="T111" s="71">
        <f t="shared" si="50"/>
        <v>-383.1</v>
      </c>
      <c r="U111" s="71">
        <f t="shared" si="50"/>
        <v>-377</v>
      </c>
      <c r="V111" s="71">
        <f t="shared" si="50"/>
        <v>-415.5</v>
      </c>
      <c r="W111" s="71">
        <f t="shared" si="50"/>
        <v>-454</v>
      </c>
      <c r="X111" s="71">
        <f t="shared" si="50"/>
        <v>-468.5</v>
      </c>
      <c r="Y111" s="71">
        <f t="shared" si="50"/>
        <v>-489.20000000000005</v>
      </c>
      <c r="Z111" s="71">
        <f t="shared" si="50"/>
        <v>-442.6</v>
      </c>
      <c r="AA111" s="71">
        <f t="shared" si="50"/>
        <v>-334.1</v>
      </c>
      <c r="AB111" s="71">
        <f t="shared" si="49"/>
        <v>-400.6</v>
      </c>
      <c r="AC111" s="71">
        <f t="shared" si="49"/>
        <v>-400.6</v>
      </c>
      <c r="AD111" s="71">
        <f t="shared" si="49"/>
        <v>-389.8</v>
      </c>
      <c r="AE111" s="71">
        <f t="shared" si="49"/>
        <v>-383</v>
      </c>
      <c r="AF111" s="71">
        <f t="shared" si="49"/>
        <v>-371.3</v>
      </c>
      <c r="AG111" s="101"/>
      <c r="AH111" s="48">
        <f t="shared" si="29"/>
        <v>50</v>
      </c>
      <c r="AI111" s="49">
        <f t="shared" si="30"/>
        <v>-639.20000000000005</v>
      </c>
    </row>
    <row r="112" spans="1:64" x14ac:dyDescent="0.25">
      <c r="A112" s="113" t="s">
        <v>132</v>
      </c>
      <c r="B112" s="114">
        <v>49.962000000000003</v>
      </c>
      <c r="C112" s="114"/>
      <c r="D112" s="114">
        <v>50.029000000000003</v>
      </c>
      <c r="E112" s="114">
        <v>50.040999999999997</v>
      </c>
      <c r="F112" s="114">
        <v>50.051000000000002</v>
      </c>
      <c r="G112" s="114">
        <v>50.015999999999998</v>
      </c>
      <c r="H112" s="114">
        <v>49.94</v>
      </c>
      <c r="I112" s="114">
        <v>49.963000000000001</v>
      </c>
      <c r="J112" s="114">
        <v>50.030999999999999</v>
      </c>
      <c r="K112" s="114"/>
      <c r="L112" s="114">
        <v>49.871000000000002</v>
      </c>
      <c r="M112" s="114">
        <v>49.97</v>
      </c>
      <c r="N112" s="114">
        <v>49.975000000000001</v>
      </c>
      <c r="O112" s="114">
        <v>49.823999999999998</v>
      </c>
      <c r="P112" s="114">
        <v>50.015000000000001</v>
      </c>
      <c r="Q112" s="114">
        <v>50.018000000000001</v>
      </c>
      <c r="R112" s="114">
        <v>50.023000000000003</v>
      </c>
      <c r="S112" s="114">
        <v>50.04</v>
      </c>
      <c r="T112" s="114">
        <v>50.07</v>
      </c>
      <c r="U112" s="114">
        <v>50.05</v>
      </c>
      <c r="V112" s="114">
        <v>49.97</v>
      </c>
      <c r="W112" s="114">
        <v>49.94</v>
      </c>
      <c r="X112" s="114">
        <v>49.94</v>
      </c>
      <c r="Y112" s="114">
        <v>49.94</v>
      </c>
      <c r="Z112" s="114">
        <v>49.95</v>
      </c>
      <c r="AA112" s="114">
        <v>49.98</v>
      </c>
      <c r="AB112" s="114">
        <v>50.015000000000001</v>
      </c>
      <c r="AC112" s="114">
        <v>50.015000000000001</v>
      </c>
      <c r="AD112" s="114">
        <v>50.015999999999998</v>
      </c>
      <c r="AE112" s="114">
        <v>50.015999999999998</v>
      </c>
      <c r="AF112" s="114">
        <v>49.997</v>
      </c>
      <c r="AG112" s="115"/>
      <c r="AH112" s="48">
        <f t="shared" si="29"/>
        <v>50.07</v>
      </c>
      <c r="AI112" s="49">
        <f t="shared" si="30"/>
        <v>49.823999999999998</v>
      </c>
    </row>
    <row r="113" spans="1:35" x14ac:dyDescent="0.25">
      <c r="A113" s="116" t="s">
        <v>133</v>
      </c>
      <c r="B113" s="76">
        <v>119.2</v>
      </c>
      <c r="C113" s="76"/>
      <c r="D113" s="76">
        <v>119.6</v>
      </c>
      <c r="E113" s="76">
        <v>119.5</v>
      </c>
      <c r="F113" s="76">
        <v>118.3</v>
      </c>
      <c r="G113" s="76">
        <v>118.8</v>
      </c>
      <c r="H113" s="76">
        <v>119.6</v>
      </c>
      <c r="I113" s="76">
        <v>118.9</v>
      </c>
      <c r="J113" s="76">
        <v>121.2</v>
      </c>
      <c r="K113" s="76"/>
      <c r="L113" s="76">
        <v>121.1</v>
      </c>
      <c r="M113" s="76">
        <v>118.4</v>
      </c>
      <c r="N113" s="76">
        <v>119.5</v>
      </c>
      <c r="O113" s="76">
        <v>115.7</v>
      </c>
      <c r="P113" s="76">
        <v>118.2</v>
      </c>
      <c r="Q113" s="76">
        <v>118</v>
      </c>
      <c r="R113" s="76">
        <v>117.6</v>
      </c>
      <c r="S113" s="76">
        <v>117.6</v>
      </c>
      <c r="T113" s="76">
        <v>114.3</v>
      </c>
      <c r="U113" s="76">
        <v>119.5</v>
      </c>
      <c r="V113" s="76">
        <v>119.5</v>
      </c>
      <c r="W113" s="76">
        <v>119.7</v>
      </c>
      <c r="X113" s="76">
        <v>119.7</v>
      </c>
      <c r="Y113" s="76">
        <v>119.7</v>
      </c>
      <c r="Z113" s="76">
        <v>121</v>
      </c>
      <c r="AA113" s="76">
        <v>122.2</v>
      </c>
      <c r="AB113" s="76">
        <v>124.2</v>
      </c>
      <c r="AC113" s="76">
        <v>124.2</v>
      </c>
      <c r="AD113" s="76">
        <v>123.9</v>
      </c>
      <c r="AE113" s="76">
        <v>123.9</v>
      </c>
      <c r="AF113" s="76">
        <v>120.3</v>
      </c>
      <c r="AG113" s="117"/>
      <c r="AH113" s="48">
        <f t="shared" si="29"/>
        <v>124.2</v>
      </c>
      <c r="AI113" s="49">
        <f t="shared" si="30"/>
        <v>114.3</v>
      </c>
    </row>
    <row r="114" spans="1:35" x14ac:dyDescent="0.25">
      <c r="A114" s="116" t="s">
        <v>134</v>
      </c>
      <c r="B114" s="76">
        <v>125.7</v>
      </c>
      <c r="C114" s="76"/>
      <c r="D114" s="76">
        <v>125.8</v>
      </c>
      <c r="E114" s="76">
        <v>126.1</v>
      </c>
      <c r="F114" s="76">
        <v>125.2</v>
      </c>
      <c r="G114" s="76">
        <v>125.2</v>
      </c>
      <c r="H114" s="76">
        <v>125.4</v>
      </c>
      <c r="I114" s="76">
        <v>124.7</v>
      </c>
      <c r="J114" s="76">
        <v>125</v>
      </c>
      <c r="K114" s="76"/>
      <c r="L114" s="76">
        <v>124.9</v>
      </c>
      <c r="M114" s="76">
        <v>123</v>
      </c>
      <c r="N114" s="76">
        <v>124.2</v>
      </c>
      <c r="O114" s="76">
        <v>121.1</v>
      </c>
      <c r="P114" s="76">
        <v>123</v>
      </c>
      <c r="Q114" s="76">
        <v>123</v>
      </c>
      <c r="R114" s="76">
        <v>122.7</v>
      </c>
      <c r="S114" s="76">
        <v>122.7</v>
      </c>
      <c r="T114" s="76">
        <v>118.3</v>
      </c>
      <c r="U114" s="76">
        <v>124.8</v>
      </c>
      <c r="V114" s="76">
        <v>124.8</v>
      </c>
      <c r="W114" s="76">
        <v>123.8</v>
      </c>
      <c r="X114" s="76">
        <v>123.8</v>
      </c>
      <c r="Y114" s="76">
        <v>123.8</v>
      </c>
      <c r="Z114" s="76">
        <v>124.6</v>
      </c>
      <c r="AA114" s="76">
        <v>125.4</v>
      </c>
      <c r="AB114" s="76">
        <v>127.4</v>
      </c>
      <c r="AC114" s="76">
        <v>127.4</v>
      </c>
      <c r="AD114" s="76">
        <v>127.8</v>
      </c>
      <c r="AE114" s="76">
        <v>127.8</v>
      </c>
      <c r="AF114" s="76">
        <v>126.1</v>
      </c>
      <c r="AG114" s="117"/>
      <c r="AH114" s="48">
        <f t="shared" si="29"/>
        <v>127.8</v>
      </c>
      <c r="AI114" s="49">
        <f t="shared" si="30"/>
        <v>118.3</v>
      </c>
    </row>
    <row r="115" spans="1:35" x14ac:dyDescent="0.25">
      <c r="A115" s="116" t="s">
        <v>135</v>
      </c>
      <c r="B115" s="76">
        <v>129.19999999999999</v>
      </c>
      <c r="C115" s="76"/>
      <c r="D115" s="76">
        <v>130.5</v>
      </c>
      <c r="E115" s="76">
        <v>131.6</v>
      </c>
      <c r="F115" s="76">
        <v>132.1</v>
      </c>
      <c r="G115" s="76">
        <v>130.6</v>
      </c>
      <c r="H115" s="76">
        <v>130.5</v>
      </c>
      <c r="I115" s="76">
        <v>129.69999999999999</v>
      </c>
      <c r="J115" s="76">
        <v>128.19999999999999</v>
      </c>
      <c r="K115" s="76"/>
      <c r="L115" s="76">
        <v>129.30000000000001</v>
      </c>
      <c r="M115" s="76">
        <v>126.6</v>
      </c>
      <c r="N115" s="76">
        <v>129.4</v>
      </c>
      <c r="O115" s="76">
        <v>128.19999999999999</v>
      </c>
      <c r="P115" s="76">
        <v>128.30000000000001</v>
      </c>
      <c r="Q115" s="76">
        <v>128</v>
      </c>
      <c r="R115" s="76">
        <v>130</v>
      </c>
      <c r="S115" s="76">
        <v>130</v>
      </c>
      <c r="T115" s="76">
        <v>129</v>
      </c>
      <c r="U115" s="76">
        <v>129.69999999999999</v>
      </c>
      <c r="V115" s="76">
        <v>129.69999999999999</v>
      </c>
      <c r="W115" s="76">
        <v>130</v>
      </c>
      <c r="X115" s="76">
        <v>130</v>
      </c>
      <c r="Y115" s="76">
        <v>130</v>
      </c>
      <c r="Z115" s="76">
        <v>128.4</v>
      </c>
      <c r="AA115" s="76">
        <v>128.1</v>
      </c>
      <c r="AB115" s="76">
        <v>130.4</v>
      </c>
      <c r="AC115" s="76">
        <v>130.4</v>
      </c>
      <c r="AD115" s="76">
        <v>131</v>
      </c>
      <c r="AE115" s="76">
        <v>131</v>
      </c>
      <c r="AF115" s="76">
        <v>129.80000000000001</v>
      </c>
      <c r="AG115" s="117"/>
      <c r="AH115" s="48">
        <f t="shared" si="29"/>
        <v>132.1</v>
      </c>
      <c r="AI115" s="49">
        <f t="shared" si="30"/>
        <v>126.6</v>
      </c>
    </row>
    <row r="116" spans="1:35" x14ac:dyDescent="0.25">
      <c r="A116" s="118" t="s">
        <v>136</v>
      </c>
      <c r="B116" s="76">
        <v>130.30000000000001</v>
      </c>
      <c r="C116" s="76"/>
      <c r="D116" s="76">
        <v>131.69999999999999</v>
      </c>
      <c r="E116" s="76">
        <v>132.80000000000001</v>
      </c>
      <c r="F116" s="76">
        <v>132.9</v>
      </c>
      <c r="G116" s="76">
        <v>131.19999999999999</v>
      </c>
      <c r="H116" s="76">
        <v>130.6</v>
      </c>
      <c r="I116" s="76">
        <v>130</v>
      </c>
      <c r="J116" s="76">
        <v>129</v>
      </c>
      <c r="K116" s="76"/>
      <c r="L116" s="76">
        <v>129.4</v>
      </c>
      <c r="M116" s="76">
        <v>127.1</v>
      </c>
      <c r="N116" s="76">
        <v>129.19999999999999</v>
      </c>
      <c r="O116" s="76">
        <v>128.19999999999999</v>
      </c>
      <c r="P116" s="76">
        <v>128.19999999999999</v>
      </c>
      <c r="Q116" s="76">
        <v>126</v>
      </c>
      <c r="R116" s="76">
        <v>130.4</v>
      </c>
      <c r="S116" s="76">
        <v>130.4</v>
      </c>
      <c r="T116" s="76">
        <v>129.69999999999999</v>
      </c>
      <c r="U116" s="76">
        <v>130.69999999999999</v>
      </c>
      <c r="V116" s="76">
        <v>130.69999999999999</v>
      </c>
      <c r="W116" s="76">
        <v>129.6</v>
      </c>
      <c r="X116" s="76">
        <v>129.6</v>
      </c>
      <c r="Y116" s="76">
        <v>129.6</v>
      </c>
      <c r="Z116" s="76">
        <v>127.6</v>
      </c>
      <c r="AA116" s="76">
        <v>128.1</v>
      </c>
      <c r="AB116" s="76">
        <v>129.19999999999999</v>
      </c>
      <c r="AC116" s="76">
        <v>129.19999999999999</v>
      </c>
      <c r="AD116" s="76">
        <v>129</v>
      </c>
      <c r="AE116" s="76">
        <v>129</v>
      </c>
      <c r="AF116" s="76">
        <v>129.4</v>
      </c>
      <c r="AG116" s="117"/>
      <c r="AH116" s="48">
        <f t="shared" si="29"/>
        <v>132.9</v>
      </c>
      <c r="AI116" s="49">
        <f t="shared" si="30"/>
        <v>126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>
        <v>130.69999999999999</v>
      </c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9"/>
        <v>130.69999999999999</v>
      </c>
      <c r="AI117" s="49">
        <f t="shared" si="30"/>
        <v>130.69999999999999</v>
      </c>
    </row>
    <row r="118" spans="1:35" x14ac:dyDescent="0.25">
      <c r="A118" s="116" t="s">
        <v>138</v>
      </c>
      <c r="B118" s="76">
        <v>120.6</v>
      </c>
      <c r="C118" s="76"/>
      <c r="D118" s="76">
        <v>120.2</v>
      </c>
      <c r="E118" s="76">
        <v>127.2</v>
      </c>
      <c r="F118" s="76">
        <v>126.4</v>
      </c>
      <c r="G118" s="76">
        <v>113.6</v>
      </c>
      <c r="H118" s="76"/>
      <c r="I118" s="76"/>
      <c r="J118" s="76"/>
      <c r="K118" s="76"/>
      <c r="L118" s="76"/>
      <c r="M118" s="76"/>
      <c r="N118" s="76"/>
      <c r="O118" s="76"/>
      <c r="P118" s="76">
        <v>116.8</v>
      </c>
      <c r="Q118" s="76">
        <v>124</v>
      </c>
      <c r="R118" s="76">
        <v>125</v>
      </c>
      <c r="S118" s="76">
        <v>125</v>
      </c>
      <c r="T118" s="76">
        <v>125.7</v>
      </c>
      <c r="U118" s="76">
        <v>123.3</v>
      </c>
      <c r="V118" s="76">
        <v>123.3</v>
      </c>
      <c r="W118" s="76">
        <v>125.8</v>
      </c>
      <c r="X118" s="76">
        <v>125.8</v>
      </c>
      <c r="Y118" s="76">
        <v>125.8</v>
      </c>
      <c r="Z118" s="76">
        <v>127.3</v>
      </c>
      <c r="AA118" s="76">
        <v>113.4</v>
      </c>
      <c r="AB118" s="76">
        <v>124.3</v>
      </c>
      <c r="AC118" s="76">
        <v>124.3</v>
      </c>
      <c r="AD118" s="76">
        <v>123.2</v>
      </c>
      <c r="AE118" s="76">
        <v>123.2</v>
      </c>
      <c r="AF118" s="76">
        <v>128.30000000000001</v>
      </c>
      <c r="AG118" s="117"/>
      <c r="AH118" s="48">
        <f t="shared" si="29"/>
        <v>128.30000000000001</v>
      </c>
      <c r="AI118" s="49">
        <f t="shared" si="30"/>
        <v>113.4</v>
      </c>
    </row>
    <row r="119" spans="1:35" ht="15.75" thickBot="1" x14ac:dyDescent="0.3">
      <c r="A119" s="116" t="s">
        <v>139</v>
      </c>
      <c r="B119" s="105">
        <v>64.3</v>
      </c>
      <c r="C119" s="105"/>
      <c r="D119" s="105">
        <v>63.2</v>
      </c>
      <c r="E119" s="105">
        <v>63.4</v>
      </c>
      <c r="F119" s="105">
        <v>63</v>
      </c>
      <c r="G119" s="105">
        <v>63</v>
      </c>
      <c r="H119" s="105">
        <v>63.1</v>
      </c>
      <c r="I119" s="105">
        <v>62.8</v>
      </c>
      <c r="J119" s="105">
        <v>63</v>
      </c>
      <c r="K119" s="105"/>
      <c r="L119" s="105">
        <v>62.9</v>
      </c>
      <c r="M119" s="105">
        <v>61.8</v>
      </c>
      <c r="N119" s="105">
        <v>62.5</v>
      </c>
      <c r="O119" s="105">
        <v>60.7</v>
      </c>
      <c r="P119" s="105">
        <v>61.6</v>
      </c>
      <c r="Q119" s="105">
        <v>61.7</v>
      </c>
      <c r="R119" s="105">
        <v>61.6</v>
      </c>
      <c r="S119" s="105">
        <v>61.6</v>
      </c>
      <c r="T119" s="105">
        <v>60.6</v>
      </c>
      <c r="U119" s="105">
        <v>63.7</v>
      </c>
      <c r="V119" s="105">
        <v>63.7</v>
      </c>
      <c r="W119" s="105">
        <v>62.3</v>
      </c>
      <c r="X119" s="105">
        <v>62.3</v>
      </c>
      <c r="Y119" s="105">
        <v>62.3</v>
      </c>
      <c r="Z119" s="105">
        <v>62.9</v>
      </c>
      <c r="AA119" s="105">
        <v>63.5</v>
      </c>
      <c r="AB119" s="105">
        <v>64.8</v>
      </c>
      <c r="AC119" s="105">
        <v>64.8</v>
      </c>
      <c r="AD119" s="105">
        <v>64.900000000000006</v>
      </c>
      <c r="AE119" s="105">
        <v>64.900000000000006</v>
      </c>
      <c r="AF119" s="105">
        <v>63.5</v>
      </c>
      <c r="AG119" s="121"/>
      <c r="AH119" s="48">
        <f t="shared" si="29"/>
        <v>64.900000000000006</v>
      </c>
      <c r="AI119" s="49">
        <f t="shared" si="30"/>
        <v>60.6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 t="shared" ref="B121:O121" si="51">SUM(B25,B31,B34:B35,B69,B71:B72,B74,B76,B122:B126,B158,B164,B170,B179,B181,B193,B200,B203:B204,B211,B213,B215,B219:B221,B223:B225,B230,B236:B237,B239:B241,B249,B254)</f>
        <v>100.64</v>
      </c>
      <c r="C121" s="124">
        <f t="shared" si="51"/>
        <v>0.94</v>
      </c>
      <c r="D121" s="124">
        <f t="shared" si="51"/>
        <v>21.040000000000024</v>
      </c>
      <c r="E121" s="124">
        <f t="shared" si="51"/>
        <v>19.440000000000012</v>
      </c>
      <c r="F121" s="124">
        <f t="shared" si="51"/>
        <v>-4.1599999999999877</v>
      </c>
      <c r="G121" s="124">
        <f t="shared" si="51"/>
        <v>84.440000000000026</v>
      </c>
      <c r="H121" s="124">
        <f t="shared" si="51"/>
        <v>51.74</v>
      </c>
      <c r="I121" s="124">
        <f t="shared" si="51"/>
        <v>51.940000000000033</v>
      </c>
      <c r="J121" s="124">
        <f t="shared" si="51"/>
        <v>51.940000000000033</v>
      </c>
      <c r="K121" s="124">
        <f t="shared" si="51"/>
        <v>0.94</v>
      </c>
      <c r="L121" s="124">
        <f t="shared" si="51"/>
        <v>91.640000000000015</v>
      </c>
      <c r="M121" s="124">
        <f t="shared" si="51"/>
        <v>104.04000000000002</v>
      </c>
      <c r="N121" s="124">
        <f t="shared" si="51"/>
        <v>112.63999999999999</v>
      </c>
      <c r="O121" s="124">
        <f t="shared" si="51"/>
        <v>137.83999999999997</v>
      </c>
      <c r="P121" s="124">
        <v>42</v>
      </c>
      <c r="Q121" s="124">
        <f t="shared" ref="Q121:AF121" si="52">SUM(Q25,Q31,Q34:Q35,Q69,Q71:Q72,Q74,Q76,Q122:Q126,Q158,Q164,Q170,Q179,Q181,Q193,Q200,Q203:Q204,Q211,Q213,Q215,Q219:Q221,Q223:Q225,Q230,Q236:Q237,Q239:Q241,Q249,Q254)</f>
        <v>189.64000000000001</v>
      </c>
      <c r="R121" s="124">
        <f t="shared" si="52"/>
        <v>141.93999999999997</v>
      </c>
      <c r="S121" s="124">
        <f t="shared" si="52"/>
        <v>145.64000000000001</v>
      </c>
      <c r="T121" s="124">
        <f t="shared" si="52"/>
        <v>427.43999999999994</v>
      </c>
      <c r="U121" s="124">
        <f t="shared" si="52"/>
        <v>435.53999999999996</v>
      </c>
      <c r="V121" s="124">
        <f t="shared" si="52"/>
        <v>451.89000000000004</v>
      </c>
      <c r="W121" s="124">
        <f t="shared" si="52"/>
        <v>435.84000000000003</v>
      </c>
      <c r="X121" s="124">
        <f t="shared" si="52"/>
        <v>445.34</v>
      </c>
      <c r="Y121" s="124">
        <f t="shared" si="52"/>
        <v>443.84</v>
      </c>
      <c r="Z121" s="124">
        <f t="shared" si="52"/>
        <v>443.64</v>
      </c>
      <c r="AA121" s="124">
        <f t="shared" si="52"/>
        <v>435.34</v>
      </c>
      <c r="AB121" s="124">
        <f t="shared" si="52"/>
        <v>424.47999999999996</v>
      </c>
      <c r="AC121" s="124">
        <f t="shared" si="52"/>
        <v>424.47999999999996</v>
      </c>
      <c r="AD121" s="124">
        <f t="shared" si="52"/>
        <v>150.05599999999998</v>
      </c>
      <c r="AE121" s="124">
        <f t="shared" si="52"/>
        <v>150.05599999999998</v>
      </c>
      <c r="AF121" s="124">
        <f t="shared" si="52"/>
        <v>77.839999999999975</v>
      </c>
      <c r="AG121" s="125"/>
      <c r="AH121" s="48">
        <f t="shared" si="29"/>
        <v>451.89000000000004</v>
      </c>
      <c r="AI121" s="49">
        <f t="shared" si="30"/>
        <v>-4.1599999999999877</v>
      </c>
    </row>
    <row r="122" spans="1:35" x14ac:dyDescent="0.25">
      <c r="A122" s="126" t="s">
        <v>142</v>
      </c>
      <c r="B122" s="127">
        <v>39.4</v>
      </c>
      <c r="C122" s="127"/>
      <c r="D122" s="127">
        <v>33</v>
      </c>
      <c r="E122" s="127">
        <v>34.5</v>
      </c>
      <c r="F122" s="127">
        <v>30.3</v>
      </c>
      <c r="G122" s="127">
        <v>46.8</v>
      </c>
      <c r="H122" s="127">
        <v>55.4</v>
      </c>
      <c r="I122" s="127">
        <v>46.7</v>
      </c>
      <c r="J122" s="127">
        <v>46.7</v>
      </c>
      <c r="K122" s="127"/>
      <c r="L122" s="127">
        <v>44.7</v>
      </c>
      <c r="M122" s="127">
        <v>37.5</v>
      </c>
      <c r="N122" s="127">
        <v>39.200000000000003</v>
      </c>
      <c r="O122" s="127">
        <v>57.8</v>
      </c>
      <c r="P122" s="127">
        <v>50.4</v>
      </c>
      <c r="Q122" s="127">
        <v>51.6</v>
      </c>
      <c r="R122" s="127">
        <v>70</v>
      </c>
      <c r="S122" s="127">
        <v>70</v>
      </c>
      <c r="T122" s="127">
        <v>69.099999999999994</v>
      </c>
      <c r="U122" s="127">
        <v>53</v>
      </c>
      <c r="V122" s="127">
        <v>70</v>
      </c>
      <c r="W122" s="127">
        <v>68</v>
      </c>
      <c r="X122" s="127">
        <v>68.7</v>
      </c>
      <c r="Y122" s="127">
        <v>68.7</v>
      </c>
      <c r="Z122" s="127">
        <v>73.900000000000006</v>
      </c>
      <c r="AA122" s="127">
        <v>69.7</v>
      </c>
      <c r="AB122" s="127">
        <v>56.3</v>
      </c>
      <c r="AC122" s="127">
        <v>56.3</v>
      </c>
      <c r="AD122" s="127">
        <v>50.015999999999998</v>
      </c>
      <c r="AE122" s="127">
        <v>50.015999999999998</v>
      </c>
      <c r="AF122" s="127">
        <v>52</v>
      </c>
      <c r="AG122" s="128">
        <v>75</v>
      </c>
      <c r="AH122" s="48">
        <f t="shared" si="29"/>
        <v>73.900000000000006</v>
      </c>
      <c r="AI122" s="49">
        <f t="shared" si="30"/>
        <v>30.3</v>
      </c>
    </row>
    <row r="123" spans="1:35" x14ac:dyDescent="0.25">
      <c r="A123" s="129" t="s">
        <v>143</v>
      </c>
      <c r="B123" s="130">
        <v>57</v>
      </c>
      <c r="C123" s="130"/>
      <c r="D123" s="130">
        <v>50</v>
      </c>
      <c r="E123" s="130">
        <v>51.7</v>
      </c>
      <c r="F123" s="130">
        <v>46.4</v>
      </c>
      <c r="G123" s="130">
        <v>68.2</v>
      </c>
      <c r="H123" s="130">
        <v>79.900000000000006</v>
      </c>
      <c r="I123" s="130">
        <v>68.8</v>
      </c>
      <c r="J123" s="130">
        <v>68.8</v>
      </c>
      <c r="K123" s="130"/>
      <c r="L123" s="130">
        <v>65.5</v>
      </c>
      <c r="M123" s="130">
        <v>54</v>
      </c>
      <c r="N123" s="130">
        <v>55.7</v>
      </c>
      <c r="O123" s="130">
        <v>79.7</v>
      </c>
      <c r="P123" s="130">
        <v>71.900000000000006</v>
      </c>
      <c r="Q123" s="130">
        <v>74.099999999999994</v>
      </c>
      <c r="R123" s="130">
        <v>97</v>
      </c>
      <c r="S123" s="130">
        <v>97</v>
      </c>
      <c r="T123" s="130">
        <v>96.1</v>
      </c>
      <c r="U123" s="130">
        <v>79.900000000000006</v>
      </c>
      <c r="V123" s="130">
        <v>103.8</v>
      </c>
      <c r="W123" s="130">
        <v>99.7</v>
      </c>
      <c r="X123" s="130">
        <v>101.1</v>
      </c>
      <c r="Y123" s="130">
        <v>101.1</v>
      </c>
      <c r="Z123" s="130">
        <v>105.4</v>
      </c>
      <c r="AA123" s="130">
        <v>105.5</v>
      </c>
      <c r="AB123" s="130">
        <v>86.74</v>
      </c>
      <c r="AC123" s="130">
        <v>86.74</v>
      </c>
      <c r="AD123" s="130">
        <v>82</v>
      </c>
      <c r="AE123" s="130">
        <v>82</v>
      </c>
      <c r="AF123" s="130">
        <v>72</v>
      </c>
      <c r="AG123" s="128">
        <v>240</v>
      </c>
      <c r="AH123" s="48">
        <f t="shared" si="29"/>
        <v>105.5</v>
      </c>
      <c r="AI123" s="49">
        <f t="shared" si="30"/>
        <v>46.4</v>
      </c>
    </row>
    <row r="124" spans="1:35" x14ac:dyDescent="0.25">
      <c r="A124" s="129" t="s">
        <v>144</v>
      </c>
      <c r="B124" s="130">
        <v>-120</v>
      </c>
      <c r="C124" s="130"/>
      <c r="D124" s="130">
        <v>-160</v>
      </c>
      <c r="E124" s="130">
        <v>-162</v>
      </c>
      <c r="F124" s="130">
        <v>-163</v>
      </c>
      <c r="G124" s="130">
        <v>-173</v>
      </c>
      <c r="H124" s="130">
        <v>-166</v>
      </c>
      <c r="I124" s="130">
        <v>-155.19999999999999</v>
      </c>
      <c r="J124" s="130">
        <v>-155.19999999999999</v>
      </c>
      <c r="K124" s="130"/>
      <c r="L124" s="130">
        <v>-130</v>
      </c>
      <c r="M124" s="130">
        <f>-50-56.8</f>
        <v>-106.8</v>
      </c>
      <c r="N124" s="130">
        <f>-48.8-55.6</f>
        <v>-104.4</v>
      </c>
      <c r="O124" s="130">
        <f>-59-66</f>
        <v>-125</v>
      </c>
      <c r="P124" s="130">
        <f>-57-65</f>
        <v>-122</v>
      </c>
      <c r="Q124" s="130">
        <v>-58</v>
      </c>
      <c r="R124" s="130">
        <f>-69-76</f>
        <v>-145</v>
      </c>
      <c r="S124" s="130">
        <f>-69-76</f>
        <v>-145</v>
      </c>
      <c r="T124" s="130">
        <v>122.9</v>
      </c>
      <c r="U124" s="130">
        <v>159.19999999999999</v>
      </c>
      <c r="V124" s="130">
        <v>141.65</v>
      </c>
      <c r="W124" s="130">
        <v>138</v>
      </c>
      <c r="X124" s="130">
        <v>142.1</v>
      </c>
      <c r="Y124" s="130">
        <v>142.1</v>
      </c>
      <c r="Z124" s="130">
        <v>134.69999999999999</v>
      </c>
      <c r="AA124" s="130">
        <v>110.1</v>
      </c>
      <c r="AB124" s="130">
        <v>132.6</v>
      </c>
      <c r="AC124" s="130">
        <v>132.6</v>
      </c>
      <c r="AD124" s="130">
        <v>-120</v>
      </c>
      <c r="AE124" s="130">
        <v>-120</v>
      </c>
      <c r="AF124" s="130">
        <v>-160</v>
      </c>
      <c r="AG124" s="128">
        <v>240</v>
      </c>
      <c r="AH124" s="48">
        <f t="shared" si="29"/>
        <v>159.19999999999999</v>
      </c>
      <c r="AI124" s="49">
        <f t="shared" si="30"/>
        <v>-173</v>
      </c>
    </row>
    <row r="125" spans="1:35" ht="15.75" thickBot="1" x14ac:dyDescent="0.3">
      <c r="A125" s="129" t="s">
        <v>145</v>
      </c>
      <c r="B125" s="130">
        <v>1.2</v>
      </c>
      <c r="C125" s="130"/>
      <c r="D125" s="130">
        <v>-25</v>
      </c>
      <c r="E125" s="130">
        <v>-27.8</v>
      </c>
      <c r="F125" s="130">
        <v>-30.9</v>
      </c>
      <c r="G125" s="130">
        <v>29.4</v>
      </c>
      <c r="H125" s="130">
        <v>-30.6</v>
      </c>
      <c r="I125" s="130">
        <v>-21.4</v>
      </c>
      <c r="J125" s="130">
        <v>-21.4</v>
      </c>
      <c r="K125" s="130"/>
      <c r="L125" s="130">
        <v>-1.6</v>
      </c>
      <c r="M125" s="130">
        <v>-1.2</v>
      </c>
      <c r="N125" s="130">
        <v>1.1000000000000001</v>
      </c>
      <c r="O125" s="130">
        <v>-3.3</v>
      </c>
      <c r="P125" s="130">
        <v>6.1</v>
      </c>
      <c r="Q125" s="130">
        <v>-4.5</v>
      </c>
      <c r="R125" s="130">
        <v>-4.9000000000000004</v>
      </c>
      <c r="S125" s="130">
        <v>-4.9000000000000004</v>
      </c>
      <c r="T125" s="130">
        <v>-6.8</v>
      </c>
      <c r="U125" s="130">
        <v>0</v>
      </c>
      <c r="V125" s="130">
        <v>0</v>
      </c>
      <c r="W125" s="130">
        <v>-6.9</v>
      </c>
      <c r="X125" s="130">
        <v>-3.6</v>
      </c>
      <c r="Y125" s="130">
        <v>-3.6</v>
      </c>
      <c r="Z125" s="130">
        <v>-5.6</v>
      </c>
      <c r="AA125" s="130">
        <v>14.6</v>
      </c>
      <c r="AB125" s="130">
        <v>15</v>
      </c>
      <c r="AC125" s="130">
        <v>15</v>
      </c>
      <c r="AD125" s="130">
        <v>4.2</v>
      </c>
      <c r="AE125" s="130">
        <v>4.2</v>
      </c>
      <c r="AF125" s="130">
        <v>-20</v>
      </c>
      <c r="AG125" s="128">
        <v>60</v>
      </c>
      <c r="AH125" s="48">
        <f t="shared" si="29"/>
        <v>29.4</v>
      </c>
      <c r="AI125" s="49">
        <f t="shared" si="30"/>
        <v>-30.9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9"/>
        <v>0</v>
      </c>
      <c r="AI126" s="49">
        <f t="shared" si="30"/>
        <v>0</v>
      </c>
    </row>
    <row r="127" spans="1:35" x14ac:dyDescent="0.25">
      <c r="A127" s="129" t="s">
        <v>147</v>
      </c>
      <c r="B127" s="131">
        <v>54</v>
      </c>
      <c r="C127" s="131"/>
      <c r="D127" s="131">
        <v>82</v>
      </c>
      <c r="E127" s="131">
        <v>81.900000000000006</v>
      </c>
      <c r="F127" s="131">
        <v>85.8</v>
      </c>
      <c r="G127" s="131">
        <v>83.9</v>
      </c>
      <c r="H127" s="131">
        <v>82.4</v>
      </c>
      <c r="I127" s="131">
        <v>92.2</v>
      </c>
      <c r="J127" s="131">
        <v>92.2</v>
      </c>
      <c r="K127" s="131"/>
      <c r="L127" s="131">
        <v>100.4</v>
      </c>
      <c r="M127" s="131">
        <v>109.2</v>
      </c>
      <c r="N127" s="131">
        <v>112.3</v>
      </c>
      <c r="O127" s="131">
        <v>111.6</v>
      </c>
      <c r="P127" s="131">
        <v>109.3</v>
      </c>
      <c r="Q127" s="131">
        <v>109.7</v>
      </c>
      <c r="R127" s="131">
        <v>97.7</v>
      </c>
      <c r="S127" s="131">
        <v>97.7</v>
      </c>
      <c r="T127" s="131">
        <v>98.9</v>
      </c>
      <c r="U127" s="131">
        <v>78.2</v>
      </c>
      <c r="V127" s="131">
        <v>78.2</v>
      </c>
      <c r="W127" s="131">
        <v>85.9</v>
      </c>
      <c r="X127" s="131">
        <v>84.2</v>
      </c>
      <c r="Y127" s="131">
        <v>84.2</v>
      </c>
      <c r="Z127" s="131">
        <v>89.3</v>
      </c>
      <c r="AA127" s="131">
        <v>93.1</v>
      </c>
      <c r="AB127" s="131">
        <v>103.2</v>
      </c>
      <c r="AC127" s="131">
        <v>103.2</v>
      </c>
      <c r="AD127" s="131">
        <v>103</v>
      </c>
      <c r="AE127" s="131">
        <v>103</v>
      </c>
      <c r="AF127" s="131">
        <v>85</v>
      </c>
      <c r="AG127" s="132"/>
      <c r="AH127" s="48"/>
      <c r="AI127" s="49"/>
    </row>
    <row r="128" spans="1:35" x14ac:dyDescent="0.25">
      <c r="A128" s="129" t="s">
        <v>148</v>
      </c>
      <c r="B128" s="131">
        <v>18</v>
      </c>
      <c r="C128" s="131"/>
      <c r="D128" s="131">
        <v>68</v>
      </c>
      <c r="E128" s="131">
        <v>62.3</v>
      </c>
      <c r="F128" s="131">
        <v>73.7</v>
      </c>
      <c r="G128" s="131">
        <v>54.5</v>
      </c>
      <c r="H128" s="131">
        <v>40.200000000000003</v>
      </c>
      <c r="I128" s="131">
        <v>50.7</v>
      </c>
      <c r="J128" s="131">
        <v>50.7</v>
      </c>
      <c r="K128" s="131"/>
      <c r="L128" s="131">
        <v>27.6</v>
      </c>
      <c r="M128" s="131">
        <v>42.7</v>
      </c>
      <c r="N128" s="131">
        <v>45.2</v>
      </c>
      <c r="O128" s="131">
        <v>37.4</v>
      </c>
      <c r="P128" s="131">
        <v>47.2</v>
      </c>
      <c r="Q128" s="131">
        <v>46.9</v>
      </c>
      <c r="R128" s="131">
        <v>29.1</v>
      </c>
      <c r="S128" s="131">
        <v>29.1</v>
      </c>
      <c r="T128" s="131">
        <v>40.799999999999997</v>
      </c>
      <c r="U128" s="131">
        <v>50.5</v>
      </c>
      <c r="V128" s="131">
        <v>50.5</v>
      </c>
      <c r="W128" s="131">
        <v>12.7</v>
      </c>
      <c r="X128" s="131">
        <v>8.3000000000000007</v>
      </c>
      <c r="Y128" s="131">
        <v>8.3000000000000007</v>
      </c>
      <c r="Z128" s="131">
        <v>-1.8</v>
      </c>
      <c r="AA128" s="131">
        <v>-11.7</v>
      </c>
      <c r="AB128" s="131">
        <v>4.2</v>
      </c>
      <c r="AC128" s="131">
        <v>4.2</v>
      </c>
      <c r="AD128" s="131">
        <v>18</v>
      </c>
      <c r="AE128" s="131">
        <v>18</v>
      </c>
      <c r="AF128" s="131">
        <v>48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31</v>
      </c>
      <c r="C129" s="131"/>
      <c r="D129" s="131">
        <v>50</v>
      </c>
      <c r="E129" s="131">
        <v>45.4</v>
      </c>
      <c r="F129" s="131">
        <v>54.9</v>
      </c>
      <c r="G129" s="131">
        <v>57</v>
      </c>
      <c r="H129" s="131">
        <v>41.3</v>
      </c>
      <c r="I129" s="131">
        <v>54.6</v>
      </c>
      <c r="J129" s="131">
        <v>54.6</v>
      </c>
      <c r="K129" s="131"/>
      <c r="L129" s="131">
        <v>70.5</v>
      </c>
      <c r="M129" s="131">
        <v>68.400000000000006</v>
      </c>
      <c r="N129" s="131">
        <v>71.599999999999994</v>
      </c>
      <c r="O129" s="131">
        <v>76.900000000000006</v>
      </c>
      <c r="P129" s="131">
        <v>70.5</v>
      </c>
      <c r="Q129" s="131">
        <v>79.7</v>
      </c>
      <c r="R129" s="131">
        <v>62.9</v>
      </c>
      <c r="S129" s="131">
        <v>62.9</v>
      </c>
      <c r="T129" s="131">
        <v>73.7</v>
      </c>
      <c r="U129" s="131">
        <v>49.3</v>
      </c>
      <c r="V129" s="131">
        <v>49.3</v>
      </c>
      <c r="W129" s="131">
        <v>46.1</v>
      </c>
      <c r="X129" s="131">
        <v>46.4</v>
      </c>
      <c r="Y129" s="131">
        <v>46.4</v>
      </c>
      <c r="Z129" s="131">
        <v>55.6</v>
      </c>
      <c r="AA129" s="131">
        <v>60.3</v>
      </c>
      <c r="AB129" s="131">
        <v>60.3</v>
      </c>
      <c r="AC129" s="131">
        <v>60.3</v>
      </c>
      <c r="AD129" s="131">
        <v>66</v>
      </c>
      <c r="AE129" s="131">
        <v>66</v>
      </c>
      <c r="AF129" s="131">
        <v>58</v>
      </c>
      <c r="AG129" s="128"/>
      <c r="AH129" s="48">
        <f>MAX(B129:AF129)</f>
        <v>79.7</v>
      </c>
      <c r="AI129" s="49">
        <f>MIN(B129:AF129)</f>
        <v>31</v>
      </c>
    </row>
    <row r="130" spans="1:37" x14ac:dyDescent="0.25">
      <c r="A130" s="126" t="s">
        <v>150</v>
      </c>
      <c r="B130" s="131">
        <v>-337</v>
      </c>
      <c r="C130" s="131"/>
      <c r="D130" s="131">
        <v>-351</v>
      </c>
      <c r="E130" s="131">
        <v>-355.4</v>
      </c>
      <c r="F130" s="131">
        <v>-351.1</v>
      </c>
      <c r="G130" s="131">
        <v>-356.7</v>
      </c>
      <c r="H130" s="131">
        <v>-357.6</v>
      </c>
      <c r="I130" s="131">
        <v>-351.3</v>
      </c>
      <c r="J130" s="131">
        <v>-351.3</v>
      </c>
      <c r="K130" s="131"/>
      <c r="L130" s="131">
        <v>-299.10000000000002</v>
      </c>
      <c r="M130" s="131">
        <v>-315.89999999999998</v>
      </c>
      <c r="N130" s="131">
        <v>-325.39999999999998</v>
      </c>
      <c r="O130" s="131">
        <v>-327.2</v>
      </c>
      <c r="P130" s="131">
        <v>-335.9</v>
      </c>
      <c r="Q130" s="131">
        <v>-306</v>
      </c>
      <c r="R130" s="131">
        <v>-337.7</v>
      </c>
      <c r="S130" s="131">
        <v>-337.7</v>
      </c>
      <c r="T130" s="131">
        <v>-325.39999999999998</v>
      </c>
      <c r="U130" s="131">
        <v>-347.8</v>
      </c>
      <c r="V130" s="131">
        <v>-347.8</v>
      </c>
      <c r="W130" s="131">
        <v>-342.5</v>
      </c>
      <c r="X130" s="131">
        <v>-344.2</v>
      </c>
      <c r="Y130" s="131">
        <v>-344.2</v>
      </c>
      <c r="Z130" s="131">
        <v>-327.9</v>
      </c>
      <c r="AA130" s="131">
        <v>-322.7</v>
      </c>
      <c r="AB130" s="131">
        <v>-326.60000000000002</v>
      </c>
      <c r="AC130" s="131">
        <v>-326.60000000000002</v>
      </c>
      <c r="AD130" s="131">
        <v>-326</v>
      </c>
      <c r="AE130" s="131">
        <v>-326</v>
      </c>
      <c r="AF130" s="131">
        <v>-340</v>
      </c>
      <c r="AG130" s="128"/>
      <c r="AH130" s="48">
        <f>MAX(B130:AF130)</f>
        <v>-299.10000000000002</v>
      </c>
      <c r="AI130" s="49">
        <f>MIN(B130:AF130)</f>
        <v>-357.6</v>
      </c>
    </row>
    <row r="131" spans="1:37" x14ac:dyDescent="0.25">
      <c r="A131" s="129" t="s">
        <v>151</v>
      </c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>
        <v>63.1</v>
      </c>
      <c r="M131" s="119">
        <v>62.8</v>
      </c>
      <c r="N131" s="119">
        <v>61</v>
      </c>
      <c r="O131" s="119">
        <v>60.7</v>
      </c>
      <c r="P131" s="119">
        <v>64</v>
      </c>
      <c r="Q131" s="119">
        <v>47</v>
      </c>
      <c r="R131" s="119">
        <v>61.1</v>
      </c>
      <c r="S131" s="119">
        <v>61.1</v>
      </c>
      <c r="T131" s="119">
        <v>65.5</v>
      </c>
      <c r="U131" s="119">
        <v>65.099999999999994</v>
      </c>
      <c r="V131" s="119">
        <v>65.099999999999994</v>
      </c>
      <c r="W131" s="119">
        <v>41.4</v>
      </c>
      <c r="X131" s="119">
        <v>29.2</v>
      </c>
      <c r="Y131" s="119">
        <v>29.2</v>
      </c>
      <c r="Z131" s="119">
        <v>26.4</v>
      </c>
      <c r="AA131" s="119">
        <v>24.7</v>
      </c>
      <c r="AB131" s="119">
        <v>20.9</v>
      </c>
      <c r="AC131" s="119">
        <v>20.9</v>
      </c>
      <c r="AD131" s="119">
        <v>30.8</v>
      </c>
      <c r="AE131" s="119">
        <v>30.8</v>
      </c>
      <c r="AF131" s="119">
        <v>44</v>
      </c>
      <c r="AG131" s="128"/>
      <c r="AH131" s="48">
        <f>MAX(B131:AF131)</f>
        <v>65.5</v>
      </c>
      <c r="AI131" s="49">
        <f>MIN(B131:AF131)</f>
        <v>20.9</v>
      </c>
    </row>
    <row r="132" spans="1:37" x14ac:dyDescent="0.25">
      <c r="A132" s="129" t="s">
        <v>152</v>
      </c>
      <c r="B132" s="119">
        <v>-30</v>
      </c>
      <c r="C132" s="119"/>
      <c r="D132" s="119">
        <v>-37</v>
      </c>
      <c r="E132" s="119">
        <v>-37.1</v>
      </c>
      <c r="F132" s="119">
        <v>-54.1</v>
      </c>
      <c r="G132" s="119">
        <v>-52.9</v>
      </c>
      <c r="H132" s="119">
        <v>-48.3</v>
      </c>
      <c r="I132" s="119">
        <v>-49</v>
      </c>
      <c r="J132" s="119">
        <v>-49</v>
      </c>
      <c r="K132" s="119"/>
      <c r="L132" s="119">
        <v>-13.1</v>
      </c>
      <c r="M132" s="119">
        <v>-13.5</v>
      </c>
      <c r="N132" s="119">
        <v>-16.8</v>
      </c>
      <c r="O132" s="119">
        <v>-12.8</v>
      </c>
      <c r="P132" s="119">
        <v>31.4</v>
      </c>
      <c r="Q132" s="119">
        <v>27.8</v>
      </c>
      <c r="R132" s="119">
        <v>21.5</v>
      </c>
      <c r="S132" s="119">
        <v>21.5</v>
      </c>
      <c r="T132" s="119">
        <v>-7.9</v>
      </c>
      <c r="U132" s="119">
        <v>-6.4</v>
      </c>
      <c r="V132" s="119">
        <v>-6.4</v>
      </c>
      <c r="W132" s="119">
        <v>13.2</v>
      </c>
      <c r="X132" s="119">
        <v>7.7</v>
      </c>
      <c r="Y132" s="119">
        <v>7.7</v>
      </c>
      <c r="Z132" s="119">
        <v>18.8</v>
      </c>
      <c r="AA132" s="119">
        <v>34.1</v>
      </c>
      <c r="AB132" s="119">
        <v>7.4</v>
      </c>
      <c r="AC132" s="119">
        <v>7.4</v>
      </c>
      <c r="AD132" s="119">
        <v>4.3</v>
      </c>
      <c r="AE132" s="119">
        <v>4.3</v>
      </c>
      <c r="AF132" s="119">
        <v>22</v>
      </c>
      <c r="AG132" s="128"/>
      <c r="AH132" s="48">
        <f>MAX(B132:AF132)</f>
        <v>34.1</v>
      </c>
      <c r="AI132" s="49">
        <f>MIN(B132:AF132)</f>
        <v>-54.1</v>
      </c>
    </row>
    <row r="133" spans="1:37" ht="15.75" thickBot="1" x14ac:dyDescent="0.3">
      <c r="A133" s="129" t="s">
        <v>153</v>
      </c>
      <c r="B133" s="119">
        <v>24.6</v>
      </c>
      <c r="C133" s="119"/>
      <c r="D133" s="119">
        <v>18</v>
      </c>
      <c r="E133" s="119">
        <v>20.100000000000001</v>
      </c>
      <c r="F133" s="119">
        <v>1.8</v>
      </c>
      <c r="G133" s="119">
        <v>1.7</v>
      </c>
      <c r="H133" s="119">
        <v>9.4</v>
      </c>
      <c r="I133" s="119">
        <v>8.9</v>
      </c>
      <c r="J133" s="119">
        <v>8.9</v>
      </c>
      <c r="K133" s="119"/>
      <c r="L133" s="119">
        <v>25.6</v>
      </c>
      <c r="M133" s="119">
        <v>30.3</v>
      </c>
      <c r="N133" s="119">
        <v>26.8</v>
      </c>
      <c r="O133" s="119">
        <v>34.200000000000003</v>
      </c>
      <c r="P133" s="119">
        <v>26.8</v>
      </c>
      <c r="Q133" s="119">
        <v>43.8</v>
      </c>
      <c r="R133" s="119">
        <v>32.5</v>
      </c>
      <c r="S133" s="119">
        <v>32.5</v>
      </c>
      <c r="T133" s="119">
        <v>28.8</v>
      </c>
      <c r="U133" s="119">
        <v>27.7</v>
      </c>
      <c r="V133" s="119">
        <v>27.7</v>
      </c>
      <c r="W133" s="119">
        <v>40.6</v>
      </c>
      <c r="X133" s="119">
        <v>36.9</v>
      </c>
      <c r="Y133" s="119">
        <v>36.9</v>
      </c>
      <c r="Z133" s="119">
        <v>42.7</v>
      </c>
      <c r="AA133" s="119">
        <v>56.2</v>
      </c>
      <c r="AB133" s="119">
        <v>32</v>
      </c>
      <c r="AC133" s="119">
        <v>32</v>
      </c>
      <c r="AD133" s="119">
        <v>27</v>
      </c>
      <c r="AE133" s="119">
        <v>27</v>
      </c>
      <c r="AF133" s="119">
        <v>45</v>
      </c>
      <c r="AG133" s="128"/>
      <c r="AH133" s="48">
        <f>MAX(B133:AF133)</f>
        <v>56.2</v>
      </c>
      <c r="AI133" s="49">
        <f>MIN(B133:AF133)</f>
        <v>1.7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>
        <v>1985.38</v>
      </c>
      <c r="P135" s="137">
        <v>1985.23</v>
      </c>
      <c r="Q135" s="137">
        <v>1985.08</v>
      </c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>
        <v>882</v>
      </c>
      <c r="Q139" s="140">
        <v>882</v>
      </c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3">SUM(B142:B246)</f>
        <v>0</v>
      </c>
      <c r="C247" s="161">
        <f t="shared" si="53"/>
        <v>0</v>
      </c>
      <c r="D247" s="161">
        <f t="shared" si="53"/>
        <v>0</v>
      </c>
      <c r="E247" s="161">
        <f t="shared" si="53"/>
        <v>0</v>
      </c>
      <c r="F247" s="161">
        <f t="shared" si="53"/>
        <v>0</v>
      </c>
      <c r="G247" s="161">
        <f t="shared" si="53"/>
        <v>0</v>
      </c>
      <c r="H247" s="161">
        <f t="shared" si="53"/>
        <v>0</v>
      </c>
      <c r="I247" s="161">
        <f t="shared" si="53"/>
        <v>0</v>
      </c>
      <c r="J247" s="161">
        <f t="shared" si="53"/>
        <v>0</v>
      </c>
      <c r="K247" s="161">
        <f t="shared" si="53"/>
        <v>0</v>
      </c>
      <c r="L247" s="161">
        <f t="shared" si="53"/>
        <v>0</v>
      </c>
      <c r="M247" s="161">
        <f t="shared" si="53"/>
        <v>0</v>
      </c>
      <c r="N247" s="161">
        <f t="shared" si="53"/>
        <v>0</v>
      </c>
      <c r="O247" s="161">
        <f t="shared" si="53"/>
        <v>0</v>
      </c>
      <c r="P247" s="161">
        <f t="shared" si="53"/>
        <v>0</v>
      </c>
      <c r="Q247" s="161">
        <f t="shared" si="53"/>
        <v>0</v>
      </c>
      <c r="R247" s="161">
        <f t="shared" si="53"/>
        <v>0</v>
      </c>
      <c r="S247" s="161">
        <f t="shared" si="53"/>
        <v>0</v>
      </c>
      <c r="T247" s="161">
        <f t="shared" si="53"/>
        <v>0</v>
      </c>
      <c r="U247" s="161">
        <f t="shared" si="53"/>
        <v>0</v>
      </c>
      <c r="V247" s="161">
        <f t="shared" si="53"/>
        <v>0</v>
      </c>
      <c r="W247" s="161">
        <f t="shared" si="53"/>
        <v>0</v>
      </c>
      <c r="X247" s="161">
        <f t="shared" si="53"/>
        <v>0</v>
      </c>
      <c r="Y247" s="161">
        <f t="shared" si="53"/>
        <v>0</v>
      </c>
      <c r="Z247" s="161">
        <f t="shared" si="53"/>
        <v>0</v>
      </c>
      <c r="AA247" s="161">
        <f t="shared" si="53"/>
        <v>0</v>
      </c>
      <c r="AB247" s="161">
        <f t="shared" si="53"/>
        <v>0</v>
      </c>
      <c r="AC247" s="161">
        <f t="shared" si="53"/>
        <v>0</v>
      </c>
      <c r="AD247" s="161">
        <f t="shared" si="53"/>
        <v>0</v>
      </c>
      <c r="AE247" s="161">
        <f t="shared" si="53"/>
        <v>0</v>
      </c>
      <c r="AF247" s="162">
        <f t="shared" si="53"/>
        <v>0</v>
      </c>
      <c r="AG247" s="163">
        <f t="shared" si="53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4">AF249</f>
        <v>0.3</v>
      </c>
      <c r="C249" s="166">
        <v>0.3</v>
      </c>
      <c r="D249" s="166">
        <f t="shared" ref="D249:S254" si="55">C249</f>
        <v>0.3</v>
      </c>
      <c r="E249" s="166">
        <f t="shared" si="55"/>
        <v>0.3</v>
      </c>
      <c r="F249" s="166">
        <f t="shared" si="55"/>
        <v>0.3</v>
      </c>
      <c r="G249" s="166">
        <f t="shared" si="55"/>
        <v>0.3</v>
      </c>
      <c r="H249" s="166">
        <f t="shared" si="55"/>
        <v>0.3</v>
      </c>
      <c r="I249" s="166">
        <f t="shared" si="55"/>
        <v>0.3</v>
      </c>
      <c r="J249" s="166">
        <f t="shared" si="55"/>
        <v>0.3</v>
      </c>
      <c r="K249" s="166">
        <f t="shared" si="55"/>
        <v>0.3</v>
      </c>
      <c r="L249" s="166">
        <f t="shared" si="55"/>
        <v>0.3</v>
      </c>
      <c r="M249" s="166">
        <f t="shared" si="55"/>
        <v>0.3</v>
      </c>
      <c r="N249" s="166">
        <f t="shared" si="55"/>
        <v>0.3</v>
      </c>
      <c r="O249" s="166">
        <f t="shared" si="55"/>
        <v>0.3</v>
      </c>
      <c r="P249" s="166">
        <f t="shared" si="55"/>
        <v>0.3</v>
      </c>
      <c r="Q249" s="166">
        <f t="shared" si="55"/>
        <v>0.3</v>
      </c>
      <c r="R249" s="166">
        <f t="shared" si="55"/>
        <v>0.3</v>
      </c>
      <c r="S249" s="166">
        <f t="shared" si="55"/>
        <v>0.3</v>
      </c>
      <c r="T249" s="166">
        <f t="shared" ref="T249:AF254" si="56">S249</f>
        <v>0.3</v>
      </c>
      <c r="U249" s="166">
        <f t="shared" si="56"/>
        <v>0.3</v>
      </c>
      <c r="V249" s="166">
        <f t="shared" si="56"/>
        <v>0.3</v>
      </c>
      <c r="W249" s="166">
        <f t="shared" si="56"/>
        <v>0.3</v>
      </c>
      <c r="X249" s="166">
        <f t="shared" si="56"/>
        <v>0.3</v>
      </c>
      <c r="Y249" s="166">
        <f t="shared" si="56"/>
        <v>0.3</v>
      </c>
      <c r="Z249" s="166">
        <f t="shared" si="56"/>
        <v>0.3</v>
      </c>
      <c r="AA249" s="166">
        <f t="shared" si="56"/>
        <v>0.3</v>
      </c>
      <c r="AB249" s="166">
        <f t="shared" si="56"/>
        <v>0.3</v>
      </c>
      <c r="AC249" s="166">
        <f t="shared" si="56"/>
        <v>0.3</v>
      </c>
      <c r="AD249" s="166">
        <f t="shared" si="56"/>
        <v>0.3</v>
      </c>
      <c r="AE249" s="166">
        <f t="shared" si="56"/>
        <v>0.3</v>
      </c>
      <c r="AF249" s="166">
        <f t="shared" si="56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4"/>
        <v>0.4</v>
      </c>
      <c r="C250" s="152">
        <v>0.4</v>
      </c>
      <c r="D250" s="152">
        <f t="shared" si="55"/>
        <v>0.4</v>
      </c>
      <c r="E250" s="152">
        <f t="shared" si="55"/>
        <v>0.4</v>
      </c>
      <c r="F250" s="152">
        <f t="shared" si="55"/>
        <v>0.4</v>
      </c>
      <c r="G250" s="152">
        <f t="shared" si="55"/>
        <v>0.4</v>
      </c>
      <c r="H250" s="152">
        <f t="shared" si="55"/>
        <v>0.4</v>
      </c>
      <c r="I250" s="152">
        <f t="shared" si="55"/>
        <v>0.4</v>
      </c>
      <c r="J250" s="152">
        <f t="shared" si="55"/>
        <v>0.4</v>
      </c>
      <c r="K250" s="152">
        <f t="shared" si="55"/>
        <v>0.4</v>
      </c>
      <c r="L250" s="152">
        <f t="shared" si="55"/>
        <v>0.4</v>
      </c>
      <c r="M250" s="152">
        <f t="shared" si="55"/>
        <v>0.4</v>
      </c>
      <c r="N250" s="152">
        <f t="shared" si="55"/>
        <v>0.4</v>
      </c>
      <c r="O250" s="152">
        <f t="shared" si="55"/>
        <v>0.4</v>
      </c>
      <c r="P250" s="152">
        <f t="shared" si="55"/>
        <v>0.4</v>
      </c>
      <c r="Q250" s="152">
        <f t="shared" si="55"/>
        <v>0.4</v>
      </c>
      <c r="R250" s="152">
        <f t="shared" si="55"/>
        <v>0.4</v>
      </c>
      <c r="S250" s="152">
        <f t="shared" si="55"/>
        <v>0.4</v>
      </c>
      <c r="T250" s="152">
        <f t="shared" si="56"/>
        <v>0.4</v>
      </c>
      <c r="U250" s="152">
        <f t="shared" si="56"/>
        <v>0.4</v>
      </c>
      <c r="V250" s="152">
        <f t="shared" si="56"/>
        <v>0.4</v>
      </c>
      <c r="W250" s="152">
        <f t="shared" si="56"/>
        <v>0.4</v>
      </c>
      <c r="X250" s="152">
        <f t="shared" si="56"/>
        <v>0.4</v>
      </c>
      <c r="Y250" s="152">
        <f t="shared" si="56"/>
        <v>0.4</v>
      </c>
      <c r="Z250" s="152">
        <f t="shared" si="56"/>
        <v>0.4</v>
      </c>
      <c r="AA250" s="152">
        <f t="shared" si="56"/>
        <v>0.4</v>
      </c>
      <c r="AB250" s="152">
        <f t="shared" si="56"/>
        <v>0.4</v>
      </c>
      <c r="AC250" s="152">
        <f t="shared" si="56"/>
        <v>0.4</v>
      </c>
      <c r="AD250" s="152">
        <f t="shared" si="56"/>
        <v>0.4</v>
      </c>
      <c r="AE250" s="152">
        <f t="shared" si="56"/>
        <v>0.4</v>
      </c>
      <c r="AF250" s="152">
        <f t="shared" si="56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4"/>
        <v>1.5</v>
      </c>
      <c r="C251" s="152">
        <v>1.5</v>
      </c>
      <c r="D251" s="152">
        <f t="shared" si="55"/>
        <v>1.5</v>
      </c>
      <c r="E251" s="152">
        <f t="shared" si="55"/>
        <v>1.5</v>
      </c>
      <c r="F251" s="152">
        <f t="shared" si="55"/>
        <v>1.5</v>
      </c>
      <c r="G251" s="152">
        <f t="shared" si="55"/>
        <v>1.5</v>
      </c>
      <c r="H251" s="152">
        <f t="shared" si="55"/>
        <v>1.5</v>
      </c>
      <c r="I251" s="152">
        <f t="shared" si="55"/>
        <v>1.5</v>
      </c>
      <c r="J251" s="152">
        <f t="shared" si="55"/>
        <v>1.5</v>
      </c>
      <c r="K251" s="152">
        <f t="shared" si="55"/>
        <v>1.5</v>
      </c>
      <c r="L251" s="152">
        <f t="shared" si="55"/>
        <v>1.5</v>
      </c>
      <c r="M251" s="152">
        <f t="shared" si="55"/>
        <v>1.5</v>
      </c>
      <c r="N251" s="152">
        <f t="shared" si="55"/>
        <v>1.5</v>
      </c>
      <c r="O251" s="152">
        <f t="shared" si="55"/>
        <v>1.5</v>
      </c>
      <c r="P251" s="152">
        <f t="shared" si="55"/>
        <v>1.5</v>
      </c>
      <c r="Q251" s="152">
        <f t="shared" si="55"/>
        <v>1.5</v>
      </c>
      <c r="R251" s="152">
        <f t="shared" si="55"/>
        <v>1.5</v>
      </c>
      <c r="S251" s="152">
        <f t="shared" si="55"/>
        <v>1.5</v>
      </c>
      <c r="T251" s="152">
        <f t="shared" si="56"/>
        <v>1.5</v>
      </c>
      <c r="U251" s="152">
        <f t="shared" si="56"/>
        <v>1.5</v>
      </c>
      <c r="V251" s="152">
        <f t="shared" si="56"/>
        <v>1.5</v>
      </c>
      <c r="W251" s="152">
        <f t="shared" si="56"/>
        <v>1.5</v>
      </c>
      <c r="X251" s="152">
        <f t="shared" si="56"/>
        <v>1.5</v>
      </c>
      <c r="Y251" s="152">
        <f t="shared" si="56"/>
        <v>1.5</v>
      </c>
      <c r="Z251" s="152">
        <f t="shared" si="56"/>
        <v>1.5</v>
      </c>
      <c r="AA251" s="152">
        <f t="shared" si="56"/>
        <v>1.5</v>
      </c>
      <c r="AB251" s="152">
        <f t="shared" si="56"/>
        <v>1.5</v>
      </c>
      <c r="AC251" s="152">
        <f t="shared" si="56"/>
        <v>1.5</v>
      </c>
      <c r="AD251" s="152">
        <f t="shared" si="56"/>
        <v>1.5</v>
      </c>
      <c r="AE251" s="152">
        <f t="shared" si="56"/>
        <v>1.5</v>
      </c>
      <c r="AF251" s="152">
        <f t="shared" si="56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4"/>
        <v>0.3</v>
      </c>
      <c r="C252" s="152">
        <v>0.3</v>
      </c>
      <c r="D252" s="152">
        <f t="shared" si="55"/>
        <v>0.3</v>
      </c>
      <c r="E252" s="152">
        <f t="shared" si="55"/>
        <v>0.3</v>
      </c>
      <c r="F252" s="152">
        <f t="shared" si="55"/>
        <v>0.3</v>
      </c>
      <c r="G252" s="152">
        <f t="shared" si="55"/>
        <v>0.3</v>
      </c>
      <c r="H252" s="152">
        <f t="shared" si="55"/>
        <v>0.3</v>
      </c>
      <c r="I252" s="152">
        <f t="shared" si="55"/>
        <v>0.3</v>
      </c>
      <c r="J252" s="152">
        <f t="shared" si="55"/>
        <v>0.3</v>
      </c>
      <c r="K252" s="152">
        <f t="shared" si="55"/>
        <v>0.3</v>
      </c>
      <c r="L252" s="152">
        <f t="shared" si="55"/>
        <v>0.3</v>
      </c>
      <c r="M252" s="152">
        <f t="shared" si="55"/>
        <v>0.3</v>
      </c>
      <c r="N252" s="152">
        <f t="shared" si="55"/>
        <v>0.3</v>
      </c>
      <c r="O252" s="152">
        <f t="shared" si="55"/>
        <v>0.3</v>
      </c>
      <c r="P252" s="152">
        <f t="shared" si="55"/>
        <v>0.3</v>
      </c>
      <c r="Q252" s="152">
        <f t="shared" si="55"/>
        <v>0.3</v>
      </c>
      <c r="R252" s="152">
        <f t="shared" si="55"/>
        <v>0.3</v>
      </c>
      <c r="S252" s="152">
        <f t="shared" si="55"/>
        <v>0.3</v>
      </c>
      <c r="T252" s="152">
        <f t="shared" si="56"/>
        <v>0.3</v>
      </c>
      <c r="U252" s="152">
        <f t="shared" si="56"/>
        <v>0.3</v>
      </c>
      <c r="V252" s="152">
        <f t="shared" si="56"/>
        <v>0.3</v>
      </c>
      <c r="W252" s="152">
        <f t="shared" si="56"/>
        <v>0.3</v>
      </c>
      <c r="X252" s="152">
        <f t="shared" si="56"/>
        <v>0.3</v>
      </c>
      <c r="Y252" s="152">
        <f t="shared" si="56"/>
        <v>0.3</v>
      </c>
      <c r="Z252" s="152">
        <f t="shared" si="56"/>
        <v>0.3</v>
      </c>
      <c r="AA252" s="152">
        <f t="shared" si="56"/>
        <v>0.3</v>
      </c>
      <c r="AB252" s="152">
        <f t="shared" si="56"/>
        <v>0.3</v>
      </c>
      <c r="AC252" s="152">
        <f t="shared" si="56"/>
        <v>0.3</v>
      </c>
      <c r="AD252" s="152">
        <f t="shared" si="56"/>
        <v>0.3</v>
      </c>
      <c r="AE252" s="152">
        <f t="shared" si="56"/>
        <v>0.3</v>
      </c>
      <c r="AF252" s="152">
        <f t="shared" si="56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4"/>
        <v>0.4</v>
      </c>
      <c r="C253" s="152">
        <v>0.4</v>
      </c>
      <c r="D253" s="152">
        <f t="shared" si="55"/>
        <v>0.4</v>
      </c>
      <c r="E253" s="152">
        <f t="shared" si="55"/>
        <v>0.4</v>
      </c>
      <c r="F253" s="152">
        <f t="shared" si="55"/>
        <v>0.4</v>
      </c>
      <c r="G253" s="152">
        <f t="shared" si="55"/>
        <v>0.4</v>
      </c>
      <c r="H253" s="152">
        <f t="shared" si="55"/>
        <v>0.4</v>
      </c>
      <c r="I253" s="152">
        <f t="shared" si="55"/>
        <v>0.4</v>
      </c>
      <c r="J253" s="152">
        <f t="shared" si="55"/>
        <v>0.4</v>
      </c>
      <c r="K253" s="152">
        <f t="shared" si="55"/>
        <v>0.4</v>
      </c>
      <c r="L253" s="152">
        <f t="shared" si="55"/>
        <v>0.4</v>
      </c>
      <c r="M253" s="152">
        <f t="shared" si="55"/>
        <v>0.4</v>
      </c>
      <c r="N253" s="152">
        <f t="shared" si="55"/>
        <v>0.4</v>
      </c>
      <c r="O253" s="152">
        <f t="shared" si="55"/>
        <v>0.4</v>
      </c>
      <c r="P253" s="152">
        <f t="shared" si="55"/>
        <v>0.4</v>
      </c>
      <c r="Q253" s="152">
        <f t="shared" si="55"/>
        <v>0.4</v>
      </c>
      <c r="R253" s="152">
        <f t="shared" si="55"/>
        <v>0.4</v>
      </c>
      <c r="S253" s="152">
        <f t="shared" si="55"/>
        <v>0.4</v>
      </c>
      <c r="T253" s="152">
        <f t="shared" si="56"/>
        <v>0.4</v>
      </c>
      <c r="U253" s="152">
        <f t="shared" si="56"/>
        <v>0.4</v>
      </c>
      <c r="V253" s="152">
        <f t="shared" si="56"/>
        <v>0.4</v>
      </c>
      <c r="W253" s="152">
        <f t="shared" si="56"/>
        <v>0.4</v>
      </c>
      <c r="X253" s="152">
        <f t="shared" si="56"/>
        <v>0.4</v>
      </c>
      <c r="Y253" s="152">
        <f t="shared" si="56"/>
        <v>0.4</v>
      </c>
      <c r="Z253" s="152">
        <f t="shared" si="56"/>
        <v>0.4</v>
      </c>
      <c r="AA253" s="152">
        <f t="shared" si="56"/>
        <v>0.4</v>
      </c>
      <c r="AB253" s="152">
        <f t="shared" si="56"/>
        <v>0.4</v>
      </c>
      <c r="AC253" s="152">
        <f t="shared" si="56"/>
        <v>0.4</v>
      </c>
      <c r="AD253" s="152">
        <f t="shared" si="56"/>
        <v>0.4</v>
      </c>
      <c r="AE253" s="152">
        <f t="shared" si="56"/>
        <v>0.4</v>
      </c>
      <c r="AF253" s="152">
        <f t="shared" si="56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4"/>
        <v>0.64</v>
      </c>
      <c r="C254" s="157">
        <v>0.64</v>
      </c>
      <c r="D254" s="157">
        <f t="shared" si="55"/>
        <v>0.64</v>
      </c>
      <c r="E254" s="157">
        <f t="shared" si="55"/>
        <v>0.64</v>
      </c>
      <c r="F254" s="157">
        <f t="shared" si="55"/>
        <v>0.64</v>
      </c>
      <c r="G254" s="157">
        <f t="shared" si="55"/>
        <v>0.64</v>
      </c>
      <c r="H254" s="157">
        <f t="shared" si="55"/>
        <v>0.64</v>
      </c>
      <c r="I254" s="157">
        <f t="shared" si="55"/>
        <v>0.64</v>
      </c>
      <c r="J254" s="157">
        <f t="shared" si="55"/>
        <v>0.64</v>
      </c>
      <c r="K254" s="157">
        <f t="shared" si="55"/>
        <v>0.64</v>
      </c>
      <c r="L254" s="157">
        <f t="shared" si="55"/>
        <v>0.64</v>
      </c>
      <c r="M254" s="157">
        <f t="shared" si="55"/>
        <v>0.64</v>
      </c>
      <c r="N254" s="157">
        <f t="shared" si="55"/>
        <v>0.64</v>
      </c>
      <c r="O254" s="157">
        <f t="shared" si="55"/>
        <v>0.64</v>
      </c>
      <c r="P254" s="157">
        <f t="shared" si="55"/>
        <v>0.64</v>
      </c>
      <c r="Q254" s="157">
        <f t="shared" si="55"/>
        <v>0.64</v>
      </c>
      <c r="R254" s="157">
        <f t="shared" si="55"/>
        <v>0.64</v>
      </c>
      <c r="S254" s="157">
        <f t="shared" si="55"/>
        <v>0.64</v>
      </c>
      <c r="T254" s="157">
        <f t="shared" si="56"/>
        <v>0.64</v>
      </c>
      <c r="U254" s="157">
        <f t="shared" si="56"/>
        <v>0.64</v>
      </c>
      <c r="V254" s="157">
        <f t="shared" si="56"/>
        <v>0.64</v>
      </c>
      <c r="W254" s="157">
        <f t="shared" si="56"/>
        <v>0.64</v>
      </c>
      <c r="X254" s="157">
        <f t="shared" si="56"/>
        <v>0.64</v>
      </c>
      <c r="Y254" s="157">
        <f t="shared" si="56"/>
        <v>0.64</v>
      </c>
      <c r="Z254" s="157">
        <f t="shared" si="56"/>
        <v>0.64</v>
      </c>
      <c r="AA254" s="157">
        <f t="shared" si="56"/>
        <v>0.64</v>
      </c>
      <c r="AB254" s="157">
        <f t="shared" si="56"/>
        <v>0.64</v>
      </c>
      <c r="AC254" s="157">
        <f t="shared" si="56"/>
        <v>0.64</v>
      </c>
      <c r="AD254" s="157">
        <f t="shared" si="56"/>
        <v>0.64</v>
      </c>
      <c r="AE254" s="157">
        <f t="shared" si="56"/>
        <v>0.64</v>
      </c>
      <c r="AF254" s="157">
        <f t="shared" si="56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7">SUM(B249:B254)</f>
        <v>3.54</v>
      </c>
      <c r="C255" s="161">
        <f t="shared" si="57"/>
        <v>3.54</v>
      </c>
      <c r="D255" s="161">
        <f t="shared" si="57"/>
        <v>3.54</v>
      </c>
      <c r="E255" s="161">
        <f t="shared" si="57"/>
        <v>3.54</v>
      </c>
      <c r="F255" s="161">
        <f t="shared" si="57"/>
        <v>3.54</v>
      </c>
      <c r="G255" s="161">
        <f t="shared" si="57"/>
        <v>3.54</v>
      </c>
      <c r="H255" s="161">
        <f t="shared" si="57"/>
        <v>3.54</v>
      </c>
      <c r="I255" s="161">
        <f t="shared" si="57"/>
        <v>3.54</v>
      </c>
      <c r="J255" s="161">
        <f t="shared" si="57"/>
        <v>3.54</v>
      </c>
      <c r="K255" s="161">
        <f t="shared" si="57"/>
        <v>3.54</v>
      </c>
      <c r="L255" s="161">
        <f t="shared" si="57"/>
        <v>3.54</v>
      </c>
      <c r="M255" s="161">
        <f t="shared" si="57"/>
        <v>3.54</v>
      </c>
      <c r="N255" s="161">
        <f t="shared" si="57"/>
        <v>3.54</v>
      </c>
      <c r="O255" s="161">
        <f t="shared" si="57"/>
        <v>3.54</v>
      </c>
      <c r="P255" s="161">
        <f t="shared" si="57"/>
        <v>3.54</v>
      </c>
      <c r="Q255" s="161">
        <f t="shared" si="57"/>
        <v>3.54</v>
      </c>
      <c r="R255" s="161">
        <f t="shared" si="57"/>
        <v>3.54</v>
      </c>
      <c r="S255" s="161">
        <f t="shared" si="57"/>
        <v>3.54</v>
      </c>
      <c r="T255" s="161">
        <f t="shared" si="57"/>
        <v>3.54</v>
      </c>
      <c r="U255" s="161">
        <f t="shared" si="57"/>
        <v>3.54</v>
      </c>
      <c r="V255" s="161">
        <f t="shared" si="57"/>
        <v>3.54</v>
      </c>
      <c r="W255" s="161">
        <f t="shared" si="57"/>
        <v>3.54</v>
      </c>
      <c r="X255" s="161">
        <f t="shared" si="57"/>
        <v>3.54</v>
      </c>
      <c r="Y255" s="161">
        <f t="shared" si="57"/>
        <v>3.54</v>
      </c>
      <c r="Z255" s="161">
        <f t="shared" si="57"/>
        <v>3.54</v>
      </c>
      <c r="AA255" s="161">
        <f t="shared" si="57"/>
        <v>3.54</v>
      </c>
      <c r="AB255" s="161">
        <f t="shared" si="57"/>
        <v>3.54</v>
      </c>
      <c r="AC255" s="161">
        <f t="shared" si="57"/>
        <v>3.54</v>
      </c>
      <c r="AD255" s="161">
        <f t="shared" si="57"/>
        <v>3.54</v>
      </c>
      <c r="AE255" s="161">
        <f t="shared" si="57"/>
        <v>3.54</v>
      </c>
      <c r="AF255" s="161">
        <f t="shared" si="57"/>
        <v>3.54</v>
      </c>
      <c r="AG255" s="171">
        <f t="shared" si="57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2054.34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2080/10/7)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3475" priority="84">
      <formula>$AH11=0</formula>
    </cfRule>
  </conditionalFormatting>
  <conditionalFormatting sqref="A89">
    <cfRule type="expression" dxfId="3474" priority="142">
      <formula>$AH94=0</formula>
    </cfRule>
  </conditionalFormatting>
  <conditionalFormatting sqref="A90:A94">
    <cfRule type="expression" dxfId="3473" priority="85">
      <formula>$AH89=0</formula>
    </cfRule>
  </conditionalFormatting>
  <conditionalFormatting sqref="B8">
    <cfRule type="expression" dxfId="3472" priority="138">
      <formula>AND(C$9&gt;=14/24,C$9&lt;20/24)</formula>
    </cfRule>
    <cfRule type="expression" dxfId="3471" priority="139">
      <formula>AND(C$9&gt;=8/24,C$9&lt;14/24)</formula>
    </cfRule>
    <cfRule type="expression" dxfId="3470" priority="140">
      <formula>C$9&lt;8/24</formula>
    </cfRule>
    <cfRule type="expression" dxfId="3469" priority="141">
      <formula>C$9&gt;=20/24</formula>
    </cfRule>
  </conditionalFormatting>
  <conditionalFormatting sqref="B11:J60 N15:R59 AC15:AF60 AA15:AB78 S15:Z83 K24:M59 K60:R60 B61:R83 K11:K23 L15:M23 AC61:AG61 AC62:AF64 AC65:AG65 AC66:AF78 AA79:AF83 AG83">
    <cfRule type="expression" dxfId="3468" priority="44">
      <formula>B11&gt;$AG11</formula>
    </cfRule>
  </conditionalFormatting>
  <conditionalFormatting sqref="B9:AF10 K11:K23 B11:J57 L15:M23 N15:AF57 K24:M57 E62:J64 B62:D71 G66:G76 E66:F77 H66:J77 L66:AF77 B72:R77 B80:AF102 B104:AF120 B122:AF140 B247:AF247 B249:B255">
    <cfRule type="expression" dxfId="3467" priority="46">
      <formula>AND(B$9&gt;=14/24,B$9&lt;20/24)</formula>
    </cfRule>
    <cfRule type="expression" dxfId="3466" priority="47">
      <formula>AND(B$9&gt;=8/24,B$9&lt;14/24)</formula>
    </cfRule>
    <cfRule type="expression" dxfId="3465" priority="48">
      <formula>B$9&lt;8/24</formula>
    </cfRule>
  </conditionalFormatting>
  <conditionalFormatting sqref="B58:AF60">
    <cfRule type="expression" dxfId="3464" priority="41">
      <formula>B$9&gt;=20/24</formula>
    </cfRule>
    <cfRule type="expression" dxfId="3463" priority="42">
      <formula>AND(B$9&gt;=14/24,B$9&lt;20/24)</formula>
    </cfRule>
    <cfRule type="expression" dxfId="3462" priority="43">
      <formula>AND(B$9&gt;=8/24,B$9&lt;14/24)</formula>
    </cfRule>
    <cfRule type="expression" dxfId="3461" priority="53">
      <formula>B$9&lt;8/24</formula>
    </cfRule>
  </conditionalFormatting>
  <conditionalFormatting sqref="D249:AF255">
    <cfRule type="expression" dxfId="3460" priority="123">
      <formula>D$9&gt;=20/24</formula>
    </cfRule>
    <cfRule type="expression" dxfId="3459" priority="124">
      <formula>AND(D$9&gt;=14/24,D$9&lt;20/24)</formula>
    </cfRule>
    <cfRule type="expression" dxfId="3458" priority="125">
      <formula>AND(D$9&gt;=8/24,D$9&lt;14/24)</formula>
    </cfRule>
    <cfRule type="expression" dxfId="3457" priority="126">
      <formula>D$9&lt;8/24</formula>
    </cfRule>
  </conditionalFormatting>
  <conditionalFormatting sqref="E66:J70 K70">
    <cfRule type="expression" dxfId="3456" priority="54">
      <formula>E$9&gt;=20/24</formula>
    </cfRule>
    <cfRule type="expression" dxfId="3455" priority="55">
      <formula>AND(E$9&gt;=14/24,E$9&lt;20/24)</formula>
    </cfRule>
    <cfRule type="expression" dxfId="3454" priority="56">
      <formula>AND(E$9&gt;=8/24,E$9&lt;14/24)</formula>
    </cfRule>
    <cfRule type="expression" dxfId="3453" priority="57">
      <formula>E$9&lt;8/24</formula>
    </cfRule>
  </conditionalFormatting>
  <conditionalFormatting sqref="E71:Z71">
    <cfRule type="expression" dxfId="3452" priority="49">
      <formula>E$9&gt;=20/24</formula>
    </cfRule>
    <cfRule type="expression" dxfId="3451" priority="50">
      <formula>AND(E$9&gt;=14/24,E$9&lt;20/24)</formula>
    </cfRule>
    <cfRule type="expression" dxfId="3450" priority="51">
      <formula>AND(E$9&gt;=8/24,E$9&lt;14/24)</formula>
    </cfRule>
    <cfRule type="expression" dxfId="3449" priority="52">
      <formula>E$9&lt;8/24</formula>
    </cfRule>
  </conditionalFormatting>
  <conditionalFormatting sqref="E62:AF65">
    <cfRule type="expression" dxfId="3448" priority="64">
      <formula>E$9&gt;=20/24</formula>
    </cfRule>
    <cfRule type="expression" dxfId="3447" priority="65">
      <formula>AND(E$9&gt;=14/24,E$9&lt;20/24)</formula>
    </cfRule>
    <cfRule type="expression" dxfId="3446" priority="66">
      <formula>AND(E$9&gt;=8/24,E$9&lt;14/24)</formula>
    </cfRule>
    <cfRule type="expression" dxfId="3445" priority="67">
      <formula>E$9&lt;8/24</formula>
    </cfRule>
  </conditionalFormatting>
  <conditionalFormatting sqref="F66:Z68">
    <cfRule type="expression" dxfId="3444" priority="76">
      <formula>F$9&gt;=20/24</formula>
    </cfRule>
    <cfRule type="expression" dxfId="3443" priority="77">
      <formula>AND(F$9&gt;=14/24,F$9&lt;20/24)</formula>
    </cfRule>
    <cfRule type="expression" dxfId="3442" priority="78">
      <formula>AND(F$9&gt;=8/24,F$9&lt;14/24)</formula>
    </cfRule>
    <cfRule type="expression" dxfId="3441" priority="79">
      <formula>F$9&lt;8/24</formula>
    </cfRule>
  </conditionalFormatting>
  <conditionalFormatting sqref="K11:K23 B11:J57 L15:M23 N15:AF57 K24:M57 E62:J64 B62:D71 G66:G76 E66:F77 H66:J77 L66:AF77 B72:R77 B80:AF102 B9:AF10 B104:AF120 B122:AF140 B247:AF247 B249:B255">
    <cfRule type="expression" dxfId="3440" priority="45">
      <formula>B$9&gt;=20/24</formula>
    </cfRule>
  </conditionalFormatting>
  <conditionalFormatting sqref="L66:Z70">
    <cfRule type="expression" dxfId="3439" priority="1">
      <formula>L$9&gt;=20/24</formula>
    </cfRule>
    <cfRule type="expression" dxfId="3438" priority="2">
      <formula>AND(L$9&gt;=14/24,L$9&lt;20/24)</formula>
    </cfRule>
    <cfRule type="expression" dxfId="3437" priority="3">
      <formula>AND(L$9&gt;=8/24,L$9&lt;14/24)</formula>
    </cfRule>
    <cfRule type="expression" dxfId="3436" priority="4">
      <formula>L$9&lt;8/24</formula>
    </cfRule>
  </conditionalFormatting>
  <conditionalFormatting sqref="L71:Z71">
    <cfRule type="expression" dxfId="3435" priority="72">
      <formula>L$9&gt;=20/24</formula>
    </cfRule>
    <cfRule type="expression" dxfId="3434" priority="73">
      <formula>AND(L$9&gt;=14/24,L$9&lt;20/24)</formula>
    </cfRule>
    <cfRule type="expression" dxfId="3433" priority="74">
      <formula>AND(L$9&gt;=8/24,L$9&lt;14/24)</formula>
    </cfRule>
    <cfRule type="expression" dxfId="3432" priority="75">
      <formula>L$9&lt;8/24</formula>
    </cfRule>
  </conditionalFormatting>
  <conditionalFormatting sqref="L11:AF14">
    <cfRule type="expression" dxfId="3431" priority="58">
      <formula>L11&gt;$AG11</formula>
    </cfRule>
    <cfRule type="expression" dxfId="3430" priority="59">
      <formula>L$9&gt;=20/24</formula>
    </cfRule>
    <cfRule type="expression" dxfId="3429" priority="60">
      <formula>AND(L$9&gt;=14/24,L$9&lt;20/24)</formula>
    </cfRule>
    <cfRule type="expression" dxfId="3428" priority="61">
      <formula>AND(L$9&gt;=8/24,L$9&lt;14/24)</formula>
    </cfRule>
    <cfRule type="expression" dxfId="3427" priority="62">
      <formula>L$9&lt;8/24</formula>
    </cfRule>
  </conditionalFormatting>
  <conditionalFormatting sqref="M8 S8 AB8">
    <cfRule type="expression" dxfId="3426" priority="130">
      <formula>AND(N$9&gt;=14/24,N$9&lt;20/24)</formula>
    </cfRule>
    <cfRule type="expression" dxfId="3425" priority="131">
      <formula>AND(N$9&gt;=8/24,N$9&lt;14/24)</formula>
    </cfRule>
    <cfRule type="expression" dxfId="3424" priority="132">
      <formula>N$9&lt;8/24</formula>
    </cfRule>
  </conditionalFormatting>
  <conditionalFormatting sqref="M66:Z70">
    <cfRule type="expression" dxfId="3423" priority="80">
      <formula>M$9&gt;=20/24</formula>
    </cfRule>
    <cfRule type="expression" dxfId="3422" priority="81">
      <formula>AND(M$9&gt;=14/24,M$9&lt;20/24)</formula>
    </cfRule>
    <cfRule type="expression" dxfId="3421" priority="82">
      <formula>AND(M$9&gt;=8/24,M$9&lt;14/24)</formula>
    </cfRule>
    <cfRule type="expression" dxfId="3420" priority="83">
      <formula>M$9&lt;8/24</formula>
    </cfRule>
  </conditionalFormatting>
  <conditionalFormatting sqref="O3:P3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419" priority="129">
      <formula>N$9&gt;=20/24</formula>
    </cfRule>
  </conditionalFormatting>
  <conditionalFormatting sqref="S8">
    <cfRule type="expression" dxfId="3418" priority="116">
      <formula>U$9&gt;=20/24</formula>
    </cfRule>
    <cfRule type="expression" dxfId="3417" priority="117">
      <formula>AND(U$9&gt;=14/24,U$9&lt;20/24)</formula>
    </cfRule>
    <cfRule type="expression" dxfId="3416" priority="118">
      <formula>AND(U$9&gt;=8/24,U$9&lt;14/24)</formula>
    </cfRule>
    <cfRule type="expression" dxfId="3415" priority="119">
      <formula>U$9&lt;8/24</formula>
    </cfRule>
  </conditionalFormatting>
  <conditionalFormatting sqref="V3 AB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414" priority="112">
      <formula>AD$9&gt;=20/24</formula>
    </cfRule>
    <cfRule type="expression" dxfId="3413" priority="113">
      <formula>AND(AD$9&gt;=14/24,AD$9&lt;20/24)</formula>
    </cfRule>
    <cfRule type="expression" dxfId="3412" priority="114">
      <formula>AND(AD$9&gt;=8/24,AD$9&lt;14/24)</formula>
    </cfRule>
    <cfRule type="expression" dxfId="3411" priority="115">
      <formula>AD$9&lt;8/24</formula>
    </cfRule>
  </conditionalFormatting>
  <conditionalFormatting sqref="AG65">
    <cfRule type="expression" dxfId="3410" priority="91">
      <formula>AG$9&gt;=20/24</formula>
    </cfRule>
    <cfRule type="expression" dxfId="3409" priority="92">
      <formula>AND(AG$9&gt;=14/24,AG$9&lt;20/24)</formula>
    </cfRule>
    <cfRule type="expression" dxfId="3408" priority="93">
      <formula>AND(AG$9&gt;=8/24,AG$9&lt;14/24)</formula>
    </cfRule>
    <cfRule type="expression" dxfId="3407" priority="94">
      <formula>AG$9&lt;8/24</formula>
    </cfRule>
  </conditionalFormatting>
  <conditionalFormatting sqref="AG78:AG79">
    <cfRule type="expression" dxfId="3406" priority="86">
      <formula>AG78&gt;$AG78</formula>
    </cfRule>
  </conditionalFormatting>
  <conditionalFormatting sqref="AG83">
    <cfRule type="expression" dxfId="3405" priority="87">
      <formula>AG$9&gt;=20/24</formula>
    </cfRule>
    <cfRule type="expression" dxfId="3404" priority="88">
      <formula>AND(AG$9&gt;=14/24,AG$9&lt;20/24)</formula>
    </cfRule>
    <cfRule type="expression" dxfId="3403" priority="89">
      <formula>AND(AG$9&gt;=8/24,AG$9&lt;14/24)</formula>
    </cfRule>
    <cfRule type="expression" dxfId="3402" priority="90">
      <formula>AG$9&lt;8/24</formula>
    </cfRule>
  </conditionalFormatting>
  <conditionalFormatting sqref="AG100">
    <cfRule type="expression" dxfId="3401" priority="108">
      <formula>AG$9&gt;=20/24</formula>
    </cfRule>
    <cfRule type="expression" dxfId="3400" priority="109">
      <formula>AND(AG$9&gt;=14/24,AG$9&lt;20/24)</formula>
    </cfRule>
    <cfRule type="expression" dxfId="3399" priority="110">
      <formula>AND(AG$9&gt;=8/24,AG$9&lt;14/24)</formula>
    </cfRule>
    <cfRule type="expression" dxfId="3398" priority="111">
      <formula>AG$9&lt;8/24</formula>
    </cfRule>
  </conditionalFormatting>
  <conditionalFormatting sqref="AL4:AL6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397" priority="133">
      <formula>AJ$9&gt;=20/24</formula>
    </cfRule>
    <cfRule type="expression" dxfId="3396" priority="134">
      <formula>AND(AJ$9&gt;=14/24,AJ$9&lt;20/24)</formula>
    </cfRule>
    <cfRule type="expression" dxfId="3395" priority="135">
      <formula>AND(AJ$9&gt;=8/24,AJ$9&lt;14/24)</formula>
    </cfRule>
    <cfRule type="expression" dxfId="3394" priority="136">
      <formula>AJ$9&lt;8/24</formula>
    </cfRule>
  </conditionalFormatting>
  <conditionalFormatting sqref="AL86:AN86 AL92:AN92">
    <cfRule type="expression" dxfId="3393" priority="101">
      <formula>AL$9&gt;=20/24</formula>
    </cfRule>
    <cfRule type="expression" dxfId="3392" priority="102">
      <formula>AND(AL$9&gt;=14/24,AL$9&lt;20/24)</formula>
    </cfRule>
    <cfRule type="expression" dxfId="3391" priority="103">
      <formula>AND(AL$9&gt;=8/24,AL$9&lt;14/24)</formula>
    </cfRule>
    <cfRule type="expression" dxfId="3390" priority="104">
      <formula>AL$9&lt;8/24</formula>
    </cfRule>
  </conditionalFormatting>
  <conditionalFormatting sqref="AM15:AM21 AN16:AR21">
    <cfRule type="expression" dxfId="3389" priority="17">
      <formula>AX$9&gt;=20/24</formula>
    </cfRule>
    <cfRule type="expression" dxfId="3388" priority="18">
      <formula>AND(AX$9&gt;=14/24,AX$9&lt;20/24)</formula>
    </cfRule>
    <cfRule type="expression" dxfId="3387" priority="19">
      <formula>AND(AX$9&gt;=8/24,AX$9&lt;14/24)</formula>
    </cfRule>
    <cfRule type="expression" dxfId="3386" priority="20">
      <formula>AX$9&lt;8/24</formula>
    </cfRule>
  </conditionalFormatting>
  <conditionalFormatting sqref="AN87:AN90">
    <cfRule type="expression" dxfId="3385" priority="97">
      <formula>AN$9&gt;=20/24</formula>
    </cfRule>
    <cfRule type="expression" dxfId="3384" priority="98">
      <formula>AND(AN$9&gt;=14/24,AN$9&lt;20/24)</formula>
    </cfRule>
    <cfRule type="expression" dxfId="3383" priority="99">
      <formula>AND(AN$9&gt;=8/24,AN$9&lt;14/24)</formula>
    </cfRule>
    <cfRule type="expression" dxfId="3382" priority="100">
      <formula>AN$9&lt;8/24</formula>
    </cfRule>
  </conditionalFormatting>
  <conditionalFormatting sqref="AN15:AR15">
    <cfRule type="expression" dxfId="3381" priority="5">
      <formula>U$9&gt;=20/24</formula>
    </cfRule>
    <cfRule type="expression" dxfId="3380" priority="6">
      <formula>AND(U$9&gt;=14/24,U$9&lt;20/24)</formula>
    </cfRule>
    <cfRule type="expression" dxfId="3379" priority="7">
      <formula>AND(U$9&gt;=8/24,U$9&lt;14/24)</formula>
    </cfRule>
    <cfRule type="expression" dxfId="3378" priority="8">
      <formula>U$9&lt;8/24</formula>
    </cfRule>
  </conditionalFormatting>
  <conditionalFormatting sqref="AS15">
    <cfRule type="expression" dxfId="3377" priority="13">
      <formula>AA$9&gt;=20/24</formula>
    </cfRule>
    <cfRule type="expression" dxfId="3376" priority="14">
      <formula>AND(AA$9&gt;=14/24,AA$9&lt;20/24)</formula>
    </cfRule>
    <cfRule type="expression" dxfId="3375" priority="15">
      <formula>AND(AA$9&gt;=8/24,AA$9&lt;14/24)</formula>
    </cfRule>
    <cfRule type="expression" dxfId="3374" priority="16">
      <formula>AA$9&lt;8/24</formula>
    </cfRule>
  </conditionalFormatting>
  <conditionalFormatting sqref="AS16:AS21">
    <cfRule type="expression" dxfId="3373" priority="21">
      <formula>BE$9&gt;=20/24</formula>
    </cfRule>
    <cfRule type="expression" dxfId="3372" priority="22">
      <formula>AND(BE$9&gt;=14/24,BE$9&lt;20/24)</formula>
    </cfRule>
    <cfRule type="expression" dxfId="3371" priority="23">
      <formula>AND(BE$9&gt;=8/24,BE$9&lt;14/24)</formula>
    </cfRule>
    <cfRule type="expression" dxfId="3370" priority="24">
      <formula>BE$9&lt;8/24</formula>
    </cfRule>
  </conditionalFormatting>
  <conditionalFormatting sqref="AT15 AX15:BJ15">
    <cfRule type="expression" dxfId="3369" priority="25">
      <formula>AC$9&gt;=20/24</formula>
    </cfRule>
    <cfRule type="expression" dxfId="3368" priority="26">
      <formula>AND(AC$9&gt;=14/24,AC$9&lt;20/24)</formula>
    </cfRule>
    <cfRule type="expression" dxfId="3367" priority="27">
      <formula>AND(AC$9&gt;=8/24,AC$9&lt;14/24)</formula>
    </cfRule>
    <cfRule type="expression" dxfId="3366" priority="28">
      <formula>AC$9&lt;8/24</formula>
    </cfRule>
  </conditionalFormatting>
  <conditionalFormatting sqref="AT16:AT21">
    <cfRule type="expression" dxfId="3365" priority="29">
      <formula>BG$9&gt;=20/24</formula>
    </cfRule>
    <cfRule type="expression" dxfId="3364" priority="30">
      <formula>AND(BG$9&gt;=14/24,BG$9&lt;20/24)</formula>
    </cfRule>
    <cfRule type="expression" dxfId="3363" priority="31">
      <formula>AND(BG$9&gt;=8/24,BG$9&lt;14/24)</formula>
    </cfRule>
    <cfRule type="expression" dxfId="3362" priority="32">
      <formula>BG$9&lt;8/24</formula>
    </cfRule>
  </conditionalFormatting>
  <conditionalFormatting sqref="AU15:AV15">
    <cfRule type="expression" dxfId="3361" priority="33">
      <formula>AE$9&gt;=20/24</formula>
    </cfRule>
    <cfRule type="expression" dxfId="3360" priority="34">
      <formula>AND(AE$9&gt;=14/24,AE$9&lt;20/24)</formula>
    </cfRule>
    <cfRule type="expression" dxfId="3359" priority="35">
      <formula>AND(AE$9&gt;=8/24,AE$9&lt;14/24)</formula>
    </cfRule>
    <cfRule type="expression" dxfId="3358" priority="36">
      <formula>AE$9&lt;8/24</formula>
    </cfRule>
  </conditionalFormatting>
  <conditionalFormatting sqref="AU16:BJ21">
    <cfRule type="expression" dxfId="3357" priority="37">
      <formula>BI$9&gt;=20/24</formula>
    </cfRule>
    <cfRule type="expression" dxfId="3356" priority="38">
      <formula>AND(BI$9&gt;=14/24,BI$9&lt;20/24)</formula>
    </cfRule>
    <cfRule type="expression" dxfId="3355" priority="39">
      <formula>AND(BI$9&gt;=8/24,BI$9&lt;14/24)</formula>
    </cfRule>
    <cfRule type="expression" dxfId="3354" priority="40">
      <formula>BI$9&lt;8/24</formula>
    </cfRule>
  </conditionalFormatting>
  <conditionalFormatting sqref="AW15">
    <cfRule type="expression" dxfId="3353" priority="9">
      <formula>B$9&gt;=20/24</formula>
    </cfRule>
    <cfRule type="expression" dxfId="3352" priority="10">
      <formula>AND(B$9&gt;=14/24,B$9&lt;20/24)</formula>
    </cfRule>
    <cfRule type="expression" dxfId="3351" priority="11">
      <formula>AND(B$9&gt;=8/24,B$9&lt;14/24)</formula>
    </cfRule>
    <cfRule type="expression" dxfId="3350" priority="12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FD00-9BB5-4C8D-A1BC-B1E935ECB38B}">
  <dimension ref="A1:CJ297"/>
  <sheetViews>
    <sheetView zoomScale="106" workbookViewId="0">
      <pane xSplit="1" ySplit="10" topLeftCell="B5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G89" sqref="G8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8554687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2080/10/8</v>
      </c>
      <c r="C4" s="189"/>
      <c r="D4" s="189"/>
      <c r="E4" s="190" t="str">
        <f ca="1">"2080/"&amp;"10/"&amp;INT(MID(CELL("filename",G6),FIND("]",CELL("filename",G6))+1,200))</f>
        <v>2080/10/8</v>
      </c>
      <c r="F4" s="190"/>
      <c r="G4" s="190"/>
      <c r="H4" s="190" t="str">
        <f ca="1">TEXT(E4,"dddd")</f>
        <v>Tuesday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50</v>
      </c>
      <c r="C5" s="30">
        <f t="shared" si="0"/>
        <v>63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3</v>
      </c>
      <c r="R5" s="30">
        <f t="shared" si="0"/>
        <v>9.3000000000000007</v>
      </c>
      <c r="S5" s="30">
        <f t="shared" si="0"/>
        <v>21.7</v>
      </c>
      <c r="T5" s="30">
        <f t="shared" si="0"/>
        <v>69.8</v>
      </c>
      <c r="U5" s="30">
        <f t="shared" si="0"/>
        <v>50</v>
      </c>
      <c r="V5" s="30">
        <f t="shared" si="0"/>
        <v>43</v>
      </c>
      <c r="W5" s="30">
        <f t="shared" si="0"/>
        <v>35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47.2</v>
      </c>
      <c r="AB5" s="30">
        <f t="shared" si="0"/>
        <v>47.4</v>
      </c>
      <c r="AC5" s="30">
        <f t="shared" si="0"/>
        <v>48.1</v>
      </c>
      <c r="AD5" s="30">
        <f t="shared" si="0"/>
        <v>49.4</v>
      </c>
      <c r="AE5" s="30">
        <f t="shared" si="0"/>
        <v>47.7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1972MW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Load=1319</v>
      </c>
      <c r="B7" s="35">
        <f t="shared" ref="B7:AF7" si="1">B103</f>
        <v>1591.9399999999996</v>
      </c>
      <c r="C7" s="35">
        <f t="shared" si="1"/>
        <v>1661.9399999999996</v>
      </c>
      <c r="D7" s="35">
        <f t="shared" si="1"/>
        <v>1648.9399999999996</v>
      </c>
      <c r="E7" s="35">
        <f t="shared" si="1"/>
        <v>1415.74</v>
      </c>
      <c r="F7" s="35">
        <f t="shared" si="1"/>
        <v>1404.84</v>
      </c>
      <c r="G7" s="35">
        <f t="shared" si="1"/>
        <v>1374.3400000000001</v>
      </c>
      <c r="H7" s="35">
        <f t="shared" si="1"/>
        <v>1353.04</v>
      </c>
      <c r="I7" s="35">
        <f t="shared" si="1"/>
        <v>1395.74</v>
      </c>
      <c r="J7" s="35">
        <f t="shared" si="1"/>
        <v>1319.2699999999998</v>
      </c>
      <c r="K7" s="35">
        <f t="shared" si="1"/>
        <v>1356.44</v>
      </c>
      <c r="L7" s="35">
        <f t="shared" si="1"/>
        <v>1375.9399999999996</v>
      </c>
      <c r="M7" s="35">
        <f t="shared" si="1"/>
        <v>1397.4399999999996</v>
      </c>
      <c r="N7" s="35">
        <f t="shared" si="1"/>
        <v>1452.2400000000002</v>
      </c>
      <c r="O7" s="35">
        <f t="shared" si="1"/>
        <v>1446.1399999999999</v>
      </c>
      <c r="P7" s="35">
        <f t="shared" si="1"/>
        <v>1452.94</v>
      </c>
      <c r="Q7" s="35">
        <f t="shared" si="1"/>
        <v>1455.94</v>
      </c>
      <c r="R7" s="35">
        <f t="shared" si="1"/>
        <v>1455.94</v>
      </c>
      <c r="S7" s="35">
        <f t="shared" si="1"/>
        <v>1505.5400000000002</v>
      </c>
      <c r="T7" s="35">
        <f t="shared" si="1"/>
        <v>1521.24</v>
      </c>
      <c r="U7" s="35">
        <f t="shared" si="1"/>
        <v>1493.0400000000002</v>
      </c>
      <c r="V7" s="35">
        <f t="shared" si="1"/>
        <v>1446.14</v>
      </c>
      <c r="W7" s="35">
        <f t="shared" si="1"/>
        <v>1435.8400000000001</v>
      </c>
      <c r="X7" s="35">
        <f t="shared" si="1"/>
        <v>1419.2399999999998</v>
      </c>
      <c r="Y7" s="35">
        <f t="shared" si="1"/>
        <v>1459.4</v>
      </c>
      <c r="Z7" s="35">
        <f t="shared" si="1"/>
        <v>1518.0000000000002</v>
      </c>
      <c r="AA7" s="35">
        <f t="shared" si="1"/>
        <v>1731.8</v>
      </c>
      <c r="AB7" s="35">
        <f t="shared" si="1"/>
        <v>1796</v>
      </c>
      <c r="AC7" s="35">
        <f t="shared" si="1"/>
        <v>1800.2999999999997</v>
      </c>
      <c r="AD7" s="35">
        <f t="shared" si="1"/>
        <v>1791.9999999999995</v>
      </c>
      <c r="AE7" s="35">
        <f t="shared" si="1"/>
        <v>1599.1</v>
      </c>
      <c r="AF7" s="35">
        <f t="shared" si="1"/>
        <v>1579.7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2211.9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1796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41</v>
      </c>
      <c r="C11" s="46">
        <v>41</v>
      </c>
      <c r="D11" s="46">
        <v>41</v>
      </c>
      <c r="E11" s="46">
        <v>50</v>
      </c>
      <c r="F11" s="46">
        <v>50</v>
      </c>
      <c r="G11" s="46">
        <v>50</v>
      </c>
      <c r="H11" s="46">
        <v>50</v>
      </c>
      <c r="I11" s="46">
        <v>50</v>
      </c>
      <c r="J11" s="46">
        <v>45.8</v>
      </c>
      <c r="K11" s="46">
        <v>41</v>
      </c>
      <c r="L11" s="46">
        <v>37.700000000000003</v>
      </c>
      <c r="M11" s="46">
        <v>37.700000000000003</v>
      </c>
      <c r="N11" s="46">
        <v>38.5</v>
      </c>
      <c r="O11" s="46">
        <v>38.5</v>
      </c>
      <c r="P11" s="46">
        <v>43</v>
      </c>
      <c r="Q11" s="46">
        <v>43</v>
      </c>
      <c r="R11" s="46">
        <v>43</v>
      </c>
      <c r="S11" s="46">
        <v>39.200000000000003</v>
      </c>
      <c r="T11" s="46">
        <v>31.8</v>
      </c>
      <c r="U11" s="46">
        <v>31.8</v>
      </c>
      <c r="V11" s="46">
        <v>36.799999999999997</v>
      </c>
      <c r="W11" s="46">
        <v>38.200000000000003</v>
      </c>
      <c r="X11" s="46">
        <v>37.9</v>
      </c>
      <c r="Y11" s="46">
        <v>37.5</v>
      </c>
      <c r="Z11" s="46">
        <v>37.1</v>
      </c>
      <c r="AA11" s="46">
        <v>37.1</v>
      </c>
      <c r="AB11" s="46">
        <v>37.1</v>
      </c>
      <c r="AC11" s="46">
        <v>37.1</v>
      </c>
      <c r="AD11" s="46">
        <v>37.1</v>
      </c>
      <c r="AE11" s="46">
        <v>37.1</v>
      </c>
      <c r="AF11" s="46">
        <v>37.1</v>
      </c>
      <c r="AG11" s="47">
        <v>86</v>
      </c>
      <c r="AH11" s="48">
        <f t="shared" ref="AH11:AH74" si="2">MAX(B11:AF11)</f>
        <v>50</v>
      </c>
      <c r="AI11" s="49">
        <f t="shared" ref="AI11:AI74" si="3">MIN(B11:AF11)</f>
        <v>31.8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64.2</v>
      </c>
      <c r="C12" s="46">
        <v>64.2</v>
      </c>
      <c r="D12" s="46">
        <v>64.2</v>
      </c>
      <c r="E12" s="46">
        <v>52.6</v>
      </c>
      <c r="F12" s="46">
        <v>52.6</v>
      </c>
      <c r="G12" s="46">
        <v>52.6</v>
      </c>
      <c r="H12" s="46">
        <v>52.6</v>
      </c>
      <c r="I12" s="46">
        <v>52.6</v>
      </c>
      <c r="J12" s="46">
        <v>47</v>
      </c>
      <c r="K12" s="46">
        <v>45</v>
      </c>
      <c r="L12" s="46">
        <v>45</v>
      </c>
      <c r="M12" s="46">
        <v>45</v>
      </c>
      <c r="N12" s="46">
        <v>45</v>
      </c>
      <c r="O12" s="46">
        <v>42</v>
      </c>
      <c r="P12" s="46">
        <v>41</v>
      </c>
      <c r="Q12" s="46">
        <v>41</v>
      </c>
      <c r="R12" s="46">
        <v>41</v>
      </c>
      <c r="S12" s="46">
        <v>41</v>
      </c>
      <c r="T12" s="46">
        <v>41</v>
      </c>
      <c r="U12" s="46">
        <v>41</v>
      </c>
      <c r="V12" s="46">
        <v>41</v>
      </c>
      <c r="W12" s="46">
        <v>41</v>
      </c>
      <c r="X12" s="46">
        <v>41</v>
      </c>
      <c r="Y12" s="46">
        <v>41</v>
      </c>
      <c r="Z12" s="46">
        <v>41</v>
      </c>
      <c r="AA12" s="46">
        <v>41</v>
      </c>
      <c r="AB12" s="46">
        <v>41</v>
      </c>
      <c r="AC12" s="46">
        <v>41</v>
      </c>
      <c r="AD12" s="46">
        <v>41</v>
      </c>
      <c r="AE12" s="46">
        <v>41</v>
      </c>
      <c r="AF12" s="46">
        <v>41</v>
      </c>
      <c r="AG12" s="50">
        <v>77</v>
      </c>
      <c r="AH12" s="48">
        <f t="shared" si="2"/>
        <v>64.2</v>
      </c>
      <c r="AI12" s="49">
        <f t="shared" si="3"/>
        <v>41</v>
      </c>
      <c r="AK12" s="51"/>
      <c r="AL12" s="52" t="str">
        <f ca="1">MID(CELL("filename",C7),FIND("]",CELL("filename",C7))+1,600)</f>
        <v>08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73.7</v>
      </c>
      <c r="C13" s="46">
        <v>73.7</v>
      </c>
      <c r="D13" s="46">
        <v>73.7</v>
      </c>
      <c r="E13" s="46">
        <v>75.2</v>
      </c>
      <c r="F13" s="46">
        <v>75.2</v>
      </c>
      <c r="G13" s="46">
        <v>75.2</v>
      </c>
      <c r="H13" s="46">
        <v>75.2</v>
      </c>
      <c r="I13" s="46">
        <v>75.2</v>
      </c>
      <c r="J13" s="46">
        <v>72.900000000000006</v>
      </c>
      <c r="K13" s="46">
        <v>63</v>
      </c>
      <c r="L13" s="46">
        <v>63</v>
      </c>
      <c r="M13" s="46">
        <v>63</v>
      </c>
      <c r="N13" s="46">
        <v>72.099999999999994</v>
      </c>
      <c r="O13" s="46">
        <v>73</v>
      </c>
      <c r="P13" s="46">
        <v>50</v>
      </c>
      <c r="Q13" s="46">
        <v>50</v>
      </c>
      <c r="R13" s="46">
        <v>50</v>
      </c>
      <c r="S13" s="46">
        <v>50</v>
      </c>
      <c r="T13" s="46">
        <v>50</v>
      </c>
      <c r="U13" s="46">
        <v>50</v>
      </c>
      <c r="V13" s="46">
        <v>50</v>
      </c>
      <c r="W13" s="46">
        <v>50</v>
      </c>
      <c r="X13" s="46">
        <v>50</v>
      </c>
      <c r="Y13" s="46">
        <v>50</v>
      </c>
      <c r="Z13" s="46">
        <v>50</v>
      </c>
      <c r="AA13" s="46">
        <v>69</v>
      </c>
      <c r="AB13" s="46">
        <v>69</v>
      </c>
      <c r="AC13" s="46">
        <v>69</v>
      </c>
      <c r="AD13" s="46">
        <v>69</v>
      </c>
      <c r="AE13" s="46">
        <v>69</v>
      </c>
      <c r="AF13" s="46">
        <v>69</v>
      </c>
      <c r="AG13" s="50">
        <v>73</v>
      </c>
      <c r="AH13" s="48">
        <f t="shared" si="2"/>
        <v>75.2</v>
      </c>
      <c r="AI13" s="49">
        <f t="shared" si="3"/>
        <v>50</v>
      </c>
      <c r="AK13" s="51"/>
      <c r="AL13" s="52" t="str">
        <f ca="1">"Daily Load Curve(Excluding of Export) of Nepal ("&amp;A4&amp;" "&amp;B4&amp;")"</f>
        <v>Daily Load Curve(Excluding of Export) of Nepal (Nepali Date: 2080/10/8)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41.4</v>
      </c>
      <c r="C14" s="46">
        <v>41.4</v>
      </c>
      <c r="D14" s="46">
        <v>41.4</v>
      </c>
      <c r="E14" s="46">
        <v>40.5</v>
      </c>
      <c r="F14" s="46">
        <v>40.5</v>
      </c>
      <c r="G14" s="46">
        <v>40.5</v>
      </c>
      <c r="H14" s="46">
        <v>40.5</v>
      </c>
      <c r="I14" s="46">
        <v>40.5</v>
      </c>
      <c r="J14" s="46">
        <v>40.6</v>
      </c>
      <c r="K14" s="46">
        <v>40.6</v>
      </c>
      <c r="L14" s="46">
        <v>40.6</v>
      </c>
      <c r="M14" s="46">
        <v>40.6</v>
      </c>
      <c r="N14" s="46">
        <v>40.6</v>
      </c>
      <c r="O14" s="46">
        <v>40.6</v>
      </c>
      <c r="P14" s="46">
        <v>40.6</v>
      </c>
      <c r="Q14" s="46">
        <v>40.6</v>
      </c>
      <c r="R14" s="46">
        <v>40.6</v>
      </c>
      <c r="S14" s="46">
        <v>40.6</v>
      </c>
      <c r="T14" s="46">
        <v>40.6</v>
      </c>
      <c r="U14" s="46">
        <v>40.6</v>
      </c>
      <c r="V14" s="46">
        <v>40.6</v>
      </c>
      <c r="W14" s="46">
        <v>40.6</v>
      </c>
      <c r="X14" s="46">
        <v>40.6</v>
      </c>
      <c r="Y14" s="46">
        <v>40.6</v>
      </c>
      <c r="Z14" s="46">
        <v>40.6</v>
      </c>
      <c r="AA14" s="46">
        <v>40.6</v>
      </c>
      <c r="AB14" s="46">
        <v>40.6</v>
      </c>
      <c r="AC14" s="46">
        <v>40.6</v>
      </c>
      <c r="AD14" s="46">
        <v>40.6</v>
      </c>
      <c r="AE14" s="46">
        <v>40.6</v>
      </c>
      <c r="AF14" s="46">
        <v>40.6</v>
      </c>
      <c r="AG14" s="50">
        <v>71</v>
      </c>
      <c r="AH14" s="48">
        <f t="shared" si="2"/>
        <v>41.4</v>
      </c>
      <c r="AI14" s="49">
        <f t="shared" si="3"/>
        <v>40.5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45.4</v>
      </c>
      <c r="C15" s="46">
        <v>45.4</v>
      </c>
      <c r="D15" s="46">
        <v>45.4</v>
      </c>
      <c r="E15" s="46">
        <v>35.9</v>
      </c>
      <c r="F15" s="46">
        <v>35.9</v>
      </c>
      <c r="G15" s="46">
        <v>35.9</v>
      </c>
      <c r="H15" s="46">
        <v>35.9</v>
      </c>
      <c r="I15" s="46">
        <v>35.9</v>
      </c>
      <c r="J15" s="46">
        <v>33</v>
      </c>
      <c r="K15" s="46">
        <v>33</v>
      </c>
      <c r="L15" s="46">
        <v>33</v>
      </c>
      <c r="M15" s="46">
        <v>33</v>
      </c>
      <c r="N15" s="46">
        <v>31</v>
      </c>
      <c r="O15" s="46">
        <v>31.3</v>
      </c>
      <c r="P15" s="46">
        <v>30</v>
      </c>
      <c r="Q15" s="46">
        <v>30</v>
      </c>
      <c r="R15" s="46">
        <v>30</v>
      </c>
      <c r="S15" s="46">
        <v>30</v>
      </c>
      <c r="T15" s="46">
        <v>30</v>
      </c>
      <c r="U15" s="46">
        <v>30</v>
      </c>
      <c r="V15" s="46">
        <v>30</v>
      </c>
      <c r="W15" s="46">
        <v>30</v>
      </c>
      <c r="X15" s="46">
        <v>30</v>
      </c>
      <c r="Y15" s="46">
        <v>30</v>
      </c>
      <c r="Z15" s="46">
        <v>30</v>
      </c>
      <c r="AA15" s="46">
        <v>30</v>
      </c>
      <c r="AB15" s="46">
        <v>30</v>
      </c>
      <c r="AC15" s="46">
        <v>30</v>
      </c>
      <c r="AD15" s="46">
        <v>30</v>
      </c>
      <c r="AE15" s="46">
        <v>30</v>
      </c>
      <c r="AF15" s="46">
        <v>30</v>
      </c>
      <c r="AG15" s="50">
        <v>54</v>
      </c>
      <c r="AH15" s="48">
        <f t="shared" si="2"/>
        <v>45.4</v>
      </c>
      <c r="AI15" s="49">
        <f t="shared" si="3"/>
        <v>30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15.6</v>
      </c>
      <c r="F16" s="46">
        <v>15.6</v>
      </c>
      <c r="G16" s="46">
        <v>15.6</v>
      </c>
      <c r="H16" s="46">
        <v>15.6</v>
      </c>
      <c r="I16" s="46">
        <v>15.6</v>
      </c>
      <c r="J16" s="46">
        <v>23.1</v>
      </c>
      <c r="K16" s="46">
        <v>23.1</v>
      </c>
      <c r="L16" s="46">
        <v>23.1</v>
      </c>
      <c r="M16" s="46">
        <v>23.1</v>
      </c>
      <c r="N16" s="46">
        <v>27.1</v>
      </c>
      <c r="O16" s="46">
        <v>27.1</v>
      </c>
      <c r="P16" s="46">
        <v>27.1</v>
      </c>
      <c r="Q16" s="46">
        <v>27.1</v>
      </c>
      <c r="R16" s="46">
        <v>27.1</v>
      </c>
      <c r="S16" s="46">
        <v>27.1</v>
      </c>
      <c r="T16" s="46">
        <v>27.1</v>
      </c>
      <c r="U16" s="46">
        <v>27.1</v>
      </c>
      <c r="V16" s="46">
        <v>27.1</v>
      </c>
      <c r="W16" s="46">
        <v>27.1</v>
      </c>
      <c r="X16" s="46">
        <v>27.1</v>
      </c>
      <c r="Y16" s="46">
        <v>27.1</v>
      </c>
      <c r="Z16" s="46">
        <v>27.1</v>
      </c>
      <c r="AA16" s="46">
        <v>27.1</v>
      </c>
      <c r="AB16" s="46">
        <v>27.1</v>
      </c>
      <c r="AC16" s="46">
        <v>27.1</v>
      </c>
      <c r="AD16" s="46">
        <v>27.1</v>
      </c>
      <c r="AE16" s="46">
        <v>27.1</v>
      </c>
      <c r="AF16" s="46">
        <v>27.1</v>
      </c>
      <c r="AG16" s="50">
        <v>54</v>
      </c>
      <c r="AH16" s="48">
        <f t="shared" si="2"/>
        <v>27.1</v>
      </c>
      <c r="AI16" s="49">
        <f t="shared" si="3"/>
        <v>15.6</v>
      </c>
      <c r="AK16" s="51"/>
      <c r="AL16" s="54" t="s">
        <v>7</v>
      </c>
      <c r="AM16" s="59">
        <f t="shared" ref="AM16:AR16" si="4">B61</f>
        <v>1035.6999999999998</v>
      </c>
      <c r="AN16" s="59">
        <f t="shared" si="4"/>
        <v>1035.6999999999998</v>
      </c>
      <c r="AO16" s="59">
        <f t="shared" si="4"/>
        <v>1035.6999999999998</v>
      </c>
      <c r="AP16" s="59">
        <f t="shared" si="4"/>
        <v>974.8</v>
      </c>
      <c r="AQ16" s="59">
        <f t="shared" si="4"/>
        <v>974.8</v>
      </c>
      <c r="AR16" s="59">
        <f t="shared" si="4"/>
        <v>974.8</v>
      </c>
      <c r="AS16" s="59">
        <f>I61</f>
        <v>974.8</v>
      </c>
      <c r="AT16" s="59">
        <f>K61</f>
        <v>941.59999999999991</v>
      </c>
      <c r="AU16" s="59">
        <f t="shared" ref="AU16:BD16" si="5">M61</f>
        <v>947.8</v>
      </c>
      <c r="AV16" s="59">
        <f t="shared" si="5"/>
        <v>985.3</v>
      </c>
      <c r="AW16" s="59">
        <f t="shared" si="5"/>
        <v>977</v>
      </c>
      <c r="AX16" s="59">
        <f t="shared" si="5"/>
        <v>953.6</v>
      </c>
      <c r="AY16" s="59">
        <f t="shared" si="5"/>
        <v>953.6</v>
      </c>
      <c r="AZ16" s="59">
        <f t="shared" si="5"/>
        <v>953.6</v>
      </c>
      <c r="BA16" s="59">
        <f t="shared" si="5"/>
        <v>956.80000000000007</v>
      </c>
      <c r="BB16" s="59">
        <f t="shared" si="5"/>
        <v>937.2</v>
      </c>
      <c r="BC16" s="59">
        <f t="shared" si="5"/>
        <v>879.50000000000011</v>
      </c>
      <c r="BD16" s="59">
        <f t="shared" si="5"/>
        <v>884.50000000000011</v>
      </c>
      <c r="BE16" s="60">
        <f>X61</f>
        <v>912</v>
      </c>
      <c r="BF16" s="60">
        <f>Z61</f>
        <v>911.2</v>
      </c>
      <c r="BG16" s="60">
        <f>AB61</f>
        <v>975.19999999999993</v>
      </c>
      <c r="BH16" s="60">
        <f>AD61</f>
        <v>975.19999999999993</v>
      </c>
      <c r="BI16" s="60">
        <f>AE61</f>
        <v>975.19999999999993</v>
      </c>
      <c r="BJ16" s="60">
        <f>AF61</f>
        <v>975.19999999999993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51.2</v>
      </c>
      <c r="C17" s="46">
        <v>51.2</v>
      </c>
      <c r="D17" s="46">
        <v>51.2</v>
      </c>
      <c r="E17" s="46">
        <v>45.1</v>
      </c>
      <c r="F17" s="46">
        <v>45.1</v>
      </c>
      <c r="G17" s="46">
        <v>45.1</v>
      </c>
      <c r="H17" s="46">
        <v>45.1</v>
      </c>
      <c r="I17" s="46">
        <v>45.1</v>
      </c>
      <c r="J17" s="46">
        <v>40</v>
      </c>
      <c r="K17" s="46">
        <v>40</v>
      </c>
      <c r="L17" s="46">
        <v>40</v>
      </c>
      <c r="M17" s="46">
        <v>40</v>
      </c>
      <c r="N17" s="46">
        <v>40</v>
      </c>
      <c r="O17" s="46">
        <v>35.799999999999997</v>
      </c>
      <c r="P17" s="46">
        <v>35.799999999999997</v>
      </c>
      <c r="Q17" s="46">
        <v>35.799999999999997</v>
      </c>
      <c r="R17" s="46">
        <v>35.799999999999997</v>
      </c>
      <c r="S17" s="46">
        <v>35.799999999999997</v>
      </c>
      <c r="T17" s="46">
        <v>35.799999999999997</v>
      </c>
      <c r="U17" s="46">
        <v>35.799999999999997</v>
      </c>
      <c r="V17" s="46">
        <v>35.799999999999997</v>
      </c>
      <c r="W17" s="46">
        <v>35.799999999999997</v>
      </c>
      <c r="X17" s="46">
        <v>35.799999999999997</v>
      </c>
      <c r="Y17" s="46">
        <v>35.799999999999997</v>
      </c>
      <c r="Z17" s="46">
        <v>35.799999999999997</v>
      </c>
      <c r="AA17" s="46">
        <v>35.799999999999997</v>
      </c>
      <c r="AB17" s="46">
        <v>35.799999999999997</v>
      </c>
      <c r="AC17" s="46">
        <v>35.799999999999997</v>
      </c>
      <c r="AD17" s="46">
        <v>35.799999999999997</v>
      </c>
      <c r="AE17" s="46">
        <v>35.799999999999997</v>
      </c>
      <c r="AF17" s="46">
        <v>35.799999999999997</v>
      </c>
      <c r="AG17" s="47">
        <v>52.4</v>
      </c>
      <c r="AH17" s="48">
        <f t="shared" si="2"/>
        <v>51.2</v>
      </c>
      <c r="AI17" s="49">
        <f t="shared" si="3"/>
        <v>35.799999999999997</v>
      </c>
      <c r="AK17" s="51"/>
      <c r="AL17" s="54" t="s">
        <v>27</v>
      </c>
      <c r="AM17" s="59">
        <f t="shared" ref="AM17:AR17" si="6">B65</f>
        <v>542.20000000000005</v>
      </c>
      <c r="AN17" s="59">
        <f t="shared" si="6"/>
        <v>542.20000000000005</v>
      </c>
      <c r="AO17" s="59">
        <f t="shared" si="6"/>
        <v>542.20000000000005</v>
      </c>
      <c r="AP17" s="59">
        <f t="shared" si="6"/>
        <v>542.6</v>
      </c>
      <c r="AQ17" s="59">
        <f t="shared" si="6"/>
        <v>542.6</v>
      </c>
      <c r="AR17" s="59">
        <f t="shared" si="6"/>
        <v>542.6</v>
      </c>
      <c r="AS17" s="59">
        <f>I65</f>
        <v>542.6</v>
      </c>
      <c r="AT17" s="59">
        <f>K65</f>
        <v>542.9</v>
      </c>
      <c r="AU17" s="59">
        <f t="shared" ref="AU17:BD17" si="7">M65</f>
        <v>542.9</v>
      </c>
      <c r="AV17" s="59">
        <f t="shared" si="7"/>
        <v>542.6</v>
      </c>
      <c r="AW17" s="59">
        <f t="shared" si="7"/>
        <v>542.6</v>
      </c>
      <c r="AX17" s="59">
        <f t="shared" si="7"/>
        <v>542.6</v>
      </c>
      <c r="AY17" s="59">
        <f t="shared" si="7"/>
        <v>542.6</v>
      </c>
      <c r="AZ17" s="59">
        <f t="shared" si="7"/>
        <v>542.6</v>
      </c>
      <c r="BA17" s="59">
        <f t="shared" si="7"/>
        <v>541.5</v>
      </c>
      <c r="BB17" s="59">
        <f t="shared" si="7"/>
        <v>541.6</v>
      </c>
      <c r="BC17" s="59">
        <f t="shared" si="7"/>
        <v>541.6</v>
      </c>
      <c r="BD17" s="59">
        <f t="shared" si="7"/>
        <v>541.6</v>
      </c>
      <c r="BE17" s="60">
        <f>X65</f>
        <v>522.6</v>
      </c>
      <c r="BF17" s="60">
        <f>Z65</f>
        <v>541.6</v>
      </c>
      <c r="BG17" s="60">
        <f>AB65</f>
        <v>542</v>
      </c>
      <c r="BH17" s="60">
        <f>AD65</f>
        <v>542</v>
      </c>
      <c r="BI17" s="60">
        <f>AE65</f>
        <v>542</v>
      </c>
      <c r="BJ17" s="60">
        <f>AF65</f>
        <v>542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50.3</v>
      </c>
      <c r="Q18" s="46">
        <v>50.3</v>
      </c>
      <c r="R18" s="46">
        <v>50.3</v>
      </c>
      <c r="S18" s="46">
        <v>50.3</v>
      </c>
      <c r="T18" s="46">
        <v>50.3</v>
      </c>
      <c r="U18" s="46">
        <v>0</v>
      </c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53">
        <v>50</v>
      </c>
      <c r="AB18" s="53">
        <v>50</v>
      </c>
      <c r="AC18" s="53">
        <v>50</v>
      </c>
      <c r="AD18" s="53">
        <v>50</v>
      </c>
      <c r="AE18" s="53">
        <v>50</v>
      </c>
      <c r="AF18" s="53">
        <v>50</v>
      </c>
      <c r="AG18" s="50">
        <v>50</v>
      </c>
      <c r="AH18" s="48">
        <f t="shared" si="2"/>
        <v>50.4</v>
      </c>
      <c r="AI18" s="49">
        <f t="shared" si="3"/>
        <v>0</v>
      </c>
      <c r="AK18" s="51"/>
      <c r="AL18" s="54" t="s">
        <v>29</v>
      </c>
      <c r="AM18" s="59">
        <f t="shared" ref="AM18:AR18" si="8">B79</f>
        <v>411.93999999999994</v>
      </c>
      <c r="AN18" s="59">
        <f t="shared" si="8"/>
        <v>411.93999999999994</v>
      </c>
      <c r="AO18" s="59">
        <f t="shared" si="8"/>
        <v>411.93999999999994</v>
      </c>
      <c r="AP18" s="59">
        <f t="shared" si="8"/>
        <v>413.34</v>
      </c>
      <c r="AQ18" s="59">
        <f t="shared" si="8"/>
        <v>413.34</v>
      </c>
      <c r="AR18" s="59">
        <f t="shared" si="8"/>
        <v>413.34</v>
      </c>
      <c r="AS18" s="59">
        <f>I79</f>
        <v>413.34</v>
      </c>
      <c r="AT18" s="59">
        <f>K79</f>
        <v>413.34</v>
      </c>
      <c r="AU18" s="59">
        <f t="shared" ref="AU18:BD18" si="9">M79</f>
        <v>413.34</v>
      </c>
      <c r="AV18" s="59">
        <f t="shared" si="9"/>
        <v>444.34000000000009</v>
      </c>
      <c r="AW18" s="59">
        <f t="shared" si="9"/>
        <v>438.94000000000011</v>
      </c>
      <c r="AX18" s="59">
        <f t="shared" si="9"/>
        <v>441.74</v>
      </c>
      <c r="AY18" s="59">
        <f t="shared" si="9"/>
        <v>441.74</v>
      </c>
      <c r="AZ18" s="59">
        <f t="shared" si="9"/>
        <v>441.74</v>
      </c>
      <c r="BA18" s="59">
        <f t="shared" si="9"/>
        <v>437.84000000000003</v>
      </c>
      <c r="BB18" s="59">
        <f t="shared" si="9"/>
        <v>419.64</v>
      </c>
      <c r="BC18" s="59">
        <f t="shared" si="9"/>
        <v>420.94</v>
      </c>
      <c r="BD18" s="59">
        <f t="shared" si="9"/>
        <v>416.04</v>
      </c>
      <c r="BE18" s="60">
        <f>X79</f>
        <v>414.64</v>
      </c>
      <c r="BF18" s="60">
        <f>Z79</f>
        <v>415.2</v>
      </c>
      <c r="BG18" s="60">
        <f>AB79</f>
        <v>415.2</v>
      </c>
      <c r="BH18" s="60">
        <f>AD79</f>
        <v>415.2</v>
      </c>
      <c r="BI18" s="60">
        <f>AE79</f>
        <v>415.2</v>
      </c>
      <c r="BJ18" s="60">
        <f>AF79</f>
        <v>415.2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50</v>
      </c>
      <c r="AO19" s="59">
        <f t="shared" si="10"/>
        <v>63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3</v>
      </c>
      <c r="BA19" s="59">
        <f t="shared" si="11"/>
        <v>9.3000000000000007</v>
      </c>
      <c r="BB19" s="59">
        <f t="shared" si="11"/>
        <v>21.7</v>
      </c>
      <c r="BC19" s="59">
        <f t="shared" si="11"/>
        <v>69.8</v>
      </c>
      <c r="BD19" s="59">
        <f t="shared" si="11"/>
        <v>50</v>
      </c>
      <c r="BE19" s="60">
        <f>X95</f>
        <v>35</v>
      </c>
      <c r="BF19" s="60">
        <f>Z95</f>
        <v>0</v>
      </c>
      <c r="BG19" s="60">
        <f>AB95</f>
        <v>47.2</v>
      </c>
      <c r="BH19" s="60">
        <f>AD95</f>
        <v>48.1</v>
      </c>
      <c r="BI19" s="60">
        <f>AE95</f>
        <v>49.4</v>
      </c>
      <c r="BJ19" s="60">
        <f>AF95</f>
        <v>47.7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46.2</v>
      </c>
      <c r="C20" s="46">
        <v>46.2</v>
      </c>
      <c r="D20" s="46">
        <v>46.2</v>
      </c>
      <c r="E20" s="46">
        <v>46.2</v>
      </c>
      <c r="F20" s="46">
        <v>46.2</v>
      </c>
      <c r="G20" s="46">
        <v>46.2</v>
      </c>
      <c r="H20" s="46">
        <v>46.2</v>
      </c>
      <c r="I20" s="46">
        <v>46.2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46.2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32.1</v>
      </c>
      <c r="AN20" s="59">
        <f t="shared" si="12"/>
        <v>32.1</v>
      </c>
      <c r="AO20" s="59">
        <f t="shared" si="12"/>
        <v>32.1</v>
      </c>
      <c r="AP20" s="59">
        <f t="shared" si="12"/>
        <v>0</v>
      </c>
      <c r="AQ20" s="59">
        <f t="shared" si="12"/>
        <v>-16.399999999999999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16.100000000000001</v>
      </c>
      <c r="BB20" s="59">
        <f t="shared" si="13"/>
        <v>16.100000000000001</v>
      </c>
      <c r="BC20" s="59">
        <f t="shared" si="13"/>
        <v>16.2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31.4</v>
      </c>
      <c r="BH20" s="60">
        <f>AD83</f>
        <v>31.4</v>
      </c>
      <c r="BI20" s="60">
        <f>AE83</f>
        <v>31.4</v>
      </c>
      <c r="BJ20" s="60">
        <f>AF83</f>
        <v>31.4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200</v>
      </c>
      <c r="BH21" s="60">
        <f>AD101</f>
        <v>200</v>
      </c>
      <c r="BI21" s="60">
        <f>AE101</f>
        <v>70</v>
      </c>
      <c r="BJ21" s="60">
        <f>AF101</f>
        <v>70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2021.9399999999996</v>
      </c>
      <c r="AN22" s="63">
        <f t="shared" si="16"/>
        <v>2071.9399999999996</v>
      </c>
      <c r="AO22" s="63">
        <f t="shared" si="16"/>
        <v>2084.9399999999996</v>
      </c>
      <c r="AP22" s="63">
        <f t="shared" si="16"/>
        <v>1930.74</v>
      </c>
      <c r="AQ22" s="63">
        <f t="shared" si="16"/>
        <v>1914.34</v>
      </c>
      <c r="AR22" s="63">
        <f t="shared" si="16"/>
        <v>1930.74</v>
      </c>
      <c r="AS22" s="63">
        <f t="shared" si="16"/>
        <v>1930.74</v>
      </c>
      <c r="AT22" s="63">
        <f t="shared" si="16"/>
        <v>1897.84</v>
      </c>
      <c r="AU22" s="63">
        <f t="shared" si="16"/>
        <v>1904.0399999999997</v>
      </c>
      <c r="AV22" s="63">
        <f t="shared" si="16"/>
        <v>1972.2400000000002</v>
      </c>
      <c r="AW22" s="63">
        <f t="shared" si="16"/>
        <v>1958.54</v>
      </c>
      <c r="AX22" s="63">
        <f t="shared" si="16"/>
        <v>1937.94</v>
      </c>
      <c r="AY22" s="63">
        <f t="shared" si="16"/>
        <v>1937.94</v>
      </c>
      <c r="AZ22" s="63">
        <f t="shared" si="16"/>
        <v>1940.94</v>
      </c>
      <c r="BA22" s="63">
        <f t="shared" si="16"/>
        <v>1961.5400000000002</v>
      </c>
      <c r="BB22" s="63">
        <f t="shared" si="16"/>
        <v>1936.24</v>
      </c>
      <c r="BC22" s="63">
        <f t="shared" si="16"/>
        <v>1928.0400000000002</v>
      </c>
      <c r="BD22" s="63">
        <f t="shared" si="16"/>
        <v>1892.14</v>
      </c>
      <c r="BE22" s="63">
        <f t="shared" si="16"/>
        <v>1884.2399999999998</v>
      </c>
      <c r="BF22" s="63">
        <f t="shared" si="16"/>
        <v>1868.0000000000002</v>
      </c>
      <c r="BG22" s="63">
        <f t="shared" si="16"/>
        <v>2211</v>
      </c>
      <c r="BH22" s="63">
        <f t="shared" si="16"/>
        <v>2211.8999999999996</v>
      </c>
      <c r="BI22" s="63">
        <f t="shared" si="16"/>
        <v>2083.1999999999998</v>
      </c>
      <c r="BJ22" s="63">
        <f t="shared" si="16"/>
        <v>2081.5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33</v>
      </c>
      <c r="C23" s="46">
        <v>33</v>
      </c>
      <c r="D23" s="46">
        <v>33</v>
      </c>
      <c r="E23" s="46">
        <v>33</v>
      </c>
      <c r="F23" s="46">
        <v>33</v>
      </c>
      <c r="G23" s="46">
        <v>33</v>
      </c>
      <c r="H23" s="46">
        <v>33</v>
      </c>
      <c r="I23" s="46">
        <v>33</v>
      </c>
      <c r="J23" s="46">
        <v>20.63</v>
      </c>
      <c r="K23" s="46">
        <v>20.6</v>
      </c>
      <c r="L23" s="46">
        <v>20.6</v>
      </c>
      <c r="M23" s="46">
        <v>20.6</v>
      </c>
      <c r="N23" s="46">
        <v>20.6</v>
      </c>
      <c r="O23" s="46">
        <v>20.6</v>
      </c>
      <c r="P23" s="46">
        <v>20.6</v>
      </c>
      <c r="Q23" s="46">
        <v>20.6</v>
      </c>
      <c r="R23" s="46">
        <v>20.6</v>
      </c>
      <c r="S23" s="46">
        <v>20.6</v>
      </c>
      <c r="T23" s="46">
        <v>20.6</v>
      </c>
      <c r="U23" s="46">
        <v>20.6</v>
      </c>
      <c r="V23" s="46">
        <v>20.6</v>
      </c>
      <c r="W23" s="46">
        <v>20.6</v>
      </c>
      <c r="X23" s="46">
        <v>20.6</v>
      </c>
      <c r="Y23" s="46">
        <v>20.6</v>
      </c>
      <c r="Z23" s="46">
        <v>20.6</v>
      </c>
      <c r="AA23" s="46">
        <v>20.6</v>
      </c>
      <c r="AB23" s="46">
        <v>20.6</v>
      </c>
      <c r="AC23" s="46">
        <v>20.6</v>
      </c>
      <c r="AD23" s="46">
        <v>20.6</v>
      </c>
      <c r="AE23" s="46">
        <v>20.6</v>
      </c>
      <c r="AF23" s="46">
        <v>20.6</v>
      </c>
      <c r="AG23" s="50">
        <v>38.46</v>
      </c>
      <c r="AH23" s="48">
        <f t="shared" si="2"/>
        <v>33</v>
      </c>
      <c r="AI23" s="49">
        <f t="shared" si="3"/>
        <v>20.6</v>
      </c>
      <c r="AK23" s="51"/>
      <c r="AL23" s="62" t="s">
        <v>39</v>
      </c>
      <c r="AM23" s="63">
        <f t="shared" ref="AM23:AR23" si="17">B110*-1</f>
        <v>-430</v>
      </c>
      <c r="AN23" s="63">
        <f t="shared" si="17"/>
        <v>-410</v>
      </c>
      <c r="AO23" s="63">
        <f t="shared" si="17"/>
        <v>-436</v>
      </c>
      <c r="AP23" s="63">
        <f t="shared" si="17"/>
        <v>-515</v>
      </c>
      <c r="AQ23" s="63">
        <f t="shared" si="17"/>
        <v>-509.5</v>
      </c>
      <c r="AR23" s="63">
        <f t="shared" si="17"/>
        <v>-556.4</v>
      </c>
      <c r="AS23" s="63">
        <f>I110*-1</f>
        <v>-535</v>
      </c>
      <c r="AT23" s="63">
        <f>K110*-1</f>
        <v>-541.4</v>
      </c>
      <c r="AU23" s="63">
        <f t="shared" ref="AU23:BD23" si="18">M110*-1</f>
        <v>-506.6</v>
      </c>
      <c r="AV23" s="63">
        <f t="shared" si="18"/>
        <v>-520</v>
      </c>
      <c r="AW23" s="63">
        <f t="shared" si="18"/>
        <v>-512.4</v>
      </c>
      <c r="AX23" s="63">
        <f t="shared" si="18"/>
        <v>-485</v>
      </c>
      <c r="AY23" s="63">
        <f t="shared" si="18"/>
        <v>-482</v>
      </c>
      <c r="AZ23" s="63">
        <f t="shared" si="18"/>
        <v>-485</v>
      </c>
      <c r="BA23" s="63">
        <f t="shared" si="18"/>
        <v>-456</v>
      </c>
      <c r="BB23" s="63">
        <f t="shared" si="18"/>
        <v>-415</v>
      </c>
      <c r="BC23" s="63">
        <f t="shared" si="18"/>
        <v>-435</v>
      </c>
      <c r="BD23" s="63">
        <f t="shared" si="18"/>
        <v>-446</v>
      </c>
      <c r="BE23" s="63">
        <f>X110*-1</f>
        <v>-465</v>
      </c>
      <c r="BF23" s="63">
        <f>Z110*-1</f>
        <v>-350</v>
      </c>
      <c r="BG23" s="63">
        <f>AB110*-1</f>
        <v>-415</v>
      </c>
      <c r="BH23" s="63">
        <f>AD110*-1</f>
        <v>-419.9</v>
      </c>
      <c r="BI23" s="63">
        <f>AE110*-1</f>
        <v>-484.09999999999997</v>
      </c>
      <c r="BJ23" s="63">
        <f>AF110*-1</f>
        <v>-501.8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26</v>
      </c>
      <c r="C24" s="46">
        <v>26</v>
      </c>
      <c r="D24" s="46">
        <v>26</v>
      </c>
      <c r="E24" s="46">
        <v>26</v>
      </c>
      <c r="F24" s="46">
        <v>26</v>
      </c>
      <c r="G24" s="46">
        <v>26</v>
      </c>
      <c r="H24" s="46">
        <v>26</v>
      </c>
      <c r="I24" s="46">
        <v>26</v>
      </c>
      <c r="J24" s="46">
        <v>26</v>
      </c>
      <c r="K24" s="46">
        <v>26</v>
      </c>
      <c r="L24" s="46">
        <v>26</v>
      </c>
      <c r="M24" s="46">
        <v>26</v>
      </c>
      <c r="N24" s="46">
        <v>36</v>
      </c>
      <c r="O24" s="46">
        <v>36</v>
      </c>
      <c r="P24" s="46">
        <v>39</v>
      </c>
      <c r="Q24" s="46">
        <v>39</v>
      </c>
      <c r="R24" s="46">
        <v>39</v>
      </c>
      <c r="S24" s="46">
        <v>39</v>
      </c>
      <c r="T24" s="46">
        <v>39</v>
      </c>
      <c r="U24" s="46">
        <v>39</v>
      </c>
      <c r="V24" s="46">
        <v>39</v>
      </c>
      <c r="W24" s="46">
        <v>39</v>
      </c>
      <c r="X24" s="46">
        <v>39</v>
      </c>
      <c r="Y24" s="46">
        <v>39</v>
      </c>
      <c r="Z24" s="46">
        <v>39</v>
      </c>
      <c r="AA24" s="46">
        <v>39</v>
      </c>
      <c r="AB24" s="46">
        <v>39</v>
      </c>
      <c r="AC24" s="46">
        <v>39</v>
      </c>
      <c r="AD24" s="46">
        <v>39</v>
      </c>
      <c r="AE24" s="46">
        <v>39</v>
      </c>
      <c r="AF24" s="46">
        <v>39</v>
      </c>
      <c r="AG24" s="50">
        <v>36</v>
      </c>
      <c r="AH24" s="48">
        <f t="shared" si="2"/>
        <v>39</v>
      </c>
      <c r="AI24" s="49">
        <f t="shared" si="3"/>
        <v>26</v>
      </c>
      <c r="AK24" s="51"/>
      <c r="AL24" s="62" t="s">
        <v>41</v>
      </c>
      <c r="AM24" s="63">
        <f t="shared" ref="AM24:BJ24" si="19">AM22+AM23</f>
        <v>1591.9399999999996</v>
      </c>
      <c r="AN24" s="63">
        <f t="shared" si="19"/>
        <v>1661.9399999999996</v>
      </c>
      <c r="AO24" s="63">
        <f t="shared" si="19"/>
        <v>1648.9399999999996</v>
      </c>
      <c r="AP24" s="63">
        <f t="shared" si="19"/>
        <v>1415.74</v>
      </c>
      <c r="AQ24" s="63">
        <f t="shared" si="19"/>
        <v>1404.84</v>
      </c>
      <c r="AR24" s="63">
        <f t="shared" si="19"/>
        <v>1374.3400000000001</v>
      </c>
      <c r="AS24" s="63">
        <f t="shared" si="19"/>
        <v>1395.74</v>
      </c>
      <c r="AT24" s="63">
        <f t="shared" si="19"/>
        <v>1356.44</v>
      </c>
      <c r="AU24" s="63">
        <f t="shared" si="19"/>
        <v>1397.4399999999996</v>
      </c>
      <c r="AV24" s="63">
        <f t="shared" si="19"/>
        <v>1452.2400000000002</v>
      </c>
      <c r="AW24" s="63">
        <f t="shared" si="19"/>
        <v>1446.1399999999999</v>
      </c>
      <c r="AX24" s="63">
        <f t="shared" si="19"/>
        <v>1452.94</v>
      </c>
      <c r="AY24" s="63">
        <f t="shared" si="19"/>
        <v>1455.94</v>
      </c>
      <c r="AZ24" s="63">
        <f t="shared" si="19"/>
        <v>1455.94</v>
      </c>
      <c r="BA24" s="63">
        <f t="shared" si="19"/>
        <v>1505.5400000000002</v>
      </c>
      <c r="BB24" s="63">
        <f t="shared" si="19"/>
        <v>1521.24</v>
      </c>
      <c r="BC24" s="63">
        <f t="shared" si="19"/>
        <v>1493.0400000000002</v>
      </c>
      <c r="BD24" s="63">
        <f t="shared" si="19"/>
        <v>1446.14</v>
      </c>
      <c r="BE24" s="63">
        <f t="shared" si="19"/>
        <v>1419.2399999999998</v>
      </c>
      <c r="BF24" s="63">
        <f t="shared" si="19"/>
        <v>1518.0000000000002</v>
      </c>
      <c r="BG24" s="63">
        <f t="shared" si="19"/>
        <v>1796</v>
      </c>
      <c r="BH24" s="63">
        <f t="shared" si="19"/>
        <v>1791.9999999999995</v>
      </c>
      <c r="BI24" s="63">
        <f t="shared" si="19"/>
        <v>1599.1</v>
      </c>
      <c r="BJ24" s="63">
        <f t="shared" si="19"/>
        <v>1579.7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21.4</v>
      </c>
      <c r="C25" s="46">
        <v>21.4</v>
      </c>
      <c r="D25" s="46">
        <v>21.4</v>
      </c>
      <c r="E25" s="46">
        <v>14.8</v>
      </c>
      <c r="F25" s="46">
        <v>14.8</v>
      </c>
      <c r="G25" s="46">
        <v>14.8</v>
      </c>
      <c r="H25" s="46">
        <v>14.8</v>
      </c>
      <c r="I25" s="46">
        <v>14.8</v>
      </c>
      <c r="J25" s="46">
        <v>25.3</v>
      </c>
      <c r="K25" s="46">
        <v>25.3</v>
      </c>
      <c r="L25" s="46">
        <v>25.3</v>
      </c>
      <c r="M25" s="46">
        <v>25.3</v>
      </c>
      <c r="N25" s="46">
        <v>24.6</v>
      </c>
      <c r="O25" s="46">
        <v>24.7</v>
      </c>
      <c r="P25" s="46">
        <v>24.7</v>
      </c>
      <c r="Q25" s="46">
        <v>24.7</v>
      </c>
      <c r="R25" s="46">
        <v>24.7</v>
      </c>
      <c r="S25" s="46">
        <v>24.7</v>
      </c>
      <c r="T25" s="46">
        <v>24.7</v>
      </c>
      <c r="U25" s="46">
        <v>32</v>
      </c>
      <c r="V25" s="46">
        <v>32</v>
      </c>
      <c r="W25" s="46">
        <v>32</v>
      </c>
      <c r="X25" s="46">
        <v>32</v>
      </c>
      <c r="Y25" s="46">
        <v>32</v>
      </c>
      <c r="Z25" s="46">
        <v>32</v>
      </c>
      <c r="AA25" s="46">
        <v>27</v>
      </c>
      <c r="AB25" s="46">
        <v>27</v>
      </c>
      <c r="AC25" s="46">
        <v>27</v>
      </c>
      <c r="AD25" s="46">
        <v>27</v>
      </c>
      <c r="AE25" s="46">
        <v>27</v>
      </c>
      <c r="AF25" s="46">
        <v>27</v>
      </c>
      <c r="AG25" s="61">
        <v>30</v>
      </c>
      <c r="AH25" s="48">
        <f t="shared" si="2"/>
        <v>32</v>
      </c>
      <c r="AI25" s="49">
        <f t="shared" si="3"/>
        <v>14.8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25.3</v>
      </c>
      <c r="C26" s="46">
        <v>25.3</v>
      </c>
      <c r="D26" s="46">
        <v>25.3</v>
      </c>
      <c r="E26" s="46">
        <v>23</v>
      </c>
      <c r="F26" s="46">
        <v>23</v>
      </c>
      <c r="G26" s="46">
        <v>23</v>
      </c>
      <c r="H26" s="46">
        <v>23</v>
      </c>
      <c r="I26" s="46">
        <v>23</v>
      </c>
      <c r="J26" s="46">
        <v>23</v>
      </c>
      <c r="K26" s="46">
        <v>23</v>
      </c>
      <c r="L26" s="46">
        <v>23</v>
      </c>
      <c r="M26" s="46">
        <v>23</v>
      </c>
      <c r="N26" s="46">
        <v>20.100000000000001</v>
      </c>
      <c r="O26" s="46">
        <v>20.100000000000001</v>
      </c>
      <c r="P26" s="46">
        <v>20.100000000000001</v>
      </c>
      <c r="Q26" s="46">
        <v>20.100000000000001</v>
      </c>
      <c r="R26" s="46">
        <v>20.100000000000001</v>
      </c>
      <c r="S26" s="46">
        <v>20.100000000000001</v>
      </c>
      <c r="T26" s="46">
        <v>20.100000000000001</v>
      </c>
      <c r="U26" s="46">
        <v>20.100000000000001</v>
      </c>
      <c r="V26" s="46">
        <v>20.100000000000001</v>
      </c>
      <c r="W26" s="46">
        <v>20.100000000000001</v>
      </c>
      <c r="X26" s="46">
        <v>20.100000000000001</v>
      </c>
      <c r="Y26" s="46">
        <v>20.100000000000001</v>
      </c>
      <c r="Z26" s="46">
        <v>20.100000000000001</v>
      </c>
      <c r="AA26" s="46">
        <v>20.100000000000001</v>
      </c>
      <c r="AB26" s="46">
        <v>20.100000000000001</v>
      </c>
      <c r="AC26" s="46">
        <v>20.100000000000001</v>
      </c>
      <c r="AD26" s="46">
        <v>20.100000000000001</v>
      </c>
      <c r="AE26" s="46">
        <v>20.100000000000001</v>
      </c>
      <c r="AF26" s="46">
        <v>20.100000000000001</v>
      </c>
      <c r="AG26" s="50">
        <v>24.2</v>
      </c>
      <c r="AH26" s="48">
        <f t="shared" si="2"/>
        <v>25.3</v>
      </c>
      <c r="AI26" s="49">
        <f t="shared" si="3"/>
        <v>20.100000000000001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25.3</v>
      </c>
      <c r="C27" s="46">
        <v>25.3</v>
      </c>
      <c r="D27" s="46">
        <v>25.3</v>
      </c>
      <c r="E27" s="46">
        <v>21.6</v>
      </c>
      <c r="F27" s="46">
        <v>21.6</v>
      </c>
      <c r="G27" s="46">
        <v>21.6</v>
      </c>
      <c r="H27" s="46">
        <v>21.6</v>
      </c>
      <c r="I27" s="46">
        <v>21.6</v>
      </c>
      <c r="J27" s="46">
        <v>21.6</v>
      </c>
      <c r="K27" s="46">
        <v>21.6</v>
      </c>
      <c r="L27" s="46">
        <v>21.6</v>
      </c>
      <c r="M27" s="46">
        <v>21.6</v>
      </c>
      <c r="N27" s="46">
        <v>22.8</v>
      </c>
      <c r="O27" s="46">
        <v>20.399999999999999</v>
      </c>
      <c r="P27" s="46">
        <v>16.399999999999999</v>
      </c>
      <c r="Q27" s="46">
        <v>16.399999999999999</v>
      </c>
      <c r="R27" s="46">
        <v>16.399999999999999</v>
      </c>
      <c r="S27" s="46">
        <v>16.399999999999999</v>
      </c>
      <c r="T27" s="46">
        <v>16.399999999999999</v>
      </c>
      <c r="U27" s="46">
        <v>16.399999999999999</v>
      </c>
      <c r="V27" s="46">
        <v>16.399999999999999</v>
      </c>
      <c r="W27" s="46">
        <v>16.399999999999999</v>
      </c>
      <c r="X27" s="46">
        <v>16.399999999999999</v>
      </c>
      <c r="Y27" s="46">
        <v>16.399999999999999</v>
      </c>
      <c r="Z27" s="46">
        <v>16.399999999999999</v>
      </c>
      <c r="AA27" s="46">
        <v>16.399999999999999</v>
      </c>
      <c r="AB27" s="46">
        <v>16.399999999999999</v>
      </c>
      <c r="AC27" s="46">
        <v>16.399999999999999</v>
      </c>
      <c r="AD27" s="46">
        <v>16.399999999999999</v>
      </c>
      <c r="AE27" s="46">
        <v>16.399999999999999</v>
      </c>
      <c r="AF27" s="46">
        <v>16.399999999999999</v>
      </c>
      <c r="AG27" s="50">
        <v>28</v>
      </c>
      <c r="AH27" s="48">
        <f t="shared" si="2"/>
        <v>25.3</v>
      </c>
      <c r="AI27" s="49">
        <f t="shared" si="3"/>
        <v>16.399999999999999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27.2</v>
      </c>
      <c r="C28" s="46">
        <v>27.2</v>
      </c>
      <c r="D28" s="46">
        <v>27.2</v>
      </c>
      <c r="E28" s="46">
        <v>15.6</v>
      </c>
      <c r="F28" s="46">
        <v>15.6</v>
      </c>
      <c r="G28" s="46">
        <v>15.6</v>
      </c>
      <c r="H28" s="46">
        <v>15.6</v>
      </c>
      <c r="I28" s="46">
        <v>15.6</v>
      </c>
      <c r="J28" s="46">
        <v>15.6</v>
      </c>
      <c r="K28" s="46">
        <v>15.6</v>
      </c>
      <c r="L28" s="46">
        <v>15.6</v>
      </c>
      <c r="M28" s="46">
        <v>15.6</v>
      </c>
      <c r="N28" s="46">
        <v>27</v>
      </c>
      <c r="O28" s="46">
        <v>27</v>
      </c>
      <c r="P28" s="46">
        <v>27.5</v>
      </c>
      <c r="Q28" s="46">
        <v>27.5</v>
      </c>
      <c r="R28" s="46">
        <v>27.5</v>
      </c>
      <c r="S28" s="46">
        <v>27.5</v>
      </c>
      <c r="T28" s="46">
        <v>27.5</v>
      </c>
      <c r="U28" s="46">
        <v>27.5</v>
      </c>
      <c r="V28" s="46">
        <v>27.5</v>
      </c>
      <c r="W28" s="46">
        <v>27.5</v>
      </c>
      <c r="X28" s="46">
        <v>27.5</v>
      </c>
      <c r="Y28" s="46">
        <v>27.5</v>
      </c>
      <c r="Z28" s="46">
        <v>27.5</v>
      </c>
      <c r="AA28" s="46">
        <v>27.5</v>
      </c>
      <c r="AB28" s="46">
        <v>27.5</v>
      </c>
      <c r="AC28" s="46">
        <v>27.5</v>
      </c>
      <c r="AD28" s="46">
        <v>27.5</v>
      </c>
      <c r="AE28" s="46">
        <v>27.5</v>
      </c>
      <c r="AF28" s="46">
        <v>27.5</v>
      </c>
      <c r="AG28" s="61">
        <v>30</v>
      </c>
      <c r="AH28" s="48">
        <f t="shared" si="2"/>
        <v>27.5</v>
      </c>
      <c r="AI28" s="49">
        <f t="shared" si="3"/>
        <v>15.6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>
        <v>26</v>
      </c>
      <c r="D29" s="46">
        <v>26</v>
      </c>
      <c r="E29" s="46">
        <v>26</v>
      </c>
      <c r="F29" s="46">
        <v>26</v>
      </c>
      <c r="G29" s="46">
        <v>26</v>
      </c>
      <c r="H29" s="46">
        <v>26</v>
      </c>
      <c r="I29" s="46">
        <v>26</v>
      </c>
      <c r="J29" s="46">
        <v>26</v>
      </c>
      <c r="K29" s="46">
        <v>26</v>
      </c>
      <c r="L29" s="46">
        <v>26</v>
      </c>
      <c r="M29" s="46">
        <v>26</v>
      </c>
      <c r="N29" s="46">
        <v>26</v>
      </c>
      <c r="O29" s="46">
        <v>26</v>
      </c>
      <c r="P29" s="46">
        <v>26</v>
      </c>
      <c r="Q29" s="46">
        <v>26</v>
      </c>
      <c r="R29" s="46">
        <v>26</v>
      </c>
      <c r="S29" s="46">
        <v>26</v>
      </c>
      <c r="T29" s="46">
        <v>26</v>
      </c>
      <c r="U29" s="46">
        <v>26</v>
      </c>
      <c r="V29" s="46">
        <v>26</v>
      </c>
      <c r="W29" s="46">
        <v>26</v>
      </c>
      <c r="X29" s="46">
        <v>26</v>
      </c>
      <c r="Y29" s="46">
        <v>26</v>
      </c>
      <c r="Z29" s="46">
        <v>26</v>
      </c>
      <c r="AA29" s="46">
        <v>26</v>
      </c>
      <c r="AB29" s="46">
        <v>26</v>
      </c>
      <c r="AC29" s="46">
        <v>26</v>
      </c>
      <c r="AD29" s="46">
        <v>26</v>
      </c>
      <c r="AE29" s="46">
        <v>26</v>
      </c>
      <c r="AF29" s="46">
        <v>26</v>
      </c>
      <c r="AG29" s="50">
        <v>25</v>
      </c>
      <c r="AH29" s="48">
        <f t="shared" si="2"/>
        <v>26</v>
      </c>
      <c r="AI29" s="49">
        <f t="shared" si="3"/>
        <v>26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15</v>
      </c>
      <c r="C31" s="46">
        <v>15</v>
      </c>
      <c r="D31" s="46">
        <v>15</v>
      </c>
      <c r="E31" s="46">
        <v>15</v>
      </c>
      <c r="F31" s="46">
        <v>15</v>
      </c>
      <c r="G31" s="46">
        <v>15</v>
      </c>
      <c r="H31" s="46">
        <v>15</v>
      </c>
      <c r="I31" s="46">
        <v>15</v>
      </c>
      <c r="J31" s="46">
        <v>15</v>
      </c>
      <c r="K31" s="46">
        <v>15</v>
      </c>
      <c r="L31" s="46">
        <v>15</v>
      </c>
      <c r="M31" s="46">
        <v>15</v>
      </c>
      <c r="N31" s="46">
        <v>15</v>
      </c>
      <c r="O31" s="46">
        <v>15</v>
      </c>
      <c r="P31" s="46">
        <v>15</v>
      </c>
      <c r="Q31" s="46">
        <v>15</v>
      </c>
      <c r="R31" s="46">
        <v>15</v>
      </c>
      <c r="S31" s="46">
        <v>15</v>
      </c>
      <c r="T31" s="46">
        <v>15</v>
      </c>
      <c r="U31" s="46">
        <v>15</v>
      </c>
      <c r="V31" s="46">
        <v>15</v>
      </c>
      <c r="W31" s="46">
        <v>15</v>
      </c>
      <c r="X31" s="46">
        <v>15</v>
      </c>
      <c r="Y31" s="46">
        <v>15</v>
      </c>
      <c r="Z31" s="46">
        <v>15</v>
      </c>
      <c r="AA31" s="46">
        <v>15</v>
      </c>
      <c r="AB31" s="46">
        <v>15</v>
      </c>
      <c r="AC31" s="46">
        <v>15</v>
      </c>
      <c r="AD31" s="46">
        <v>15</v>
      </c>
      <c r="AE31" s="46">
        <v>15</v>
      </c>
      <c r="AF31" s="46">
        <v>15</v>
      </c>
      <c r="AG31" s="50">
        <v>25</v>
      </c>
      <c r="AH31" s="48">
        <f t="shared" si="2"/>
        <v>15</v>
      </c>
      <c r="AI31" s="49">
        <f t="shared" si="3"/>
        <v>15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25.5</v>
      </c>
      <c r="C32" s="46">
        <v>25.5</v>
      </c>
      <c r="D32" s="46">
        <v>25.5</v>
      </c>
      <c r="E32" s="46">
        <v>15.5</v>
      </c>
      <c r="F32" s="46">
        <v>15.5</v>
      </c>
      <c r="G32" s="46">
        <v>15.5</v>
      </c>
      <c r="H32" s="46">
        <v>15.5</v>
      </c>
      <c r="I32" s="46">
        <v>15.5</v>
      </c>
      <c r="J32" s="46">
        <v>15.5</v>
      </c>
      <c r="K32" s="46">
        <v>15.5</v>
      </c>
      <c r="L32" s="46">
        <v>15.5</v>
      </c>
      <c r="M32" s="46">
        <v>25</v>
      </c>
      <c r="N32" s="46">
        <v>25</v>
      </c>
      <c r="O32" s="46">
        <v>25</v>
      </c>
      <c r="P32" s="46">
        <v>25.1</v>
      </c>
      <c r="Q32" s="46">
        <v>25.1</v>
      </c>
      <c r="R32" s="46">
        <v>25.1</v>
      </c>
      <c r="S32" s="46">
        <v>25.1</v>
      </c>
      <c r="T32" s="46">
        <v>12.9</v>
      </c>
      <c r="U32" s="46">
        <v>25</v>
      </c>
      <c r="V32" s="46">
        <v>25</v>
      </c>
      <c r="W32" s="46">
        <v>25</v>
      </c>
      <c r="X32" s="46">
        <v>25</v>
      </c>
      <c r="Y32" s="46">
        <v>25</v>
      </c>
      <c r="Z32" s="46">
        <v>25</v>
      </c>
      <c r="AA32" s="46">
        <v>25</v>
      </c>
      <c r="AB32" s="46">
        <v>25</v>
      </c>
      <c r="AC32" s="46">
        <v>25</v>
      </c>
      <c r="AD32" s="46">
        <v>25</v>
      </c>
      <c r="AE32" s="46">
        <v>25</v>
      </c>
      <c r="AF32" s="46">
        <v>25</v>
      </c>
      <c r="AG32" s="50">
        <v>25</v>
      </c>
      <c r="AH32" s="48">
        <f t="shared" si="2"/>
        <v>25.5</v>
      </c>
      <c r="AI32" s="49">
        <f t="shared" si="3"/>
        <v>12.9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11.9</v>
      </c>
      <c r="C33" s="46">
        <v>11.9</v>
      </c>
      <c r="D33" s="46">
        <v>11.9</v>
      </c>
      <c r="E33" s="46">
        <v>15.4</v>
      </c>
      <c r="F33" s="46">
        <v>15.4</v>
      </c>
      <c r="G33" s="46">
        <v>15.4</v>
      </c>
      <c r="H33" s="46">
        <v>15.4</v>
      </c>
      <c r="I33" s="46">
        <v>15.4</v>
      </c>
      <c r="J33" s="46">
        <v>15.4</v>
      </c>
      <c r="K33" s="46">
        <v>15.4</v>
      </c>
      <c r="L33" s="46">
        <v>15.4</v>
      </c>
      <c r="M33" s="46">
        <v>15.4</v>
      </c>
      <c r="N33" s="46">
        <v>10.8</v>
      </c>
      <c r="O33" s="46">
        <v>10.8</v>
      </c>
      <c r="P33" s="46">
        <v>13.4</v>
      </c>
      <c r="Q33" s="46">
        <v>13.4</v>
      </c>
      <c r="R33" s="46">
        <v>13.4</v>
      </c>
      <c r="S33" s="46">
        <v>13.4</v>
      </c>
      <c r="T33" s="46">
        <v>13.4</v>
      </c>
      <c r="U33" s="46">
        <v>13.4</v>
      </c>
      <c r="V33" s="46">
        <v>13.4</v>
      </c>
      <c r="W33" s="46">
        <v>13.4</v>
      </c>
      <c r="X33" s="46">
        <v>13.4</v>
      </c>
      <c r="Y33" s="46">
        <v>13.4</v>
      </c>
      <c r="Z33" s="46">
        <v>13.4</v>
      </c>
      <c r="AA33" s="46">
        <v>13.4</v>
      </c>
      <c r="AB33" s="46">
        <v>13.4</v>
      </c>
      <c r="AC33" s="46">
        <v>13.4</v>
      </c>
      <c r="AD33" s="46">
        <v>13.4</v>
      </c>
      <c r="AE33" s="46">
        <v>13.4</v>
      </c>
      <c r="AF33" s="46">
        <v>13.4</v>
      </c>
      <c r="AG33" s="50">
        <v>23.5</v>
      </c>
      <c r="AH33" s="48">
        <f t="shared" si="2"/>
        <v>15.4</v>
      </c>
      <c r="AI33" s="49">
        <f t="shared" si="3"/>
        <v>10.8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12.4</v>
      </c>
      <c r="C37" s="46">
        <v>12.4</v>
      </c>
      <c r="D37" s="46">
        <v>12.4</v>
      </c>
      <c r="E37" s="46">
        <v>11.3</v>
      </c>
      <c r="F37" s="46">
        <v>11.3</v>
      </c>
      <c r="G37" s="46">
        <v>11.3</v>
      </c>
      <c r="H37" s="46">
        <v>11.3</v>
      </c>
      <c r="I37" s="46">
        <v>11.3</v>
      </c>
      <c r="J37" s="46">
        <v>11.3</v>
      </c>
      <c r="K37" s="46">
        <v>11.3</v>
      </c>
      <c r="L37" s="46">
        <v>11.3</v>
      </c>
      <c r="M37" s="46">
        <v>11.3</v>
      </c>
      <c r="N37" s="46">
        <v>21.2</v>
      </c>
      <c r="O37" s="46">
        <v>21.2</v>
      </c>
      <c r="P37" s="46">
        <v>16.600000000000001</v>
      </c>
      <c r="Q37" s="46">
        <v>16.600000000000001</v>
      </c>
      <c r="R37" s="46">
        <v>16.600000000000001</v>
      </c>
      <c r="S37" s="46">
        <v>16.600000000000001</v>
      </c>
      <c r="T37" s="46">
        <v>16.600000000000001</v>
      </c>
      <c r="U37" s="46">
        <v>16.600000000000001</v>
      </c>
      <c r="V37" s="46">
        <v>16.600000000000001</v>
      </c>
      <c r="W37" s="46">
        <v>16.600000000000001</v>
      </c>
      <c r="X37" s="46">
        <v>16.600000000000001</v>
      </c>
      <c r="Y37" s="46">
        <v>16.600000000000001</v>
      </c>
      <c r="Z37" s="46">
        <v>16.600000000000001</v>
      </c>
      <c r="AA37" s="46">
        <v>16.600000000000001</v>
      </c>
      <c r="AB37" s="46">
        <v>16.600000000000001</v>
      </c>
      <c r="AC37" s="46">
        <v>16.600000000000001</v>
      </c>
      <c r="AD37" s="46">
        <v>16.600000000000001</v>
      </c>
      <c r="AE37" s="46">
        <v>16.600000000000001</v>
      </c>
      <c r="AF37" s="46">
        <v>16.600000000000001</v>
      </c>
      <c r="AG37" s="50">
        <v>22</v>
      </c>
      <c r="AH37" s="48">
        <f t="shared" si="2"/>
        <v>21.2</v>
      </c>
      <c r="AI37" s="49">
        <f t="shared" si="3"/>
        <v>11.3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20.2</v>
      </c>
      <c r="C38" s="46">
        <v>20.2</v>
      </c>
      <c r="D38" s="46">
        <v>20.2</v>
      </c>
      <c r="E38" s="46">
        <v>20.3</v>
      </c>
      <c r="F38" s="46">
        <v>20.3</v>
      </c>
      <c r="G38" s="46">
        <v>20.3</v>
      </c>
      <c r="H38" s="46">
        <v>20.3</v>
      </c>
      <c r="I38" s="46">
        <v>20.3</v>
      </c>
      <c r="J38" s="46">
        <v>20.3</v>
      </c>
      <c r="K38" s="46">
        <v>20.3</v>
      </c>
      <c r="L38" s="46">
        <v>20.3</v>
      </c>
      <c r="M38" s="46">
        <v>20.3</v>
      </c>
      <c r="N38" s="46">
        <v>20.3</v>
      </c>
      <c r="O38" s="46">
        <v>20.3</v>
      </c>
      <c r="P38" s="46">
        <v>20.3</v>
      </c>
      <c r="Q38" s="46">
        <v>20.3</v>
      </c>
      <c r="R38" s="46">
        <v>20.3</v>
      </c>
      <c r="S38" s="46">
        <v>20.3</v>
      </c>
      <c r="T38" s="46">
        <v>20.3</v>
      </c>
      <c r="U38" s="46">
        <v>0</v>
      </c>
      <c r="V38" s="46">
        <v>0</v>
      </c>
      <c r="W38" s="46">
        <v>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20.3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14.4</v>
      </c>
      <c r="C40" s="46">
        <v>14.4</v>
      </c>
      <c r="D40" s="46">
        <v>14.4</v>
      </c>
      <c r="E40" s="46">
        <v>14.1</v>
      </c>
      <c r="F40" s="46">
        <v>14.1</v>
      </c>
      <c r="G40" s="46">
        <v>14.1</v>
      </c>
      <c r="H40" s="46">
        <v>14.1</v>
      </c>
      <c r="I40" s="46">
        <v>14.1</v>
      </c>
      <c r="J40" s="46">
        <v>14.1</v>
      </c>
      <c r="K40" s="46">
        <v>14.1</v>
      </c>
      <c r="L40" s="46">
        <v>14.1</v>
      </c>
      <c r="M40" s="46">
        <v>14.1</v>
      </c>
      <c r="N40" s="46">
        <v>14.2</v>
      </c>
      <c r="O40" s="46">
        <v>14.2</v>
      </c>
      <c r="P40" s="46">
        <v>14.1</v>
      </c>
      <c r="Q40" s="46">
        <v>14.1</v>
      </c>
      <c r="R40" s="46">
        <v>14.1</v>
      </c>
      <c r="S40" s="46">
        <v>14.1</v>
      </c>
      <c r="T40" s="46">
        <v>14.1</v>
      </c>
      <c r="U40" s="46">
        <v>7.6</v>
      </c>
      <c r="V40" s="46">
        <v>7.6</v>
      </c>
      <c r="W40" s="46">
        <v>7.6</v>
      </c>
      <c r="X40" s="46">
        <v>14</v>
      </c>
      <c r="Y40" s="46">
        <v>14</v>
      </c>
      <c r="Z40" s="46">
        <v>14</v>
      </c>
      <c r="AA40" s="46">
        <v>14</v>
      </c>
      <c r="AB40" s="46">
        <v>14</v>
      </c>
      <c r="AC40" s="46">
        <v>14</v>
      </c>
      <c r="AD40" s="46">
        <v>14</v>
      </c>
      <c r="AE40" s="46">
        <v>14</v>
      </c>
      <c r="AF40" s="46">
        <v>14</v>
      </c>
      <c r="AG40" s="50">
        <v>18</v>
      </c>
      <c r="AH40" s="48">
        <f t="shared" si="2"/>
        <v>14.4</v>
      </c>
      <c r="AI40" s="49">
        <f t="shared" si="3"/>
        <v>7.6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0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50">
        <v>15.33</v>
      </c>
      <c r="AH41" s="48">
        <f t="shared" si="2"/>
        <v>0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>
        <v>7</v>
      </c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>
        <v>7</v>
      </c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>
        <v>7</v>
      </c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3.6</v>
      </c>
      <c r="C46" s="46">
        <v>3.6</v>
      </c>
      <c r="D46" s="46">
        <v>3.6</v>
      </c>
      <c r="E46" s="46">
        <v>3.8</v>
      </c>
      <c r="F46" s="46">
        <v>3.8</v>
      </c>
      <c r="G46" s="46">
        <v>3.8</v>
      </c>
      <c r="H46" s="46">
        <v>3.8</v>
      </c>
      <c r="I46" s="46">
        <v>3.8</v>
      </c>
      <c r="J46" s="46">
        <v>3.8</v>
      </c>
      <c r="K46" s="46">
        <v>3.8</v>
      </c>
      <c r="L46" s="46">
        <v>3.8</v>
      </c>
      <c r="M46" s="46">
        <v>3.8</v>
      </c>
      <c r="N46" s="46">
        <v>5</v>
      </c>
      <c r="O46" s="46">
        <v>5</v>
      </c>
      <c r="P46" s="46">
        <v>5</v>
      </c>
      <c r="Q46" s="46">
        <v>5</v>
      </c>
      <c r="R46" s="46">
        <v>5</v>
      </c>
      <c r="S46" s="46">
        <v>5</v>
      </c>
      <c r="T46" s="46">
        <v>5</v>
      </c>
      <c r="U46" s="46">
        <v>5</v>
      </c>
      <c r="V46" s="46">
        <v>5</v>
      </c>
      <c r="W46" s="46">
        <v>5</v>
      </c>
      <c r="X46" s="46">
        <v>5</v>
      </c>
      <c r="Y46" s="46">
        <v>5</v>
      </c>
      <c r="Z46" s="46">
        <v>5</v>
      </c>
      <c r="AA46" s="46">
        <v>5</v>
      </c>
      <c r="AB46" s="46">
        <v>5</v>
      </c>
      <c r="AC46" s="46">
        <v>5</v>
      </c>
      <c r="AD46" s="46">
        <v>5</v>
      </c>
      <c r="AE46" s="46">
        <v>5</v>
      </c>
      <c r="AF46" s="46">
        <v>5</v>
      </c>
      <c r="AG46" s="50">
        <v>14</v>
      </c>
      <c r="AH46" s="48">
        <f t="shared" si="2"/>
        <v>5</v>
      </c>
      <c r="AI46" s="49">
        <f t="shared" si="3"/>
        <v>3.6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4</v>
      </c>
      <c r="C49" s="46">
        <v>4</v>
      </c>
      <c r="D49" s="46">
        <v>4</v>
      </c>
      <c r="E49" s="46">
        <v>4</v>
      </c>
      <c r="F49" s="46">
        <v>4</v>
      </c>
      <c r="G49" s="46">
        <v>4</v>
      </c>
      <c r="H49" s="46">
        <v>4</v>
      </c>
      <c r="I49" s="46">
        <v>4</v>
      </c>
      <c r="J49" s="46">
        <v>4</v>
      </c>
      <c r="K49" s="46">
        <v>4</v>
      </c>
      <c r="L49" s="46">
        <v>4</v>
      </c>
      <c r="M49" s="46">
        <v>4</v>
      </c>
      <c r="N49" s="46">
        <v>4</v>
      </c>
      <c r="O49" s="46">
        <v>4</v>
      </c>
      <c r="P49" s="46">
        <v>4</v>
      </c>
      <c r="Q49" s="46">
        <v>4</v>
      </c>
      <c r="R49" s="46">
        <v>4</v>
      </c>
      <c r="S49" s="46">
        <v>11</v>
      </c>
      <c r="T49" s="46">
        <v>11</v>
      </c>
      <c r="U49" s="46">
        <v>11</v>
      </c>
      <c r="V49" s="46">
        <v>11</v>
      </c>
      <c r="W49" s="46">
        <v>11</v>
      </c>
      <c r="X49" s="46">
        <v>11</v>
      </c>
      <c r="Y49" s="46">
        <v>11</v>
      </c>
      <c r="Z49" s="46">
        <v>11</v>
      </c>
      <c r="AA49" s="46">
        <v>11</v>
      </c>
      <c r="AB49" s="46">
        <v>11</v>
      </c>
      <c r="AC49" s="46">
        <v>11</v>
      </c>
      <c r="AD49" s="46">
        <v>11</v>
      </c>
      <c r="AE49" s="46">
        <v>11</v>
      </c>
      <c r="AF49" s="46">
        <v>11</v>
      </c>
      <c r="AG49" s="50">
        <v>12</v>
      </c>
      <c r="AH49" s="48">
        <f t="shared" si="2"/>
        <v>11</v>
      </c>
      <c r="AI49" s="49">
        <f t="shared" si="3"/>
        <v>4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2</v>
      </c>
      <c r="C50" s="46">
        <v>2</v>
      </c>
      <c r="D50" s="46">
        <v>2</v>
      </c>
      <c r="E50" s="46">
        <v>2</v>
      </c>
      <c r="F50" s="46">
        <v>2</v>
      </c>
      <c r="G50" s="46">
        <v>2</v>
      </c>
      <c r="H50" s="46">
        <v>2</v>
      </c>
      <c r="I50" s="46">
        <v>2</v>
      </c>
      <c r="J50" s="46">
        <v>2</v>
      </c>
      <c r="K50" s="46">
        <v>2</v>
      </c>
      <c r="L50" s="46">
        <v>2</v>
      </c>
      <c r="M50" s="46">
        <v>2</v>
      </c>
      <c r="N50" s="46">
        <v>2</v>
      </c>
      <c r="O50" s="46">
        <v>2</v>
      </c>
      <c r="P50" s="46">
        <v>2</v>
      </c>
      <c r="Q50" s="46">
        <v>2</v>
      </c>
      <c r="R50" s="46">
        <v>2</v>
      </c>
      <c r="S50" s="46">
        <v>2</v>
      </c>
      <c r="T50" s="46">
        <v>2</v>
      </c>
      <c r="U50" s="46">
        <v>2</v>
      </c>
      <c r="V50" s="46">
        <v>2</v>
      </c>
      <c r="W50" s="46">
        <v>2</v>
      </c>
      <c r="X50" s="46">
        <v>2</v>
      </c>
      <c r="Y50" s="46">
        <v>2</v>
      </c>
      <c r="Z50" s="46">
        <v>2</v>
      </c>
      <c r="AA50" s="46">
        <v>2</v>
      </c>
      <c r="AB50" s="46">
        <v>2</v>
      </c>
      <c r="AC50" s="46">
        <v>2</v>
      </c>
      <c r="AD50" s="46">
        <v>2</v>
      </c>
      <c r="AE50" s="46">
        <v>2</v>
      </c>
      <c r="AF50" s="46">
        <v>2</v>
      </c>
      <c r="AG50" s="50">
        <v>12</v>
      </c>
      <c r="AH50" s="48">
        <f t="shared" si="2"/>
        <v>2</v>
      </c>
      <c r="AI50" s="49">
        <f t="shared" si="3"/>
        <v>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141.30000000000001</v>
      </c>
      <c r="C60" s="68">
        <v>141.30000000000001</v>
      </c>
      <c r="D60" s="68">
        <v>141.30000000000001</v>
      </c>
      <c r="E60" s="68">
        <v>133.9</v>
      </c>
      <c r="F60" s="68">
        <v>133.9</v>
      </c>
      <c r="G60" s="68">
        <v>133.9</v>
      </c>
      <c r="H60" s="68">
        <v>133.9</v>
      </c>
      <c r="I60" s="68">
        <v>132</v>
      </c>
      <c r="J60" s="68">
        <v>132</v>
      </c>
      <c r="K60" s="68">
        <v>126.3</v>
      </c>
      <c r="L60" s="68">
        <v>126.6</v>
      </c>
      <c r="M60" s="68">
        <v>126.6</v>
      </c>
      <c r="N60" s="53">
        <f>40.6+90.6</f>
        <v>131.19999999999999</v>
      </c>
      <c r="O60" s="53">
        <f>40.7+91</f>
        <v>131.69999999999999</v>
      </c>
      <c r="P60" s="53">
        <f>40+88.8</f>
        <v>128.80000000000001</v>
      </c>
      <c r="Q60" s="53">
        <f>40+88.8</f>
        <v>128.80000000000001</v>
      </c>
      <c r="R60" s="53">
        <f>40+88.8</f>
        <v>128.80000000000001</v>
      </c>
      <c r="S60" s="53">
        <f>90.5+40.1</f>
        <v>130.6</v>
      </c>
      <c r="T60" s="53">
        <f>88.6+37.9</f>
        <v>126.5</v>
      </c>
      <c r="U60" s="53">
        <f>39+90</f>
        <v>129</v>
      </c>
      <c r="V60" s="53">
        <f>89.2+38.3</f>
        <v>127.5</v>
      </c>
      <c r="W60" s="53">
        <f>89.1+38.1</f>
        <v>127.19999999999999</v>
      </c>
      <c r="X60" s="53">
        <f>84.7+37.5</f>
        <v>122.2</v>
      </c>
      <c r="Y60" s="68">
        <f>87.5+37.3</f>
        <v>124.8</v>
      </c>
      <c r="Z60" s="68">
        <f>70.9+30</f>
        <v>100.9</v>
      </c>
      <c r="AA60" s="68">
        <v>109.1</v>
      </c>
      <c r="AB60" s="68">
        <v>109.1</v>
      </c>
      <c r="AC60" s="68">
        <v>109.1</v>
      </c>
      <c r="AD60" s="68">
        <v>121.5</v>
      </c>
      <c r="AE60" s="68">
        <v>121.5</v>
      </c>
      <c r="AF60" s="68">
        <v>121.5</v>
      </c>
      <c r="AG60" s="66">
        <v>240</v>
      </c>
      <c r="AH60" s="48">
        <f t="shared" si="2"/>
        <v>141.30000000000001</v>
      </c>
      <c r="AI60" s="49">
        <f t="shared" si="3"/>
        <v>100.9</v>
      </c>
      <c r="AK60" s="51"/>
    </row>
    <row r="61" spans="1:88" ht="15.75" thickBot="1" x14ac:dyDescent="0.3">
      <c r="A61" s="70" t="s">
        <v>75</v>
      </c>
      <c r="B61" s="71">
        <f t="shared" ref="B61:Z61" si="20">SUM(B11:B59)</f>
        <v>1035.6999999999998</v>
      </c>
      <c r="C61" s="71">
        <f t="shared" si="20"/>
        <v>1035.6999999999998</v>
      </c>
      <c r="D61" s="71">
        <f t="shared" si="20"/>
        <v>1035.6999999999998</v>
      </c>
      <c r="E61" s="71">
        <f t="shared" si="20"/>
        <v>974.8</v>
      </c>
      <c r="F61" s="71">
        <f t="shared" si="20"/>
        <v>974.8</v>
      </c>
      <c r="G61" s="71">
        <f t="shared" si="20"/>
        <v>974.8</v>
      </c>
      <c r="H61" s="71">
        <f t="shared" si="20"/>
        <v>974.8</v>
      </c>
      <c r="I61" s="71">
        <f t="shared" si="20"/>
        <v>974.8</v>
      </c>
      <c r="J61" s="71">
        <f t="shared" si="20"/>
        <v>958.32999999999981</v>
      </c>
      <c r="K61" s="71">
        <f t="shared" si="20"/>
        <v>941.59999999999991</v>
      </c>
      <c r="L61" s="71">
        <f t="shared" si="20"/>
        <v>938.3</v>
      </c>
      <c r="M61" s="71">
        <f t="shared" si="20"/>
        <v>947.8</v>
      </c>
      <c r="N61" s="71">
        <f t="shared" si="20"/>
        <v>985.3</v>
      </c>
      <c r="O61" s="71">
        <f t="shared" si="20"/>
        <v>977</v>
      </c>
      <c r="P61" s="71">
        <f t="shared" si="20"/>
        <v>953.6</v>
      </c>
      <c r="Q61" s="71">
        <f t="shared" si="20"/>
        <v>953.6</v>
      </c>
      <c r="R61" s="71">
        <f t="shared" si="20"/>
        <v>953.6</v>
      </c>
      <c r="S61" s="71">
        <f t="shared" si="20"/>
        <v>956.80000000000007</v>
      </c>
      <c r="T61" s="71">
        <f t="shared" si="20"/>
        <v>937.2</v>
      </c>
      <c r="U61" s="71">
        <f t="shared" si="20"/>
        <v>879.50000000000011</v>
      </c>
      <c r="V61" s="71">
        <f t="shared" si="20"/>
        <v>884.50000000000011</v>
      </c>
      <c r="W61" s="71">
        <f t="shared" si="20"/>
        <v>885.9</v>
      </c>
      <c r="X61" s="71">
        <f t="shared" si="20"/>
        <v>912</v>
      </c>
      <c r="Y61" s="71">
        <f t="shared" si="20"/>
        <v>911.6</v>
      </c>
      <c r="Z61" s="71">
        <f t="shared" si="20"/>
        <v>911.2</v>
      </c>
      <c r="AA61" s="71">
        <v>975.19999999999993</v>
      </c>
      <c r="AB61" s="71">
        <v>975.19999999999993</v>
      </c>
      <c r="AC61" s="71">
        <v>975.19999999999993</v>
      </c>
      <c r="AD61" s="71">
        <v>975.19999999999993</v>
      </c>
      <c r="AE61" s="71">
        <v>975.19999999999993</v>
      </c>
      <c r="AF61" s="71">
        <v>975.19999999999993</v>
      </c>
      <c r="AG61" s="71">
        <f>SUM(AG11:AG59)</f>
        <v>1466.0300000000002</v>
      </c>
      <c r="AH61" s="48">
        <f t="shared" si="2"/>
        <v>1035.6999999999998</v>
      </c>
      <c r="AI61" s="49">
        <f t="shared" si="3"/>
        <v>879.50000000000011</v>
      </c>
      <c r="AK61" s="51"/>
    </row>
    <row r="62" spans="1:88" x14ac:dyDescent="0.25">
      <c r="A62" s="73" t="s">
        <v>76</v>
      </c>
      <c r="B62" s="46">
        <v>459.6</v>
      </c>
      <c r="C62" s="46">
        <v>459.6</v>
      </c>
      <c r="D62" s="46">
        <v>459.6</v>
      </c>
      <c r="E62" s="46">
        <v>460</v>
      </c>
      <c r="F62" s="46">
        <v>460</v>
      </c>
      <c r="G62" s="46">
        <v>460</v>
      </c>
      <c r="H62" s="46">
        <v>460</v>
      </c>
      <c r="I62" s="46">
        <v>460</v>
      </c>
      <c r="J62" s="46">
        <v>460</v>
      </c>
      <c r="K62" s="46">
        <v>460.3</v>
      </c>
      <c r="L62" s="46">
        <v>460.3</v>
      </c>
      <c r="M62" s="46">
        <v>460.3</v>
      </c>
      <c r="N62" s="74">
        <v>460.1</v>
      </c>
      <c r="O62" s="74">
        <v>460.1</v>
      </c>
      <c r="P62" s="74">
        <v>460.1</v>
      </c>
      <c r="Q62" s="74">
        <v>460.1</v>
      </c>
      <c r="R62" s="74">
        <v>460.1</v>
      </c>
      <c r="S62" s="74">
        <v>459</v>
      </c>
      <c r="T62" s="74">
        <v>459</v>
      </c>
      <c r="U62" s="74">
        <v>459</v>
      </c>
      <c r="V62" s="74">
        <v>459</v>
      </c>
      <c r="W62" s="74">
        <v>459</v>
      </c>
      <c r="X62" s="46">
        <v>440</v>
      </c>
      <c r="Y62" s="46">
        <v>440</v>
      </c>
      <c r="Z62" s="46">
        <v>459</v>
      </c>
      <c r="AA62" s="46">
        <v>459.4</v>
      </c>
      <c r="AB62" s="46">
        <v>459.4</v>
      </c>
      <c r="AC62" s="46">
        <v>459.4</v>
      </c>
      <c r="AD62" s="46">
        <v>459.4</v>
      </c>
      <c r="AE62" s="46">
        <v>459.4</v>
      </c>
      <c r="AF62" s="46">
        <v>459.4</v>
      </c>
      <c r="AG62" s="61">
        <v>456</v>
      </c>
      <c r="AH62" s="48">
        <f t="shared" si="2"/>
        <v>460.3</v>
      </c>
      <c r="AI62" s="49">
        <f t="shared" si="3"/>
        <v>440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1">SUM(B62:B64)</f>
        <v>542.20000000000005</v>
      </c>
      <c r="C65" s="71">
        <f t="shared" si="21"/>
        <v>542.20000000000005</v>
      </c>
      <c r="D65" s="71">
        <f t="shared" si="21"/>
        <v>542.20000000000005</v>
      </c>
      <c r="E65" s="71">
        <f t="shared" si="21"/>
        <v>542.6</v>
      </c>
      <c r="F65" s="71">
        <f t="shared" si="21"/>
        <v>542.6</v>
      </c>
      <c r="G65" s="71">
        <f t="shared" si="21"/>
        <v>542.6</v>
      </c>
      <c r="H65" s="71">
        <f t="shared" si="21"/>
        <v>542.6</v>
      </c>
      <c r="I65" s="71">
        <f t="shared" si="21"/>
        <v>542.6</v>
      </c>
      <c r="J65" s="71">
        <f t="shared" si="21"/>
        <v>542.6</v>
      </c>
      <c r="K65" s="71">
        <f t="shared" si="21"/>
        <v>542.9</v>
      </c>
      <c r="L65" s="71">
        <f t="shared" si="21"/>
        <v>542.9</v>
      </c>
      <c r="M65" s="71">
        <f>SUM(M62:M64)</f>
        <v>542.9</v>
      </c>
      <c r="N65" s="71">
        <f t="shared" si="21"/>
        <v>542.6</v>
      </c>
      <c r="O65" s="71">
        <f>SUM(O62:O64)</f>
        <v>542.6</v>
      </c>
      <c r="P65" s="71">
        <f>SUM(P62:P64)</f>
        <v>542.6</v>
      </c>
      <c r="Q65" s="71">
        <f>SUM(Q62:Q64)</f>
        <v>542.6</v>
      </c>
      <c r="R65" s="71">
        <f>SUM(R62:R64)</f>
        <v>542.6</v>
      </c>
      <c r="S65" s="71">
        <f t="shared" si="21"/>
        <v>541.5</v>
      </c>
      <c r="T65" s="71">
        <f t="shared" si="21"/>
        <v>541.6</v>
      </c>
      <c r="U65" s="71">
        <f>SUM(U62:U64)</f>
        <v>541.6</v>
      </c>
      <c r="V65" s="71">
        <f t="shared" si="21"/>
        <v>541.6</v>
      </c>
      <c r="W65" s="71">
        <f t="shared" si="21"/>
        <v>541.6</v>
      </c>
      <c r="X65" s="71">
        <f t="shared" si="21"/>
        <v>522.6</v>
      </c>
      <c r="Y65" s="71">
        <f t="shared" si="21"/>
        <v>522.6</v>
      </c>
      <c r="Z65" s="71">
        <f t="shared" si="21"/>
        <v>541.6</v>
      </c>
      <c r="AA65" s="71">
        <v>542</v>
      </c>
      <c r="AB65" s="71">
        <v>542</v>
      </c>
      <c r="AC65" s="71">
        <v>542</v>
      </c>
      <c r="AD65" s="71">
        <v>542</v>
      </c>
      <c r="AE65" s="71">
        <v>542</v>
      </c>
      <c r="AF65" s="71">
        <v>542</v>
      </c>
      <c r="AG65" s="72">
        <f t="shared" si="21"/>
        <v>538.1</v>
      </c>
      <c r="AH65" s="48">
        <f t="shared" si="2"/>
        <v>542.9</v>
      </c>
      <c r="AI65" s="49">
        <f t="shared" si="3"/>
        <v>522.6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>
        <v>144</v>
      </c>
      <c r="D66" s="46">
        <v>144</v>
      </c>
      <c r="E66" s="46">
        <v>144</v>
      </c>
      <c r="F66" s="46">
        <v>144</v>
      </c>
      <c r="G66" s="46">
        <v>144</v>
      </c>
      <c r="H66" s="46">
        <v>144</v>
      </c>
      <c r="I66" s="46">
        <v>144</v>
      </c>
      <c r="J66" s="46">
        <v>144</v>
      </c>
      <c r="K66" s="46">
        <v>144</v>
      </c>
      <c r="L66" s="46">
        <v>144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144</v>
      </c>
      <c r="AB66" s="46">
        <v>144</v>
      </c>
      <c r="AC66" s="46">
        <v>144</v>
      </c>
      <c r="AD66" s="46">
        <v>144</v>
      </c>
      <c r="AE66" s="46">
        <v>144</v>
      </c>
      <c r="AF66" s="46">
        <v>144</v>
      </c>
      <c r="AG66" s="61">
        <v>144</v>
      </c>
      <c r="AH66" s="48">
        <f t="shared" si="2"/>
        <v>144</v>
      </c>
      <c r="AI66" s="49">
        <f t="shared" si="3"/>
        <v>144</v>
      </c>
      <c r="AK66" s="51"/>
      <c r="AY66" s="1" t="s">
        <v>86</v>
      </c>
      <c r="AZ66" s="82">
        <f>ROUND(C84,0)</f>
        <v>5</v>
      </c>
      <c r="BA66" s="81">
        <f t="shared" ref="BA66:BD70" si="22">D84</f>
        <v>10</v>
      </c>
      <c r="BB66" s="81">
        <f t="shared" si="22"/>
        <v>-20</v>
      </c>
      <c r="BC66" s="81">
        <f t="shared" si="22"/>
        <v>-16.5</v>
      </c>
      <c r="BD66" s="81">
        <f t="shared" si="22"/>
        <v>-35.4</v>
      </c>
      <c r="BE66" s="82">
        <f>I84</f>
        <v>-36</v>
      </c>
      <c r="BF66" s="82">
        <f>K84</f>
        <v>-36.4</v>
      </c>
      <c r="BG66" s="82">
        <f t="shared" ref="BG66:BP70" si="23">M84</f>
        <v>-36.6</v>
      </c>
      <c r="BH66" s="82">
        <f t="shared" si="23"/>
        <v>-20</v>
      </c>
      <c r="BI66" s="82">
        <f t="shared" si="23"/>
        <v>-2.4</v>
      </c>
      <c r="BJ66" s="82">
        <f t="shared" si="23"/>
        <v>0</v>
      </c>
      <c r="BK66" s="82">
        <f t="shared" si="23"/>
        <v>0</v>
      </c>
      <c r="BL66" s="82">
        <f t="shared" si="23"/>
        <v>3</v>
      </c>
      <c r="BM66" s="82">
        <f t="shared" si="23"/>
        <v>9.3000000000000007</v>
      </c>
      <c r="BN66" s="82">
        <f t="shared" si="23"/>
        <v>21.7</v>
      </c>
      <c r="BO66" s="82">
        <f t="shared" si="23"/>
        <v>24</v>
      </c>
      <c r="BP66" s="82">
        <f t="shared" si="23"/>
        <v>-5</v>
      </c>
      <c r="BQ66" s="82">
        <f>X84</f>
        <v>35</v>
      </c>
      <c r="BR66" s="82">
        <f>Z84</f>
        <v>0</v>
      </c>
      <c r="BS66" s="81">
        <f>AB84</f>
        <v>0</v>
      </c>
      <c r="BT66" s="81">
        <f t="shared" ref="BT66:BV70" si="24">AD84</f>
        <v>0</v>
      </c>
      <c r="BU66" s="81">
        <f t="shared" si="24"/>
        <v>-22.9</v>
      </c>
      <c r="BV66" s="81">
        <f t="shared" si="24"/>
        <v>-18.7</v>
      </c>
      <c r="BW66" s="81">
        <f>B84</f>
        <v>-10</v>
      </c>
    </row>
    <row r="67" spans="1:75" x14ac:dyDescent="0.25">
      <c r="A67" s="65" t="s">
        <v>81</v>
      </c>
      <c r="B67" s="76">
        <v>69.2</v>
      </c>
      <c r="C67" s="76">
        <v>69.2</v>
      </c>
      <c r="D67" s="76">
        <v>69.2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70.400000000000006</v>
      </c>
      <c r="O67" s="76">
        <v>70.3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46">
        <v>70</v>
      </c>
      <c r="AB67" s="46">
        <v>70</v>
      </c>
      <c r="AC67" s="46">
        <v>70</v>
      </c>
      <c r="AD67" s="46">
        <v>70</v>
      </c>
      <c r="AE67" s="46">
        <v>70</v>
      </c>
      <c r="AF67" s="46">
        <v>70</v>
      </c>
      <c r="AG67" s="66">
        <v>70</v>
      </c>
      <c r="AH67" s="48">
        <f t="shared" si="2"/>
        <v>70.400000000000006</v>
      </c>
      <c r="AI67" s="49">
        <f t="shared" si="3"/>
        <v>69.2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>
        <v>68</v>
      </c>
      <c r="C68" s="76">
        <v>68</v>
      </c>
      <c r="D68" s="76">
        <v>68</v>
      </c>
      <c r="E68" s="76">
        <v>69</v>
      </c>
      <c r="F68" s="76">
        <v>69</v>
      </c>
      <c r="G68" s="76">
        <v>69</v>
      </c>
      <c r="H68" s="76">
        <v>69</v>
      </c>
      <c r="I68" s="76">
        <v>69</v>
      </c>
      <c r="J68" s="76">
        <v>69</v>
      </c>
      <c r="K68" s="76">
        <v>69</v>
      </c>
      <c r="L68" s="76">
        <v>69</v>
      </c>
      <c r="M68" s="76">
        <v>69</v>
      </c>
      <c r="N68" s="76">
        <v>65.8</v>
      </c>
      <c r="O68" s="76">
        <v>65.8</v>
      </c>
      <c r="P68" s="76">
        <v>66.2</v>
      </c>
      <c r="Q68" s="76">
        <v>66.2</v>
      </c>
      <c r="R68" s="76">
        <v>66.2</v>
      </c>
      <c r="S68" s="76">
        <v>66.2</v>
      </c>
      <c r="T68" s="76">
        <v>66.2</v>
      </c>
      <c r="U68" s="76">
        <v>66.2</v>
      </c>
      <c r="V68" s="76">
        <v>66.2</v>
      </c>
      <c r="W68" s="76">
        <v>66.2</v>
      </c>
      <c r="X68" s="76">
        <v>66.2</v>
      </c>
      <c r="Y68" s="76">
        <v>66.2</v>
      </c>
      <c r="Z68" s="76">
        <v>66.2</v>
      </c>
      <c r="AA68" s="46">
        <v>66.2</v>
      </c>
      <c r="AB68" s="46">
        <v>66.2</v>
      </c>
      <c r="AC68" s="46">
        <v>66.2</v>
      </c>
      <c r="AD68" s="46">
        <v>66.2</v>
      </c>
      <c r="AE68" s="46">
        <v>66.2</v>
      </c>
      <c r="AF68" s="46">
        <v>66.2</v>
      </c>
      <c r="AG68" s="66">
        <v>69</v>
      </c>
      <c r="AH68" s="48">
        <f t="shared" si="2"/>
        <v>69</v>
      </c>
      <c r="AI68" s="49">
        <f t="shared" si="3"/>
        <v>65.8</v>
      </c>
      <c r="AK68" s="51"/>
      <c r="AL68" s="83"/>
      <c r="AO68" s="83"/>
      <c r="AY68" s="1" t="s">
        <v>90</v>
      </c>
      <c r="AZ68" s="82">
        <f>ROUND(C86,0)</f>
        <v>-410</v>
      </c>
      <c r="BA68" s="81">
        <f t="shared" si="22"/>
        <v>-436</v>
      </c>
      <c r="BB68" s="81">
        <f t="shared" si="22"/>
        <v>-495</v>
      </c>
      <c r="BC68" s="81">
        <f t="shared" si="22"/>
        <v>-493</v>
      </c>
      <c r="BD68" s="81">
        <f t="shared" si="22"/>
        <v>-521</v>
      </c>
      <c r="BE68" s="82">
        <f>I86</f>
        <v>-499</v>
      </c>
      <c r="BF68" s="82">
        <f>K86</f>
        <v>-505</v>
      </c>
      <c r="BG68" s="82">
        <f t="shared" si="23"/>
        <v>-470</v>
      </c>
      <c r="BH68" s="82">
        <f t="shared" si="23"/>
        <v>-500</v>
      </c>
      <c r="BI68" s="82">
        <f t="shared" si="23"/>
        <v>-510</v>
      </c>
      <c r="BJ68" s="82">
        <f t="shared" si="23"/>
        <v>-485</v>
      </c>
      <c r="BK68" s="82">
        <f t="shared" si="23"/>
        <v>-482</v>
      </c>
      <c r="BL68" s="82">
        <f t="shared" si="23"/>
        <v>-485</v>
      </c>
      <c r="BM68" s="82">
        <f t="shared" si="23"/>
        <v>-456</v>
      </c>
      <c r="BN68" s="82">
        <f t="shared" si="23"/>
        <v>-415</v>
      </c>
      <c r="BO68" s="82">
        <f t="shared" si="23"/>
        <v>-435</v>
      </c>
      <c r="BP68" s="82">
        <f t="shared" si="23"/>
        <v>-441</v>
      </c>
      <c r="BQ68" s="82">
        <f>X86</f>
        <v>-465</v>
      </c>
      <c r="BR68" s="82">
        <f>Z86</f>
        <v>-350</v>
      </c>
      <c r="BS68" s="81">
        <f>AB86</f>
        <v>-415</v>
      </c>
      <c r="BT68" s="81">
        <f t="shared" si="24"/>
        <v>-419.9</v>
      </c>
      <c r="BU68" s="81">
        <f t="shared" si="24"/>
        <v>-461.2</v>
      </c>
      <c r="BV68" s="81">
        <f t="shared" si="24"/>
        <v>-483.1</v>
      </c>
      <c r="BW68" s="81">
        <f>B86</f>
        <v>-420</v>
      </c>
    </row>
    <row r="69" spans="1:75" s="83" customFormat="1" x14ac:dyDescent="0.25">
      <c r="A69" s="65" t="s">
        <v>83</v>
      </c>
      <c r="B69" s="76">
        <v>60.4</v>
      </c>
      <c r="C69" s="76">
        <v>60.4</v>
      </c>
      <c r="D69" s="76">
        <v>60.4</v>
      </c>
      <c r="E69" s="76">
        <v>60</v>
      </c>
      <c r="F69" s="76">
        <v>60</v>
      </c>
      <c r="G69" s="76">
        <v>60</v>
      </c>
      <c r="H69" s="76">
        <v>60</v>
      </c>
      <c r="I69" s="76">
        <v>60</v>
      </c>
      <c r="J69" s="76">
        <v>60</v>
      </c>
      <c r="K69" s="76">
        <v>60</v>
      </c>
      <c r="L69" s="76">
        <v>60</v>
      </c>
      <c r="M69" s="76">
        <v>60</v>
      </c>
      <c r="N69" s="76">
        <v>60.7</v>
      </c>
      <c r="O69" s="76">
        <v>60.4</v>
      </c>
      <c r="P69" s="76">
        <v>60.4</v>
      </c>
      <c r="Q69" s="76">
        <v>60.4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46">
        <v>60.4</v>
      </c>
      <c r="AB69" s="46">
        <v>60.4</v>
      </c>
      <c r="AC69" s="46">
        <v>60.4</v>
      </c>
      <c r="AD69" s="46">
        <v>60.4</v>
      </c>
      <c r="AE69" s="46">
        <v>60.4</v>
      </c>
      <c r="AF69" s="46">
        <v>60.4</v>
      </c>
      <c r="AG69" s="66">
        <v>60</v>
      </c>
      <c r="AH69" s="48">
        <f t="shared" si="2"/>
        <v>60.7</v>
      </c>
      <c r="AI69" s="49">
        <f t="shared" si="3"/>
        <v>60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76">
        <v>14.7</v>
      </c>
      <c r="C70" s="76">
        <v>14.7</v>
      </c>
      <c r="D70" s="76">
        <v>14.7</v>
      </c>
      <c r="E70" s="76">
        <v>14.7</v>
      </c>
      <c r="F70" s="76">
        <v>14.7</v>
      </c>
      <c r="G70" s="76">
        <v>14.7</v>
      </c>
      <c r="H70" s="76">
        <v>14.7</v>
      </c>
      <c r="I70" s="76">
        <v>14.7</v>
      </c>
      <c r="J70" s="76">
        <v>14.7</v>
      </c>
      <c r="K70" s="76">
        <v>14.7</v>
      </c>
      <c r="L70" s="76">
        <v>14.7</v>
      </c>
      <c r="M70" s="76">
        <v>14.7</v>
      </c>
      <c r="N70" s="76">
        <v>28.6</v>
      </c>
      <c r="O70" s="76">
        <v>23.1</v>
      </c>
      <c r="P70" s="76">
        <v>25.1</v>
      </c>
      <c r="Q70" s="76">
        <v>25.1</v>
      </c>
      <c r="R70" s="76">
        <v>25.1</v>
      </c>
      <c r="S70" s="76">
        <v>25.1</v>
      </c>
      <c r="T70" s="76">
        <v>14</v>
      </c>
      <c r="U70" s="76">
        <v>14</v>
      </c>
      <c r="V70" s="76">
        <v>14</v>
      </c>
      <c r="W70" s="76">
        <v>14</v>
      </c>
      <c r="X70" s="76">
        <v>14</v>
      </c>
      <c r="Y70" s="76">
        <v>14</v>
      </c>
      <c r="Z70" s="76">
        <v>14</v>
      </c>
      <c r="AA70" s="46">
        <v>14</v>
      </c>
      <c r="AB70" s="46">
        <v>14</v>
      </c>
      <c r="AC70" s="46">
        <v>14</v>
      </c>
      <c r="AD70" s="46">
        <v>14</v>
      </c>
      <c r="AE70" s="46">
        <v>14</v>
      </c>
      <c r="AF70" s="46">
        <v>27.1</v>
      </c>
      <c r="AG70" s="66">
        <v>30</v>
      </c>
      <c r="AH70" s="48">
        <f t="shared" si="2"/>
        <v>28.6</v>
      </c>
      <c r="AI70" s="49">
        <f t="shared" si="3"/>
        <v>14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76">
        <v>15.3</v>
      </c>
      <c r="O71" s="76">
        <v>15.8</v>
      </c>
      <c r="P71" s="76">
        <v>17.399999999999999</v>
      </c>
      <c r="Q71" s="76">
        <v>17.399999999999999</v>
      </c>
      <c r="R71" s="76">
        <v>17.399999999999999</v>
      </c>
      <c r="S71" s="76">
        <v>13.5</v>
      </c>
      <c r="T71" s="76">
        <v>6.4</v>
      </c>
      <c r="U71" s="76">
        <v>7.7</v>
      </c>
      <c r="V71" s="76">
        <v>2.8</v>
      </c>
      <c r="W71" s="76">
        <v>2.1</v>
      </c>
      <c r="X71" s="76">
        <v>1.4</v>
      </c>
      <c r="Y71" s="76">
        <v>0</v>
      </c>
      <c r="Z71" s="7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17.399999999999999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12.2</v>
      </c>
      <c r="C72" s="76">
        <v>12.2</v>
      </c>
      <c r="D72" s="76">
        <v>12.2</v>
      </c>
      <c r="E72" s="76">
        <v>12.2</v>
      </c>
      <c r="F72" s="76">
        <v>12.2</v>
      </c>
      <c r="G72" s="76">
        <v>12.2</v>
      </c>
      <c r="H72" s="76">
        <v>12.2</v>
      </c>
      <c r="I72" s="76">
        <v>12.2</v>
      </c>
      <c r="J72" s="76">
        <v>12.2</v>
      </c>
      <c r="K72" s="76">
        <v>12.2</v>
      </c>
      <c r="L72" s="76">
        <v>12.2</v>
      </c>
      <c r="M72" s="76">
        <v>12.2</v>
      </c>
      <c r="N72" s="76">
        <v>12.8</v>
      </c>
      <c r="O72" s="76">
        <v>12.8</v>
      </c>
      <c r="P72" s="76">
        <v>11.1</v>
      </c>
      <c r="Q72" s="76">
        <v>11.1</v>
      </c>
      <c r="R72" s="76">
        <v>11.1</v>
      </c>
      <c r="S72" s="76">
        <v>11.1</v>
      </c>
      <c r="T72" s="76">
        <v>11.1</v>
      </c>
      <c r="U72" s="76">
        <v>11.1</v>
      </c>
      <c r="V72" s="76">
        <v>11.1</v>
      </c>
      <c r="W72" s="76">
        <v>11.1</v>
      </c>
      <c r="X72" s="76">
        <v>11.1</v>
      </c>
      <c r="Y72" s="76">
        <v>11.1</v>
      </c>
      <c r="Z72" s="76">
        <v>11.1</v>
      </c>
      <c r="AA72" s="76">
        <v>11.1</v>
      </c>
      <c r="AB72" s="76">
        <v>11.1</v>
      </c>
      <c r="AC72" s="76">
        <v>11.1</v>
      </c>
      <c r="AD72" s="76">
        <v>11.1</v>
      </c>
      <c r="AE72" s="76">
        <v>11.1</v>
      </c>
      <c r="AF72" s="76">
        <v>11.1</v>
      </c>
      <c r="AG72" s="66">
        <v>24</v>
      </c>
      <c r="AH72" s="48">
        <f t="shared" si="2"/>
        <v>12.8</v>
      </c>
      <c r="AI72" s="49">
        <f t="shared" si="3"/>
        <v>11.1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6">VALUE(AZ66)</f>
        <v>5</v>
      </c>
      <c r="BA73" s="82">
        <f t="shared" si="26"/>
        <v>10</v>
      </c>
      <c r="BB73" s="82">
        <f t="shared" si="26"/>
        <v>-20</v>
      </c>
      <c r="BC73" s="82">
        <f t="shared" si="26"/>
        <v>-16.5</v>
      </c>
      <c r="BD73" s="82">
        <f t="shared" si="26"/>
        <v>-35.4</v>
      </c>
      <c r="BE73" s="82">
        <f t="shared" si="26"/>
        <v>-36</v>
      </c>
      <c r="BF73" s="82">
        <f t="shared" si="26"/>
        <v>-36.4</v>
      </c>
      <c r="BG73" s="82">
        <f t="shared" si="26"/>
        <v>-36.6</v>
      </c>
      <c r="BH73" s="82">
        <f t="shared" si="26"/>
        <v>-20</v>
      </c>
      <c r="BI73" s="82">
        <f t="shared" si="26"/>
        <v>-2.4</v>
      </c>
      <c r="BJ73" s="82">
        <f t="shared" si="26"/>
        <v>0</v>
      </c>
      <c r="BK73" s="82">
        <f t="shared" si="26"/>
        <v>0</v>
      </c>
      <c r="BL73" s="82">
        <f t="shared" si="26"/>
        <v>3</v>
      </c>
      <c r="BM73" s="82">
        <f t="shared" si="26"/>
        <v>9.3000000000000007</v>
      </c>
      <c r="BN73" s="82">
        <f t="shared" si="26"/>
        <v>21.7</v>
      </c>
      <c r="BO73" s="82">
        <f t="shared" si="26"/>
        <v>24</v>
      </c>
      <c r="BP73" s="82">
        <f t="shared" si="26"/>
        <v>-5</v>
      </c>
      <c r="BQ73" s="82">
        <f t="shared" si="26"/>
        <v>35</v>
      </c>
      <c r="BR73" s="82">
        <f t="shared" si="26"/>
        <v>0</v>
      </c>
      <c r="BS73" s="82">
        <f t="shared" si="26"/>
        <v>0</v>
      </c>
      <c r="BT73" s="82">
        <f t="shared" si="26"/>
        <v>0</v>
      </c>
      <c r="BU73" s="82">
        <f t="shared" si="26"/>
        <v>-22.9</v>
      </c>
      <c r="BV73" s="82">
        <f t="shared" si="26"/>
        <v>-18.7</v>
      </c>
      <c r="BW73" s="82">
        <f t="shared" si="26"/>
        <v>-10</v>
      </c>
    </row>
    <row r="74" spans="1:75" x14ac:dyDescent="0.25">
      <c r="A74" s="65" t="s">
        <v>91</v>
      </c>
      <c r="B74" s="76">
        <v>5.9</v>
      </c>
      <c r="C74" s="76">
        <v>5.9</v>
      </c>
      <c r="D74" s="76">
        <v>5.9</v>
      </c>
      <c r="E74" s="76">
        <v>5.9</v>
      </c>
      <c r="F74" s="76">
        <v>5.9</v>
      </c>
      <c r="G74" s="76">
        <v>5.9</v>
      </c>
      <c r="H74" s="76">
        <v>5.9</v>
      </c>
      <c r="I74" s="76">
        <v>5.9</v>
      </c>
      <c r="J74" s="76">
        <v>5.9</v>
      </c>
      <c r="K74" s="76">
        <v>5.9</v>
      </c>
      <c r="L74" s="76">
        <v>5.9</v>
      </c>
      <c r="M74" s="76">
        <v>5.9</v>
      </c>
      <c r="N74" s="76">
        <v>9.3000000000000007</v>
      </c>
      <c r="O74" s="76">
        <v>9.3000000000000007</v>
      </c>
      <c r="P74" s="76">
        <v>10</v>
      </c>
      <c r="Q74" s="76">
        <v>10</v>
      </c>
      <c r="R74" s="76">
        <v>10</v>
      </c>
      <c r="S74" s="76">
        <v>10</v>
      </c>
      <c r="T74" s="76">
        <v>10</v>
      </c>
      <c r="U74" s="76">
        <v>10</v>
      </c>
      <c r="V74" s="76">
        <v>10</v>
      </c>
      <c r="W74" s="76">
        <v>10</v>
      </c>
      <c r="X74" s="76">
        <v>10</v>
      </c>
      <c r="Y74" s="76">
        <v>10</v>
      </c>
      <c r="Z74" s="76">
        <v>10</v>
      </c>
      <c r="AA74" s="76">
        <v>10</v>
      </c>
      <c r="AB74" s="76">
        <v>10</v>
      </c>
      <c r="AC74" s="76">
        <v>10</v>
      </c>
      <c r="AD74" s="76">
        <v>10</v>
      </c>
      <c r="AE74" s="76">
        <v>10</v>
      </c>
      <c r="AF74" s="76">
        <v>10</v>
      </c>
      <c r="AG74" s="66">
        <v>14.1</v>
      </c>
      <c r="AH74" s="48">
        <f t="shared" si="2"/>
        <v>10</v>
      </c>
      <c r="AI74" s="49">
        <f t="shared" si="3"/>
        <v>5.9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>
        <v>14.2</v>
      </c>
      <c r="C75" s="76">
        <v>14.2</v>
      </c>
      <c r="D75" s="76">
        <v>14.2</v>
      </c>
      <c r="E75" s="76">
        <v>14.2</v>
      </c>
      <c r="F75" s="76">
        <v>14.2</v>
      </c>
      <c r="G75" s="76">
        <v>14.2</v>
      </c>
      <c r="H75" s="76">
        <v>14.2</v>
      </c>
      <c r="I75" s="76">
        <v>14.2</v>
      </c>
      <c r="J75" s="76">
        <v>14.2</v>
      </c>
      <c r="K75" s="76">
        <v>14.2</v>
      </c>
      <c r="L75" s="76">
        <v>14.2</v>
      </c>
      <c r="M75" s="76">
        <v>14.2</v>
      </c>
      <c r="N75" s="76">
        <v>14.1</v>
      </c>
      <c r="O75" s="76">
        <v>14.1</v>
      </c>
      <c r="P75" s="76">
        <v>14.2</v>
      </c>
      <c r="Q75" s="76">
        <v>14.2</v>
      </c>
      <c r="R75" s="76">
        <v>14.2</v>
      </c>
      <c r="S75" s="76">
        <v>14.2</v>
      </c>
      <c r="T75" s="76">
        <v>14.2</v>
      </c>
      <c r="U75" s="76">
        <v>14.2</v>
      </c>
      <c r="V75" s="76">
        <v>14.2</v>
      </c>
      <c r="W75" s="76">
        <v>14.2</v>
      </c>
      <c r="X75" s="76">
        <v>14.2</v>
      </c>
      <c r="Y75" s="76">
        <v>14.2</v>
      </c>
      <c r="Z75" s="76">
        <v>14.2</v>
      </c>
      <c r="AA75" s="76">
        <v>14.2</v>
      </c>
      <c r="AB75" s="76">
        <v>14.2</v>
      </c>
      <c r="AC75" s="76">
        <v>14.2</v>
      </c>
      <c r="AD75" s="76">
        <v>14.2</v>
      </c>
      <c r="AE75" s="76">
        <v>14.2</v>
      </c>
      <c r="AF75" s="76">
        <v>14.2</v>
      </c>
      <c r="AG75" s="66">
        <v>14</v>
      </c>
      <c r="AH75" s="48">
        <f t="shared" ref="AH75:AH126" si="27">MAX(B75:AF75)</f>
        <v>14.2</v>
      </c>
      <c r="AI75" s="49">
        <f t="shared" ref="AI75:AI126" si="28">MIN(B75:AF75)</f>
        <v>14.1</v>
      </c>
      <c r="AK75" s="51"/>
      <c r="AZ75" s="82">
        <f t="shared" si="26"/>
        <v>-410</v>
      </c>
      <c r="BA75" s="82">
        <f t="shared" si="26"/>
        <v>-436</v>
      </c>
      <c r="BB75" s="82">
        <f t="shared" si="26"/>
        <v>-495</v>
      </c>
      <c r="BC75" s="82">
        <f t="shared" si="26"/>
        <v>-493</v>
      </c>
      <c r="BD75" s="82">
        <f t="shared" si="26"/>
        <v>-521</v>
      </c>
      <c r="BE75" s="82">
        <f t="shared" si="26"/>
        <v>-499</v>
      </c>
      <c r="BF75" s="82">
        <f t="shared" si="26"/>
        <v>-505</v>
      </c>
      <c r="BG75" s="82">
        <f t="shared" si="26"/>
        <v>-470</v>
      </c>
      <c r="BH75" s="82">
        <f t="shared" si="26"/>
        <v>-500</v>
      </c>
      <c r="BI75" s="82">
        <f t="shared" si="26"/>
        <v>-510</v>
      </c>
      <c r="BJ75" s="82">
        <f t="shared" si="26"/>
        <v>-485</v>
      </c>
      <c r="BK75" s="82">
        <f t="shared" si="26"/>
        <v>-482</v>
      </c>
      <c r="BL75" s="82">
        <f t="shared" si="26"/>
        <v>-485</v>
      </c>
      <c r="BM75" s="82">
        <f t="shared" si="26"/>
        <v>-456</v>
      </c>
      <c r="BN75" s="82">
        <f t="shared" si="26"/>
        <v>-415</v>
      </c>
      <c r="BO75" s="82">
        <f t="shared" si="26"/>
        <v>-435</v>
      </c>
      <c r="BP75" s="82">
        <f t="shared" si="26"/>
        <v>-441</v>
      </c>
      <c r="BQ75" s="82">
        <f t="shared" si="26"/>
        <v>-465</v>
      </c>
      <c r="BR75" s="82">
        <f t="shared" si="26"/>
        <v>-350</v>
      </c>
      <c r="BS75" s="82">
        <f t="shared" si="26"/>
        <v>-415</v>
      </c>
      <c r="BT75" s="82">
        <f t="shared" si="26"/>
        <v>-419.9</v>
      </c>
      <c r="BU75" s="82">
        <f t="shared" si="26"/>
        <v>-461.2</v>
      </c>
      <c r="BV75" s="82">
        <f t="shared" si="26"/>
        <v>-483.1</v>
      </c>
      <c r="BW75" s="82">
        <f t="shared" si="26"/>
        <v>-420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7"/>
        <v>10</v>
      </c>
      <c r="AI76" s="49">
        <f t="shared" si="28"/>
        <v>10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7"/>
        <v>6</v>
      </c>
      <c r="AI77" s="49">
        <f t="shared" si="28"/>
        <v>6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85">
        <v>5.5</v>
      </c>
      <c r="AC78" s="85">
        <v>5.5</v>
      </c>
      <c r="AD78" s="85">
        <v>5.5</v>
      </c>
      <c r="AE78" s="85">
        <v>5.5</v>
      </c>
      <c r="AF78" s="85">
        <v>5.5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 t="shared" ref="B79:AG79" si="29">SUM(B66:B78)</f>
        <v>411.93999999999994</v>
      </c>
      <c r="C79" s="71">
        <f t="shared" si="29"/>
        <v>411.93999999999994</v>
      </c>
      <c r="D79" s="71">
        <f t="shared" si="29"/>
        <v>411.93999999999994</v>
      </c>
      <c r="E79" s="71">
        <f t="shared" si="29"/>
        <v>413.34</v>
      </c>
      <c r="F79" s="71">
        <f t="shared" si="29"/>
        <v>413.34</v>
      </c>
      <c r="G79" s="71">
        <f t="shared" si="29"/>
        <v>413.34</v>
      </c>
      <c r="H79" s="71">
        <f t="shared" si="29"/>
        <v>413.34</v>
      </c>
      <c r="I79" s="71">
        <f t="shared" si="29"/>
        <v>413.34</v>
      </c>
      <c r="J79" s="71">
        <f t="shared" si="29"/>
        <v>413.34</v>
      </c>
      <c r="K79" s="71">
        <f t="shared" si="29"/>
        <v>413.34</v>
      </c>
      <c r="L79" s="71">
        <f t="shared" si="29"/>
        <v>413.34</v>
      </c>
      <c r="M79" s="71">
        <f>SUM(M66:M78)</f>
        <v>413.34</v>
      </c>
      <c r="N79" s="71">
        <f t="shared" si="29"/>
        <v>444.34000000000009</v>
      </c>
      <c r="O79" s="71">
        <f>SUM(O66:O78)</f>
        <v>438.94000000000011</v>
      </c>
      <c r="P79" s="71">
        <f t="shared" si="29"/>
        <v>441.74</v>
      </c>
      <c r="Q79" s="71">
        <f>SUM(Q66:Q78)</f>
        <v>441.74</v>
      </c>
      <c r="R79" s="71">
        <f>SUM(R66:R78)</f>
        <v>441.74</v>
      </c>
      <c r="S79" s="71">
        <f t="shared" si="29"/>
        <v>437.84000000000003</v>
      </c>
      <c r="T79" s="71">
        <f t="shared" si="29"/>
        <v>419.64</v>
      </c>
      <c r="U79" s="71">
        <f t="shared" si="29"/>
        <v>420.94</v>
      </c>
      <c r="V79" s="71">
        <f t="shared" si="29"/>
        <v>416.04</v>
      </c>
      <c r="W79" s="71">
        <f t="shared" si="29"/>
        <v>415.34000000000003</v>
      </c>
      <c r="X79" s="71">
        <f t="shared" si="29"/>
        <v>414.64</v>
      </c>
      <c r="Y79" s="71">
        <f t="shared" si="29"/>
        <v>413.2</v>
      </c>
      <c r="Z79" s="71">
        <f t="shared" si="29"/>
        <v>415.2</v>
      </c>
      <c r="AA79" s="71">
        <v>415.2</v>
      </c>
      <c r="AB79" s="71">
        <v>415.2</v>
      </c>
      <c r="AC79" s="71">
        <v>415.2</v>
      </c>
      <c r="AD79" s="71">
        <v>415.2</v>
      </c>
      <c r="AE79" s="71">
        <v>415.2</v>
      </c>
      <c r="AF79" s="71">
        <v>415.2</v>
      </c>
      <c r="AG79" s="72">
        <f t="shared" si="29"/>
        <v>489.91</v>
      </c>
      <c r="AH79" s="48">
        <f t="shared" si="27"/>
        <v>444.34000000000009</v>
      </c>
      <c r="AI79" s="49">
        <f t="shared" si="28"/>
        <v>411.93999999999994</v>
      </c>
      <c r="AK79" s="51"/>
      <c r="AY79" s="82"/>
    </row>
    <row r="80" spans="1:75" x14ac:dyDescent="0.25">
      <c r="A80" s="45" t="s">
        <v>100</v>
      </c>
      <c r="B80" s="46">
        <v>20</v>
      </c>
      <c r="C80" s="46">
        <v>20</v>
      </c>
      <c r="D80" s="46">
        <v>20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/>
      <c r="M80" s="46"/>
      <c r="N80" s="46"/>
      <c r="O80" s="46"/>
      <c r="P80" s="46"/>
      <c r="Q80" s="46"/>
      <c r="R80" s="46"/>
      <c r="S80" s="46">
        <v>10.8</v>
      </c>
      <c r="T80" s="46">
        <v>10.8</v>
      </c>
      <c r="U80" s="46">
        <v>10.7</v>
      </c>
      <c r="V80" s="46"/>
      <c r="W80" s="46"/>
      <c r="X80" s="46"/>
      <c r="Y80" s="46"/>
      <c r="Z80" s="46"/>
      <c r="AA80" s="46">
        <v>19.899999999999999</v>
      </c>
      <c r="AB80" s="46">
        <v>10.9</v>
      </c>
      <c r="AC80" s="46">
        <v>10.9</v>
      </c>
      <c r="AD80" s="46">
        <v>0</v>
      </c>
      <c r="AE80" s="46">
        <v>20.5</v>
      </c>
      <c r="AF80" s="46">
        <v>10.1</v>
      </c>
      <c r="AG80" s="61">
        <v>60</v>
      </c>
      <c r="AH80" s="48">
        <f t="shared" si="27"/>
        <v>20.5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8.9</v>
      </c>
      <c r="C81" s="76">
        <v>8.9</v>
      </c>
      <c r="D81" s="76">
        <v>8.9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/>
      <c r="M81" s="76"/>
      <c r="N81" s="76"/>
      <c r="O81" s="76"/>
      <c r="P81" s="76"/>
      <c r="Q81" s="76"/>
      <c r="R81" s="76"/>
      <c r="S81" s="76">
        <v>3.9</v>
      </c>
      <c r="T81" s="76">
        <v>3.9</v>
      </c>
      <c r="U81" s="76">
        <v>4</v>
      </c>
      <c r="V81" s="76"/>
      <c r="W81" s="76"/>
      <c r="X81" s="76"/>
      <c r="Y81" s="76"/>
      <c r="Z81" s="76"/>
      <c r="AA81" s="76">
        <v>8.4</v>
      </c>
      <c r="AB81" s="76">
        <v>4.5999999999999996</v>
      </c>
      <c r="AC81" s="76">
        <v>4.5999999999999996</v>
      </c>
      <c r="AD81" s="76">
        <v>0</v>
      </c>
      <c r="AE81" s="76">
        <v>6.7</v>
      </c>
      <c r="AF81" s="76">
        <v>8.9</v>
      </c>
      <c r="AG81" s="66">
        <v>32</v>
      </c>
      <c r="AH81" s="48">
        <f t="shared" si="27"/>
        <v>8.9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3.2</v>
      </c>
      <c r="C82" s="78">
        <v>3.2</v>
      </c>
      <c r="D82" s="78">
        <v>3.2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/>
      <c r="M82" s="78"/>
      <c r="N82" s="78"/>
      <c r="O82" s="78"/>
      <c r="P82" s="78"/>
      <c r="Q82" s="78"/>
      <c r="R82" s="78"/>
      <c r="S82" s="78">
        <v>1.4</v>
      </c>
      <c r="T82" s="78">
        <v>1.4</v>
      </c>
      <c r="U82" s="78">
        <v>1.5</v>
      </c>
      <c r="V82" s="78"/>
      <c r="W82" s="78"/>
      <c r="X82" s="78"/>
      <c r="Y82" s="78"/>
      <c r="Z82" s="78"/>
      <c r="AA82" s="78">
        <v>3.1</v>
      </c>
      <c r="AB82" s="78">
        <v>3.1</v>
      </c>
      <c r="AC82" s="78">
        <v>3.1</v>
      </c>
      <c r="AD82" s="78">
        <v>0</v>
      </c>
      <c r="AE82" s="78">
        <v>2.5</v>
      </c>
      <c r="AF82" s="78">
        <v>3.3</v>
      </c>
      <c r="AG82" s="79">
        <v>14</v>
      </c>
      <c r="AH82" s="48">
        <f t="shared" si="27"/>
        <v>3.3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5</v>
      </c>
      <c r="BH82" s="82">
        <v>0</v>
      </c>
      <c r="BI82" s="82">
        <v>-410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Z83" si="30">B80+B81+B82</f>
        <v>32.1</v>
      </c>
      <c r="C83" s="71">
        <f t="shared" si="30"/>
        <v>32.1</v>
      </c>
      <c r="D83" s="71">
        <f t="shared" si="30"/>
        <v>32.1</v>
      </c>
      <c r="E83" s="71">
        <f t="shared" si="30"/>
        <v>0</v>
      </c>
      <c r="F83" s="71">
        <v>-16.399999999999999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>M80+M81+M82</f>
        <v>0</v>
      </c>
      <c r="N83" s="71">
        <f t="shared" si="30"/>
        <v>0</v>
      </c>
      <c r="O83" s="71">
        <f>O80+O81+O82</f>
        <v>0</v>
      </c>
      <c r="P83" s="71">
        <f t="shared" si="30"/>
        <v>0</v>
      </c>
      <c r="Q83" s="71">
        <f>Q80+Q81+Q82</f>
        <v>0</v>
      </c>
      <c r="R83" s="71">
        <f>R80+R81+R82</f>
        <v>0</v>
      </c>
      <c r="S83" s="71">
        <f t="shared" si="30"/>
        <v>16.100000000000001</v>
      </c>
      <c r="T83" s="71">
        <f t="shared" si="30"/>
        <v>16.100000000000001</v>
      </c>
      <c r="U83" s="71">
        <f t="shared" si="30"/>
        <v>16.2</v>
      </c>
      <c r="V83" s="71">
        <f t="shared" si="30"/>
        <v>0</v>
      </c>
      <c r="W83" s="71">
        <f t="shared" si="30"/>
        <v>0</v>
      </c>
      <c r="X83" s="71">
        <f t="shared" si="30"/>
        <v>0</v>
      </c>
      <c r="Y83" s="71">
        <f t="shared" si="30"/>
        <v>0</v>
      </c>
      <c r="Z83" s="71">
        <f t="shared" si="30"/>
        <v>0</v>
      </c>
      <c r="AA83" s="71">
        <v>31.4</v>
      </c>
      <c r="AB83" s="71">
        <v>31.4</v>
      </c>
      <c r="AC83" s="71">
        <v>31.4</v>
      </c>
      <c r="AD83" s="71">
        <v>31.4</v>
      </c>
      <c r="AE83" s="71">
        <v>31.4</v>
      </c>
      <c r="AF83" s="71">
        <v>31.4</v>
      </c>
      <c r="AG83" s="72">
        <f>SUM(AG80:AG82)</f>
        <v>106</v>
      </c>
      <c r="AH83" s="48">
        <f t="shared" si="27"/>
        <v>32.1</v>
      </c>
      <c r="AI83" s="49">
        <f t="shared" si="28"/>
        <v>-16.399999999999999</v>
      </c>
      <c r="AK83" s="51"/>
      <c r="AY83" s="82"/>
      <c r="BF83" s="81"/>
      <c r="BG83" s="82">
        <v>10</v>
      </c>
      <c r="BH83" s="82">
        <v>0</v>
      </c>
      <c r="BI83" s="82">
        <v>-436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-10</v>
      </c>
      <c r="C84" s="46">
        <v>5</v>
      </c>
      <c r="D84" s="46">
        <v>10</v>
      </c>
      <c r="E84" s="46">
        <v>-20</v>
      </c>
      <c r="F84" s="46">
        <v>-16.5</v>
      </c>
      <c r="G84" s="46">
        <v>-35.4</v>
      </c>
      <c r="H84" s="46">
        <v>-35.700000000000003</v>
      </c>
      <c r="I84" s="46">
        <v>-36</v>
      </c>
      <c r="J84" s="46">
        <v>-36</v>
      </c>
      <c r="K84" s="46">
        <v>-36.4</v>
      </c>
      <c r="L84" s="46">
        <v>-36.6</v>
      </c>
      <c r="M84" s="46">
        <v>-36.6</v>
      </c>
      <c r="N84" s="46">
        <v>-20</v>
      </c>
      <c r="O84" s="46">
        <v>-2.4</v>
      </c>
      <c r="P84" s="46">
        <v>0</v>
      </c>
      <c r="Q84" s="46">
        <v>0</v>
      </c>
      <c r="R84" s="46">
        <v>3</v>
      </c>
      <c r="S84" s="46">
        <v>9.3000000000000007</v>
      </c>
      <c r="T84" s="46">
        <v>21.7</v>
      </c>
      <c r="U84" s="46">
        <v>24</v>
      </c>
      <c r="V84" s="46">
        <v>-5</v>
      </c>
      <c r="W84" s="46">
        <v>43</v>
      </c>
      <c r="X84" s="46">
        <v>35</v>
      </c>
      <c r="Y84" s="46">
        <v>0</v>
      </c>
      <c r="Z84" s="46">
        <v>0</v>
      </c>
      <c r="AA84" s="46"/>
      <c r="AB84" s="46">
        <v>0</v>
      </c>
      <c r="AC84" s="46">
        <v>0</v>
      </c>
      <c r="AD84" s="46">
        <v>0</v>
      </c>
      <c r="AE84" s="46">
        <v>-22.9</v>
      </c>
      <c r="AF84" s="46">
        <v>-18.7</v>
      </c>
      <c r="AG84" s="61"/>
      <c r="AH84" s="48">
        <f t="shared" si="27"/>
        <v>43</v>
      </c>
      <c r="AI84" s="49">
        <f t="shared" si="28"/>
        <v>-36.6</v>
      </c>
      <c r="AK84" s="51"/>
      <c r="AY84" s="82"/>
      <c r="BF84" s="81"/>
      <c r="BG84" s="82">
        <v>-20</v>
      </c>
      <c r="BH84" s="82">
        <v>0</v>
      </c>
      <c r="BI84" s="82">
        <v>-495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-16.5</v>
      </c>
      <c r="BH85" s="82">
        <v>0</v>
      </c>
      <c r="BI85" s="82">
        <v>-493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-420</v>
      </c>
      <c r="C86" s="76">
        <v>-410</v>
      </c>
      <c r="D86" s="76">
        <v>-436</v>
      </c>
      <c r="E86" s="76">
        <v>-495</v>
      </c>
      <c r="F86" s="76">
        <v>-493</v>
      </c>
      <c r="G86" s="76">
        <v>-521</v>
      </c>
      <c r="H86" s="76">
        <v>-542</v>
      </c>
      <c r="I86" s="76">
        <v>-499</v>
      </c>
      <c r="J86" s="76">
        <v>-559</v>
      </c>
      <c r="K86" s="76">
        <v>-505</v>
      </c>
      <c r="L86" s="76">
        <v>-482</v>
      </c>
      <c r="M86" s="76">
        <v>-470</v>
      </c>
      <c r="N86" s="76">
        <v>-500</v>
      </c>
      <c r="O86" s="76">
        <v>-510</v>
      </c>
      <c r="P86" s="76">
        <v>-485</v>
      </c>
      <c r="Q86" s="76">
        <v>-482</v>
      </c>
      <c r="R86" s="76">
        <v>-485</v>
      </c>
      <c r="S86" s="76">
        <v>-456</v>
      </c>
      <c r="T86" s="76">
        <v>-415</v>
      </c>
      <c r="U86" s="76">
        <v>-435</v>
      </c>
      <c r="V86" s="76">
        <v>-441</v>
      </c>
      <c r="W86" s="76">
        <v>-450</v>
      </c>
      <c r="X86" s="76">
        <v>-465</v>
      </c>
      <c r="Y86" s="76">
        <v>-388</v>
      </c>
      <c r="Z86" s="76">
        <v>-350</v>
      </c>
      <c r="AA86" s="76">
        <v>-232</v>
      </c>
      <c r="AB86" s="76">
        <v>-415</v>
      </c>
      <c r="AC86" s="76">
        <v>-410.9</v>
      </c>
      <c r="AD86" s="76">
        <v>-419.9</v>
      </c>
      <c r="AE86" s="76">
        <v>-461.2</v>
      </c>
      <c r="AF86" s="76">
        <v>-483.1</v>
      </c>
      <c r="AG86" s="88"/>
      <c r="AH86" s="48">
        <f t="shared" si="27"/>
        <v>-232</v>
      </c>
      <c r="AI86" s="49">
        <f t="shared" si="28"/>
        <v>-559</v>
      </c>
      <c r="AK86" s="92"/>
      <c r="AL86" s="93"/>
      <c r="AM86" s="93"/>
      <c r="AN86" s="94"/>
      <c r="AY86" s="82"/>
      <c r="BF86" s="82"/>
      <c r="BG86" s="82">
        <v>-35.4</v>
      </c>
      <c r="BH86" s="82">
        <v>0</v>
      </c>
      <c r="BI86" s="82">
        <v>-521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-36</v>
      </c>
      <c r="BH87" s="82">
        <v>0</v>
      </c>
      <c r="BI87" s="82">
        <v>-499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-36.4</v>
      </c>
      <c r="BH88" s="82">
        <v>0</v>
      </c>
      <c r="BI88" s="82">
        <v>-505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>
        <v>45</v>
      </c>
      <c r="D89" s="90">
        <v>53</v>
      </c>
      <c r="E89" s="90">
        <v>0</v>
      </c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>
        <v>45.8</v>
      </c>
      <c r="V89" s="90">
        <v>50</v>
      </c>
      <c r="W89" s="90"/>
      <c r="X89" s="90"/>
      <c r="Y89" s="90"/>
      <c r="Z89" s="90"/>
      <c r="AA89" s="90"/>
      <c r="AB89" s="90">
        <v>47.2</v>
      </c>
      <c r="AC89" s="90">
        <v>47.4</v>
      </c>
      <c r="AD89" s="90">
        <v>48.1</v>
      </c>
      <c r="AE89" s="90">
        <v>49.4</v>
      </c>
      <c r="AF89" s="90">
        <v>47.7</v>
      </c>
      <c r="AG89" s="88"/>
      <c r="AH89" s="48">
        <f>MAX(B89:AF89)</f>
        <v>53</v>
      </c>
      <c r="AI89" s="49">
        <f t="shared" si="28"/>
        <v>0</v>
      </c>
      <c r="AK89" s="99"/>
      <c r="AL89" s="46"/>
      <c r="AM89" s="46"/>
      <c r="AN89" s="100"/>
      <c r="AY89" s="82"/>
      <c r="BF89" s="82"/>
      <c r="BG89" s="82">
        <v>-36.6</v>
      </c>
      <c r="BH89" s="82">
        <v>0</v>
      </c>
      <c r="BI89" s="82">
        <v>-470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4"/>
      <c r="AY90" s="82"/>
      <c r="BF90" s="82"/>
      <c r="BG90" s="82">
        <v>-20</v>
      </c>
      <c r="BH90" s="82">
        <v>0</v>
      </c>
      <c r="BI90" s="82">
        <v>-500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5"/>
      <c r="BF91" s="82"/>
      <c r="BG91" s="82">
        <v>-2.4</v>
      </c>
      <c r="BH91" s="82">
        <v>0</v>
      </c>
      <c r="BI91" s="82">
        <v>-510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0</v>
      </c>
      <c r="BH92" s="82">
        <v>0</v>
      </c>
      <c r="BI92" s="82">
        <v>-485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0</v>
      </c>
      <c r="BH93" s="82">
        <v>0</v>
      </c>
      <c r="BI93" s="82">
        <v>-482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3</v>
      </c>
      <c r="BH94" s="82">
        <v>0</v>
      </c>
      <c r="BI94" s="82">
        <v>-485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50</v>
      </c>
      <c r="D95" s="71">
        <f t="shared" ref="D95:AA95" si="31">SUMIF(D84:D94,"&gt;0")</f>
        <v>63</v>
      </c>
      <c r="E95" s="71">
        <f t="shared" si="31"/>
        <v>0</v>
      </c>
      <c r="F95" s="71">
        <f t="shared" si="31"/>
        <v>0</v>
      </c>
      <c r="G95" s="71">
        <f t="shared" si="31"/>
        <v>0</v>
      </c>
      <c r="H95" s="71">
        <f t="shared" si="31"/>
        <v>0</v>
      </c>
      <c r="I95" s="71">
        <f t="shared" si="31"/>
        <v>0</v>
      </c>
      <c r="J95" s="71">
        <f t="shared" si="31"/>
        <v>0</v>
      </c>
      <c r="K95" s="71">
        <f t="shared" si="31"/>
        <v>0</v>
      </c>
      <c r="L95" s="71">
        <f t="shared" si="31"/>
        <v>0</v>
      </c>
      <c r="M95" s="71">
        <f>SUMIF(M84:M94,"&gt;0")</f>
        <v>0</v>
      </c>
      <c r="N95" s="71">
        <f t="shared" si="31"/>
        <v>0</v>
      </c>
      <c r="O95" s="71">
        <f t="shared" si="31"/>
        <v>0</v>
      </c>
      <c r="P95" s="71">
        <f t="shared" si="31"/>
        <v>0</v>
      </c>
      <c r="Q95" s="71">
        <f>SUMIF(Q84:Q94,"&gt;0")</f>
        <v>0</v>
      </c>
      <c r="R95" s="71">
        <f>SUMIF(R84:R94,"&gt;0")</f>
        <v>3</v>
      </c>
      <c r="S95" s="71">
        <f t="shared" si="31"/>
        <v>9.3000000000000007</v>
      </c>
      <c r="T95" s="71">
        <f t="shared" si="31"/>
        <v>21.7</v>
      </c>
      <c r="U95" s="71">
        <f>SUMIF(U84:U94,"&gt;0")</f>
        <v>69.8</v>
      </c>
      <c r="V95" s="71">
        <f t="shared" si="31"/>
        <v>50</v>
      </c>
      <c r="W95" s="71">
        <f t="shared" si="31"/>
        <v>43</v>
      </c>
      <c r="X95" s="71">
        <f t="shared" si="31"/>
        <v>35</v>
      </c>
      <c r="Y95" s="71">
        <f t="shared" si="31"/>
        <v>0</v>
      </c>
      <c r="Z95" s="71">
        <f t="shared" si="31"/>
        <v>0</v>
      </c>
      <c r="AA95" s="71">
        <f t="shared" si="31"/>
        <v>0</v>
      </c>
      <c r="AB95" s="71">
        <f>SUMIF(AB84:AB94,"&gt;0")</f>
        <v>47.2</v>
      </c>
      <c r="AC95" s="71">
        <f>SUMIF(AC84:AC94,"&gt;0")</f>
        <v>47.4</v>
      </c>
      <c r="AD95" s="71">
        <f>SUMIF(AD84:AD94,"&gt;0")</f>
        <v>48.1</v>
      </c>
      <c r="AE95" s="71">
        <f>SUMIF(AE84:AE94,"&gt;0")</f>
        <v>49.4</v>
      </c>
      <c r="AF95" s="71">
        <f>SUMIF(AF84:AF94,"&gt;0")</f>
        <v>47.7</v>
      </c>
      <c r="AG95" s="101">
        <f>SUM(AG84:AG94)</f>
        <v>0</v>
      </c>
      <c r="AH95" s="48">
        <f t="shared" si="27"/>
        <v>69.8</v>
      </c>
      <c r="AI95" s="49">
        <f t="shared" si="28"/>
        <v>0</v>
      </c>
      <c r="BF95" s="82"/>
      <c r="BG95" s="82">
        <v>9.3000000000000007</v>
      </c>
      <c r="BH95" s="82">
        <v>0</v>
      </c>
      <c r="BI95" s="82">
        <v>-456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21.7</v>
      </c>
      <c r="BH96" s="82">
        <v>0</v>
      </c>
      <c r="BI96" s="82">
        <v>-415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24</v>
      </c>
      <c r="BH97" s="82">
        <v>0</v>
      </c>
      <c r="BI97" s="82">
        <v>-435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-5</v>
      </c>
      <c r="BH98" s="82">
        <v>0</v>
      </c>
      <c r="BI98" s="82">
        <v>-441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35</v>
      </c>
      <c r="BH99" s="82">
        <v>0</v>
      </c>
      <c r="BI99" s="82">
        <v>-465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2">B61+B65+B83+B79+B95+B99</f>
        <v>2021.9399999999996</v>
      </c>
      <c r="C100" s="108">
        <f t="shared" si="32"/>
        <v>2071.9399999999996</v>
      </c>
      <c r="D100" s="108">
        <f t="shared" si="32"/>
        <v>2084.9399999999996</v>
      </c>
      <c r="E100" s="108">
        <f t="shared" si="32"/>
        <v>1930.74</v>
      </c>
      <c r="F100" s="108">
        <f t="shared" si="32"/>
        <v>1914.34</v>
      </c>
      <c r="G100" s="108">
        <f t="shared" si="32"/>
        <v>1930.74</v>
      </c>
      <c r="H100" s="108">
        <f t="shared" si="32"/>
        <v>1930.74</v>
      </c>
      <c r="I100" s="108">
        <f t="shared" si="32"/>
        <v>1930.74</v>
      </c>
      <c r="J100" s="108">
        <f t="shared" si="32"/>
        <v>1914.2699999999998</v>
      </c>
      <c r="K100" s="108">
        <f t="shared" si="32"/>
        <v>1897.84</v>
      </c>
      <c r="L100" s="108">
        <f t="shared" si="32"/>
        <v>1894.5399999999997</v>
      </c>
      <c r="M100" s="108">
        <f>M61+M65+M83+M79+M95+M99</f>
        <v>1904.0399999999997</v>
      </c>
      <c r="N100" s="108">
        <f t="shared" si="32"/>
        <v>1972.2400000000002</v>
      </c>
      <c r="O100" s="108">
        <f t="shared" si="32"/>
        <v>1958.54</v>
      </c>
      <c r="P100" s="108">
        <f t="shared" si="32"/>
        <v>1937.94</v>
      </c>
      <c r="Q100" s="108">
        <f>Q61+Q65+Q83+Q79+Q95+Q99</f>
        <v>1937.94</v>
      </c>
      <c r="R100" s="108">
        <f>R61+R65+R83+R79+R95+R99</f>
        <v>1940.94</v>
      </c>
      <c r="S100" s="108">
        <f t="shared" si="32"/>
        <v>1961.5400000000002</v>
      </c>
      <c r="T100" s="108">
        <f t="shared" si="32"/>
        <v>1936.24</v>
      </c>
      <c r="U100" s="108">
        <f t="shared" si="32"/>
        <v>1928.0400000000002</v>
      </c>
      <c r="V100" s="108">
        <f t="shared" si="32"/>
        <v>1892.14</v>
      </c>
      <c r="W100" s="108">
        <f t="shared" si="32"/>
        <v>1885.8400000000001</v>
      </c>
      <c r="X100" s="108">
        <f t="shared" si="32"/>
        <v>1884.2399999999998</v>
      </c>
      <c r="Y100" s="108">
        <f t="shared" si="32"/>
        <v>1847.4</v>
      </c>
      <c r="Z100" s="108">
        <f t="shared" si="32"/>
        <v>1868.0000000000002</v>
      </c>
      <c r="AA100" s="108">
        <f t="shared" si="32"/>
        <v>1963.8</v>
      </c>
      <c r="AB100" s="108">
        <f>AB61+AB65+AB83+AB79+AB95+AB99</f>
        <v>2011</v>
      </c>
      <c r="AC100" s="108">
        <f>AC61+AC65+AC83+AC79+AC95+AC99</f>
        <v>2011.2</v>
      </c>
      <c r="AD100" s="108">
        <f>AD61+AD65+AD83+AD79+AD95+AD99</f>
        <v>2011.8999999999999</v>
      </c>
      <c r="AE100" s="108">
        <f>AE61+AE65+AE83+AE79+AE95+AE99</f>
        <v>2013.2</v>
      </c>
      <c r="AF100" s="108">
        <f>AF61+AF65+AF83+AF79+AF95+AF99</f>
        <v>2011.5</v>
      </c>
      <c r="AG100" s="72">
        <f t="shared" si="32"/>
        <v>2655.44</v>
      </c>
      <c r="AH100" s="48">
        <f t="shared" si="27"/>
        <v>2084.9399999999996</v>
      </c>
      <c r="AI100" s="49">
        <f t="shared" si="28"/>
        <v>1847.4</v>
      </c>
      <c r="BF100" s="81"/>
      <c r="BG100" s="82">
        <v>0</v>
      </c>
      <c r="BH100" s="82">
        <v>0</v>
      </c>
      <c r="BI100" s="82">
        <v>-350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>
        <v>200</v>
      </c>
      <c r="AC101" s="110">
        <v>200</v>
      </c>
      <c r="AD101" s="110">
        <v>200</v>
      </c>
      <c r="AE101" s="110">
        <v>70</v>
      </c>
      <c r="AF101" s="110">
        <v>70</v>
      </c>
      <c r="AG101" s="101"/>
      <c r="AH101" s="48">
        <f t="shared" si="27"/>
        <v>200</v>
      </c>
      <c r="AI101" s="49">
        <f t="shared" si="28"/>
        <v>70</v>
      </c>
      <c r="BF101" s="81"/>
      <c r="BG101" s="82">
        <v>0</v>
      </c>
      <c r="BH101" s="82">
        <v>0</v>
      </c>
      <c r="BI101" s="82">
        <v>-415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2021.9399999999996</v>
      </c>
      <c r="C102" s="108">
        <f t="shared" ref="C102:AA102" si="33">C100+C101</f>
        <v>2071.9399999999996</v>
      </c>
      <c r="D102" s="108">
        <f t="shared" si="33"/>
        <v>2084.9399999999996</v>
      </c>
      <c r="E102" s="108">
        <f t="shared" si="33"/>
        <v>1930.74</v>
      </c>
      <c r="F102" s="108">
        <f t="shared" si="33"/>
        <v>1914.34</v>
      </c>
      <c r="G102" s="108">
        <f t="shared" si="33"/>
        <v>1930.74</v>
      </c>
      <c r="H102" s="108">
        <f t="shared" si="33"/>
        <v>1930.74</v>
      </c>
      <c r="I102" s="108">
        <f t="shared" si="33"/>
        <v>1930.74</v>
      </c>
      <c r="J102" s="108">
        <f t="shared" si="33"/>
        <v>1914.2699999999998</v>
      </c>
      <c r="K102" s="108">
        <f t="shared" si="33"/>
        <v>1897.84</v>
      </c>
      <c r="L102" s="108">
        <f t="shared" si="33"/>
        <v>1894.5399999999997</v>
      </c>
      <c r="M102" s="108">
        <f>M100+M101</f>
        <v>1904.0399999999997</v>
      </c>
      <c r="N102" s="108">
        <f t="shared" si="33"/>
        <v>1972.2400000000002</v>
      </c>
      <c r="O102" s="108">
        <f t="shared" si="33"/>
        <v>1958.54</v>
      </c>
      <c r="P102" s="108">
        <f t="shared" si="33"/>
        <v>1937.94</v>
      </c>
      <c r="Q102" s="108">
        <f>Q100+Q101</f>
        <v>1937.94</v>
      </c>
      <c r="R102" s="108">
        <f>R100+R101</f>
        <v>1940.94</v>
      </c>
      <c r="S102" s="108">
        <f t="shared" si="33"/>
        <v>1961.5400000000002</v>
      </c>
      <c r="T102" s="108">
        <f t="shared" si="33"/>
        <v>1936.24</v>
      </c>
      <c r="U102" s="108">
        <f t="shared" si="33"/>
        <v>1928.0400000000002</v>
      </c>
      <c r="V102" s="108">
        <f t="shared" si="33"/>
        <v>1892.14</v>
      </c>
      <c r="W102" s="108">
        <f t="shared" si="33"/>
        <v>1885.8400000000001</v>
      </c>
      <c r="X102" s="108">
        <f t="shared" si="33"/>
        <v>1884.2399999999998</v>
      </c>
      <c r="Y102" s="108">
        <f t="shared" si="33"/>
        <v>1847.4</v>
      </c>
      <c r="Z102" s="108">
        <f t="shared" si="33"/>
        <v>1868.0000000000002</v>
      </c>
      <c r="AA102" s="108">
        <f t="shared" si="33"/>
        <v>1963.8</v>
      </c>
      <c r="AB102" s="108">
        <f>AB100+AB101</f>
        <v>2211</v>
      </c>
      <c r="AC102" s="108">
        <f>AC100+AC101</f>
        <v>2211.1999999999998</v>
      </c>
      <c r="AD102" s="108">
        <f>AD100+AD101</f>
        <v>2211.8999999999996</v>
      </c>
      <c r="AE102" s="108">
        <f>AE100+AE101</f>
        <v>2083.1999999999998</v>
      </c>
      <c r="AF102" s="108">
        <f>AF100+AF101</f>
        <v>2081.5</v>
      </c>
      <c r="AG102" s="101">
        <f>AG99+AG95+AG83+AG79+AG61+AG101</f>
        <v>2117.34</v>
      </c>
      <c r="AH102" s="48">
        <f t="shared" si="27"/>
        <v>2211.8999999999996</v>
      </c>
      <c r="AI102" s="49">
        <f t="shared" si="28"/>
        <v>1847.4</v>
      </c>
      <c r="BF102" s="81"/>
      <c r="BG102" s="82">
        <v>0</v>
      </c>
      <c r="BH102" s="82">
        <v>0</v>
      </c>
      <c r="BI102" s="82">
        <v>-419.9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1591.9399999999996</v>
      </c>
      <c r="C103" s="108">
        <f t="shared" ref="C103:AA103" si="34">C102-(C110)</f>
        <v>1661.9399999999996</v>
      </c>
      <c r="D103" s="108">
        <f t="shared" si="34"/>
        <v>1648.9399999999996</v>
      </c>
      <c r="E103" s="108">
        <f t="shared" si="34"/>
        <v>1415.74</v>
      </c>
      <c r="F103" s="108">
        <f t="shared" si="34"/>
        <v>1404.84</v>
      </c>
      <c r="G103" s="108">
        <f t="shared" si="34"/>
        <v>1374.3400000000001</v>
      </c>
      <c r="H103" s="108">
        <f t="shared" si="34"/>
        <v>1353.04</v>
      </c>
      <c r="I103" s="108">
        <f t="shared" si="34"/>
        <v>1395.74</v>
      </c>
      <c r="J103" s="108">
        <f t="shared" si="34"/>
        <v>1319.2699999999998</v>
      </c>
      <c r="K103" s="108">
        <f t="shared" si="34"/>
        <v>1356.44</v>
      </c>
      <c r="L103" s="108">
        <f t="shared" si="34"/>
        <v>1375.9399999999996</v>
      </c>
      <c r="M103" s="108">
        <f>M102-(M110)</f>
        <v>1397.4399999999996</v>
      </c>
      <c r="N103" s="108">
        <f t="shared" si="34"/>
        <v>1452.2400000000002</v>
      </c>
      <c r="O103" s="108">
        <f t="shared" si="34"/>
        <v>1446.1399999999999</v>
      </c>
      <c r="P103" s="108">
        <f t="shared" si="34"/>
        <v>1452.94</v>
      </c>
      <c r="Q103" s="108">
        <f>Q102-(Q110)</f>
        <v>1455.94</v>
      </c>
      <c r="R103" s="108">
        <f>R102-(R110)</f>
        <v>1455.94</v>
      </c>
      <c r="S103" s="108">
        <f t="shared" si="34"/>
        <v>1505.5400000000002</v>
      </c>
      <c r="T103" s="108">
        <f t="shared" si="34"/>
        <v>1521.24</v>
      </c>
      <c r="U103" s="108">
        <f t="shared" si="34"/>
        <v>1493.0400000000002</v>
      </c>
      <c r="V103" s="108">
        <f t="shared" si="34"/>
        <v>1446.14</v>
      </c>
      <c r="W103" s="108">
        <f t="shared" si="34"/>
        <v>1435.8400000000001</v>
      </c>
      <c r="X103" s="108">
        <f t="shared" si="34"/>
        <v>1419.2399999999998</v>
      </c>
      <c r="Y103" s="108">
        <f t="shared" si="34"/>
        <v>1459.4</v>
      </c>
      <c r="Z103" s="108">
        <f t="shared" si="34"/>
        <v>1518.0000000000002</v>
      </c>
      <c r="AA103" s="108">
        <f t="shared" si="34"/>
        <v>1731.8</v>
      </c>
      <c r="AB103" s="108">
        <f>AB102-(AB110)</f>
        <v>1796</v>
      </c>
      <c r="AC103" s="108">
        <f>AC102-(AC110)</f>
        <v>1800.2999999999997</v>
      </c>
      <c r="AD103" s="108">
        <f>AD102-(AD110)</f>
        <v>1791.9999999999995</v>
      </c>
      <c r="AE103" s="108">
        <f>AE102-(AE110)</f>
        <v>1599.1</v>
      </c>
      <c r="AF103" s="108">
        <f>AF102-(AF110)</f>
        <v>1579.7</v>
      </c>
      <c r="AG103" s="101"/>
      <c r="AH103" s="48">
        <f t="shared" si="27"/>
        <v>1800.2999999999997</v>
      </c>
      <c r="AI103" s="49">
        <f t="shared" si="28"/>
        <v>1319.2699999999998</v>
      </c>
      <c r="BF103" s="81"/>
      <c r="BG103" s="82">
        <v>-22.9</v>
      </c>
      <c r="BH103" s="82">
        <v>0</v>
      </c>
      <c r="BI103" s="82">
        <v>-461.2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5">IF(B84&lt;0,B84*-1,0)</f>
        <v>10</v>
      </c>
      <c r="C104" s="89">
        <f t="shared" ref="C104:AA109" si="36">IF(C84&lt;0,C84*-1,0)</f>
        <v>0</v>
      </c>
      <c r="D104" s="89">
        <f t="shared" si="36"/>
        <v>0</v>
      </c>
      <c r="E104" s="89">
        <f t="shared" si="36"/>
        <v>20</v>
      </c>
      <c r="F104" s="89">
        <f t="shared" si="36"/>
        <v>16.5</v>
      </c>
      <c r="G104" s="89">
        <f t="shared" si="36"/>
        <v>35.4</v>
      </c>
      <c r="H104" s="89">
        <f t="shared" si="36"/>
        <v>35.700000000000003</v>
      </c>
      <c r="I104" s="89">
        <f t="shared" si="36"/>
        <v>36</v>
      </c>
      <c r="J104" s="89">
        <f t="shared" si="36"/>
        <v>36</v>
      </c>
      <c r="K104" s="89">
        <f t="shared" si="36"/>
        <v>36.4</v>
      </c>
      <c r="L104" s="89">
        <f t="shared" si="36"/>
        <v>36.6</v>
      </c>
      <c r="M104" s="89">
        <f t="shared" ref="M104:M109" si="37">IF(M84&lt;0,M84*-1,0)</f>
        <v>36.6</v>
      </c>
      <c r="N104" s="89">
        <f t="shared" si="36"/>
        <v>20</v>
      </c>
      <c r="O104" s="89">
        <f t="shared" si="36"/>
        <v>2.4</v>
      </c>
      <c r="P104" s="89">
        <f t="shared" si="36"/>
        <v>0</v>
      </c>
      <c r="Q104" s="89">
        <f t="shared" ref="Q104:R109" si="38">IF(Q84&lt;0,Q84*-1,0)</f>
        <v>0</v>
      </c>
      <c r="R104" s="89">
        <f t="shared" si="38"/>
        <v>0</v>
      </c>
      <c r="S104" s="89">
        <f t="shared" si="36"/>
        <v>0</v>
      </c>
      <c r="T104" s="89">
        <f t="shared" si="36"/>
        <v>0</v>
      </c>
      <c r="U104" s="89">
        <f t="shared" si="36"/>
        <v>0</v>
      </c>
      <c r="V104" s="89">
        <f t="shared" si="36"/>
        <v>5</v>
      </c>
      <c r="W104" s="89">
        <f t="shared" si="36"/>
        <v>0</v>
      </c>
      <c r="X104" s="89">
        <f t="shared" si="36"/>
        <v>0</v>
      </c>
      <c r="Y104" s="89">
        <f t="shared" si="36"/>
        <v>0</v>
      </c>
      <c r="Z104" s="89">
        <f t="shared" si="36"/>
        <v>0</v>
      </c>
      <c r="AA104" s="89">
        <f t="shared" si="36"/>
        <v>0</v>
      </c>
      <c r="AB104" s="89">
        <f t="shared" ref="AB104:AF109" si="39">IF(AB84&lt;0,AB84*-1,0)</f>
        <v>0</v>
      </c>
      <c r="AC104" s="89">
        <f t="shared" si="39"/>
        <v>0</v>
      </c>
      <c r="AD104" s="89">
        <f t="shared" si="39"/>
        <v>0</v>
      </c>
      <c r="AE104" s="89">
        <f t="shared" si="39"/>
        <v>22.9</v>
      </c>
      <c r="AF104" s="89">
        <f t="shared" si="39"/>
        <v>18.7</v>
      </c>
      <c r="AG104" s="61"/>
      <c r="AH104" s="48">
        <f t="shared" si="27"/>
        <v>36.6</v>
      </c>
      <c r="AI104" s="49">
        <f t="shared" si="28"/>
        <v>0</v>
      </c>
      <c r="BG104" s="82">
        <v>-18.7</v>
      </c>
      <c r="BH104" s="82">
        <v>0</v>
      </c>
      <c r="BI104" s="82">
        <v>-483.1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5"/>
        <v>0</v>
      </c>
      <c r="C105" s="89">
        <f t="shared" ref="C105:L105" si="40">IF(C85&lt;0,C85*-1,0)</f>
        <v>0</v>
      </c>
      <c r="D105" s="89">
        <f t="shared" si="40"/>
        <v>0</v>
      </c>
      <c r="E105" s="89">
        <f t="shared" si="40"/>
        <v>0</v>
      </c>
      <c r="F105" s="89">
        <f t="shared" si="40"/>
        <v>0</v>
      </c>
      <c r="G105" s="89">
        <f t="shared" si="40"/>
        <v>0</v>
      </c>
      <c r="H105" s="89">
        <f t="shared" si="40"/>
        <v>0</v>
      </c>
      <c r="I105" s="89">
        <f t="shared" si="40"/>
        <v>0</v>
      </c>
      <c r="J105" s="89">
        <f t="shared" si="40"/>
        <v>0</v>
      </c>
      <c r="K105" s="89">
        <f t="shared" si="40"/>
        <v>0</v>
      </c>
      <c r="L105" s="89">
        <f t="shared" si="40"/>
        <v>0</v>
      </c>
      <c r="M105" s="89">
        <f t="shared" si="37"/>
        <v>0</v>
      </c>
      <c r="N105" s="89">
        <f>IF(N85&lt;0,N85*-1,0)</f>
        <v>0</v>
      </c>
      <c r="O105" s="89">
        <f>IF(O85&lt;0,O85*-1,0)</f>
        <v>0</v>
      </c>
      <c r="P105" s="89">
        <f>IF(P85&lt;0,P85*-1,0)</f>
        <v>0</v>
      </c>
      <c r="Q105" s="89">
        <f t="shared" si="38"/>
        <v>0</v>
      </c>
      <c r="R105" s="89">
        <f t="shared" si="38"/>
        <v>0</v>
      </c>
      <c r="S105" s="89">
        <f t="shared" si="36"/>
        <v>0</v>
      </c>
      <c r="T105" s="89">
        <f t="shared" si="36"/>
        <v>0</v>
      </c>
      <c r="U105" s="89">
        <f t="shared" si="36"/>
        <v>0</v>
      </c>
      <c r="V105" s="89">
        <f t="shared" si="36"/>
        <v>0</v>
      </c>
      <c r="W105" s="89">
        <f t="shared" si="36"/>
        <v>0</v>
      </c>
      <c r="X105" s="89">
        <f t="shared" si="36"/>
        <v>0</v>
      </c>
      <c r="Y105" s="89">
        <f t="shared" si="36"/>
        <v>0</v>
      </c>
      <c r="Z105" s="89">
        <f t="shared" si="36"/>
        <v>0</v>
      </c>
      <c r="AA105" s="89">
        <f t="shared" si="36"/>
        <v>0</v>
      </c>
      <c r="AB105" s="89">
        <f t="shared" si="39"/>
        <v>0</v>
      </c>
      <c r="AC105" s="89">
        <f t="shared" si="39"/>
        <v>0</v>
      </c>
      <c r="AD105" s="89">
        <f t="shared" si="39"/>
        <v>0</v>
      </c>
      <c r="AE105" s="89">
        <f t="shared" si="39"/>
        <v>0</v>
      </c>
      <c r="AF105" s="89">
        <f t="shared" si="39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-10</v>
      </c>
      <c r="BH105" s="82">
        <v>0</v>
      </c>
      <c r="BI105" s="82">
        <v>-420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5"/>
        <v>420</v>
      </c>
      <c r="C106" s="89">
        <f t="shared" si="36"/>
        <v>410</v>
      </c>
      <c r="D106" s="89">
        <f t="shared" si="36"/>
        <v>436</v>
      </c>
      <c r="E106" s="89">
        <f t="shared" si="36"/>
        <v>495</v>
      </c>
      <c r="F106" s="89">
        <f t="shared" si="36"/>
        <v>493</v>
      </c>
      <c r="G106" s="89">
        <f t="shared" si="36"/>
        <v>521</v>
      </c>
      <c r="H106" s="89">
        <f t="shared" si="36"/>
        <v>542</v>
      </c>
      <c r="I106" s="89">
        <f t="shared" si="36"/>
        <v>499</v>
      </c>
      <c r="J106" s="89">
        <f t="shared" si="36"/>
        <v>559</v>
      </c>
      <c r="K106" s="89">
        <f t="shared" si="36"/>
        <v>505</v>
      </c>
      <c r="L106" s="89">
        <f t="shared" si="36"/>
        <v>482</v>
      </c>
      <c r="M106" s="89">
        <f t="shared" si="37"/>
        <v>470</v>
      </c>
      <c r="N106" s="89">
        <f t="shared" si="36"/>
        <v>500</v>
      </c>
      <c r="O106" s="89">
        <f t="shared" si="36"/>
        <v>510</v>
      </c>
      <c r="P106" s="89">
        <f t="shared" si="36"/>
        <v>485</v>
      </c>
      <c r="Q106" s="89">
        <f t="shared" si="38"/>
        <v>482</v>
      </c>
      <c r="R106" s="89">
        <f t="shared" si="38"/>
        <v>485</v>
      </c>
      <c r="S106" s="89">
        <f t="shared" si="36"/>
        <v>456</v>
      </c>
      <c r="T106" s="89">
        <f t="shared" si="36"/>
        <v>415</v>
      </c>
      <c r="U106" s="89">
        <f t="shared" si="36"/>
        <v>435</v>
      </c>
      <c r="V106" s="89">
        <f t="shared" si="36"/>
        <v>441</v>
      </c>
      <c r="W106" s="89">
        <f t="shared" si="36"/>
        <v>450</v>
      </c>
      <c r="X106" s="89">
        <f t="shared" si="36"/>
        <v>465</v>
      </c>
      <c r="Y106" s="89">
        <f t="shared" si="36"/>
        <v>388</v>
      </c>
      <c r="Z106" s="89">
        <f t="shared" si="36"/>
        <v>350</v>
      </c>
      <c r="AA106" s="89">
        <f t="shared" si="36"/>
        <v>232</v>
      </c>
      <c r="AB106" s="89">
        <f t="shared" si="39"/>
        <v>415</v>
      </c>
      <c r="AC106" s="89">
        <f t="shared" si="39"/>
        <v>410.9</v>
      </c>
      <c r="AD106" s="89">
        <f t="shared" si="39"/>
        <v>419.9</v>
      </c>
      <c r="AE106" s="89">
        <f t="shared" si="39"/>
        <v>461.2</v>
      </c>
      <c r="AF106" s="89">
        <f t="shared" si="39"/>
        <v>483.1</v>
      </c>
      <c r="AG106" s="111"/>
      <c r="AH106" s="48">
        <f t="shared" si="27"/>
        <v>559</v>
      </c>
      <c r="AI106" s="49">
        <f t="shared" si="28"/>
        <v>232</v>
      </c>
    </row>
    <row r="107" spans="1:64" x14ac:dyDescent="0.25">
      <c r="A107" s="97" t="s">
        <v>107</v>
      </c>
      <c r="B107" s="89">
        <f t="shared" si="35"/>
        <v>0</v>
      </c>
      <c r="C107" s="89">
        <f t="shared" si="36"/>
        <v>0</v>
      </c>
      <c r="D107" s="89">
        <f t="shared" si="36"/>
        <v>0</v>
      </c>
      <c r="E107" s="89">
        <f t="shared" si="36"/>
        <v>0</v>
      </c>
      <c r="F107" s="89">
        <f t="shared" si="36"/>
        <v>0</v>
      </c>
      <c r="G107" s="89">
        <f t="shared" si="36"/>
        <v>0</v>
      </c>
      <c r="H107" s="89">
        <f t="shared" si="36"/>
        <v>0</v>
      </c>
      <c r="I107" s="89">
        <f t="shared" si="36"/>
        <v>0</v>
      </c>
      <c r="J107" s="89">
        <f t="shared" si="36"/>
        <v>0</v>
      </c>
      <c r="K107" s="89">
        <f t="shared" si="36"/>
        <v>0</v>
      </c>
      <c r="L107" s="89">
        <f t="shared" si="36"/>
        <v>0</v>
      </c>
      <c r="M107" s="89">
        <f t="shared" si="37"/>
        <v>0</v>
      </c>
      <c r="N107" s="89">
        <f t="shared" si="36"/>
        <v>0</v>
      </c>
      <c r="O107" s="89">
        <f t="shared" si="36"/>
        <v>0</v>
      </c>
      <c r="P107" s="89">
        <f t="shared" si="36"/>
        <v>0</v>
      </c>
      <c r="Q107" s="89">
        <f t="shared" si="38"/>
        <v>0</v>
      </c>
      <c r="R107" s="89">
        <f t="shared" si="38"/>
        <v>0</v>
      </c>
      <c r="S107" s="89">
        <f t="shared" si="36"/>
        <v>0</v>
      </c>
      <c r="T107" s="89">
        <f t="shared" si="36"/>
        <v>0</v>
      </c>
      <c r="U107" s="89">
        <f t="shared" si="36"/>
        <v>0</v>
      </c>
      <c r="V107" s="89">
        <f t="shared" si="36"/>
        <v>0</v>
      </c>
      <c r="W107" s="89">
        <f t="shared" si="36"/>
        <v>0</v>
      </c>
      <c r="X107" s="89">
        <f t="shared" si="36"/>
        <v>0</v>
      </c>
      <c r="Y107" s="89">
        <f t="shared" si="36"/>
        <v>0</v>
      </c>
      <c r="Z107" s="89">
        <f t="shared" si="36"/>
        <v>0</v>
      </c>
      <c r="AA107" s="89">
        <f t="shared" si="36"/>
        <v>0</v>
      </c>
      <c r="AB107" s="89">
        <f t="shared" si="39"/>
        <v>0</v>
      </c>
      <c r="AC107" s="89">
        <f t="shared" si="39"/>
        <v>0</v>
      </c>
      <c r="AD107" s="89">
        <f t="shared" si="39"/>
        <v>0</v>
      </c>
      <c r="AE107" s="89">
        <f t="shared" si="39"/>
        <v>0</v>
      </c>
      <c r="AF107" s="89">
        <f t="shared" si="39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35"/>
        <v>0</v>
      </c>
      <c r="C108" s="89">
        <f t="shared" si="36"/>
        <v>0</v>
      </c>
      <c r="D108" s="89">
        <f t="shared" si="36"/>
        <v>0</v>
      </c>
      <c r="E108" s="89">
        <f t="shared" si="36"/>
        <v>0</v>
      </c>
      <c r="F108" s="89">
        <f t="shared" si="36"/>
        <v>0</v>
      </c>
      <c r="G108" s="89">
        <f t="shared" si="36"/>
        <v>0</v>
      </c>
      <c r="H108" s="89">
        <f t="shared" si="36"/>
        <v>0</v>
      </c>
      <c r="I108" s="89">
        <f t="shared" si="36"/>
        <v>0</v>
      </c>
      <c r="J108" s="89">
        <f t="shared" si="36"/>
        <v>0</v>
      </c>
      <c r="K108" s="89">
        <f t="shared" si="36"/>
        <v>0</v>
      </c>
      <c r="L108" s="89">
        <f t="shared" si="36"/>
        <v>0</v>
      </c>
      <c r="M108" s="89">
        <f t="shared" si="37"/>
        <v>0</v>
      </c>
      <c r="N108" s="89">
        <f t="shared" si="36"/>
        <v>0</v>
      </c>
      <c r="O108" s="89">
        <f t="shared" si="36"/>
        <v>0</v>
      </c>
      <c r="P108" s="89">
        <f t="shared" si="36"/>
        <v>0</v>
      </c>
      <c r="Q108" s="89">
        <f t="shared" si="38"/>
        <v>0</v>
      </c>
      <c r="R108" s="89">
        <f t="shared" si="38"/>
        <v>0</v>
      </c>
      <c r="S108" s="89">
        <f t="shared" si="36"/>
        <v>0</v>
      </c>
      <c r="T108" s="89">
        <f t="shared" si="36"/>
        <v>0</v>
      </c>
      <c r="U108" s="89">
        <f t="shared" si="36"/>
        <v>0</v>
      </c>
      <c r="V108" s="89">
        <f t="shared" si="36"/>
        <v>0</v>
      </c>
      <c r="W108" s="89">
        <f t="shared" si="36"/>
        <v>0</v>
      </c>
      <c r="X108" s="89">
        <f t="shared" si="36"/>
        <v>0</v>
      </c>
      <c r="Y108" s="89">
        <f t="shared" si="36"/>
        <v>0</v>
      </c>
      <c r="Z108" s="89">
        <f t="shared" si="36"/>
        <v>0</v>
      </c>
      <c r="AA108" s="89">
        <f t="shared" si="36"/>
        <v>0</v>
      </c>
      <c r="AB108" s="89">
        <f t="shared" si="39"/>
        <v>0</v>
      </c>
      <c r="AC108" s="89">
        <f t="shared" si="39"/>
        <v>0</v>
      </c>
      <c r="AD108" s="89">
        <f t="shared" si="39"/>
        <v>0</v>
      </c>
      <c r="AE108" s="89">
        <f t="shared" si="39"/>
        <v>0</v>
      </c>
      <c r="AF108" s="89">
        <f t="shared" si="39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35"/>
        <v>0</v>
      </c>
      <c r="C109" s="89">
        <f t="shared" si="36"/>
        <v>0</v>
      </c>
      <c r="D109" s="89">
        <f t="shared" si="36"/>
        <v>0</v>
      </c>
      <c r="E109" s="89">
        <f t="shared" si="36"/>
        <v>0</v>
      </c>
      <c r="F109" s="89">
        <f t="shared" si="36"/>
        <v>0</v>
      </c>
      <c r="G109" s="89">
        <f t="shared" si="36"/>
        <v>0</v>
      </c>
      <c r="H109" s="89">
        <f t="shared" si="36"/>
        <v>0</v>
      </c>
      <c r="I109" s="89">
        <f t="shared" si="36"/>
        <v>0</v>
      </c>
      <c r="J109" s="89">
        <f t="shared" si="36"/>
        <v>0</v>
      </c>
      <c r="K109" s="89">
        <f t="shared" si="36"/>
        <v>0</v>
      </c>
      <c r="L109" s="89">
        <f t="shared" si="36"/>
        <v>0</v>
      </c>
      <c r="M109" s="89">
        <f t="shared" si="37"/>
        <v>0</v>
      </c>
      <c r="N109" s="89">
        <f t="shared" si="36"/>
        <v>0</v>
      </c>
      <c r="O109" s="89">
        <f t="shared" si="36"/>
        <v>0</v>
      </c>
      <c r="P109" s="89">
        <f t="shared" si="36"/>
        <v>0</v>
      </c>
      <c r="Q109" s="89">
        <f t="shared" si="38"/>
        <v>0</v>
      </c>
      <c r="R109" s="89">
        <f t="shared" si="38"/>
        <v>0</v>
      </c>
      <c r="S109" s="89">
        <f t="shared" si="36"/>
        <v>0</v>
      </c>
      <c r="T109" s="89">
        <f t="shared" si="36"/>
        <v>0</v>
      </c>
      <c r="U109" s="89">
        <f t="shared" si="36"/>
        <v>0</v>
      </c>
      <c r="V109" s="89">
        <f t="shared" si="36"/>
        <v>0</v>
      </c>
      <c r="W109" s="89">
        <f t="shared" si="36"/>
        <v>0</v>
      </c>
      <c r="X109" s="89">
        <f t="shared" si="36"/>
        <v>0</v>
      </c>
      <c r="Y109" s="89">
        <f t="shared" si="36"/>
        <v>0</v>
      </c>
      <c r="Z109" s="89">
        <f t="shared" si="36"/>
        <v>0</v>
      </c>
      <c r="AA109" s="89">
        <f t="shared" si="36"/>
        <v>0</v>
      </c>
      <c r="AB109" s="89">
        <f t="shared" si="39"/>
        <v>0</v>
      </c>
      <c r="AC109" s="89">
        <f t="shared" si="39"/>
        <v>0</v>
      </c>
      <c r="AD109" s="89">
        <f t="shared" si="39"/>
        <v>0</v>
      </c>
      <c r="AE109" s="89">
        <f t="shared" si="39"/>
        <v>0</v>
      </c>
      <c r="AF109" s="89">
        <f t="shared" si="39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>SUM(B104:B109)</f>
        <v>430</v>
      </c>
      <c r="C110" s="71">
        <f t="shared" ref="C110:AA110" si="41">SUM(C104:C109)</f>
        <v>410</v>
      </c>
      <c r="D110" s="71">
        <f t="shared" si="41"/>
        <v>436</v>
      </c>
      <c r="E110" s="71">
        <f t="shared" si="41"/>
        <v>515</v>
      </c>
      <c r="F110" s="71">
        <f t="shared" si="41"/>
        <v>509.5</v>
      </c>
      <c r="G110" s="71">
        <f t="shared" si="41"/>
        <v>556.4</v>
      </c>
      <c r="H110" s="71">
        <f t="shared" si="41"/>
        <v>577.70000000000005</v>
      </c>
      <c r="I110" s="71">
        <f t="shared" si="41"/>
        <v>535</v>
      </c>
      <c r="J110" s="71">
        <f t="shared" si="41"/>
        <v>595</v>
      </c>
      <c r="K110" s="71">
        <f t="shared" si="41"/>
        <v>541.4</v>
      </c>
      <c r="L110" s="71">
        <f t="shared" si="41"/>
        <v>518.6</v>
      </c>
      <c r="M110" s="71">
        <f>SUM(M104:M109)</f>
        <v>506.6</v>
      </c>
      <c r="N110" s="71">
        <f t="shared" si="41"/>
        <v>520</v>
      </c>
      <c r="O110" s="71">
        <f t="shared" si="41"/>
        <v>512.4</v>
      </c>
      <c r="P110" s="71">
        <f t="shared" si="41"/>
        <v>485</v>
      </c>
      <c r="Q110" s="71">
        <f>SUM(Q104:Q109)</f>
        <v>482</v>
      </c>
      <c r="R110" s="71">
        <f>SUM(R104:R109)</f>
        <v>485</v>
      </c>
      <c r="S110" s="71">
        <f t="shared" si="41"/>
        <v>456</v>
      </c>
      <c r="T110" s="71">
        <f t="shared" si="41"/>
        <v>415</v>
      </c>
      <c r="U110" s="71">
        <f t="shared" si="41"/>
        <v>435</v>
      </c>
      <c r="V110" s="71">
        <f t="shared" si="41"/>
        <v>446</v>
      </c>
      <c r="W110" s="71">
        <f t="shared" si="41"/>
        <v>450</v>
      </c>
      <c r="X110" s="71">
        <f t="shared" si="41"/>
        <v>465</v>
      </c>
      <c r="Y110" s="71">
        <f t="shared" si="41"/>
        <v>388</v>
      </c>
      <c r="Z110" s="71">
        <f t="shared" si="41"/>
        <v>350</v>
      </c>
      <c r="AA110" s="71">
        <f t="shared" si="41"/>
        <v>232</v>
      </c>
      <c r="AB110" s="71">
        <f>SUM(AB104:AB109)</f>
        <v>415</v>
      </c>
      <c r="AC110" s="71">
        <f>SUM(AC104:AC109)</f>
        <v>410.9</v>
      </c>
      <c r="AD110" s="71">
        <f>SUM(AD104:AD109)</f>
        <v>419.9</v>
      </c>
      <c r="AE110" s="71">
        <f>SUM(AE104:AE109)</f>
        <v>484.09999999999997</v>
      </c>
      <c r="AF110" s="71">
        <f>SUM(AF104:AF109)</f>
        <v>501.8</v>
      </c>
      <c r="AG110" s="101"/>
      <c r="AH110" s="48">
        <f t="shared" si="27"/>
        <v>595</v>
      </c>
      <c r="AI110" s="49">
        <f t="shared" si="28"/>
        <v>232</v>
      </c>
    </row>
    <row r="111" spans="1:64" ht="15.75" thickBot="1" x14ac:dyDescent="0.3">
      <c r="A111" s="87" t="s">
        <v>131</v>
      </c>
      <c r="B111" s="71">
        <f t="shared" ref="B111:AA111" si="42">B95-B110</f>
        <v>-430</v>
      </c>
      <c r="C111" s="71">
        <f t="shared" si="42"/>
        <v>-360</v>
      </c>
      <c r="D111" s="71">
        <f t="shared" si="42"/>
        <v>-373</v>
      </c>
      <c r="E111" s="71">
        <f t="shared" si="42"/>
        <v>-515</v>
      </c>
      <c r="F111" s="71">
        <f t="shared" si="42"/>
        <v>-509.5</v>
      </c>
      <c r="G111" s="71">
        <f t="shared" si="42"/>
        <v>-556.4</v>
      </c>
      <c r="H111" s="71">
        <f t="shared" si="42"/>
        <v>-577.70000000000005</v>
      </c>
      <c r="I111" s="71">
        <f t="shared" si="42"/>
        <v>-535</v>
      </c>
      <c r="J111" s="71">
        <f t="shared" si="42"/>
        <v>-595</v>
      </c>
      <c r="K111" s="71">
        <f t="shared" si="42"/>
        <v>-541.4</v>
      </c>
      <c r="L111" s="71">
        <f t="shared" si="42"/>
        <v>-518.6</v>
      </c>
      <c r="M111" s="71">
        <f>M95-M110</f>
        <v>-506.6</v>
      </c>
      <c r="N111" s="71">
        <f t="shared" si="42"/>
        <v>-520</v>
      </c>
      <c r="O111" s="71">
        <f t="shared" si="42"/>
        <v>-512.4</v>
      </c>
      <c r="P111" s="71">
        <f t="shared" si="42"/>
        <v>-485</v>
      </c>
      <c r="Q111" s="71">
        <f>Q95-Q110</f>
        <v>-482</v>
      </c>
      <c r="R111" s="71">
        <f>R95-R110</f>
        <v>-482</v>
      </c>
      <c r="S111" s="71">
        <f t="shared" si="42"/>
        <v>-446.7</v>
      </c>
      <c r="T111" s="71">
        <f t="shared" si="42"/>
        <v>-393.3</v>
      </c>
      <c r="U111" s="71">
        <f t="shared" si="42"/>
        <v>-365.2</v>
      </c>
      <c r="V111" s="71">
        <f t="shared" si="42"/>
        <v>-396</v>
      </c>
      <c r="W111" s="71">
        <f t="shared" si="42"/>
        <v>-407</v>
      </c>
      <c r="X111" s="71">
        <f t="shared" si="42"/>
        <v>-430</v>
      </c>
      <c r="Y111" s="71">
        <f t="shared" si="42"/>
        <v>-388</v>
      </c>
      <c r="Z111" s="71">
        <f t="shared" si="42"/>
        <v>-350</v>
      </c>
      <c r="AA111" s="71">
        <f t="shared" si="42"/>
        <v>-232</v>
      </c>
      <c r="AB111" s="71">
        <f>AB95-AB110</f>
        <v>-367.8</v>
      </c>
      <c r="AC111" s="71">
        <f>AC95-AC110</f>
        <v>-363.5</v>
      </c>
      <c r="AD111" s="71">
        <f>AD95-AD110</f>
        <v>-371.79999999999995</v>
      </c>
      <c r="AE111" s="71">
        <f>AE95-AE110</f>
        <v>-434.7</v>
      </c>
      <c r="AF111" s="71">
        <f>AF95-AF110</f>
        <v>-454.1</v>
      </c>
      <c r="AG111" s="101"/>
      <c r="AH111" s="48">
        <f t="shared" si="27"/>
        <v>-232</v>
      </c>
      <c r="AI111" s="49">
        <f t="shared" si="28"/>
        <v>-595</v>
      </c>
    </row>
    <row r="112" spans="1:64" x14ac:dyDescent="0.25">
      <c r="A112" s="113" t="s">
        <v>132</v>
      </c>
      <c r="B112" s="114">
        <v>50.003999999999998</v>
      </c>
      <c r="C112" s="114">
        <v>50.003999999999998</v>
      </c>
      <c r="D112" s="114">
        <v>49.994999999999997</v>
      </c>
      <c r="E112" s="114">
        <v>50.051000000000002</v>
      </c>
      <c r="F112" s="114">
        <v>50.040999999999997</v>
      </c>
      <c r="G112" s="114">
        <v>50.052</v>
      </c>
      <c r="H112" s="114">
        <v>50</v>
      </c>
      <c r="I112" s="114">
        <v>50</v>
      </c>
      <c r="J112" s="114">
        <v>50</v>
      </c>
      <c r="K112" s="114">
        <v>50.002000000000002</v>
      </c>
      <c r="L112" s="114">
        <v>49.984000000000002</v>
      </c>
      <c r="M112" s="114">
        <v>49.984000000000002</v>
      </c>
      <c r="N112" s="114">
        <v>50</v>
      </c>
      <c r="O112" s="114">
        <v>50.03</v>
      </c>
      <c r="P112" s="114">
        <v>50.08</v>
      </c>
      <c r="Q112" s="114">
        <v>50.08</v>
      </c>
      <c r="R112" s="114">
        <v>49.911000000000001</v>
      </c>
      <c r="S112" s="114">
        <v>49.872999999999998</v>
      </c>
      <c r="T112" s="114">
        <v>50</v>
      </c>
      <c r="U112" s="114">
        <v>50.031999999999996</v>
      </c>
      <c r="V112" s="114">
        <v>49.932000000000002</v>
      </c>
      <c r="W112" s="114">
        <v>49.953000000000003</v>
      </c>
      <c r="X112" s="114">
        <v>49.942</v>
      </c>
      <c r="Y112" s="114">
        <v>49.954000000000001</v>
      </c>
      <c r="Z112" s="114">
        <v>49.954000000000001</v>
      </c>
      <c r="AA112" s="114">
        <v>49.92</v>
      </c>
      <c r="AB112" s="114">
        <v>50.02</v>
      </c>
      <c r="AC112" s="114">
        <v>50.04</v>
      </c>
      <c r="AD112" s="114">
        <v>49.99</v>
      </c>
      <c r="AE112" s="114">
        <v>49.96</v>
      </c>
      <c r="AF112" s="114">
        <v>49.98</v>
      </c>
      <c r="AG112" s="115"/>
      <c r="AH112" s="48">
        <f t="shared" si="27"/>
        <v>50.08</v>
      </c>
      <c r="AI112" s="49">
        <f t="shared" si="28"/>
        <v>49.872999999999998</v>
      </c>
    </row>
    <row r="113" spans="1:35" x14ac:dyDescent="0.25">
      <c r="A113" s="116" t="s">
        <v>133</v>
      </c>
      <c r="B113" s="76">
        <v>121.7</v>
      </c>
      <c r="C113" s="76">
        <v>121.7</v>
      </c>
      <c r="D113" s="76">
        <v>121.6</v>
      </c>
      <c r="E113" s="76">
        <v>119.1</v>
      </c>
      <c r="F113" s="76">
        <v>119.1</v>
      </c>
      <c r="G113" s="76">
        <v>122.8</v>
      </c>
      <c r="H113" s="76">
        <v>118.9</v>
      </c>
      <c r="I113" s="76">
        <v>118.9</v>
      </c>
      <c r="J113" s="76">
        <v>118.9</v>
      </c>
      <c r="K113" s="76">
        <v>120.1</v>
      </c>
      <c r="L113" s="76">
        <v>119.6</v>
      </c>
      <c r="M113" s="76">
        <v>119.6</v>
      </c>
      <c r="N113" s="76">
        <v>120.6</v>
      </c>
      <c r="O113" s="76">
        <v>120.7</v>
      </c>
      <c r="P113" s="76">
        <v>121</v>
      </c>
      <c r="Q113" s="76">
        <v>121</v>
      </c>
      <c r="R113" s="76">
        <v>121</v>
      </c>
      <c r="S113" s="76">
        <v>120.7</v>
      </c>
      <c r="T113" s="76">
        <v>119.3</v>
      </c>
      <c r="U113" s="76">
        <v>122</v>
      </c>
      <c r="V113" s="76">
        <v>120.5</v>
      </c>
      <c r="W113" s="76">
        <v>119.7</v>
      </c>
      <c r="X113" s="76">
        <v>120.5</v>
      </c>
      <c r="Y113" s="76">
        <v>123.3</v>
      </c>
      <c r="Z113" s="76">
        <v>123.3</v>
      </c>
      <c r="AA113" s="76">
        <v>121.5</v>
      </c>
      <c r="AB113" s="76">
        <v>124.7</v>
      </c>
      <c r="AC113" s="76">
        <v>124.9</v>
      </c>
      <c r="AD113" s="76">
        <v>122.8</v>
      </c>
      <c r="AE113" s="76">
        <v>121.2</v>
      </c>
      <c r="AF113" s="76">
        <v>120.6</v>
      </c>
      <c r="AG113" s="117"/>
      <c r="AH113" s="48">
        <f t="shared" si="27"/>
        <v>124.9</v>
      </c>
      <c r="AI113" s="49">
        <f t="shared" si="28"/>
        <v>118.9</v>
      </c>
    </row>
    <row r="114" spans="1:35" x14ac:dyDescent="0.25">
      <c r="A114" s="116" t="s">
        <v>134</v>
      </c>
      <c r="B114" s="76">
        <v>127.3</v>
      </c>
      <c r="C114" s="76">
        <v>127.3</v>
      </c>
      <c r="D114" s="76">
        <v>127.3</v>
      </c>
      <c r="E114" s="76">
        <v>126.2</v>
      </c>
      <c r="F114" s="76">
        <v>126.2</v>
      </c>
      <c r="G114" s="76">
        <v>128.30000000000001</v>
      </c>
      <c r="H114" s="76">
        <v>124.6</v>
      </c>
      <c r="I114" s="76">
        <v>124.6</v>
      </c>
      <c r="J114" s="76">
        <v>124.2</v>
      </c>
      <c r="K114" s="76">
        <v>125.4</v>
      </c>
      <c r="L114" s="76">
        <v>128.5</v>
      </c>
      <c r="M114" s="76">
        <v>128.5</v>
      </c>
      <c r="N114" s="76">
        <v>123.1</v>
      </c>
      <c r="O114" s="76">
        <v>124.9</v>
      </c>
      <c r="P114" s="76">
        <v>126</v>
      </c>
      <c r="Q114" s="76">
        <v>126</v>
      </c>
      <c r="R114" s="76">
        <v>126</v>
      </c>
      <c r="S114" s="76">
        <v>125.8</v>
      </c>
      <c r="T114" s="76">
        <v>125.3</v>
      </c>
      <c r="U114" s="76">
        <v>127.1</v>
      </c>
      <c r="V114" s="76">
        <v>125.8</v>
      </c>
      <c r="W114" s="76">
        <v>125.3</v>
      </c>
      <c r="X114" s="76">
        <v>125.6</v>
      </c>
      <c r="Y114" s="76">
        <v>127.3</v>
      </c>
      <c r="Z114" s="76">
        <v>127.3</v>
      </c>
      <c r="AA114" s="76">
        <v>125.4</v>
      </c>
      <c r="AB114" s="76">
        <v>128</v>
      </c>
      <c r="AC114" s="76">
        <v>128.19999999999999</v>
      </c>
      <c r="AD114" s="76">
        <v>126.5</v>
      </c>
      <c r="AE114" s="76">
        <v>126.1</v>
      </c>
      <c r="AF114" s="76">
        <v>125.6</v>
      </c>
      <c r="AG114" s="117"/>
      <c r="AH114" s="48">
        <f t="shared" si="27"/>
        <v>128.5</v>
      </c>
      <c r="AI114" s="49">
        <f t="shared" si="28"/>
        <v>123.1</v>
      </c>
    </row>
    <row r="115" spans="1:35" x14ac:dyDescent="0.25">
      <c r="A115" s="116" t="s">
        <v>135</v>
      </c>
      <c r="B115" s="76">
        <v>130.6</v>
      </c>
      <c r="C115" s="76">
        <v>130.6</v>
      </c>
      <c r="D115" s="76">
        <v>129.6</v>
      </c>
      <c r="E115" s="76">
        <v>130.4</v>
      </c>
      <c r="F115" s="76">
        <v>130.4</v>
      </c>
      <c r="G115" s="76">
        <v>130.9</v>
      </c>
      <c r="H115" s="76">
        <v>129.19999999999999</v>
      </c>
      <c r="I115" s="76">
        <v>129.19999999999999</v>
      </c>
      <c r="J115" s="76">
        <v>129.4</v>
      </c>
      <c r="K115" s="76">
        <v>129.19999999999999</v>
      </c>
      <c r="L115" s="76">
        <v>128.19999999999999</v>
      </c>
      <c r="M115" s="76">
        <v>128.19999999999999</v>
      </c>
      <c r="N115" s="76">
        <v>129.80000000000001</v>
      </c>
      <c r="O115" s="76">
        <v>130.30000000000001</v>
      </c>
      <c r="P115" s="76">
        <v>130.4</v>
      </c>
      <c r="Q115" s="76">
        <v>130.4</v>
      </c>
      <c r="R115" s="76">
        <v>130.4</v>
      </c>
      <c r="S115" s="76">
        <v>128.5</v>
      </c>
      <c r="T115" s="76">
        <v>129.6</v>
      </c>
      <c r="U115" s="76">
        <v>128.69999999999999</v>
      </c>
      <c r="V115" s="76">
        <v>130.19999999999999</v>
      </c>
      <c r="W115" s="76">
        <v>130.69999999999999</v>
      </c>
      <c r="X115" s="76">
        <v>130.4</v>
      </c>
      <c r="Y115" s="76">
        <v>131.30000000000001</v>
      </c>
      <c r="Z115" s="76">
        <v>131.30000000000001</v>
      </c>
      <c r="AA115" s="76">
        <v>123</v>
      </c>
      <c r="AB115" s="76">
        <v>131.19999999999999</v>
      </c>
      <c r="AC115" s="76">
        <v>130.6</v>
      </c>
      <c r="AD115" s="76">
        <v>130.61000000000001</v>
      </c>
      <c r="AE115" s="76">
        <v>129</v>
      </c>
      <c r="AF115" s="76">
        <v>129.9</v>
      </c>
      <c r="AG115" s="117"/>
      <c r="AH115" s="48">
        <f t="shared" si="27"/>
        <v>131.30000000000001</v>
      </c>
      <c r="AI115" s="49">
        <f t="shared" si="28"/>
        <v>123</v>
      </c>
    </row>
    <row r="116" spans="1:35" x14ac:dyDescent="0.25">
      <c r="A116" s="118" t="s">
        <v>136</v>
      </c>
      <c r="B116" s="76">
        <v>131.1</v>
      </c>
      <c r="C116" s="76">
        <v>131.1</v>
      </c>
      <c r="D116" s="76">
        <v>128.80000000000001</v>
      </c>
      <c r="E116" s="76">
        <v>131</v>
      </c>
      <c r="F116" s="76">
        <v>131</v>
      </c>
      <c r="G116" s="76">
        <v>131.4</v>
      </c>
      <c r="H116" s="76">
        <v>129.5</v>
      </c>
      <c r="I116" s="76">
        <v>129.5</v>
      </c>
      <c r="J116" s="76">
        <v>128.19999999999999</v>
      </c>
      <c r="K116" s="76">
        <v>129.1</v>
      </c>
      <c r="L116" s="76">
        <v>128.5</v>
      </c>
      <c r="M116" s="76">
        <v>128.5</v>
      </c>
      <c r="N116" s="76">
        <v>130</v>
      </c>
      <c r="O116" s="76">
        <v>130.5</v>
      </c>
      <c r="P116" s="76">
        <v>131</v>
      </c>
      <c r="Q116" s="76">
        <v>131</v>
      </c>
      <c r="R116" s="76">
        <v>131</v>
      </c>
      <c r="S116" s="76">
        <v>127.4</v>
      </c>
      <c r="T116" s="76">
        <v>128.5</v>
      </c>
      <c r="U116" s="76">
        <v>126.5</v>
      </c>
      <c r="V116" s="76">
        <v>127.6</v>
      </c>
      <c r="W116" s="76">
        <v>127.9</v>
      </c>
      <c r="X116" s="76">
        <v>129.9</v>
      </c>
      <c r="Y116" s="76">
        <v>130.6</v>
      </c>
      <c r="Z116" s="76">
        <v>130.6</v>
      </c>
      <c r="AA116" s="76">
        <v>129.1</v>
      </c>
      <c r="AB116" s="76">
        <v>129.5</v>
      </c>
      <c r="AC116" s="76">
        <v>129.1</v>
      </c>
      <c r="AD116" s="76">
        <v>129.30000000000001</v>
      </c>
      <c r="AE116" s="76">
        <v>129.80000000000001</v>
      </c>
      <c r="AF116" s="76">
        <v>130.19999999999999</v>
      </c>
      <c r="AG116" s="117"/>
      <c r="AH116" s="48">
        <f t="shared" si="27"/>
        <v>131.4</v>
      </c>
      <c r="AI116" s="49">
        <f t="shared" si="28"/>
        <v>126.5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0</v>
      </c>
      <c r="AI117" s="49">
        <f t="shared" si="28"/>
        <v>0</v>
      </c>
    </row>
    <row r="118" spans="1:35" x14ac:dyDescent="0.25">
      <c r="A118" s="116" t="s">
        <v>138</v>
      </c>
      <c r="B118" s="76">
        <v>123.3</v>
      </c>
      <c r="C118" s="76">
        <v>123.3</v>
      </c>
      <c r="D118" s="76">
        <v>127.6</v>
      </c>
      <c r="E118" s="76">
        <v>124.8</v>
      </c>
      <c r="F118" s="76">
        <v>124.8</v>
      </c>
      <c r="G118" s="76">
        <v>109</v>
      </c>
      <c r="H118" s="76">
        <v>116.1</v>
      </c>
      <c r="I118" s="76">
        <v>116.1</v>
      </c>
      <c r="J118" s="76">
        <v>123.1</v>
      </c>
      <c r="K118" s="76">
        <v>128</v>
      </c>
      <c r="L118" s="76">
        <v>126.1</v>
      </c>
      <c r="M118" s="76">
        <v>126.1</v>
      </c>
      <c r="N118" s="76">
        <v>122.1</v>
      </c>
      <c r="O118" s="76">
        <v>131</v>
      </c>
      <c r="P118" s="76">
        <v>129</v>
      </c>
      <c r="Q118" s="76">
        <v>129</v>
      </c>
      <c r="R118" s="76">
        <v>129</v>
      </c>
      <c r="S118" s="76">
        <v>120.5</v>
      </c>
      <c r="T118" s="76">
        <v>116.4</v>
      </c>
      <c r="U118" s="76">
        <v>131.9</v>
      </c>
      <c r="V118" s="76">
        <v>119.5</v>
      </c>
      <c r="W118" s="76">
        <v>128.30000000000001</v>
      </c>
      <c r="X118" s="76">
        <v>132.5</v>
      </c>
      <c r="Y118" s="76">
        <v>131.4</v>
      </c>
      <c r="Z118" s="76">
        <v>131.4</v>
      </c>
      <c r="AA118" s="76">
        <v>127.9</v>
      </c>
      <c r="AB118" s="76">
        <v>126.8</v>
      </c>
      <c r="AC118" s="76">
        <v>123.7</v>
      </c>
      <c r="AD118" s="76">
        <v>123.9</v>
      </c>
      <c r="AE118" s="76">
        <v>117.6</v>
      </c>
      <c r="AF118" s="76">
        <v>113.3</v>
      </c>
      <c r="AG118" s="117"/>
      <c r="AH118" s="48">
        <f t="shared" si="27"/>
        <v>132.5</v>
      </c>
      <c r="AI118" s="49">
        <f t="shared" si="28"/>
        <v>109</v>
      </c>
    </row>
    <row r="119" spans="1:35" ht="15.75" thickBot="1" x14ac:dyDescent="0.3">
      <c r="A119" s="116" t="s">
        <v>139</v>
      </c>
      <c r="B119" s="105">
        <v>64.599999999999994</v>
      </c>
      <c r="C119" s="105">
        <v>64.599999999999994</v>
      </c>
      <c r="D119" s="105">
        <v>64.400000000000006</v>
      </c>
      <c r="E119" s="105">
        <v>63.8</v>
      </c>
      <c r="F119" s="105">
        <v>63.8</v>
      </c>
      <c r="G119" s="105">
        <v>64.5</v>
      </c>
      <c r="H119" s="105">
        <v>62.7</v>
      </c>
      <c r="I119" s="105">
        <v>62.7</v>
      </c>
      <c r="J119" s="105">
        <v>63.1</v>
      </c>
      <c r="K119" s="105">
        <v>63.2</v>
      </c>
      <c r="L119" s="105">
        <v>62.8</v>
      </c>
      <c r="M119" s="105">
        <v>62.8</v>
      </c>
      <c r="N119" s="105">
        <v>62.4</v>
      </c>
      <c r="O119" s="105">
        <v>62.9</v>
      </c>
      <c r="P119" s="105">
        <v>63.7</v>
      </c>
      <c r="Q119" s="105">
        <v>63.7</v>
      </c>
      <c r="R119" s="105">
        <v>63.7</v>
      </c>
      <c r="S119" s="105">
        <v>63.7</v>
      </c>
      <c r="T119" s="105">
        <v>63.5</v>
      </c>
      <c r="U119" s="105">
        <v>64.3</v>
      </c>
      <c r="V119" s="105">
        <v>63.5</v>
      </c>
      <c r="W119" s="105">
        <v>63.7</v>
      </c>
      <c r="X119" s="105">
        <v>63.5</v>
      </c>
      <c r="Y119" s="105">
        <v>64.3</v>
      </c>
      <c r="Z119" s="105">
        <v>64.3</v>
      </c>
      <c r="AA119" s="105">
        <v>63.1</v>
      </c>
      <c r="AB119" s="105">
        <v>64.8</v>
      </c>
      <c r="AC119" s="105">
        <v>65</v>
      </c>
      <c r="AD119" s="105">
        <v>63.7</v>
      </c>
      <c r="AE119" s="105">
        <v>63.9</v>
      </c>
      <c r="AF119" s="105">
        <v>63.8</v>
      </c>
      <c r="AG119" s="121"/>
      <c r="AH119" s="48">
        <f t="shared" si="27"/>
        <v>65</v>
      </c>
      <c r="AI119" s="49">
        <f t="shared" si="28"/>
        <v>62.4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 t="shared" ref="B121:O121" si="43">SUM(B25,B31,B34:B35,B69,B71:B72,B74,B76,B122:B126,B158,B164,B170,B179,B181,B193,B200,B203:B204,B211,B213,B215,B219:B221,B223:B225,B230,B236:B237,B239:B241,B249,B254)</f>
        <v>90.84</v>
      </c>
      <c r="C121" s="124">
        <f t="shared" si="43"/>
        <v>90.84</v>
      </c>
      <c r="D121" s="124">
        <f t="shared" si="43"/>
        <v>55.839999999999975</v>
      </c>
      <c r="E121" s="124">
        <f t="shared" si="43"/>
        <v>50.839999999999996</v>
      </c>
      <c r="F121" s="124">
        <f t="shared" si="43"/>
        <v>37.04</v>
      </c>
      <c r="G121" s="124">
        <f t="shared" si="43"/>
        <v>57.339999999999975</v>
      </c>
      <c r="H121" s="124">
        <f t="shared" si="43"/>
        <v>79.64</v>
      </c>
      <c r="I121" s="124">
        <f t="shared" si="43"/>
        <v>79.64</v>
      </c>
      <c r="J121" s="124">
        <f t="shared" si="43"/>
        <v>125.04</v>
      </c>
      <c r="K121" s="124">
        <f t="shared" si="43"/>
        <v>476.14000000000004</v>
      </c>
      <c r="L121" s="124">
        <f t="shared" si="43"/>
        <v>144.04000000000005</v>
      </c>
      <c r="M121" s="124">
        <f>SUM(M25,M31,M34:M35,M69,M71:M72,M74,M76,M122:M126,M158,M164,M170,M179,M181,M193,M200,M203:M204,M211,M213,M215,M219:M221,M223:M225,M230,M236:M237,M239:M241,M249,M254)</f>
        <v>141.53999999999996</v>
      </c>
      <c r="N121" s="124">
        <f t="shared" si="43"/>
        <v>153.84000000000006</v>
      </c>
      <c r="O121" s="124">
        <f t="shared" si="43"/>
        <v>171.74</v>
      </c>
      <c r="P121" s="124">
        <v>42</v>
      </c>
      <c r="Q121" s="124">
        <f t="shared" ref="Q121:X121" si="44">SUM(Q25,Q31,Q34:Q35,Q69,Q71:Q72,Q74,Q76,Q122:Q126,Q158,Q164,Q170,Q179,Q181,Q193,Q200,Q203:Q204,Q211,Q213,Q215,Q219:Q221,Q223:Q225,Q230,Q236:Q237,Q239:Q241,Q249,Q254)</f>
        <v>150.54000000000002</v>
      </c>
      <c r="R121" s="124">
        <f t="shared" si="44"/>
        <v>145.54000000000002</v>
      </c>
      <c r="S121" s="124">
        <f t="shared" si="44"/>
        <v>119.83999999999999</v>
      </c>
      <c r="T121" s="124">
        <f>SUM(T25,T31,T34:T35,T69,T71:T72,T74,T76,T122:T126,T158,T164,T170,T179,T181,T193,T200,T203:T204,T211,T213,T215,T219:T221,T223:T225,T230,T236:T237,T239:T241,T249,T254)</f>
        <v>104.84</v>
      </c>
      <c r="U121" s="124">
        <f>SUM(U25,U31,U34:U35,U69,U71:U72,U74,U76,U122:U126,U158,U164,U170,U179,U181,U193,U200,U203:U204,U211,U213,U215,U219:U221,U223:U225,U230,U236:U237,U239:U241,U249,U254)</f>
        <v>122.94</v>
      </c>
      <c r="V121" s="124">
        <f t="shared" si="44"/>
        <v>125.34</v>
      </c>
      <c r="W121" s="124">
        <f t="shared" si="44"/>
        <v>131.43999999999997</v>
      </c>
      <c r="X121" s="124">
        <f t="shared" si="44"/>
        <v>157.13999999999999</v>
      </c>
      <c r="Y121" s="124">
        <f>SUM(Y23,Y29,Y40:Y41,Y69,Y71:Y72,Y74,Y76,Y122:Y126,Y151,Y157,Y163,Y172,Y174,Y186,Y193,Y196:Y197,Y204,Y206,Y208,Y212:Y214,Y216:Y218,Y223,Y229:Y230,Y232:Y234,Y242,Y247)</f>
        <v>168.7</v>
      </c>
      <c r="Z121" s="124">
        <f>SUM(Z23,Z29,Z40:Z41,Z69,Z71:Z72,Z74,Z76,Z122:Z126,Z151,Z157,Z163,Z172,Z174,Z186,Z193,Z196:Z197,Z204,Z206,Z208,Z212:Z214,Z216:Z218,Z223,Z229:Z230,Z232:Z234,Z242,Z247)</f>
        <v>152.1</v>
      </c>
      <c r="AA121" s="124">
        <f t="shared" ref="AA121:AF121" si="45">SUM(AA25,AA31,AA34:AA35,AA69,AA71:AA72,AA74,AA76,AA122:AA126,AA158,AA164,AA170,AA179,AA181,AA193,AA200,AA203:AA204,AA211,AA213,AA215,AA219:AA221,AA223:AA225,AA230,AA236:AA237,AA239:AA241,AA249,AA254)</f>
        <v>179.14</v>
      </c>
      <c r="AB121" s="124">
        <f t="shared" si="45"/>
        <v>198.83999999999997</v>
      </c>
      <c r="AC121" s="124">
        <f t="shared" si="45"/>
        <v>190.93999999999997</v>
      </c>
      <c r="AD121" s="124">
        <f t="shared" si="45"/>
        <v>171.04</v>
      </c>
      <c r="AE121" s="124">
        <f t="shared" si="45"/>
        <v>168.64</v>
      </c>
      <c r="AF121" s="124">
        <f t="shared" si="45"/>
        <v>158.23999999999998</v>
      </c>
      <c r="AG121" s="125"/>
      <c r="AH121" s="48">
        <f t="shared" si="27"/>
        <v>476.14000000000004</v>
      </c>
      <c r="AI121" s="49">
        <f t="shared" si="28"/>
        <v>37.04</v>
      </c>
    </row>
    <row r="122" spans="1:35" x14ac:dyDescent="0.25">
      <c r="A122" s="126" t="s">
        <v>142</v>
      </c>
      <c r="B122" s="127">
        <v>38</v>
      </c>
      <c r="C122" s="127">
        <v>38</v>
      </c>
      <c r="D122" s="127">
        <v>54</v>
      </c>
      <c r="E122" s="127">
        <v>55.5</v>
      </c>
      <c r="F122" s="127">
        <v>50.5</v>
      </c>
      <c r="G122" s="127">
        <v>57.1</v>
      </c>
      <c r="H122" s="127">
        <v>65</v>
      </c>
      <c r="I122" s="127">
        <v>65</v>
      </c>
      <c r="J122" s="127">
        <v>80.2</v>
      </c>
      <c r="K122" s="127">
        <v>79.7</v>
      </c>
      <c r="L122" s="127">
        <v>73.2</v>
      </c>
      <c r="M122" s="127">
        <v>100</v>
      </c>
      <c r="N122" s="127">
        <v>61.2</v>
      </c>
      <c r="O122" s="127">
        <v>74.099999999999994</v>
      </c>
      <c r="P122" s="127">
        <v>64.099999999999994</v>
      </c>
      <c r="Q122" s="127">
        <v>98</v>
      </c>
      <c r="R122" s="127">
        <v>100</v>
      </c>
      <c r="S122" s="127">
        <v>57.1</v>
      </c>
      <c r="T122" s="127">
        <v>50.7</v>
      </c>
      <c r="U122" s="127">
        <v>53.6</v>
      </c>
      <c r="V122" s="127">
        <v>59</v>
      </c>
      <c r="W122" s="127">
        <v>69.400000000000006</v>
      </c>
      <c r="X122" s="127">
        <v>79</v>
      </c>
      <c r="Y122" s="127">
        <v>69.3</v>
      </c>
      <c r="Z122" s="127"/>
      <c r="AA122" s="127">
        <v>62.7</v>
      </c>
      <c r="AB122" s="127">
        <v>71.599999999999994</v>
      </c>
      <c r="AC122" s="127">
        <v>67.7</v>
      </c>
      <c r="AD122" s="127">
        <v>68</v>
      </c>
      <c r="AE122" s="127">
        <v>74.900000000000006</v>
      </c>
      <c r="AF122" s="127">
        <v>79.2</v>
      </c>
      <c r="AG122" s="128">
        <v>75</v>
      </c>
      <c r="AH122" s="48">
        <f t="shared" si="27"/>
        <v>100</v>
      </c>
      <c r="AI122" s="49">
        <f t="shared" si="28"/>
        <v>38</v>
      </c>
    </row>
    <row r="123" spans="1:35" x14ac:dyDescent="0.25">
      <c r="A123" s="129" t="s">
        <v>143</v>
      </c>
      <c r="B123" s="130">
        <v>55</v>
      </c>
      <c r="C123" s="130">
        <v>55</v>
      </c>
      <c r="D123" s="130">
        <v>79</v>
      </c>
      <c r="E123" s="130">
        <v>81.8</v>
      </c>
      <c r="F123" s="130">
        <v>73.599999999999994</v>
      </c>
      <c r="G123" s="130">
        <v>83.4</v>
      </c>
      <c r="H123" s="130">
        <v>94.1</v>
      </c>
      <c r="I123" s="130">
        <v>94.1</v>
      </c>
      <c r="J123" s="130">
        <v>113.4</v>
      </c>
      <c r="K123" s="130">
        <v>113.1</v>
      </c>
      <c r="L123" s="130">
        <v>106.6</v>
      </c>
      <c r="M123" s="130">
        <v>66</v>
      </c>
      <c r="N123" s="130">
        <v>92.9</v>
      </c>
      <c r="O123" s="130">
        <v>108.9</v>
      </c>
      <c r="P123" s="130">
        <v>99.8</v>
      </c>
      <c r="Q123" s="130">
        <v>70</v>
      </c>
      <c r="R123" s="130">
        <v>66</v>
      </c>
      <c r="S123" s="130">
        <v>90.9</v>
      </c>
      <c r="T123" s="130">
        <v>81.3</v>
      </c>
      <c r="U123" s="130">
        <v>82.2</v>
      </c>
      <c r="V123" s="130">
        <v>90</v>
      </c>
      <c r="W123" s="130">
        <v>99.7</v>
      </c>
      <c r="X123" s="130">
        <v>111.8</v>
      </c>
      <c r="Y123" s="130">
        <v>99</v>
      </c>
      <c r="Z123" s="130"/>
      <c r="AA123" s="130">
        <v>94.3</v>
      </c>
      <c r="AB123" s="130">
        <v>104.1</v>
      </c>
      <c r="AC123" s="130">
        <v>101.2</v>
      </c>
      <c r="AD123" s="130">
        <v>101</v>
      </c>
      <c r="AE123" s="130">
        <v>109.6</v>
      </c>
      <c r="AF123" s="130">
        <v>112.7</v>
      </c>
      <c r="AG123" s="128">
        <v>240</v>
      </c>
      <c r="AH123" s="48">
        <f t="shared" si="27"/>
        <v>113.4</v>
      </c>
      <c r="AI123" s="49">
        <f t="shared" si="28"/>
        <v>55</v>
      </c>
    </row>
    <row r="124" spans="1:35" x14ac:dyDescent="0.25">
      <c r="A124" s="129" t="s">
        <v>144</v>
      </c>
      <c r="B124" s="130">
        <v>-160</v>
      </c>
      <c r="C124" s="130">
        <v>-160</v>
      </c>
      <c r="D124" s="130">
        <v>-180</v>
      </c>
      <c r="E124" s="130">
        <v>-181.2</v>
      </c>
      <c r="F124" s="130">
        <v>-178</v>
      </c>
      <c r="G124" s="130">
        <v>-176</v>
      </c>
      <c r="H124" s="130">
        <v>-176</v>
      </c>
      <c r="I124" s="130">
        <v>-176</v>
      </c>
      <c r="J124" s="130">
        <v>-179.2</v>
      </c>
      <c r="K124" s="130">
        <v>165</v>
      </c>
      <c r="L124" s="130">
        <v>-155.6</v>
      </c>
      <c r="M124" s="130">
        <v>-145</v>
      </c>
      <c r="N124" s="130">
        <f>-68.8-72</f>
        <v>-140.80000000000001</v>
      </c>
      <c r="O124" s="130">
        <f>-74.5-78.6</f>
        <v>-153.1</v>
      </c>
      <c r="P124" s="130">
        <f>-76.4-79.2</f>
        <v>-155.60000000000002</v>
      </c>
      <c r="Q124" s="130">
        <v>-155</v>
      </c>
      <c r="R124" s="130">
        <v>-160</v>
      </c>
      <c r="S124" s="130">
        <f>-79-83</f>
        <v>-162</v>
      </c>
      <c r="T124" s="130">
        <f>-76-81.3</f>
        <v>-157.30000000000001</v>
      </c>
      <c r="U124" s="130">
        <v>-149</v>
      </c>
      <c r="V124" s="130">
        <f>-73-78</f>
        <v>-151</v>
      </c>
      <c r="W124" s="130">
        <f>-79.8-83</f>
        <v>-162.80000000000001</v>
      </c>
      <c r="X124" s="130">
        <f>-78-84</f>
        <v>-162</v>
      </c>
      <c r="Y124" s="130">
        <f>-68-73</f>
        <v>-141</v>
      </c>
      <c r="Z124" s="130"/>
      <c r="AA124" s="130">
        <v>-120.3</v>
      </c>
      <c r="AB124" s="130">
        <v>-127.5</v>
      </c>
      <c r="AC124" s="130">
        <v>-127.8</v>
      </c>
      <c r="AD124" s="130">
        <v>-135.80000000000001</v>
      </c>
      <c r="AE124" s="130">
        <v>-153.30000000000001</v>
      </c>
      <c r="AF124" s="130">
        <v>-162.1</v>
      </c>
      <c r="AG124" s="128">
        <v>240</v>
      </c>
      <c r="AH124" s="48">
        <f t="shared" si="27"/>
        <v>165</v>
      </c>
      <c r="AI124" s="49">
        <f t="shared" si="28"/>
        <v>-181.2</v>
      </c>
    </row>
    <row r="125" spans="1:35" ht="15.75" thickBot="1" x14ac:dyDescent="0.3">
      <c r="A125" s="129" t="s">
        <v>145</v>
      </c>
      <c r="B125" s="130">
        <v>24</v>
      </c>
      <c r="C125" s="130">
        <v>24</v>
      </c>
      <c r="D125" s="130">
        <v>-31</v>
      </c>
      <c r="E125" s="130">
        <v>-32.1</v>
      </c>
      <c r="F125" s="130">
        <v>-35.9</v>
      </c>
      <c r="G125" s="130">
        <v>-34</v>
      </c>
      <c r="H125" s="130">
        <v>-30.3</v>
      </c>
      <c r="I125" s="130">
        <v>-30.3</v>
      </c>
      <c r="J125" s="130">
        <v>-26.7</v>
      </c>
      <c r="K125" s="130">
        <v>-19</v>
      </c>
      <c r="L125" s="130">
        <v>-17.5</v>
      </c>
      <c r="M125" s="130">
        <v>-16.8</v>
      </c>
      <c r="N125" s="130">
        <v>-16.100000000000001</v>
      </c>
      <c r="O125" s="130">
        <v>-15.1</v>
      </c>
      <c r="P125" s="130">
        <v>-23.6</v>
      </c>
      <c r="Q125" s="130">
        <v>-20</v>
      </c>
      <c r="R125" s="130">
        <v>-18</v>
      </c>
      <c r="S125" s="130">
        <v>-19.8</v>
      </c>
      <c r="T125" s="130">
        <v>-16.399999999999999</v>
      </c>
      <c r="U125" s="130">
        <v>-19</v>
      </c>
      <c r="V125" s="130">
        <v>-22.9</v>
      </c>
      <c r="W125" s="130">
        <v>-24.4</v>
      </c>
      <c r="X125" s="130">
        <v>-20.5</v>
      </c>
      <c r="Y125" s="130">
        <v>-10.7</v>
      </c>
      <c r="Z125" s="130"/>
      <c r="AA125" s="130"/>
      <c r="AB125" s="130">
        <v>8.1999999999999993</v>
      </c>
      <c r="AC125" s="130">
        <v>7.4</v>
      </c>
      <c r="AD125" s="130">
        <v>-4.5999999999999996</v>
      </c>
      <c r="AE125" s="130">
        <v>-5</v>
      </c>
      <c r="AF125" s="130">
        <v>-14</v>
      </c>
      <c r="AG125" s="128">
        <v>60</v>
      </c>
      <c r="AH125" s="48">
        <f t="shared" si="27"/>
        <v>24</v>
      </c>
      <c r="AI125" s="49">
        <f t="shared" si="28"/>
        <v>-35.9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0</v>
      </c>
      <c r="AI126" s="49">
        <f t="shared" si="28"/>
        <v>0</v>
      </c>
    </row>
    <row r="127" spans="1:35" x14ac:dyDescent="0.25">
      <c r="A127" s="129" t="s">
        <v>147</v>
      </c>
      <c r="B127" s="131">
        <v>85</v>
      </c>
      <c r="C127" s="131">
        <v>85</v>
      </c>
      <c r="D127" s="131">
        <v>74</v>
      </c>
      <c r="E127" s="131">
        <v>72.2</v>
      </c>
      <c r="F127" s="131">
        <v>78.099999999999994</v>
      </c>
      <c r="G127" s="131">
        <v>75.599999999999994</v>
      </c>
      <c r="H127" s="131">
        <v>72.7</v>
      </c>
      <c r="I127" s="131">
        <v>72.7</v>
      </c>
      <c r="J127" s="131">
        <v>67.900000000000006</v>
      </c>
      <c r="K127" s="131">
        <v>73.400000000000006</v>
      </c>
      <c r="L127" s="131">
        <v>78.400000000000006</v>
      </c>
      <c r="M127" s="131">
        <v>88</v>
      </c>
      <c r="N127" s="131">
        <v>90.3</v>
      </c>
      <c r="O127" s="131">
        <v>78.099999999999994</v>
      </c>
      <c r="P127" s="131">
        <v>82.5</v>
      </c>
      <c r="Q127" s="131">
        <v>81</v>
      </c>
      <c r="R127" s="131">
        <v>80</v>
      </c>
      <c r="S127" s="131">
        <v>87.3</v>
      </c>
      <c r="T127" s="131">
        <v>93.4</v>
      </c>
      <c r="U127" s="131">
        <v>89.4</v>
      </c>
      <c r="V127" s="131">
        <v>87.1</v>
      </c>
      <c r="W127" s="131">
        <v>85.8</v>
      </c>
      <c r="X127" s="131">
        <v>82.3</v>
      </c>
      <c r="Y127" s="131">
        <v>81.8</v>
      </c>
      <c r="Z127" s="131"/>
      <c r="AA127" s="131">
        <v>109.6</v>
      </c>
      <c r="AB127" s="131">
        <v>82.6</v>
      </c>
      <c r="AC127" s="131">
        <v>83.4</v>
      </c>
      <c r="AD127" s="131">
        <v>82.5</v>
      </c>
      <c r="AE127" s="131">
        <v>52.5</v>
      </c>
      <c r="AF127" s="131">
        <v>43.3</v>
      </c>
      <c r="AG127" s="132"/>
      <c r="AH127" s="48"/>
      <c r="AI127" s="49"/>
    </row>
    <row r="128" spans="1:35" x14ac:dyDescent="0.25">
      <c r="A128" s="129" t="s">
        <v>148</v>
      </c>
      <c r="B128" s="131">
        <v>57</v>
      </c>
      <c r="C128" s="131">
        <v>57</v>
      </c>
      <c r="D128" s="131">
        <v>38</v>
      </c>
      <c r="E128" s="131">
        <v>38.799999999999997</v>
      </c>
      <c r="F128" s="131">
        <v>49.9</v>
      </c>
      <c r="G128" s="131">
        <v>38.799999999999997</v>
      </c>
      <c r="H128" s="131">
        <v>30.3</v>
      </c>
      <c r="I128" s="131">
        <v>30.3</v>
      </c>
      <c r="J128" s="131">
        <v>8</v>
      </c>
      <c r="K128" s="131">
        <v>1</v>
      </c>
      <c r="L128" s="131">
        <v>5.5</v>
      </c>
      <c r="M128" s="131">
        <v>12.8</v>
      </c>
      <c r="N128" s="131">
        <v>17.899999999999999</v>
      </c>
      <c r="O128" s="131">
        <v>0.3</v>
      </c>
      <c r="P128" s="131">
        <v>22.3</v>
      </c>
      <c r="Q128" s="131">
        <v>23</v>
      </c>
      <c r="R128" s="131">
        <v>23</v>
      </c>
      <c r="S128" s="131">
        <v>36.6</v>
      </c>
      <c r="T128" s="131">
        <v>43</v>
      </c>
      <c r="U128" s="131">
        <v>31.5</v>
      </c>
      <c r="V128" s="131">
        <v>26.2</v>
      </c>
      <c r="W128" s="131">
        <v>19.5</v>
      </c>
      <c r="X128" s="131">
        <v>7</v>
      </c>
      <c r="Y128" s="131">
        <v>2.4</v>
      </c>
      <c r="Z128" s="131"/>
      <c r="AA128" s="131">
        <v>-6.3</v>
      </c>
      <c r="AB128" s="131">
        <v>-11.3</v>
      </c>
      <c r="AC128" s="131">
        <v>-2.8</v>
      </c>
      <c r="AD128" s="131">
        <v>3</v>
      </c>
      <c r="AE128" s="131">
        <v>-13.3</v>
      </c>
      <c r="AF128" s="131">
        <v>-12.9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62</v>
      </c>
      <c r="C129" s="131">
        <v>62</v>
      </c>
      <c r="D129" s="131">
        <v>51</v>
      </c>
      <c r="E129" s="131">
        <v>50.9</v>
      </c>
      <c r="F129" s="131">
        <v>53.5</v>
      </c>
      <c r="G129" s="131">
        <v>41.2</v>
      </c>
      <c r="H129" s="131">
        <v>45.2</v>
      </c>
      <c r="I129" s="131">
        <v>45.2</v>
      </c>
      <c r="J129" s="131">
        <v>30.6</v>
      </c>
      <c r="K129" s="131">
        <v>44.8</v>
      </c>
      <c r="L129" s="131">
        <v>46.74</v>
      </c>
      <c r="M129" s="131">
        <v>45</v>
      </c>
      <c r="N129" s="131">
        <v>54</v>
      </c>
      <c r="O129" s="131">
        <v>49</v>
      </c>
      <c r="P129" s="131">
        <v>60</v>
      </c>
      <c r="Q129" s="131">
        <v>70</v>
      </c>
      <c r="R129" s="131">
        <v>80</v>
      </c>
      <c r="S129" s="131">
        <v>91</v>
      </c>
      <c r="T129" s="131">
        <v>100</v>
      </c>
      <c r="U129" s="131">
        <v>50</v>
      </c>
      <c r="V129" s="131">
        <v>52.5</v>
      </c>
      <c r="W129" s="131">
        <v>47.9</v>
      </c>
      <c r="X129" s="131">
        <v>43</v>
      </c>
      <c r="Y129" s="131">
        <v>40</v>
      </c>
      <c r="Z129" s="131"/>
      <c r="AA129" s="131">
        <v>63.4</v>
      </c>
      <c r="AB129" s="131">
        <v>32.5</v>
      </c>
      <c r="AC129" s="131">
        <v>34.799999999999997</v>
      </c>
      <c r="AD129" s="131">
        <v>36.799999999999997</v>
      </c>
      <c r="AE129" s="131">
        <v>51.5</v>
      </c>
      <c r="AF129" s="131">
        <v>48.2</v>
      </c>
      <c r="AG129" s="128"/>
      <c r="AH129" s="48">
        <f>MAX(B129:AF129)</f>
        <v>100</v>
      </c>
      <c r="AI129" s="49">
        <f>MIN(B129:AF129)</f>
        <v>30.6</v>
      </c>
    </row>
    <row r="130" spans="1:37" x14ac:dyDescent="0.25">
      <c r="A130" s="126" t="s">
        <v>150</v>
      </c>
      <c r="B130" s="131">
        <v>-336</v>
      </c>
      <c r="C130" s="131">
        <v>-336</v>
      </c>
      <c r="D130" s="131">
        <v>-341</v>
      </c>
      <c r="E130" s="131">
        <v>-346.9</v>
      </c>
      <c r="F130" s="131">
        <v>-341.2</v>
      </c>
      <c r="G130" s="131">
        <v>-343.7</v>
      </c>
      <c r="H130" s="131">
        <v>-342.6</v>
      </c>
      <c r="I130" s="131">
        <v>-342.6</v>
      </c>
      <c r="J130" s="131">
        <v>-344.5</v>
      </c>
      <c r="K130" s="131">
        <v>-330.7</v>
      </c>
      <c r="L130" s="131">
        <v>-226.6</v>
      </c>
      <c r="M130" s="131">
        <v>-321</v>
      </c>
      <c r="N130" s="131">
        <v>-322.5</v>
      </c>
      <c r="O130" s="131">
        <v>-330.3</v>
      </c>
      <c r="P130" s="131">
        <v>-318.39999999999998</v>
      </c>
      <c r="Q130" s="131">
        <v>-315</v>
      </c>
      <c r="R130" s="131">
        <v>-313</v>
      </c>
      <c r="S130" s="131">
        <v>-309.5</v>
      </c>
      <c r="T130" s="131">
        <v>-313.10000000000002</v>
      </c>
      <c r="U130" s="131">
        <v>-316</v>
      </c>
      <c r="V130" s="131">
        <v>-309.60000000000002</v>
      </c>
      <c r="W130" s="131">
        <v>-303</v>
      </c>
      <c r="X130" s="131">
        <v>-320</v>
      </c>
      <c r="Y130" s="131">
        <v>-298</v>
      </c>
      <c r="Z130" s="131"/>
      <c r="AA130" s="131">
        <v>-306</v>
      </c>
      <c r="AB130" s="131">
        <v>-327.60000000000002</v>
      </c>
      <c r="AC130" s="131">
        <v>-324.8</v>
      </c>
      <c r="AD130" s="131">
        <v>-324.60000000000002</v>
      </c>
      <c r="AE130" s="131">
        <v>-355.1</v>
      </c>
      <c r="AF130" s="131">
        <v>-365.6</v>
      </c>
      <c r="AG130" s="128"/>
      <c r="AH130" s="48">
        <f>MAX(B130:AF130)</f>
        <v>-226.6</v>
      </c>
      <c r="AI130" s="49">
        <f>MIN(B130:AF130)</f>
        <v>-365.6</v>
      </c>
    </row>
    <row r="131" spans="1:37" x14ac:dyDescent="0.25">
      <c r="A131" s="129" t="s">
        <v>151</v>
      </c>
      <c r="B131" s="119">
        <v>51</v>
      </c>
      <c r="C131" s="119">
        <v>51</v>
      </c>
      <c r="D131" s="119">
        <v>55</v>
      </c>
      <c r="E131" s="119">
        <v>64.099999999999994</v>
      </c>
      <c r="F131" s="119">
        <v>65</v>
      </c>
      <c r="G131" s="119">
        <v>66.599999999999994</v>
      </c>
      <c r="H131" s="119">
        <v>66.2</v>
      </c>
      <c r="I131" s="119">
        <v>66.2</v>
      </c>
      <c r="J131" s="119">
        <v>54</v>
      </c>
      <c r="K131" s="119">
        <v>49.6</v>
      </c>
      <c r="L131" s="119">
        <v>47.7</v>
      </c>
      <c r="M131" s="119">
        <v>39.5</v>
      </c>
      <c r="N131" s="119">
        <v>45.6</v>
      </c>
      <c r="O131" s="119">
        <v>56.5</v>
      </c>
      <c r="P131" s="119">
        <v>56.2</v>
      </c>
      <c r="Q131" s="119">
        <v>55</v>
      </c>
      <c r="R131" s="119">
        <v>63</v>
      </c>
      <c r="S131" s="119">
        <v>56</v>
      </c>
      <c r="T131" s="119">
        <v>49</v>
      </c>
      <c r="U131" s="119">
        <v>53</v>
      </c>
      <c r="V131" s="119">
        <v>47.7</v>
      </c>
      <c r="W131" s="119">
        <v>44.5</v>
      </c>
      <c r="X131" s="119">
        <v>-41.3</v>
      </c>
      <c r="Y131" s="119">
        <v>38.9</v>
      </c>
      <c r="Z131" s="119"/>
      <c r="AA131" s="119">
        <v>17.5</v>
      </c>
      <c r="AB131" s="119">
        <v>21.9</v>
      </c>
      <c r="AC131" s="119">
        <v>23.8</v>
      </c>
      <c r="AD131" s="119">
        <v>27.3</v>
      </c>
      <c r="AE131" s="119">
        <v>31.1</v>
      </c>
      <c r="AF131" s="119">
        <v>36.6</v>
      </c>
      <c r="AG131" s="128"/>
      <c r="AH131" s="48">
        <f>MAX(B131:AF131)</f>
        <v>66.599999999999994</v>
      </c>
      <c r="AI131" s="49">
        <f>MIN(B131:AF131)</f>
        <v>-41.3</v>
      </c>
    </row>
    <row r="132" spans="1:37" x14ac:dyDescent="0.25">
      <c r="A132" s="129" t="s">
        <v>152</v>
      </c>
      <c r="B132" s="119">
        <v>10</v>
      </c>
      <c r="C132" s="119">
        <v>10</v>
      </c>
      <c r="D132" s="119">
        <v>9</v>
      </c>
      <c r="E132" s="119">
        <v>-2.6</v>
      </c>
      <c r="F132" s="119">
        <v>-5.7</v>
      </c>
      <c r="G132" s="119">
        <v>-9.6</v>
      </c>
      <c r="H132" s="119">
        <v>-11</v>
      </c>
      <c r="I132" s="119">
        <v>-11</v>
      </c>
      <c r="J132" s="119">
        <v>1</v>
      </c>
      <c r="K132" s="119">
        <v>9.8000000000000007</v>
      </c>
      <c r="L132" s="119">
        <v>11.9</v>
      </c>
      <c r="M132" s="119">
        <v>24</v>
      </c>
      <c r="N132" s="119">
        <v>5</v>
      </c>
      <c r="O132" s="119">
        <v>1.2</v>
      </c>
      <c r="P132" s="119">
        <v>20</v>
      </c>
      <c r="Q132" s="119">
        <v>15</v>
      </c>
      <c r="R132" s="119">
        <v>8.6</v>
      </c>
      <c r="S132" s="119">
        <v>12.9</v>
      </c>
      <c r="T132" s="119">
        <v>12.6</v>
      </c>
      <c r="U132" s="119">
        <v>13</v>
      </c>
      <c r="V132" s="119">
        <v>2.1</v>
      </c>
      <c r="W132" s="119">
        <v>3.8</v>
      </c>
      <c r="X132" s="119">
        <v>11.3</v>
      </c>
      <c r="Y132" s="119">
        <v>14.5</v>
      </c>
      <c r="Z132" s="119"/>
      <c r="AA132" s="119">
        <v>45.1</v>
      </c>
      <c r="AB132" s="119">
        <v>31.1</v>
      </c>
      <c r="AC132" s="119">
        <v>33.299999999999997</v>
      </c>
      <c r="AD132" s="119">
        <v>28.96</v>
      </c>
      <c r="AE132" s="119">
        <v>28.7</v>
      </c>
      <c r="AF132" s="119">
        <v>23.4</v>
      </c>
      <c r="AG132" s="128"/>
      <c r="AH132" s="48">
        <f>MAX(B132:AF132)</f>
        <v>45.1</v>
      </c>
      <c r="AI132" s="49">
        <f>MIN(B132:AF132)</f>
        <v>-11</v>
      </c>
    </row>
    <row r="133" spans="1:37" ht="15.75" thickBot="1" x14ac:dyDescent="0.3">
      <c r="A133" s="129" t="s">
        <v>153</v>
      </c>
      <c r="B133" s="119">
        <v>42</v>
      </c>
      <c r="C133" s="119">
        <v>42</v>
      </c>
      <c r="D133" s="119">
        <v>37</v>
      </c>
      <c r="E133" s="119">
        <v>27.6</v>
      </c>
      <c r="F133" s="119">
        <v>22.1</v>
      </c>
      <c r="G133" s="119">
        <v>16.3</v>
      </c>
      <c r="H133" s="119">
        <v>11.3</v>
      </c>
      <c r="I133" s="119">
        <v>11.3</v>
      </c>
      <c r="J133" s="119">
        <v>20.399999999999999</v>
      </c>
      <c r="K133" s="119">
        <v>30.4</v>
      </c>
      <c r="L133" s="119">
        <v>29.1</v>
      </c>
      <c r="M133" s="119">
        <v>40</v>
      </c>
      <c r="N133" s="119">
        <v>22</v>
      </c>
      <c r="O133" s="119">
        <v>20.100000000000001</v>
      </c>
      <c r="P133" s="119">
        <v>39.4</v>
      </c>
      <c r="Q133" s="119">
        <v>30</v>
      </c>
      <c r="R133" s="119">
        <v>28</v>
      </c>
      <c r="S133" s="119">
        <v>27.9</v>
      </c>
      <c r="T133" s="119">
        <v>33.4</v>
      </c>
      <c r="U133" s="119">
        <v>32.299999999999997</v>
      </c>
      <c r="V133" s="119">
        <v>20.7</v>
      </c>
      <c r="W133" s="119">
        <v>22.3</v>
      </c>
      <c r="X133" s="119">
        <v>29.9</v>
      </c>
      <c r="Y133" s="119">
        <v>28</v>
      </c>
      <c r="Z133" s="119"/>
      <c r="AA133" s="119">
        <v>61.1</v>
      </c>
      <c r="AB133" s="119">
        <v>50.5</v>
      </c>
      <c r="AC133" s="119">
        <v>50.9</v>
      </c>
      <c r="AD133" s="119">
        <v>50.3</v>
      </c>
      <c r="AE133" s="119">
        <v>55.2</v>
      </c>
      <c r="AF133" s="119">
        <v>45.8</v>
      </c>
      <c r="AG133" s="128"/>
      <c r="AH133" s="48">
        <f>MAX(B133:AF133)</f>
        <v>61.1</v>
      </c>
      <c r="AI133" s="49">
        <f>MIN(B133:AF133)</f>
        <v>11.3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>
        <v>1984.42</v>
      </c>
      <c r="T135" s="137"/>
      <c r="U135" s="137">
        <v>1984.12</v>
      </c>
      <c r="V135" s="137">
        <v>1983.95</v>
      </c>
      <c r="W135" s="137"/>
      <c r="X135" s="137">
        <v>1983.85</v>
      </c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>
        <v>882.2</v>
      </c>
      <c r="U139" s="140">
        <v>882.5</v>
      </c>
      <c r="V139" s="140"/>
      <c r="W139" s="140"/>
      <c r="X139" s="140">
        <v>883.2</v>
      </c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0">
        <v>1485.04</v>
      </c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6">SUM(B142:B246)</f>
        <v>0</v>
      </c>
      <c r="C247" s="161">
        <f t="shared" si="46"/>
        <v>0</v>
      </c>
      <c r="D247" s="161">
        <f t="shared" si="46"/>
        <v>0</v>
      </c>
      <c r="E247" s="161">
        <f t="shared" si="46"/>
        <v>0</v>
      </c>
      <c r="F247" s="161">
        <f t="shared" si="46"/>
        <v>0</v>
      </c>
      <c r="G247" s="161">
        <f t="shared" si="46"/>
        <v>0</v>
      </c>
      <c r="H247" s="161">
        <f t="shared" si="46"/>
        <v>0</v>
      </c>
      <c r="I247" s="161">
        <f t="shared" si="46"/>
        <v>0</v>
      </c>
      <c r="J247" s="161">
        <f t="shared" si="46"/>
        <v>0</v>
      </c>
      <c r="K247" s="161">
        <f t="shared" si="46"/>
        <v>0</v>
      </c>
      <c r="L247" s="161">
        <f t="shared" si="46"/>
        <v>0</v>
      </c>
      <c r="M247" s="161">
        <f t="shared" si="46"/>
        <v>0</v>
      </c>
      <c r="N247" s="161">
        <f t="shared" si="46"/>
        <v>0</v>
      </c>
      <c r="O247" s="161">
        <f t="shared" si="46"/>
        <v>0</v>
      </c>
      <c r="P247" s="161">
        <f t="shared" si="46"/>
        <v>0</v>
      </c>
      <c r="Q247" s="161">
        <f t="shared" si="46"/>
        <v>0</v>
      </c>
      <c r="R247" s="161">
        <f t="shared" si="46"/>
        <v>0</v>
      </c>
      <c r="S247" s="161">
        <f t="shared" si="46"/>
        <v>0</v>
      </c>
      <c r="T247" s="161">
        <f t="shared" si="46"/>
        <v>0</v>
      </c>
      <c r="U247" s="161">
        <f t="shared" si="46"/>
        <v>0</v>
      </c>
      <c r="V247" s="161">
        <f t="shared" si="46"/>
        <v>0</v>
      </c>
      <c r="W247" s="161">
        <f t="shared" si="46"/>
        <v>0</v>
      </c>
      <c r="X247" s="161">
        <f t="shared" si="46"/>
        <v>0</v>
      </c>
      <c r="Y247" s="161">
        <f t="shared" si="46"/>
        <v>0</v>
      </c>
      <c r="Z247" s="161">
        <f t="shared" si="46"/>
        <v>0</v>
      </c>
      <c r="AA247" s="161">
        <f t="shared" si="46"/>
        <v>0</v>
      </c>
      <c r="AB247" s="161">
        <f t="shared" si="46"/>
        <v>0</v>
      </c>
      <c r="AC247" s="161">
        <f t="shared" si="46"/>
        <v>0</v>
      </c>
      <c r="AD247" s="161">
        <f t="shared" si="46"/>
        <v>0</v>
      </c>
      <c r="AE247" s="161">
        <f t="shared" si="46"/>
        <v>0</v>
      </c>
      <c r="AF247" s="162">
        <f t="shared" si="46"/>
        <v>0</v>
      </c>
      <c r="AG247" s="163">
        <f t="shared" si="46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7">AF249</f>
        <v>0.3</v>
      </c>
      <c r="C249" s="166">
        <v>0.3</v>
      </c>
      <c r="D249" s="166">
        <f t="shared" ref="D249:S254" si="48">C249</f>
        <v>0.3</v>
      </c>
      <c r="E249" s="166">
        <f t="shared" si="48"/>
        <v>0.3</v>
      </c>
      <c r="F249" s="166">
        <f t="shared" si="48"/>
        <v>0.3</v>
      </c>
      <c r="G249" s="166">
        <f t="shared" si="48"/>
        <v>0.3</v>
      </c>
      <c r="H249" s="166">
        <f t="shared" si="48"/>
        <v>0.3</v>
      </c>
      <c r="I249" s="166">
        <f t="shared" si="48"/>
        <v>0.3</v>
      </c>
      <c r="J249" s="166">
        <f t="shared" si="48"/>
        <v>0.3</v>
      </c>
      <c r="K249" s="166">
        <f t="shared" si="48"/>
        <v>0.3</v>
      </c>
      <c r="L249" s="166">
        <f t="shared" si="48"/>
        <v>0.3</v>
      </c>
      <c r="M249" s="166">
        <f t="shared" si="48"/>
        <v>0.3</v>
      </c>
      <c r="N249" s="166">
        <f t="shared" si="48"/>
        <v>0.3</v>
      </c>
      <c r="O249" s="166">
        <f t="shared" si="48"/>
        <v>0.3</v>
      </c>
      <c r="P249" s="166">
        <f t="shared" si="48"/>
        <v>0.3</v>
      </c>
      <c r="Q249" s="166">
        <f t="shared" si="48"/>
        <v>0.3</v>
      </c>
      <c r="R249" s="166">
        <f t="shared" si="48"/>
        <v>0.3</v>
      </c>
      <c r="S249" s="166">
        <f t="shared" si="48"/>
        <v>0.3</v>
      </c>
      <c r="T249" s="166">
        <f t="shared" ref="T249:AF254" si="49">S249</f>
        <v>0.3</v>
      </c>
      <c r="U249" s="166">
        <f t="shared" si="49"/>
        <v>0.3</v>
      </c>
      <c r="V249" s="166">
        <f t="shared" si="49"/>
        <v>0.3</v>
      </c>
      <c r="W249" s="166">
        <f t="shared" si="49"/>
        <v>0.3</v>
      </c>
      <c r="X249" s="166">
        <f t="shared" si="49"/>
        <v>0.3</v>
      </c>
      <c r="Y249" s="166">
        <f t="shared" si="49"/>
        <v>0.3</v>
      </c>
      <c r="Z249" s="166">
        <f t="shared" si="49"/>
        <v>0.3</v>
      </c>
      <c r="AA249" s="166">
        <f t="shared" si="49"/>
        <v>0.3</v>
      </c>
      <c r="AB249" s="166">
        <f t="shared" si="49"/>
        <v>0.3</v>
      </c>
      <c r="AC249" s="166">
        <f t="shared" si="49"/>
        <v>0.3</v>
      </c>
      <c r="AD249" s="166">
        <f t="shared" si="49"/>
        <v>0.3</v>
      </c>
      <c r="AE249" s="166">
        <f t="shared" si="49"/>
        <v>0.3</v>
      </c>
      <c r="AF249" s="166">
        <f t="shared" si="49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7"/>
        <v>0.4</v>
      </c>
      <c r="C250" s="152">
        <v>0.4</v>
      </c>
      <c r="D250" s="152">
        <f t="shared" si="48"/>
        <v>0.4</v>
      </c>
      <c r="E250" s="152">
        <f t="shared" si="48"/>
        <v>0.4</v>
      </c>
      <c r="F250" s="152">
        <f t="shared" si="48"/>
        <v>0.4</v>
      </c>
      <c r="G250" s="152">
        <f t="shared" si="48"/>
        <v>0.4</v>
      </c>
      <c r="H250" s="152">
        <f t="shared" si="48"/>
        <v>0.4</v>
      </c>
      <c r="I250" s="152">
        <f t="shared" si="48"/>
        <v>0.4</v>
      </c>
      <c r="J250" s="152">
        <f t="shared" si="48"/>
        <v>0.4</v>
      </c>
      <c r="K250" s="152">
        <f t="shared" si="48"/>
        <v>0.4</v>
      </c>
      <c r="L250" s="152">
        <f t="shared" si="48"/>
        <v>0.4</v>
      </c>
      <c r="M250" s="152">
        <f t="shared" si="48"/>
        <v>0.4</v>
      </c>
      <c r="N250" s="152">
        <f t="shared" si="48"/>
        <v>0.4</v>
      </c>
      <c r="O250" s="152">
        <f t="shared" si="48"/>
        <v>0.4</v>
      </c>
      <c r="P250" s="152">
        <f t="shared" si="48"/>
        <v>0.4</v>
      </c>
      <c r="Q250" s="152">
        <f t="shared" si="48"/>
        <v>0.4</v>
      </c>
      <c r="R250" s="152">
        <f t="shared" si="48"/>
        <v>0.4</v>
      </c>
      <c r="S250" s="152">
        <f t="shared" si="48"/>
        <v>0.4</v>
      </c>
      <c r="T250" s="152">
        <f t="shared" si="49"/>
        <v>0.4</v>
      </c>
      <c r="U250" s="152">
        <f t="shared" si="49"/>
        <v>0.4</v>
      </c>
      <c r="V250" s="152">
        <f t="shared" si="49"/>
        <v>0.4</v>
      </c>
      <c r="W250" s="152">
        <f t="shared" si="49"/>
        <v>0.4</v>
      </c>
      <c r="X250" s="152">
        <f t="shared" si="49"/>
        <v>0.4</v>
      </c>
      <c r="Y250" s="152">
        <f t="shared" si="49"/>
        <v>0.4</v>
      </c>
      <c r="Z250" s="152">
        <f t="shared" si="49"/>
        <v>0.4</v>
      </c>
      <c r="AA250" s="152">
        <f t="shared" si="49"/>
        <v>0.4</v>
      </c>
      <c r="AB250" s="152">
        <f t="shared" si="49"/>
        <v>0.4</v>
      </c>
      <c r="AC250" s="152">
        <f t="shared" si="49"/>
        <v>0.4</v>
      </c>
      <c r="AD250" s="152">
        <f t="shared" si="49"/>
        <v>0.4</v>
      </c>
      <c r="AE250" s="152">
        <f t="shared" si="49"/>
        <v>0.4</v>
      </c>
      <c r="AF250" s="152">
        <f t="shared" si="49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7"/>
        <v>1.5</v>
      </c>
      <c r="C251" s="152">
        <v>1.5</v>
      </c>
      <c r="D251" s="152">
        <f t="shared" si="48"/>
        <v>1.5</v>
      </c>
      <c r="E251" s="152">
        <f t="shared" si="48"/>
        <v>1.5</v>
      </c>
      <c r="F251" s="152">
        <f t="shared" si="48"/>
        <v>1.5</v>
      </c>
      <c r="G251" s="152">
        <f t="shared" si="48"/>
        <v>1.5</v>
      </c>
      <c r="H251" s="152">
        <f t="shared" si="48"/>
        <v>1.5</v>
      </c>
      <c r="I251" s="152">
        <f t="shared" si="48"/>
        <v>1.5</v>
      </c>
      <c r="J251" s="152">
        <f t="shared" si="48"/>
        <v>1.5</v>
      </c>
      <c r="K251" s="152">
        <f t="shared" si="48"/>
        <v>1.5</v>
      </c>
      <c r="L251" s="152">
        <f t="shared" si="48"/>
        <v>1.5</v>
      </c>
      <c r="M251" s="152">
        <f t="shared" si="48"/>
        <v>1.5</v>
      </c>
      <c r="N251" s="152">
        <f t="shared" si="48"/>
        <v>1.5</v>
      </c>
      <c r="O251" s="152">
        <f t="shared" si="48"/>
        <v>1.5</v>
      </c>
      <c r="P251" s="152">
        <f t="shared" si="48"/>
        <v>1.5</v>
      </c>
      <c r="Q251" s="152">
        <f t="shared" si="48"/>
        <v>1.5</v>
      </c>
      <c r="R251" s="152">
        <f t="shared" si="48"/>
        <v>1.5</v>
      </c>
      <c r="S251" s="152">
        <f t="shared" si="48"/>
        <v>1.5</v>
      </c>
      <c r="T251" s="152">
        <f t="shared" si="49"/>
        <v>1.5</v>
      </c>
      <c r="U251" s="152">
        <f t="shared" si="49"/>
        <v>1.5</v>
      </c>
      <c r="V251" s="152">
        <f t="shared" si="49"/>
        <v>1.5</v>
      </c>
      <c r="W251" s="152">
        <f t="shared" si="49"/>
        <v>1.5</v>
      </c>
      <c r="X251" s="152">
        <f t="shared" si="49"/>
        <v>1.5</v>
      </c>
      <c r="Y251" s="152">
        <f t="shared" si="49"/>
        <v>1.5</v>
      </c>
      <c r="Z251" s="152">
        <f t="shared" si="49"/>
        <v>1.5</v>
      </c>
      <c r="AA251" s="152">
        <f t="shared" si="49"/>
        <v>1.5</v>
      </c>
      <c r="AB251" s="152">
        <f t="shared" si="49"/>
        <v>1.5</v>
      </c>
      <c r="AC251" s="152">
        <f t="shared" si="49"/>
        <v>1.5</v>
      </c>
      <c r="AD251" s="152">
        <f t="shared" si="49"/>
        <v>1.5</v>
      </c>
      <c r="AE251" s="152">
        <f t="shared" si="49"/>
        <v>1.5</v>
      </c>
      <c r="AF251" s="152">
        <f t="shared" si="49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7"/>
        <v>0.3</v>
      </c>
      <c r="C252" s="152">
        <v>0.3</v>
      </c>
      <c r="D252" s="152">
        <f t="shared" si="48"/>
        <v>0.3</v>
      </c>
      <c r="E252" s="152">
        <f t="shared" si="48"/>
        <v>0.3</v>
      </c>
      <c r="F252" s="152">
        <f t="shared" si="48"/>
        <v>0.3</v>
      </c>
      <c r="G252" s="152">
        <f t="shared" si="48"/>
        <v>0.3</v>
      </c>
      <c r="H252" s="152">
        <f t="shared" si="48"/>
        <v>0.3</v>
      </c>
      <c r="I252" s="152">
        <f t="shared" si="48"/>
        <v>0.3</v>
      </c>
      <c r="J252" s="152">
        <f t="shared" si="48"/>
        <v>0.3</v>
      </c>
      <c r="K252" s="152">
        <f t="shared" si="48"/>
        <v>0.3</v>
      </c>
      <c r="L252" s="152">
        <f t="shared" si="48"/>
        <v>0.3</v>
      </c>
      <c r="M252" s="152">
        <f t="shared" si="48"/>
        <v>0.3</v>
      </c>
      <c r="N252" s="152">
        <f t="shared" si="48"/>
        <v>0.3</v>
      </c>
      <c r="O252" s="152">
        <f t="shared" si="48"/>
        <v>0.3</v>
      </c>
      <c r="P252" s="152">
        <f t="shared" si="48"/>
        <v>0.3</v>
      </c>
      <c r="Q252" s="152">
        <f t="shared" si="48"/>
        <v>0.3</v>
      </c>
      <c r="R252" s="152">
        <f t="shared" si="48"/>
        <v>0.3</v>
      </c>
      <c r="S252" s="152">
        <f t="shared" si="48"/>
        <v>0.3</v>
      </c>
      <c r="T252" s="152">
        <f t="shared" si="49"/>
        <v>0.3</v>
      </c>
      <c r="U252" s="152">
        <f t="shared" si="49"/>
        <v>0.3</v>
      </c>
      <c r="V252" s="152">
        <f t="shared" si="49"/>
        <v>0.3</v>
      </c>
      <c r="W252" s="152">
        <f t="shared" si="49"/>
        <v>0.3</v>
      </c>
      <c r="X252" s="152">
        <f t="shared" si="49"/>
        <v>0.3</v>
      </c>
      <c r="Y252" s="152">
        <f t="shared" si="49"/>
        <v>0.3</v>
      </c>
      <c r="Z252" s="152">
        <f t="shared" si="49"/>
        <v>0.3</v>
      </c>
      <c r="AA252" s="152">
        <f t="shared" si="49"/>
        <v>0.3</v>
      </c>
      <c r="AB252" s="152">
        <f t="shared" si="49"/>
        <v>0.3</v>
      </c>
      <c r="AC252" s="152">
        <f t="shared" si="49"/>
        <v>0.3</v>
      </c>
      <c r="AD252" s="152">
        <f t="shared" si="49"/>
        <v>0.3</v>
      </c>
      <c r="AE252" s="152">
        <f t="shared" si="49"/>
        <v>0.3</v>
      </c>
      <c r="AF252" s="152">
        <f t="shared" si="49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7"/>
        <v>0.4</v>
      </c>
      <c r="C253" s="152">
        <v>0.4</v>
      </c>
      <c r="D253" s="152">
        <f t="shared" si="48"/>
        <v>0.4</v>
      </c>
      <c r="E253" s="152">
        <f t="shared" si="48"/>
        <v>0.4</v>
      </c>
      <c r="F253" s="152">
        <f t="shared" si="48"/>
        <v>0.4</v>
      </c>
      <c r="G253" s="152">
        <f t="shared" si="48"/>
        <v>0.4</v>
      </c>
      <c r="H253" s="152">
        <f t="shared" si="48"/>
        <v>0.4</v>
      </c>
      <c r="I253" s="152">
        <f t="shared" si="48"/>
        <v>0.4</v>
      </c>
      <c r="J253" s="152">
        <f t="shared" si="48"/>
        <v>0.4</v>
      </c>
      <c r="K253" s="152">
        <f t="shared" si="48"/>
        <v>0.4</v>
      </c>
      <c r="L253" s="152">
        <f t="shared" si="48"/>
        <v>0.4</v>
      </c>
      <c r="M253" s="152">
        <f t="shared" si="48"/>
        <v>0.4</v>
      </c>
      <c r="N253" s="152">
        <f t="shared" si="48"/>
        <v>0.4</v>
      </c>
      <c r="O253" s="152">
        <f t="shared" si="48"/>
        <v>0.4</v>
      </c>
      <c r="P253" s="152">
        <f t="shared" si="48"/>
        <v>0.4</v>
      </c>
      <c r="Q253" s="152">
        <f t="shared" si="48"/>
        <v>0.4</v>
      </c>
      <c r="R253" s="152">
        <f t="shared" si="48"/>
        <v>0.4</v>
      </c>
      <c r="S253" s="152">
        <f t="shared" si="48"/>
        <v>0.4</v>
      </c>
      <c r="T253" s="152">
        <f t="shared" si="49"/>
        <v>0.4</v>
      </c>
      <c r="U253" s="152">
        <f t="shared" si="49"/>
        <v>0.4</v>
      </c>
      <c r="V253" s="152">
        <f t="shared" si="49"/>
        <v>0.4</v>
      </c>
      <c r="W253" s="152">
        <f t="shared" si="49"/>
        <v>0.4</v>
      </c>
      <c r="X253" s="152">
        <f t="shared" si="49"/>
        <v>0.4</v>
      </c>
      <c r="Y253" s="152">
        <f t="shared" si="49"/>
        <v>0.4</v>
      </c>
      <c r="Z253" s="152">
        <f t="shared" si="49"/>
        <v>0.4</v>
      </c>
      <c r="AA253" s="152">
        <f t="shared" si="49"/>
        <v>0.4</v>
      </c>
      <c r="AB253" s="152">
        <f t="shared" si="49"/>
        <v>0.4</v>
      </c>
      <c r="AC253" s="152">
        <f t="shared" si="49"/>
        <v>0.4</v>
      </c>
      <c r="AD253" s="152">
        <f t="shared" si="49"/>
        <v>0.4</v>
      </c>
      <c r="AE253" s="152">
        <f t="shared" si="49"/>
        <v>0.4</v>
      </c>
      <c r="AF253" s="152">
        <f t="shared" si="49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7"/>
        <v>0.64</v>
      </c>
      <c r="C254" s="157">
        <v>0.64</v>
      </c>
      <c r="D254" s="157">
        <f t="shared" si="48"/>
        <v>0.64</v>
      </c>
      <c r="E254" s="157">
        <f t="shared" si="48"/>
        <v>0.64</v>
      </c>
      <c r="F254" s="157">
        <f t="shared" si="48"/>
        <v>0.64</v>
      </c>
      <c r="G254" s="157">
        <f t="shared" si="48"/>
        <v>0.64</v>
      </c>
      <c r="H254" s="157">
        <f t="shared" si="48"/>
        <v>0.64</v>
      </c>
      <c r="I254" s="157">
        <f t="shared" si="48"/>
        <v>0.64</v>
      </c>
      <c r="J254" s="157">
        <f t="shared" si="48"/>
        <v>0.64</v>
      </c>
      <c r="K254" s="157">
        <f t="shared" si="48"/>
        <v>0.64</v>
      </c>
      <c r="L254" s="157">
        <f t="shared" si="48"/>
        <v>0.64</v>
      </c>
      <c r="M254" s="157">
        <f t="shared" si="48"/>
        <v>0.64</v>
      </c>
      <c r="N254" s="157">
        <f t="shared" si="48"/>
        <v>0.64</v>
      </c>
      <c r="O254" s="157">
        <f t="shared" si="48"/>
        <v>0.64</v>
      </c>
      <c r="P254" s="157">
        <f t="shared" si="48"/>
        <v>0.64</v>
      </c>
      <c r="Q254" s="157">
        <f t="shared" si="48"/>
        <v>0.64</v>
      </c>
      <c r="R254" s="157">
        <f t="shared" si="48"/>
        <v>0.64</v>
      </c>
      <c r="S254" s="157">
        <f t="shared" si="48"/>
        <v>0.64</v>
      </c>
      <c r="T254" s="157">
        <f t="shared" si="49"/>
        <v>0.64</v>
      </c>
      <c r="U254" s="157">
        <f t="shared" si="49"/>
        <v>0.64</v>
      </c>
      <c r="V254" s="157">
        <f t="shared" si="49"/>
        <v>0.64</v>
      </c>
      <c r="W254" s="157">
        <f t="shared" si="49"/>
        <v>0.64</v>
      </c>
      <c r="X254" s="157">
        <f t="shared" si="49"/>
        <v>0.64</v>
      </c>
      <c r="Y254" s="157">
        <f t="shared" si="49"/>
        <v>0.64</v>
      </c>
      <c r="Z254" s="157">
        <f t="shared" si="49"/>
        <v>0.64</v>
      </c>
      <c r="AA254" s="157">
        <f t="shared" si="49"/>
        <v>0.64</v>
      </c>
      <c r="AB254" s="157">
        <f t="shared" si="49"/>
        <v>0.64</v>
      </c>
      <c r="AC254" s="157">
        <f t="shared" si="49"/>
        <v>0.64</v>
      </c>
      <c r="AD254" s="157">
        <f t="shared" si="49"/>
        <v>0.64</v>
      </c>
      <c r="AE254" s="157">
        <f t="shared" si="49"/>
        <v>0.64</v>
      </c>
      <c r="AF254" s="157">
        <f t="shared" si="49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0">SUM(B249:B254)</f>
        <v>3.54</v>
      </c>
      <c r="C255" s="161">
        <f t="shared" si="50"/>
        <v>3.54</v>
      </c>
      <c r="D255" s="161">
        <f t="shared" si="50"/>
        <v>3.54</v>
      </c>
      <c r="E255" s="161">
        <f t="shared" si="50"/>
        <v>3.54</v>
      </c>
      <c r="F255" s="161">
        <f t="shared" si="50"/>
        <v>3.54</v>
      </c>
      <c r="G255" s="161">
        <f t="shared" si="50"/>
        <v>3.54</v>
      </c>
      <c r="H255" s="161">
        <f t="shared" si="50"/>
        <v>3.54</v>
      </c>
      <c r="I255" s="161">
        <f t="shared" si="50"/>
        <v>3.54</v>
      </c>
      <c r="J255" s="161">
        <f t="shared" si="50"/>
        <v>3.54</v>
      </c>
      <c r="K255" s="161">
        <f t="shared" si="50"/>
        <v>3.54</v>
      </c>
      <c r="L255" s="161">
        <f t="shared" si="50"/>
        <v>3.54</v>
      </c>
      <c r="M255" s="161">
        <f t="shared" si="50"/>
        <v>3.54</v>
      </c>
      <c r="N255" s="161">
        <f t="shared" si="50"/>
        <v>3.54</v>
      </c>
      <c r="O255" s="161">
        <f t="shared" si="50"/>
        <v>3.54</v>
      </c>
      <c r="P255" s="161">
        <f t="shared" si="50"/>
        <v>3.54</v>
      </c>
      <c r="Q255" s="161">
        <f t="shared" si="50"/>
        <v>3.54</v>
      </c>
      <c r="R255" s="161">
        <f t="shared" si="50"/>
        <v>3.54</v>
      </c>
      <c r="S255" s="161">
        <f t="shared" si="50"/>
        <v>3.54</v>
      </c>
      <c r="T255" s="161">
        <f t="shared" si="50"/>
        <v>3.54</v>
      </c>
      <c r="U255" s="161">
        <f t="shared" si="50"/>
        <v>3.54</v>
      </c>
      <c r="V255" s="161">
        <f t="shared" si="50"/>
        <v>3.54</v>
      </c>
      <c r="W255" s="161">
        <f t="shared" si="50"/>
        <v>3.54</v>
      </c>
      <c r="X255" s="161">
        <f t="shared" si="50"/>
        <v>3.54</v>
      </c>
      <c r="Y255" s="161">
        <f t="shared" si="50"/>
        <v>3.54</v>
      </c>
      <c r="Z255" s="161">
        <f t="shared" si="50"/>
        <v>3.54</v>
      </c>
      <c r="AA255" s="161">
        <f t="shared" si="50"/>
        <v>3.54</v>
      </c>
      <c r="AB255" s="161">
        <f t="shared" si="50"/>
        <v>3.54</v>
      </c>
      <c r="AC255" s="161">
        <f t="shared" si="50"/>
        <v>3.54</v>
      </c>
      <c r="AD255" s="161">
        <f t="shared" si="50"/>
        <v>3.54</v>
      </c>
      <c r="AE255" s="161">
        <f t="shared" si="50"/>
        <v>3.54</v>
      </c>
      <c r="AF255" s="161">
        <f t="shared" si="50"/>
        <v>3.54</v>
      </c>
      <c r="AG255" s="171">
        <f t="shared" si="50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1972.2400000000002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2080/10/8)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3349" priority="80">
      <formula>$AH11=0</formula>
    </cfRule>
  </conditionalFormatting>
  <conditionalFormatting sqref="A89">
    <cfRule type="expression" dxfId="3348" priority="138">
      <formula>$AH94=0</formula>
    </cfRule>
  </conditionalFormatting>
  <conditionalFormatting sqref="A90:A94">
    <cfRule type="expression" dxfId="3347" priority="81">
      <formula>$AH89=0</formula>
    </cfRule>
  </conditionalFormatting>
  <conditionalFormatting sqref="B8">
    <cfRule type="expression" dxfId="3346" priority="134">
      <formula>AND(C$9&gt;=14/24,C$9&lt;20/24)</formula>
    </cfRule>
    <cfRule type="expression" dxfId="3345" priority="135">
      <formula>AND(C$9&gt;=8/24,C$9&lt;14/24)</formula>
    </cfRule>
    <cfRule type="expression" dxfId="3344" priority="136">
      <formula>C$9&lt;8/24</formula>
    </cfRule>
    <cfRule type="expression" dxfId="3343" priority="137">
      <formula>C$9&gt;=20/24</formula>
    </cfRule>
  </conditionalFormatting>
  <conditionalFormatting sqref="B70:D70 E66:K70 L67:M70">
    <cfRule type="expression" dxfId="3342" priority="50">
      <formula>B$9&gt;=20/24</formula>
    </cfRule>
  </conditionalFormatting>
  <conditionalFormatting sqref="B11:I57 J12:J57 K15:Z57 B62:D71 E71:M77 B72:L77 N72:AF77 B80:AF102 B9:AF10 B104:AF120 B122:AF140 B247:AF247 B249:B255">
    <cfRule type="expression" dxfId="3341" priority="41">
      <formula>B$9&gt;=20/24</formula>
    </cfRule>
  </conditionalFormatting>
  <conditionalFormatting sqref="B11:I61 Y15:AB58 L15:L60 U15:X60 S15:T63 M15:R83 AC15:AF83 J22:K60 AA59:AA60 AB59:AB83 J12:J21 K15:K21 T49:W49 J61:L61 AG61 U61:AA63 U62:W64 Y62:Y64 B62:L83 S64:AA83 AG65 AG83">
    <cfRule type="expression" dxfId="3340" priority="40">
      <formula>B11&gt;$AG11</formula>
    </cfRule>
  </conditionalFormatting>
  <conditionalFormatting sqref="B9:AF10 B11:I57 J12:J57 K15:Z57 B62:D71 E71:M77 B72:L77 N72:AF77 B80:AF102 B104:AF120 B122:AF140 B247:AF247 B249:B255">
    <cfRule type="expression" dxfId="3339" priority="42">
      <formula>AND(B$9&gt;=14/24,B$9&lt;20/24)</formula>
    </cfRule>
    <cfRule type="expression" dxfId="3338" priority="43">
      <formula>AND(B$9&gt;=8/24,B$9&lt;14/24)</formula>
    </cfRule>
    <cfRule type="expression" dxfId="3337" priority="44">
      <formula>B$9&lt;8/24</formula>
    </cfRule>
  </conditionalFormatting>
  <conditionalFormatting sqref="B58:AF60">
    <cfRule type="expression" dxfId="3336" priority="37">
      <formula>B$9&gt;=20/24</formula>
    </cfRule>
    <cfRule type="expression" dxfId="3335" priority="38">
      <formula>AND(B$9&gt;=14/24,B$9&lt;20/24)</formula>
    </cfRule>
    <cfRule type="expression" dxfId="3334" priority="39">
      <formula>AND(B$9&gt;=8/24,B$9&lt;14/24)</formula>
    </cfRule>
    <cfRule type="expression" dxfId="3333" priority="49">
      <formula>B$9&lt;8/24</formula>
    </cfRule>
  </conditionalFormatting>
  <conditionalFormatting sqref="D249:AF255">
    <cfRule type="expression" dxfId="3332" priority="119">
      <formula>D$9&gt;=20/24</formula>
    </cfRule>
    <cfRule type="expression" dxfId="3331" priority="120">
      <formula>AND(D$9&gt;=14/24,D$9&lt;20/24)</formula>
    </cfRule>
    <cfRule type="expression" dxfId="3330" priority="121">
      <formula>AND(D$9&gt;=8/24,D$9&lt;14/24)</formula>
    </cfRule>
    <cfRule type="expression" dxfId="3329" priority="122">
      <formula>D$9&lt;8/24</formula>
    </cfRule>
  </conditionalFormatting>
  <conditionalFormatting sqref="E66:K70 L67:M70 B70:D70">
    <cfRule type="expression" dxfId="3328" priority="51">
      <formula>AND(B$9&gt;=14/24,B$9&lt;20/24)</formula>
    </cfRule>
    <cfRule type="expression" dxfId="3327" priority="52">
      <formula>AND(B$9&gt;=8/24,B$9&lt;14/24)</formula>
    </cfRule>
    <cfRule type="expression" dxfId="3326" priority="53">
      <formula>B$9&lt;8/24</formula>
    </cfRule>
  </conditionalFormatting>
  <conditionalFormatting sqref="E71:M71">
    <cfRule type="expression" dxfId="3325" priority="45">
      <formula>E$9&gt;=20/24</formula>
    </cfRule>
    <cfRule type="expression" dxfId="3324" priority="46">
      <formula>AND(E$9&gt;=14/24,E$9&lt;20/24)</formula>
    </cfRule>
    <cfRule type="expression" dxfId="3323" priority="47">
      <formula>AND(E$9&gt;=8/24,E$9&lt;14/24)</formula>
    </cfRule>
    <cfRule type="expression" dxfId="3322" priority="48">
      <formula>E$9&lt;8/24</formula>
    </cfRule>
  </conditionalFormatting>
  <conditionalFormatting sqref="E11:AA11 AB11:AF14 K12:AA14">
    <cfRule type="expression" dxfId="3321" priority="54">
      <formula>E11&gt;$AG11</formula>
    </cfRule>
  </conditionalFormatting>
  <conditionalFormatting sqref="E11:AA11 AB11:AF57 K12:Z14 AA12:AA57">
    <cfRule type="expression" dxfId="3320" priority="55">
      <formula>E$9&gt;=20/24</formula>
    </cfRule>
    <cfRule type="expression" dxfId="3319" priority="56">
      <formula>AND(E$9&gt;=14/24,E$9&lt;20/24)</formula>
    </cfRule>
    <cfRule type="expression" dxfId="3318" priority="57">
      <formula>AND(E$9&gt;=8/24,E$9&lt;14/24)</formula>
    </cfRule>
    <cfRule type="expression" dxfId="3317" priority="58">
      <formula>E$9&lt;8/24</formula>
    </cfRule>
  </conditionalFormatting>
  <conditionalFormatting sqref="E62:AF65">
    <cfRule type="expression" dxfId="3316" priority="60">
      <formula>E$9&gt;=20/24</formula>
    </cfRule>
    <cfRule type="expression" dxfId="3315" priority="61">
      <formula>AND(E$9&gt;=14/24,E$9&lt;20/24)</formula>
    </cfRule>
    <cfRule type="expression" dxfId="3314" priority="62">
      <formula>AND(E$9&gt;=8/24,E$9&lt;14/24)</formula>
    </cfRule>
    <cfRule type="expression" dxfId="3313" priority="63">
      <formula>E$9&lt;8/24</formula>
    </cfRule>
  </conditionalFormatting>
  <conditionalFormatting sqref="F66:M68">
    <cfRule type="expression" dxfId="3312" priority="72">
      <formula>F$9&gt;=20/24</formula>
    </cfRule>
    <cfRule type="expression" dxfId="3311" priority="73">
      <formula>AND(F$9&gt;=14/24,F$9&lt;20/24)</formula>
    </cfRule>
    <cfRule type="expression" dxfId="3310" priority="74">
      <formula>AND(F$9&gt;=8/24,F$9&lt;14/24)</formula>
    </cfRule>
    <cfRule type="expression" dxfId="3309" priority="75">
      <formula>F$9&lt;8/24</formula>
    </cfRule>
  </conditionalFormatting>
  <conditionalFormatting sqref="L71:Z71">
    <cfRule type="expression" dxfId="3308" priority="68">
      <formula>L$9&gt;=20/24</formula>
    </cfRule>
    <cfRule type="expression" dxfId="3307" priority="69">
      <formula>AND(L$9&gt;=14/24,L$9&lt;20/24)</formula>
    </cfRule>
    <cfRule type="expression" dxfId="3306" priority="70">
      <formula>AND(L$9&gt;=8/24,L$9&lt;14/24)</formula>
    </cfRule>
    <cfRule type="expression" dxfId="3305" priority="71">
      <formula>L$9&lt;8/24</formula>
    </cfRule>
  </conditionalFormatting>
  <conditionalFormatting sqref="M8 S8 AB8">
    <cfRule type="expression" dxfId="3304" priority="126">
      <formula>AND(N$9&gt;=14/24,N$9&lt;20/24)</formula>
    </cfRule>
    <cfRule type="expression" dxfId="3303" priority="127">
      <formula>AND(N$9&gt;=8/24,N$9&lt;14/24)</formula>
    </cfRule>
    <cfRule type="expression" dxfId="3302" priority="128">
      <formula>N$9&lt;8/24</formula>
    </cfRule>
  </conditionalFormatting>
  <conditionalFormatting sqref="N66:Z70">
    <cfRule type="expression" dxfId="3301" priority="76">
      <formula>N$9&gt;=20/24</formula>
    </cfRule>
    <cfRule type="expression" dxfId="3300" priority="77">
      <formula>AND(N$9&gt;=14/24,N$9&lt;20/24)</formula>
    </cfRule>
    <cfRule type="expression" dxfId="3299" priority="78">
      <formula>AND(N$9&gt;=8/24,N$9&lt;14/24)</formula>
    </cfRule>
    <cfRule type="expression" dxfId="3298" priority="79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297" priority="125">
      <formula>N$9&gt;=20/24</formula>
    </cfRule>
  </conditionalFormatting>
  <conditionalFormatting sqref="S8">
    <cfRule type="expression" dxfId="3296" priority="112">
      <formula>U$9&gt;=20/24</formula>
    </cfRule>
    <cfRule type="expression" dxfId="3295" priority="113">
      <formula>AND(U$9&gt;=14/24,U$9&lt;20/24)</formula>
    </cfRule>
    <cfRule type="expression" dxfId="3294" priority="114">
      <formula>AND(U$9&gt;=8/24,U$9&lt;14/24)</formula>
    </cfRule>
    <cfRule type="expression" dxfId="3293" priority="115">
      <formula>U$9&lt;8/24</formula>
    </cfRule>
  </conditionalFormatting>
  <conditionalFormatting sqref="T66:AF71">
    <cfRule type="expression" dxfId="3292" priority="64">
      <formula>T$9&gt;=20/24</formula>
    </cfRule>
    <cfRule type="expression" dxfId="3291" priority="65">
      <formula>AND(T$9&gt;=14/24,T$9&lt;20/24)</formula>
    </cfRule>
    <cfRule type="expression" dxfId="3290" priority="66">
      <formula>AND(T$9&gt;=8/24,T$9&lt;14/24)</formula>
    </cfRule>
    <cfRule type="expression" dxfId="3289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59:Z60">
    <cfRule type="expression" dxfId="3288" priority="59">
      <formula>Y59&gt;$AG59</formula>
    </cfRule>
  </conditionalFormatting>
  <conditionalFormatting sqref="AB8">
    <cfRule type="expression" dxfId="3287" priority="108">
      <formula>AD$9&gt;=20/24</formula>
    </cfRule>
    <cfRule type="expression" dxfId="3286" priority="109">
      <formula>AND(AD$9&gt;=14/24,AD$9&lt;20/24)</formula>
    </cfRule>
    <cfRule type="expression" dxfId="3285" priority="110">
      <formula>AND(AD$9&gt;=8/24,AD$9&lt;14/24)</formula>
    </cfRule>
    <cfRule type="expression" dxfId="3284" priority="111">
      <formula>AD$9&lt;8/24</formula>
    </cfRule>
  </conditionalFormatting>
  <conditionalFormatting sqref="AG65">
    <cfRule type="expression" dxfId="3283" priority="87">
      <formula>AG$9&gt;=20/24</formula>
    </cfRule>
    <cfRule type="expression" dxfId="3282" priority="88">
      <formula>AND(AG$9&gt;=14/24,AG$9&lt;20/24)</formula>
    </cfRule>
    <cfRule type="expression" dxfId="3281" priority="89">
      <formula>AND(AG$9&gt;=8/24,AG$9&lt;14/24)</formula>
    </cfRule>
    <cfRule type="expression" dxfId="3280" priority="90">
      <formula>AG$9&lt;8/24</formula>
    </cfRule>
  </conditionalFormatting>
  <conditionalFormatting sqref="AG78:AG79">
    <cfRule type="expression" dxfId="3279" priority="82">
      <formula>AG78&gt;$AG78</formula>
    </cfRule>
  </conditionalFormatting>
  <conditionalFormatting sqref="AG83">
    <cfRule type="expression" dxfId="3278" priority="83">
      <formula>AG$9&gt;=20/24</formula>
    </cfRule>
    <cfRule type="expression" dxfId="3277" priority="84">
      <formula>AND(AG$9&gt;=14/24,AG$9&lt;20/24)</formula>
    </cfRule>
    <cfRule type="expression" dxfId="3276" priority="85">
      <formula>AND(AG$9&gt;=8/24,AG$9&lt;14/24)</formula>
    </cfRule>
    <cfRule type="expression" dxfId="3275" priority="86">
      <formula>AG$9&lt;8/24</formula>
    </cfRule>
  </conditionalFormatting>
  <conditionalFormatting sqref="AG100">
    <cfRule type="expression" dxfId="3274" priority="104">
      <formula>AG$9&gt;=20/24</formula>
    </cfRule>
    <cfRule type="expression" dxfId="3273" priority="105">
      <formula>AND(AG$9&gt;=14/24,AG$9&lt;20/24)</formula>
    </cfRule>
    <cfRule type="expression" dxfId="3272" priority="106">
      <formula>AND(AG$9&gt;=8/24,AG$9&lt;14/24)</formula>
    </cfRule>
    <cfRule type="expression" dxfId="3271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270" priority="129">
      <formula>AJ$9&gt;=20/24</formula>
    </cfRule>
    <cfRule type="expression" dxfId="3269" priority="130">
      <formula>AND(AJ$9&gt;=14/24,AJ$9&lt;20/24)</formula>
    </cfRule>
    <cfRule type="expression" dxfId="3268" priority="131">
      <formula>AND(AJ$9&gt;=8/24,AJ$9&lt;14/24)</formula>
    </cfRule>
    <cfRule type="expression" dxfId="3267" priority="132">
      <formula>AJ$9&lt;8/24</formula>
    </cfRule>
  </conditionalFormatting>
  <conditionalFormatting sqref="AL86:AN86 AL92:AN92">
    <cfRule type="expression" dxfId="3266" priority="97">
      <formula>AL$9&gt;=20/24</formula>
    </cfRule>
    <cfRule type="expression" dxfId="3265" priority="98">
      <formula>AND(AL$9&gt;=14/24,AL$9&lt;20/24)</formula>
    </cfRule>
    <cfRule type="expression" dxfId="3264" priority="99">
      <formula>AND(AL$9&gt;=8/24,AL$9&lt;14/24)</formula>
    </cfRule>
    <cfRule type="expression" dxfId="3263" priority="100">
      <formula>AL$9&lt;8/24</formula>
    </cfRule>
  </conditionalFormatting>
  <conditionalFormatting sqref="AM15:AM21 AN16:AR21">
    <cfRule type="expression" dxfId="3262" priority="13">
      <formula>AX$9&gt;=20/24</formula>
    </cfRule>
    <cfRule type="expression" dxfId="3261" priority="14">
      <formula>AND(AX$9&gt;=14/24,AX$9&lt;20/24)</formula>
    </cfRule>
    <cfRule type="expression" dxfId="3260" priority="15">
      <formula>AND(AX$9&gt;=8/24,AX$9&lt;14/24)</formula>
    </cfRule>
    <cfRule type="expression" dxfId="3259" priority="16">
      <formula>AX$9&lt;8/24</formula>
    </cfRule>
  </conditionalFormatting>
  <conditionalFormatting sqref="AN87:AN90">
    <cfRule type="expression" dxfId="3258" priority="93">
      <formula>AN$9&gt;=20/24</formula>
    </cfRule>
    <cfRule type="expression" dxfId="3257" priority="94">
      <formula>AND(AN$9&gt;=14/24,AN$9&lt;20/24)</formula>
    </cfRule>
    <cfRule type="expression" dxfId="3256" priority="95">
      <formula>AND(AN$9&gt;=8/24,AN$9&lt;14/24)</formula>
    </cfRule>
    <cfRule type="expression" dxfId="3255" priority="96">
      <formula>AN$9&lt;8/24</formula>
    </cfRule>
  </conditionalFormatting>
  <conditionalFormatting sqref="AN15:AR15">
    <cfRule type="expression" dxfId="3254" priority="1">
      <formula>U$9&gt;=20/24</formula>
    </cfRule>
    <cfRule type="expression" dxfId="3253" priority="2">
      <formula>AND(U$9&gt;=14/24,U$9&lt;20/24)</formula>
    </cfRule>
    <cfRule type="expression" dxfId="3252" priority="3">
      <formula>AND(U$9&gt;=8/24,U$9&lt;14/24)</formula>
    </cfRule>
    <cfRule type="expression" dxfId="3251" priority="4">
      <formula>U$9&lt;8/24</formula>
    </cfRule>
  </conditionalFormatting>
  <conditionalFormatting sqref="AS15">
    <cfRule type="expression" dxfId="3250" priority="9">
      <formula>AA$9&gt;=20/24</formula>
    </cfRule>
    <cfRule type="expression" dxfId="3249" priority="10">
      <formula>AND(AA$9&gt;=14/24,AA$9&lt;20/24)</formula>
    </cfRule>
    <cfRule type="expression" dxfId="3248" priority="11">
      <formula>AND(AA$9&gt;=8/24,AA$9&lt;14/24)</formula>
    </cfRule>
    <cfRule type="expression" dxfId="3247" priority="12">
      <formula>AA$9&lt;8/24</formula>
    </cfRule>
  </conditionalFormatting>
  <conditionalFormatting sqref="AS16:AS21">
    <cfRule type="expression" dxfId="3246" priority="17">
      <formula>BE$9&gt;=20/24</formula>
    </cfRule>
    <cfRule type="expression" dxfId="3245" priority="18">
      <formula>AND(BE$9&gt;=14/24,BE$9&lt;20/24)</formula>
    </cfRule>
    <cfRule type="expression" dxfId="3244" priority="19">
      <formula>AND(BE$9&gt;=8/24,BE$9&lt;14/24)</formula>
    </cfRule>
    <cfRule type="expression" dxfId="3243" priority="20">
      <formula>BE$9&lt;8/24</formula>
    </cfRule>
  </conditionalFormatting>
  <conditionalFormatting sqref="AT15 AX15:BJ15">
    <cfRule type="expression" dxfId="3242" priority="21">
      <formula>AC$9&gt;=20/24</formula>
    </cfRule>
    <cfRule type="expression" dxfId="3241" priority="22">
      <formula>AND(AC$9&gt;=14/24,AC$9&lt;20/24)</formula>
    </cfRule>
    <cfRule type="expression" dxfId="3240" priority="23">
      <formula>AND(AC$9&gt;=8/24,AC$9&lt;14/24)</formula>
    </cfRule>
    <cfRule type="expression" dxfId="3239" priority="24">
      <formula>AC$9&lt;8/24</formula>
    </cfRule>
  </conditionalFormatting>
  <conditionalFormatting sqref="AT16:AT21">
    <cfRule type="expression" dxfId="3238" priority="25">
      <formula>BG$9&gt;=20/24</formula>
    </cfRule>
    <cfRule type="expression" dxfId="3237" priority="26">
      <formula>AND(BG$9&gt;=14/24,BG$9&lt;20/24)</formula>
    </cfRule>
    <cfRule type="expression" dxfId="3236" priority="27">
      <formula>AND(BG$9&gt;=8/24,BG$9&lt;14/24)</formula>
    </cfRule>
    <cfRule type="expression" dxfId="3235" priority="28">
      <formula>BG$9&lt;8/24</formula>
    </cfRule>
  </conditionalFormatting>
  <conditionalFormatting sqref="AU15:AV15">
    <cfRule type="expression" dxfId="3234" priority="29">
      <formula>AE$9&gt;=20/24</formula>
    </cfRule>
    <cfRule type="expression" dxfId="3233" priority="30">
      <formula>AND(AE$9&gt;=14/24,AE$9&lt;20/24)</formula>
    </cfRule>
    <cfRule type="expression" dxfId="3232" priority="31">
      <formula>AND(AE$9&gt;=8/24,AE$9&lt;14/24)</formula>
    </cfRule>
    <cfRule type="expression" dxfId="3231" priority="32">
      <formula>AE$9&lt;8/24</formula>
    </cfRule>
  </conditionalFormatting>
  <conditionalFormatting sqref="AU16:BJ21">
    <cfRule type="expression" dxfId="3230" priority="33">
      <formula>BI$9&gt;=20/24</formula>
    </cfRule>
    <cfRule type="expression" dxfId="3229" priority="34">
      <formula>AND(BI$9&gt;=14/24,BI$9&lt;20/24)</formula>
    </cfRule>
    <cfRule type="expression" dxfId="3228" priority="35">
      <formula>AND(BI$9&gt;=8/24,BI$9&lt;14/24)</formula>
    </cfRule>
    <cfRule type="expression" dxfId="3227" priority="36">
      <formula>BI$9&lt;8/24</formula>
    </cfRule>
  </conditionalFormatting>
  <conditionalFormatting sqref="AW15">
    <cfRule type="expression" dxfId="3226" priority="5">
      <formula>B$9&gt;=20/24</formula>
    </cfRule>
    <cfRule type="expression" dxfId="3225" priority="6">
      <formula>AND(B$9&gt;=14/24,B$9&lt;20/24)</formula>
    </cfRule>
    <cfRule type="expression" dxfId="3224" priority="7">
      <formula>AND(B$9&gt;=8/24,B$9&lt;14/24)</formula>
    </cfRule>
    <cfRule type="expression" dxfId="322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F672-9282-4D7E-9EB9-95EF8215A77B}">
  <dimension ref="A1:CJ297"/>
  <sheetViews>
    <sheetView tabSelected="1" zoomScale="106" workbookViewId="0">
      <pane xSplit="1" ySplit="10" topLeftCell="L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100" sqref="A100:AF10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2080/10/9</v>
      </c>
      <c r="C4" s="189"/>
      <c r="D4" s="189"/>
      <c r="E4" s="190" t="str">
        <f ca="1">"2080/"&amp;"10/"&amp;INT(MID(CELL("filename",G6),FIND("]",CELL("filename",G6))+1,200))</f>
        <v>2080/10/9</v>
      </c>
      <c r="F4" s="190"/>
      <c r="G4" s="190"/>
      <c r="H4" s="190" t="str">
        <f ca="1">TEXT(E4,"dddd")</f>
        <v>Wednesday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45.3</v>
      </c>
      <c r="C5" s="30">
        <f t="shared" si="0"/>
        <v>45.3</v>
      </c>
      <c r="D5" s="30">
        <f t="shared" si="0"/>
        <v>46.8</v>
      </c>
      <c r="E5" s="30">
        <f t="shared" si="0"/>
        <v>44.3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36.1</v>
      </c>
      <c r="K5" s="30">
        <f t="shared" si="0"/>
        <v>58.3</v>
      </c>
      <c r="L5" s="30">
        <f t="shared" si="0"/>
        <v>63.3</v>
      </c>
      <c r="M5" s="30">
        <f t="shared" si="0"/>
        <v>84.3</v>
      </c>
      <c r="N5" s="30">
        <f t="shared" si="0"/>
        <v>67</v>
      </c>
      <c r="O5" s="30">
        <f t="shared" si="0"/>
        <v>67.900000000000006</v>
      </c>
      <c r="P5" s="30">
        <f t="shared" si="0"/>
        <v>99.6</v>
      </c>
      <c r="Q5" s="30">
        <f t="shared" si="0"/>
        <v>98.199999999999989</v>
      </c>
      <c r="R5" s="30">
        <f t="shared" si="0"/>
        <v>110.4</v>
      </c>
      <c r="S5" s="30">
        <f t="shared" si="0"/>
        <v>100.5</v>
      </c>
      <c r="T5" s="30">
        <f t="shared" si="0"/>
        <v>110.1</v>
      </c>
      <c r="U5" s="30">
        <f t="shared" si="0"/>
        <v>95.9</v>
      </c>
      <c r="V5" s="30">
        <f t="shared" si="0"/>
        <v>95.9</v>
      </c>
      <c r="W5" s="30">
        <f t="shared" si="0"/>
        <v>58.2</v>
      </c>
      <c r="X5" s="30">
        <f t="shared" si="0"/>
        <v>55.7</v>
      </c>
      <c r="Y5" s="30">
        <f t="shared" si="0"/>
        <v>62.4</v>
      </c>
      <c r="Z5" s="30">
        <f t="shared" si="0"/>
        <v>68.5</v>
      </c>
      <c r="AA5" s="30">
        <f t="shared" si="0"/>
        <v>93.6</v>
      </c>
      <c r="AB5" s="30">
        <f t="shared" si="0"/>
        <v>100.4</v>
      </c>
      <c r="AC5" s="30">
        <f t="shared" si="0"/>
        <v>88.8</v>
      </c>
      <c r="AD5" s="30">
        <f t="shared" si="0"/>
        <v>53.4</v>
      </c>
      <c r="AE5" s="30">
        <f t="shared" si="0"/>
        <v>51.6</v>
      </c>
      <c r="AF5" s="30">
        <f>B95</f>
        <v>50.4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2152MW at 5:30hr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Load=1581</v>
      </c>
      <c r="B7" s="35">
        <f t="shared" ref="B7:AF7" si="1">B103</f>
        <v>1580.8999999999999</v>
      </c>
      <c r="C7" s="35">
        <f t="shared" si="1"/>
        <v>1595.3</v>
      </c>
      <c r="D7" s="35">
        <f t="shared" si="1"/>
        <v>1589.6999999999998</v>
      </c>
      <c r="E7" s="35">
        <f t="shared" si="1"/>
        <v>1660.2399999999996</v>
      </c>
      <c r="F7" s="35">
        <f t="shared" si="1"/>
        <v>1623.34</v>
      </c>
      <c r="G7" s="35">
        <f t="shared" si="1"/>
        <v>1611.4399999999998</v>
      </c>
      <c r="H7" s="35">
        <f t="shared" si="1"/>
        <v>1667.34</v>
      </c>
      <c r="I7" s="35">
        <f t="shared" si="1"/>
        <v>1638.6399999999996</v>
      </c>
      <c r="J7" s="35">
        <f t="shared" si="1"/>
        <v>1684.3399999999997</v>
      </c>
      <c r="K7" s="35">
        <f t="shared" si="1"/>
        <v>1684.0399999999995</v>
      </c>
      <c r="L7" s="35">
        <f t="shared" si="1"/>
        <v>1631.2399999999998</v>
      </c>
      <c r="M7" s="35">
        <f t="shared" si="1"/>
        <v>1691.6399999999999</v>
      </c>
      <c r="N7" s="35">
        <f t="shared" si="1"/>
        <v>1652.3400000000001</v>
      </c>
      <c r="O7" s="35">
        <f t="shared" si="1"/>
        <v>1711.34</v>
      </c>
      <c r="P7" s="35">
        <f t="shared" si="1"/>
        <v>1725.7399999999998</v>
      </c>
      <c r="Q7" s="35">
        <f t="shared" si="1"/>
        <v>1773.2399999999998</v>
      </c>
      <c r="R7" s="35">
        <f t="shared" si="1"/>
        <v>1780.3400000000001</v>
      </c>
      <c r="S7" s="35">
        <f t="shared" si="1"/>
        <v>1771.7400000000002</v>
      </c>
      <c r="T7" s="35">
        <f t="shared" si="1"/>
        <v>1799.9399999999998</v>
      </c>
      <c r="U7" s="35">
        <f t="shared" si="1"/>
        <v>1776.3400000000001</v>
      </c>
      <c r="V7" s="35">
        <f t="shared" si="1"/>
        <v>1765.6399999999999</v>
      </c>
      <c r="W7" s="35">
        <f t="shared" si="1"/>
        <v>1765.6399999999999</v>
      </c>
      <c r="X7" s="35">
        <f t="shared" si="1"/>
        <v>1610.04</v>
      </c>
      <c r="Y7" s="35">
        <f t="shared" si="1"/>
        <v>1708.9399999999998</v>
      </c>
      <c r="Z7" s="35">
        <f t="shared" si="1"/>
        <v>1752.44</v>
      </c>
      <c r="AA7" s="35">
        <f t="shared" si="1"/>
        <v>1763.94</v>
      </c>
      <c r="AB7" s="35">
        <f t="shared" si="1"/>
        <v>1903.6399999999999</v>
      </c>
      <c r="AC7" s="35">
        <f t="shared" si="1"/>
        <v>1908.2399999999998</v>
      </c>
      <c r="AD7" s="35">
        <f t="shared" si="1"/>
        <v>1838.7399999999998</v>
      </c>
      <c r="AE7" s="35">
        <f t="shared" si="1"/>
        <v>1829.8400000000001</v>
      </c>
      <c r="AF7" s="35">
        <f t="shared" si="1"/>
        <v>1775.44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2287.44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1903.64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37.1</v>
      </c>
      <c r="C11" s="46">
        <v>37.1</v>
      </c>
      <c r="D11" s="46">
        <v>37.1</v>
      </c>
      <c r="E11" s="46">
        <v>37.1</v>
      </c>
      <c r="F11" s="46">
        <v>37.1</v>
      </c>
      <c r="G11" s="46">
        <v>37.1</v>
      </c>
      <c r="H11" s="46">
        <v>37.1</v>
      </c>
      <c r="I11" s="46">
        <v>37.1</v>
      </c>
      <c r="J11" s="46">
        <v>37.1</v>
      </c>
      <c r="K11" s="46">
        <v>37.1</v>
      </c>
      <c r="L11" s="46">
        <v>37.1</v>
      </c>
      <c r="M11" s="46">
        <v>38.5</v>
      </c>
      <c r="N11" s="46">
        <v>50.4</v>
      </c>
      <c r="O11" s="46">
        <v>68.7</v>
      </c>
      <c r="P11" s="46">
        <v>68.7</v>
      </c>
      <c r="Q11" s="46">
        <v>63.1</v>
      </c>
      <c r="R11" s="46">
        <v>62.6</v>
      </c>
      <c r="S11" s="46">
        <v>62.6</v>
      </c>
      <c r="T11" s="46">
        <v>62.6</v>
      </c>
      <c r="U11" s="46">
        <v>62.6</v>
      </c>
      <c r="V11" s="46">
        <v>62.6</v>
      </c>
      <c r="W11" s="46">
        <v>62.6</v>
      </c>
      <c r="X11" s="46">
        <v>44.3</v>
      </c>
      <c r="Y11" s="46">
        <v>44.3</v>
      </c>
      <c r="Z11" s="46">
        <v>44.3</v>
      </c>
      <c r="AA11" s="46">
        <v>44.3</v>
      </c>
      <c r="AB11" s="46">
        <v>33.1</v>
      </c>
      <c r="AC11" s="46">
        <v>33.1</v>
      </c>
      <c r="AD11" s="46">
        <v>33.200000000000003</v>
      </c>
      <c r="AE11" s="46">
        <v>44.3</v>
      </c>
      <c r="AF11" s="46">
        <v>41.6</v>
      </c>
      <c r="AG11" s="47">
        <v>86</v>
      </c>
      <c r="AH11" s="48">
        <f t="shared" ref="AH11:AH74" si="2">MAX(B11:AF11)</f>
        <v>68.7</v>
      </c>
      <c r="AI11" s="49">
        <f t="shared" ref="AI11:AI74" si="3">MIN(B11:AF11)</f>
        <v>33.1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41</v>
      </c>
      <c r="C12" s="46">
        <v>41</v>
      </c>
      <c r="D12" s="46">
        <v>41</v>
      </c>
      <c r="E12" s="46">
        <v>53</v>
      </c>
      <c r="F12" s="46">
        <v>58</v>
      </c>
      <c r="G12" s="46">
        <v>60</v>
      </c>
      <c r="H12" s="46">
        <v>61.1</v>
      </c>
      <c r="I12" s="46">
        <v>61.1</v>
      </c>
      <c r="J12" s="46">
        <v>61.1</v>
      </c>
      <c r="K12" s="46">
        <v>61.1</v>
      </c>
      <c r="L12" s="46">
        <v>61.1</v>
      </c>
      <c r="M12" s="46">
        <v>61.1</v>
      </c>
      <c r="N12" s="46">
        <v>83</v>
      </c>
      <c r="O12" s="46">
        <v>65</v>
      </c>
      <c r="P12" s="46">
        <v>70</v>
      </c>
      <c r="Q12" s="46">
        <v>59.1</v>
      </c>
      <c r="R12" s="46">
        <v>55.1</v>
      </c>
      <c r="S12" s="46">
        <v>55.1</v>
      </c>
      <c r="T12" s="46">
        <v>55.1</v>
      </c>
      <c r="U12" s="46">
        <v>55.1</v>
      </c>
      <c r="V12" s="46">
        <v>55.1</v>
      </c>
      <c r="W12" s="46">
        <v>55.1</v>
      </c>
      <c r="X12" s="46">
        <v>55.1</v>
      </c>
      <c r="Y12" s="46">
        <v>55.1</v>
      </c>
      <c r="Z12" s="46">
        <v>55.1</v>
      </c>
      <c r="AA12" s="46">
        <v>55.1</v>
      </c>
      <c r="AB12" s="46">
        <v>76</v>
      </c>
      <c r="AC12" s="46">
        <v>76</v>
      </c>
      <c r="AD12" s="46">
        <v>76</v>
      </c>
      <c r="AE12" s="46">
        <v>70</v>
      </c>
      <c r="AF12" s="46">
        <v>77</v>
      </c>
      <c r="AG12" s="50">
        <v>77</v>
      </c>
      <c r="AH12" s="48">
        <f t="shared" si="2"/>
        <v>83</v>
      </c>
      <c r="AI12" s="49">
        <f t="shared" si="3"/>
        <v>41</v>
      </c>
      <c r="AK12" s="51"/>
      <c r="AL12" s="52" t="str">
        <f ca="1">MID(CELL("filename",C7),FIND("]",CELL("filename",C7))+1,600)</f>
        <v>09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69</v>
      </c>
      <c r="C13" s="46">
        <v>69</v>
      </c>
      <c r="D13" s="46">
        <v>69</v>
      </c>
      <c r="E13" s="46">
        <v>69</v>
      </c>
      <c r="F13" s="46">
        <v>69</v>
      </c>
      <c r="G13" s="46">
        <v>69</v>
      </c>
      <c r="H13" s="46">
        <v>69</v>
      </c>
      <c r="I13" s="46">
        <v>69</v>
      </c>
      <c r="J13" s="46">
        <v>69</v>
      </c>
      <c r="K13" s="46">
        <v>69</v>
      </c>
      <c r="L13" s="46">
        <v>69</v>
      </c>
      <c r="M13" s="46">
        <v>69</v>
      </c>
      <c r="N13" s="46">
        <v>68.599999999999994</v>
      </c>
      <c r="O13" s="46">
        <v>69</v>
      </c>
      <c r="P13" s="46">
        <v>69</v>
      </c>
      <c r="Q13" s="46">
        <v>39.1</v>
      </c>
      <c r="R13" s="46">
        <v>30.8</v>
      </c>
      <c r="S13" s="46">
        <v>51.5</v>
      </c>
      <c r="T13" s="46">
        <v>71.599999999999994</v>
      </c>
      <c r="U13" s="46">
        <v>71.599999999999994</v>
      </c>
      <c r="V13" s="46">
        <v>71.599999999999994</v>
      </c>
      <c r="W13" s="46">
        <v>71.599999999999994</v>
      </c>
      <c r="X13" s="46">
        <v>69.3</v>
      </c>
      <c r="Y13" s="46">
        <v>69.3</v>
      </c>
      <c r="Z13" s="46">
        <v>69.3</v>
      </c>
      <c r="AA13" s="46">
        <v>69.3</v>
      </c>
      <c r="AB13" s="46">
        <v>75.400000000000006</v>
      </c>
      <c r="AC13" s="46">
        <v>75.400000000000006</v>
      </c>
      <c r="AD13" s="46">
        <v>75.400000000000006</v>
      </c>
      <c r="AE13" s="46">
        <v>69.5</v>
      </c>
      <c r="AF13" s="46">
        <v>75.099999999999994</v>
      </c>
      <c r="AG13" s="50">
        <v>73</v>
      </c>
      <c r="AH13" s="48">
        <f t="shared" si="2"/>
        <v>75.400000000000006</v>
      </c>
      <c r="AI13" s="49">
        <f t="shared" si="3"/>
        <v>30.8</v>
      </c>
      <c r="AK13" s="51"/>
      <c r="AL13" s="52" t="str">
        <f ca="1">"Daily Load Curve(Excluding of Export) of Nepal ("&amp;A4&amp;" "&amp;B4&amp;")"</f>
        <v>Daily Load Curve(Excluding of Export) of Nepal (Nepali Date: 2080/10/9)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40.6</v>
      </c>
      <c r="C14" s="46">
        <v>40.6</v>
      </c>
      <c r="D14" s="46">
        <v>40.6</v>
      </c>
      <c r="E14" s="46">
        <v>40.6</v>
      </c>
      <c r="F14" s="46">
        <v>40.6</v>
      </c>
      <c r="G14" s="46">
        <v>40.6</v>
      </c>
      <c r="H14" s="46">
        <v>40.6</v>
      </c>
      <c r="I14" s="46">
        <v>40.6</v>
      </c>
      <c r="J14" s="46">
        <v>40.6</v>
      </c>
      <c r="K14" s="46">
        <v>40.6</v>
      </c>
      <c r="L14" s="46">
        <v>40.6</v>
      </c>
      <c r="M14" s="46">
        <v>40.6</v>
      </c>
      <c r="N14" s="46">
        <v>40.5</v>
      </c>
      <c r="O14" s="46">
        <v>40.5</v>
      </c>
      <c r="P14" s="46">
        <v>40.5</v>
      </c>
      <c r="Q14" s="46">
        <v>40.5</v>
      </c>
      <c r="R14" s="46">
        <v>40.5</v>
      </c>
      <c r="S14" s="46">
        <v>40.5</v>
      </c>
      <c r="T14" s="46">
        <v>40.5</v>
      </c>
      <c r="U14" s="46">
        <v>40.5</v>
      </c>
      <c r="V14" s="46">
        <v>40.5</v>
      </c>
      <c r="W14" s="46">
        <v>40.5</v>
      </c>
      <c r="X14" s="46">
        <v>40.5</v>
      </c>
      <c r="Y14" s="46">
        <v>40.5</v>
      </c>
      <c r="Z14" s="46">
        <v>40.5</v>
      </c>
      <c r="AA14" s="46">
        <v>40.5</v>
      </c>
      <c r="AB14" s="46">
        <v>40.4</v>
      </c>
      <c r="AC14" s="46">
        <v>40.4</v>
      </c>
      <c r="AD14" s="46">
        <v>40.4</v>
      </c>
      <c r="AE14" s="46">
        <v>40.4</v>
      </c>
      <c r="AF14" s="46">
        <v>40.4</v>
      </c>
      <c r="AG14" s="50">
        <v>71</v>
      </c>
      <c r="AH14" s="48">
        <f t="shared" si="2"/>
        <v>40.6</v>
      </c>
      <c r="AI14" s="49">
        <f t="shared" si="3"/>
        <v>40.4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30</v>
      </c>
      <c r="C15" s="46">
        <v>30</v>
      </c>
      <c r="D15" s="46">
        <v>30</v>
      </c>
      <c r="E15" s="46">
        <v>36</v>
      </c>
      <c r="F15" s="46">
        <v>38</v>
      </c>
      <c r="G15" s="46">
        <v>44</v>
      </c>
      <c r="H15" s="46">
        <v>56.5</v>
      </c>
      <c r="I15" s="46">
        <v>56.5</v>
      </c>
      <c r="J15" s="46">
        <v>56.5</v>
      </c>
      <c r="K15" s="46">
        <v>56.5</v>
      </c>
      <c r="L15" s="46">
        <v>56.5</v>
      </c>
      <c r="M15" s="46">
        <v>56.5</v>
      </c>
      <c r="N15" s="46">
        <v>57</v>
      </c>
      <c r="O15" s="46">
        <v>41</v>
      </c>
      <c r="P15" s="46">
        <v>41</v>
      </c>
      <c r="Q15" s="46">
        <v>41</v>
      </c>
      <c r="R15" s="46">
        <v>41</v>
      </c>
      <c r="S15" s="46">
        <v>41</v>
      </c>
      <c r="T15" s="46">
        <v>41</v>
      </c>
      <c r="U15" s="46">
        <v>41</v>
      </c>
      <c r="V15" s="46">
        <v>41</v>
      </c>
      <c r="W15" s="46">
        <v>41</v>
      </c>
      <c r="X15" s="46">
        <v>41</v>
      </c>
      <c r="Y15" s="46">
        <v>41</v>
      </c>
      <c r="Z15" s="46">
        <v>41</v>
      </c>
      <c r="AA15" s="46">
        <v>41</v>
      </c>
      <c r="AB15" s="46">
        <v>50</v>
      </c>
      <c r="AC15" s="46">
        <v>50</v>
      </c>
      <c r="AD15" s="46">
        <v>50</v>
      </c>
      <c r="AE15" s="46">
        <v>50</v>
      </c>
      <c r="AF15" s="46">
        <v>56.2</v>
      </c>
      <c r="AG15" s="50">
        <v>54</v>
      </c>
      <c r="AH15" s="48">
        <f t="shared" si="2"/>
        <v>57</v>
      </c>
      <c r="AI15" s="49">
        <f t="shared" si="3"/>
        <v>30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27.1</v>
      </c>
      <c r="F16" s="46">
        <v>27.1</v>
      </c>
      <c r="G16" s="46">
        <v>27.1</v>
      </c>
      <c r="H16" s="46">
        <v>27.1</v>
      </c>
      <c r="I16" s="46">
        <v>27.1</v>
      </c>
      <c r="J16" s="46">
        <v>27.1</v>
      </c>
      <c r="K16" s="46">
        <v>27.1</v>
      </c>
      <c r="L16" s="46">
        <v>27.1</v>
      </c>
      <c r="M16" s="46">
        <v>27.1</v>
      </c>
      <c r="N16" s="46">
        <v>27.1</v>
      </c>
      <c r="O16" s="46">
        <v>27.1</v>
      </c>
      <c r="P16" s="46">
        <v>27.1</v>
      </c>
      <c r="Q16" s="46">
        <v>27.1</v>
      </c>
      <c r="R16" s="46">
        <v>27.1</v>
      </c>
      <c r="S16" s="46">
        <v>27.1</v>
      </c>
      <c r="T16" s="46">
        <v>27.1</v>
      </c>
      <c r="U16" s="46">
        <v>27.1</v>
      </c>
      <c r="V16" s="46">
        <v>27.1</v>
      </c>
      <c r="W16" s="46">
        <v>27.1</v>
      </c>
      <c r="X16" s="46">
        <v>27.1</v>
      </c>
      <c r="Y16" s="46">
        <v>27.1</v>
      </c>
      <c r="Z16" s="46">
        <v>27.1</v>
      </c>
      <c r="AA16" s="46">
        <v>27.1</v>
      </c>
      <c r="AB16" s="46">
        <v>27</v>
      </c>
      <c r="AC16" s="46">
        <v>27</v>
      </c>
      <c r="AD16" s="46">
        <v>27</v>
      </c>
      <c r="AE16" s="46">
        <v>27.1</v>
      </c>
      <c r="AF16" s="46">
        <v>27.1</v>
      </c>
      <c r="AG16" s="50">
        <v>54</v>
      </c>
      <c r="AH16" s="48">
        <f t="shared" si="2"/>
        <v>27.1</v>
      </c>
      <c r="AI16" s="49">
        <f t="shared" si="3"/>
        <v>27</v>
      </c>
      <c r="AK16" s="51"/>
      <c r="AL16" s="54" t="s">
        <v>7</v>
      </c>
      <c r="AM16" s="59">
        <f t="shared" ref="AM16:AR16" si="4">B61</f>
        <v>975.19999999999993</v>
      </c>
      <c r="AN16" s="59">
        <f t="shared" si="4"/>
        <v>975.19999999999993</v>
      </c>
      <c r="AO16" s="59">
        <f t="shared" si="4"/>
        <v>975.19999999999993</v>
      </c>
      <c r="AP16" s="59">
        <f t="shared" si="4"/>
        <v>999.1</v>
      </c>
      <c r="AQ16" s="59">
        <f t="shared" si="4"/>
        <v>1006.1</v>
      </c>
      <c r="AR16" s="59">
        <f t="shared" si="4"/>
        <v>1014.1</v>
      </c>
      <c r="AS16" s="59">
        <f>I61</f>
        <v>1054.1999999999998</v>
      </c>
      <c r="AT16" s="59">
        <f>K61</f>
        <v>1054.1999999999998</v>
      </c>
      <c r="AU16" s="59">
        <f t="shared" ref="AU16:BD16" si="5">M61</f>
        <v>1055.5999999999999</v>
      </c>
      <c r="AV16" s="59">
        <f t="shared" si="5"/>
        <v>1089.4000000000001</v>
      </c>
      <c r="AW16" s="59">
        <f t="shared" si="5"/>
        <v>1068.0999999999999</v>
      </c>
      <c r="AX16" s="59">
        <f t="shared" si="5"/>
        <v>1073.0999999999999</v>
      </c>
      <c r="AY16" s="59">
        <f t="shared" si="5"/>
        <v>1026.7</v>
      </c>
      <c r="AZ16" s="59">
        <f t="shared" si="5"/>
        <v>1013.9</v>
      </c>
      <c r="BA16" s="59">
        <f t="shared" si="5"/>
        <v>1034.5999999999999</v>
      </c>
      <c r="BB16" s="59">
        <f t="shared" si="5"/>
        <v>1054.7</v>
      </c>
      <c r="BC16" s="59">
        <f t="shared" si="5"/>
        <v>1054.7</v>
      </c>
      <c r="BD16" s="59">
        <f t="shared" si="5"/>
        <v>1054.7</v>
      </c>
      <c r="BE16" s="60">
        <f>X61</f>
        <v>1034.0999999999999</v>
      </c>
      <c r="BF16" s="60">
        <f>Z61</f>
        <v>1034.0999999999999</v>
      </c>
      <c r="BG16" s="60">
        <f>AB61</f>
        <v>1058.6999999999998</v>
      </c>
      <c r="BH16" s="60">
        <f>AD61</f>
        <v>1058.8</v>
      </c>
      <c r="BI16" s="60">
        <f>AE61</f>
        <v>1067.9000000000001</v>
      </c>
      <c r="BJ16" s="60">
        <f>AF61</f>
        <v>1097.8000000000002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35.799999999999997</v>
      </c>
      <c r="C17" s="46">
        <v>35.799999999999997</v>
      </c>
      <c r="D17" s="46">
        <v>35.799999999999997</v>
      </c>
      <c r="E17" s="46">
        <v>35.799999999999997</v>
      </c>
      <c r="F17" s="46">
        <v>35.799999999999997</v>
      </c>
      <c r="G17" s="46">
        <v>35.799999999999997</v>
      </c>
      <c r="H17" s="46">
        <v>55.3</v>
      </c>
      <c r="I17" s="46">
        <v>55.3</v>
      </c>
      <c r="J17" s="46">
        <v>55.3</v>
      </c>
      <c r="K17" s="46">
        <v>55.3</v>
      </c>
      <c r="L17" s="46">
        <v>55.3</v>
      </c>
      <c r="M17" s="46">
        <v>55.3</v>
      </c>
      <c r="N17" s="46">
        <v>55.3</v>
      </c>
      <c r="O17" s="46">
        <v>55.3</v>
      </c>
      <c r="P17" s="46">
        <v>55.3</v>
      </c>
      <c r="Q17" s="46">
        <v>55.3</v>
      </c>
      <c r="R17" s="46">
        <v>55.3</v>
      </c>
      <c r="S17" s="46">
        <v>55.3</v>
      </c>
      <c r="T17" s="46">
        <v>55.3</v>
      </c>
      <c r="U17" s="46">
        <v>55.3</v>
      </c>
      <c r="V17" s="46">
        <v>55.3</v>
      </c>
      <c r="W17" s="46">
        <v>55.3</v>
      </c>
      <c r="X17" s="46">
        <v>55.3</v>
      </c>
      <c r="Y17" s="46">
        <v>55.3</v>
      </c>
      <c r="Z17" s="46">
        <v>55.3</v>
      </c>
      <c r="AA17" s="46">
        <v>55.3</v>
      </c>
      <c r="AB17" s="46">
        <v>55.3</v>
      </c>
      <c r="AC17" s="46">
        <v>55.3</v>
      </c>
      <c r="AD17" s="46">
        <v>55.3</v>
      </c>
      <c r="AE17" s="46">
        <v>55.3</v>
      </c>
      <c r="AF17" s="46">
        <v>55.2</v>
      </c>
      <c r="AG17" s="47">
        <v>52.4</v>
      </c>
      <c r="AH17" s="48">
        <f t="shared" si="2"/>
        <v>55.3</v>
      </c>
      <c r="AI17" s="49">
        <f t="shared" si="3"/>
        <v>35.799999999999997</v>
      </c>
      <c r="AK17" s="51"/>
      <c r="AL17" s="54" t="s">
        <v>27</v>
      </c>
      <c r="AM17" s="59">
        <f t="shared" ref="AM17:AR17" si="6">B65</f>
        <v>542</v>
      </c>
      <c r="AN17" s="59">
        <f t="shared" si="6"/>
        <v>542</v>
      </c>
      <c r="AO17" s="59">
        <f t="shared" si="6"/>
        <v>542</v>
      </c>
      <c r="AP17" s="59">
        <f t="shared" si="6"/>
        <v>542</v>
      </c>
      <c r="AQ17" s="59">
        <f t="shared" si="6"/>
        <v>542.6</v>
      </c>
      <c r="AR17" s="59">
        <f t="shared" si="6"/>
        <v>542.6</v>
      </c>
      <c r="AS17" s="59">
        <f>I65</f>
        <v>542.79999999999995</v>
      </c>
      <c r="AT17" s="59">
        <f>K65</f>
        <v>542.79999999999995</v>
      </c>
      <c r="AU17" s="59">
        <f t="shared" ref="AU17:BD17" si="7">M65</f>
        <v>542.5</v>
      </c>
      <c r="AV17" s="59">
        <f t="shared" si="7"/>
        <v>542.5</v>
      </c>
      <c r="AW17" s="59">
        <f t="shared" si="7"/>
        <v>542.5</v>
      </c>
      <c r="AX17" s="59">
        <f t="shared" si="7"/>
        <v>542.5</v>
      </c>
      <c r="AY17" s="59">
        <f t="shared" si="7"/>
        <v>542.5</v>
      </c>
      <c r="AZ17" s="59">
        <f t="shared" si="7"/>
        <v>542.4</v>
      </c>
      <c r="BA17" s="59">
        <f t="shared" si="7"/>
        <v>542.4</v>
      </c>
      <c r="BB17" s="59">
        <f t="shared" si="7"/>
        <v>542.4</v>
      </c>
      <c r="BC17" s="59">
        <f t="shared" si="7"/>
        <v>542.4</v>
      </c>
      <c r="BD17" s="59">
        <f t="shared" si="7"/>
        <v>542.4</v>
      </c>
      <c r="BE17" s="60">
        <f>X65</f>
        <v>542.4</v>
      </c>
      <c r="BF17" s="60">
        <f>Z65</f>
        <v>542.4</v>
      </c>
      <c r="BG17" s="60">
        <f>AB65</f>
        <v>542.4</v>
      </c>
      <c r="BH17" s="60">
        <f>AD65</f>
        <v>542.4</v>
      </c>
      <c r="BI17" s="60">
        <f>AE65</f>
        <v>542.1</v>
      </c>
      <c r="BJ17" s="60">
        <f>AF65</f>
        <v>542.1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</v>
      </c>
      <c r="C18" s="46">
        <v>50</v>
      </c>
      <c r="D18" s="46">
        <v>50</v>
      </c>
      <c r="E18" s="46">
        <v>50</v>
      </c>
      <c r="F18" s="46">
        <v>50</v>
      </c>
      <c r="G18" s="46">
        <v>50</v>
      </c>
      <c r="H18" s="46">
        <v>50</v>
      </c>
      <c r="I18" s="46">
        <v>50</v>
      </c>
      <c r="J18" s="46">
        <v>50</v>
      </c>
      <c r="K18" s="46">
        <v>50</v>
      </c>
      <c r="L18" s="46">
        <v>50</v>
      </c>
      <c r="M18" s="46">
        <v>50</v>
      </c>
      <c r="N18" s="46">
        <v>50</v>
      </c>
      <c r="O18" s="46">
        <v>50</v>
      </c>
      <c r="P18" s="46">
        <v>50</v>
      </c>
      <c r="Q18" s="46">
        <v>50</v>
      </c>
      <c r="R18" s="46">
        <v>50</v>
      </c>
      <c r="S18" s="46">
        <v>50</v>
      </c>
      <c r="T18" s="46">
        <v>50</v>
      </c>
      <c r="U18" s="46">
        <v>50</v>
      </c>
      <c r="V18" s="46">
        <v>50</v>
      </c>
      <c r="W18" s="46">
        <v>50</v>
      </c>
      <c r="X18" s="46">
        <v>50</v>
      </c>
      <c r="Y18" s="46">
        <v>50</v>
      </c>
      <c r="Z18" s="46">
        <v>50</v>
      </c>
      <c r="AA18" s="53">
        <v>50</v>
      </c>
      <c r="AB18" s="53">
        <v>50</v>
      </c>
      <c r="AC18" s="53">
        <v>50</v>
      </c>
      <c r="AD18" s="53">
        <v>50</v>
      </c>
      <c r="AE18" s="53">
        <v>50.4</v>
      </c>
      <c r="AF18" s="53">
        <v>50.4</v>
      </c>
      <c r="AG18" s="50">
        <v>50</v>
      </c>
      <c r="AH18" s="48">
        <f t="shared" si="2"/>
        <v>50.4</v>
      </c>
      <c r="AI18" s="49">
        <f t="shared" si="3"/>
        <v>50</v>
      </c>
      <c r="AK18" s="51"/>
      <c r="AL18" s="54" t="s">
        <v>29</v>
      </c>
      <c r="AM18" s="59">
        <f t="shared" ref="AM18:AR18" si="8">B79</f>
        <v>415.2</v>
      </c>
      <c r="AN18" s="59">
        <f t="shared" si="8"/>
        <v>415.2</v>
      </c>
      <c r="AO18" s="59">
        <f t="shared" si="8"/>
        <v>415.2</v>
      </c>
      <c r="AP18" s="59">
        <f t="shared" si="8"/>
        <v>421.24</v>
      </c>
      <c r="AQ18" s="59">
        <f t="shared" si="8"/>
        <v>421.24</v>
      </c>
      <c r="AR18" s="59">
        <f t="shared" si="8"/>
        <v>421.24</v>
      </c>
      <c r="AS18" s="59">
        <f>I79</f>
        <v>413.44000000000005</v>
      </c>
      <c r="AT18" s="59">
        <f>K79</f>
        <v>414.34000000000003</v>
      </c>
      <c r="AU18" s="59">
        <f t="shared" ref="AU18:BD18" si="9">M79</f>
        <v>382.04</v>
      </c>
      <c r="AV18" s="59">
        <f t="shared" si="9"/>
        <v>391.54</v>
      </c>
      <c r="AW18" s="59">
        <f t="shared" si="9"/>
        <v>411.94</v>
      </c>
      <c r="AX18" s="59">
        <f t="shared" si="9"/>
        <v>412.24</v>
      </c>
      <c r="AY18" s="59">
        <f t="shared" si="9"/>
        <v>412.03999999999996</v>
      </c>
      <c r="AZ18" s="59">
        <f t="shared" si="9"/>
        <v>400.03999999999996</v>
      </c>
      <c r="BA18" s="59">
        <f t="shared" si="9"/>
        <v>394.44</v>
      </c>
      <c r="BB18" s="59">
        <f t="shared" si="9"/>
        <v>392.64</v>
      </c>
      <c r="BC18" s="59">
        <f t="shared" si="9"/>
        <v>376.24</v>
      </c>
      <c r="BD18" s="59">
        <f t="shared" si="9"/>
        <v>381.73999999999995</v>
      </c>
      <c r="BE18" s="60">
        <f>X79</f>
        <v>385.34</v>
      </c>
      <c r="BF18" s="60">
        <f>Z79</f>
        <v>384.34</v>
      </c>
      <c r="BG18" s="60">
        <f>AB79</f>
        <v>374.64</v>
      </c>
      <c r="BH18" s="60">
        <f>AD79</f>
        <v>374.64</v>
      </c>
      <c r="BI18" s="60">
        <f>AE79</f>
        <v>387.34000000000003</v>
      </c>
      <c r="BJ18" s="60">
        <f>AF79</f>
        <v>395.94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50.4</v>
      </c>
      <c r="AN19" s="59">
        <f t="shared" si="10"/>
        <v>45.3</v>
      </c>
      <c r="AO19" s="59">
        <f t="shared" si="10"/>
        <v>45.3</v>
      </c>
      <c r="AP19" s="59">
        <f t="shared" si="10"/>
        <v>46.8</v>
      </c>
      <c r="AQ19" s="59">
        <f t="shared" si="10"/>
        <v>44.3</v>
      </c>
      <c r="AR19" s="59">
        <f t="shared" si="10"/>
        <v>0</v>
      </c>
      <c r="AS19" s="59">
        <f>I95</f>
        <v>0</v>
      </c>
      <c r="AT19" s="59">
        <f>K95</f>
        <v>36.1</v>
      </c>
      <c r="AU19" s="59">
        <f t="shared" ref="AU19:BD19" si="11">M95</f>
        <v>63.3</v>
      </c>
      <c r="AV19" s="59">
        <f t="shared" si="11"/>
        <v>84.3</v>
      </c>
      <c r="AW19" s="59">
        <f t="shared" si="11"/>
        <v>67</v>
      </c>
      <c r="AX19" s="59">
        <f t="shared" si="11"/>
        <v>67.900000000000006</v>
      </c>
      <c r="AY19" s="59">
        <f t="shared" si="11"/>
        <v>99.6</v>
      </c>
      <c r="AZ19" s="59">
        <f t="shared" si="11"/>
        <v>98.199999999999989</v>
      </c>
      <c r="BA19" s="59">
        <f t="shared" si="11"/>
        <v>110.4</v>
      </c>
      <c r="BB19" s="59">
        <f t="shared" si="11"/>
        <v>100.5</v>
      </c>
      <c r="BC19" s="59">
        <f t="shared" si="11"/>
        <v>110.1</v>
      </c>
      <c r="BD19" s="59">
        <f t="shared" si="11"/>
        <v>95.9</v>
      </c>
      <c r="BE19" s="60">
        <f>X95</f>
        <v>58.2</v>
      </c>
      <c r="BF19" s="60">
        <f>Z95</f>
        <v>62.4</v>
      </c>
      <c r="BG19" s="60">
        <f>AB95</f>
        <v>93.6</v>
      </c>
      <c r="BH19" s="60">
        <f>AD95</f>
        <v>88.8</v>
      </c>
      <c r="BI19" s="60">
        <f>AE95</f>
        <v>53.4</v>
      </c>
      <c r="BJ19" s="60">
        <f>AF95</f>
        <v>51.6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44.7</v>
      </c>
      <c r="AF20" s="46">
        <v>44.7</v>
      </c>
      <c r="AG20" s="50">
        <v>44</v>
      </c>
      <c r="AH20" s="48">
        <f t="shared" si="2"/>
        <v>44.7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31.4</v>
      </c>
      <c r="AN20" s="59">
        <f t="shared" si="12"/>
        <v>31.4</v>
      </c>
      <c r="AO20" s="59">
        <f t="shared" si="12"/>
        <v>31.4</v>
      </c>
      <c r="AP20" s="59">
        <f t="shared" si="12"/>
        <v>33.799999999999997</v>
      </c>
      <c r="AQ20" s="59">
        <f t="shared" si="12"/>
        <v>33.799999999999997</v>
      </c>
      <c r="AR20" s="59">
        <f t="shared" si="12"/>
        <v>33.299999999999997</v>
      </c>
      <c r="AS20" s="59">
        <f>I83</f>
        <v>20</v>
      </c>
      <c r="AT20" s="59">
        <f>K83</f>
        <v>31.6</v>
      </c>
      <c r="AU20" s="59">
        <f t="shared" ref="AU20:BD20" si="13">M83</f>
        <v>32.199999999999996</v>
      </c>
      <c r="AV20" s="59">
        <f t="shared" si="13"/>
        <v>31.6</v>
      </c>
      <c r="AW20" s="59">
        <f t="shared" si="13"/>
        <v>31.6</v>
      </c>
      <c r="AX20" s="59">
        <f t="shared" si="13"/>
        <v>20</v>
      </c>
      <c r="AY20" s="59">
        <f t="shared" si="13"/>
        <v>32.799999999999997</v>
      </c>
      <c r="AZ20" s="59">
        <f t="shared" si="13"/>
        <v>33.4</v>
      </c>
      <c r="BA20" s="59">
        <f t="shared" si="13"/>
        <v>34.5</v>
      </c>
      <c r="BB20" s="59">
        <f t="shared" si="13"/>
        <v>34.5</v>
      </c>
      <c r="BC20" s="59">
        <f t="shared" si="13"/>
        <v>34.5</v>
      </c>
      <c r="BD20" s="59">
        <f t="shared" si="13"/>
        <v>34.5</v>
      </c>
      <c r="BE20" s="60">
        <f>X83</f>
        <v>17.600000000000001</v>
      </c>
      <c r="BF20" s="60">
        <f>Z83</f>
        <v>32.799999999999997</v>
      </c>
      <c r="BG20" s="60">
        <f>AB83</f>
        <v>32.300000000000004</v>
      </c>
      <c r="BH20" s="60">
        <f>AD83</f>
        <v>32.1</v>
      </c>
      <c r="BI20" s="60">
        <f>AE83</f>
        <v>32.1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70</v>
      </c>
      <c r="AN21" s="59">
        <f t="shared" si="14"/>
        <v>70</v>
      </c>
      <c r="AO21" s="59">
        <f t="shared" si="14"/>
        <v>70</v>
      </c>
      <c r="AP21" s="59">
        <f t="shared" si="14"/>
        <v>70</v>
      </c>
      <c r="AQ21" s="59">
        <f t="shared" si="14"/>
        <v>70</v>
      </c>
      <c r="AR21" s="59">
        <f t="shared" si="14"/>
        <v>100</v>
      </c>
      <c r="AS21" s="59">
        <f>I101</f>
        <v>100</v>
      </c>
      <c r="AT21" s="59">
        <f>K101</f>
        <v>70</v>
      </c>
      <c r="AU21" s="59">
        <f t="shared" ref="AU21:BD21" si="15">M101</f>
        <v>50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80</v>
      </c>
      <c r="BG21" s="60">
        <f>AB101</f>
        <v>150</v>
      </c>
      <c r="BH21" s="60">
        <f>AD101</f>
        <v>150</v>
      </c>
      <c r="BI21" s="60">
        <f>AE101</f>
        <v>200</v>
      </c>
      <c r="BJ21" s="60">
        <f>AF101</f>
        <v>200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2084.1999999999998</v>
      </c>
      <c r="AN22" s="63">
        <f t="shared" si="16"/>
        <v>2079.1</v>
      </c>
      <c r="AO22" s="63">
        <f t="shared" si="16"/>
        <v>2079.1</v>
      </c>
      <c r="AP22" s="63">
        <f t="shared" si="16"/>
        <v>2112.9399999999996</v>
      </c>
      <c r="AQ22" s="63">
        <f t="shared" si="16"/>
        <v>2118.04</v>
      </c>
      <c r="AR22" s="63">
        <f t="shared" si="16"/>
        <v>2111.2399999999998</v>
      </c>
      <c r="AS22" s="63">
        <f t="shared" si="16"/>
        <v>2130.4399999999996</v>
      </c>
      <c r="AT22" s="63">
        <f t="shared" si="16"/>
        <v>2149.0399999999995</v>
      </c>
      <c r="AU22" s="63">
        <f t="shared" si="16"/>
        <v>2125.64</v>
      </c>
      <c r="AV22" s="63">
        <f t="shared" si="16"/>
        <v>2139.34</v>
      </c>
      <c r="AW22" s="63">
        <f t="shared" si="16"/>
        <v>2121.14</v>
      </c>
      <c r="AX22" s="63">
        <f t="shared" si="16"/>
        <v>2115.7399999999998</v>
      </c>
      <c r="AY22" s="63">
        <f t="shared" si="16"/>
        <v>2113.6400000000003</v>
      </c>
      <c r="AZ22" s="63">
        <f t="shared" si="16"/>
        <v>2087.94</v>
      </c>
      <c r="BA22" s="63">
        <f t="shared" si="16"/>
        <v>2116.34</v>
      </c>
      <c r="BB22" s="63">
        <f t="shared" si="16"/>
        <v>2124.7399999999998</v>
      </c>
      <c r="BC22" s="63">
        <f t="shared" si="16"/>
        <v>2117.94</v>
      </c>
      <c r="BD22" s="63">
        <f t="shared" si="16"/>
        <v>2109.2399999999998</v>
      </c>
      <c r="BE22" s="63">
        <f t="shared" si="16"/>
        <v>2037.6399999999999</v>
      </c>
      <c r="BF22" s="63">
        <f t="shared" si="16"/>
        <v>2136.04</v>
      </c>
      <c r="BG22" s="63">
        <f t="shared" si="16"/>
        <v>2251.64</v>
      </c>
      <c r="BH22" s="63">
        <f t="shared" si="16"/>
        <v>2246.7399999999998</v>
      </c>
      <c r="BI22" s="63">
        <f t="shared" si="16"/>
        <v>2282.84</v>
      </c>
      <c r="BJ22" s="63">
        <f t="shared" si="16"/>
        <v>2287.44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20.6</v>
      </c>
      <c r="C23" s="46">
        <v>20.6</v>
      </c>
      <c r="D23" s="46">
        <v>20.6</v>
      </c>
      <c r="E23" s="46">
        <v>20.6</v>
      </c>
      <c r="F23" s="46">
        <v>20.6</v>
      </c>
      <c r="G23" s="46">
        <v>20.6</v>
      </c>
      <c r="H23" s="46">
        <v>20.6</v>
      </c>
      <c r="I23" s="46">
        <v>20.6</v>
      </c>
      <c r="J23" s="46">
        <v>20.6</v>
      </c>
      <c r="K23" s="46">
        <v>20.6</v>
      </c>
      <c r="L23" s="46">
        <v>20.6</v>
      </c>
      <c r="M23" s="46">
        <v>20.6</v>
      </c>
      <c r="N23" s="46">
        <v>20.6</v>
      </c>
      <c r="O23" s="46">
        <v>20.6</v>
      </c>
      <c r="P23" s="46">
        <v>20.6</v>
      </c>
      <c r="Q23" s="46">
        <v>20.6</v>
      </c>
      <c r="R23" s="46">
        <v>20.6</v>
      </c>
      <c r="S23" s="46">
        <v>20.6</v>
      </c>
      <c r="T23" s="46">
        <v>20.6</v>
      </c>
      <c r="U23" s="46">
        <v>20.6</v>
      </c>
      <c r="V23" s="46">
        <v>20.6</v>
      </c>
      <c r="W23" s="46">
        <v>20.6</v>
      </c>
      <c r="X23" s="46">
        <v>20.6</v>
      </c>
      <c r="Y23" s="46">
        <v>20.6</v>
      </c>
      <c r="Z23" s="46">
        <v>20.6</v>
      </c>
      <c r="AA23" s="46">
        <v>20.6</v>
      </c>
      <c r="AB23" s="46">
        <v>20.6</v>
      </c>
      <c r="AC23" s="46">
        <v>20.6</v>
      </c>
      <c r="AD23" s="46">
        <v>20.6</v>
      </c>
      <c r="AE23" s="46">
        <v>20.6</v>
      </c>
      <c r="AF23" s="46">
        <v>20.6</v>
      </c>
      <c r="AG23" s="50">
        <v>38.46</v>
      </c>
      <c r="AH23" s="48">
        <f t="shared" si="2"/>
        <v>20.6</v>
      </c>
      <c r="AI23" s="49">
        <f t="shared" si="3"/>
        <v>20.6</v>
      </c>
      <c r="AK23" s="51"/>
      <c r="AL23" s="62" t="s">
        <v>39</v>
      </c>
      <c r="AM23" s="63">
        <f t="shared" ref="AM23:AR23" si="17">B110*-1</f>
        <v>-503.3</v>
      </c>
      <c r="AN23" s="63">
        <f t="shared" si="17"/>
        <v>-483.8</v>
      </c>
      <c r="AO23" s="63">
        <f t="shared" si="17"/>
        <v>-489.4</v>
      </c>
      <c r="AP23" s="63">
        <f t="shared" si="17"/>
        <v>-452.7</v>
      </c>
      <c r="AQ23" s="63">
        <f t="shared" si="17"/>
        <v>-494.7</v>
      </c>
      <c r="AR23" s="63">
        <f t="shared" si="17"/>
        <v>-499.8</v>
      </c>
      <c r="AS23" s="63">
        <f>I110*-1</f>
        <v>-491.8</v>
      </c>
      <c r="AT23" s="63">
        <f>K110*-1</f>
        <v>-465</v>
      </c>
      <c r="AU23" s="63">
        <f t="shared" ref="AU23:BD23" si="18">M110*-1</f>
        <v>-434</v>
      </c>
      <c r="AV23" s="63">
        <f t="shared" si="18"/>
        <v>-487</v>
      </c>
      <c r="AW23" s="63">
        <f t="shared" si="18"/>
        <v>-409.8</v>
      </c>
      <c r="AX23" s="63">
        <f t="shared" si="18"/>
        <v>-390</v>
      </c>
      <c r="AY23" s="63">
        <f t="shared" si="18"/>
        <v>-340.4</v>
      </c>
      <c r="AZ23" s="63">
        <f t="shared" si="18"/>
        <v>-307.60000000000002</v>
      </c>
      <c r="BA23" s="63">
        <f t="shared" si="18"/>
        <v>-344.6</v>
      </c>
      <c r="BB23" s="63">
        <f t="shared" si="18"/>
        <v>-324.8</v>
      </c>
      <c r="BC23" s="63">
        <f t="shared" si="18"/>
        <v>-341.6</v>
      </c>
      <c r="BD23" s="63">
        <f t="shared" si="18"/>
        <v>-343.6</v>
      </c>
      <c r="BE23" s="63">
        <f>X110*-1</f>
        <v>-427.6</v>
      </c>
      <c r="BF23" s="63">
        <f>Z110*-1</f>
        <v>-383.6</v>
      </c>
      <c r="BG23" s="63">
        <f>AB110*-1</f>
        <v>-348</v>
      </c>
      <c r="BH23" s="63">
        <f>AD110*-1</f>
        <v>-408</v>
      </c>
      <c r="BI23" s="63">
        <f>AE110*-1</f>
        <v>-453</v>
      </c>
      <c r="BJ23" s="63">
        <f>AF110*-1</f>
        <v>-512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39</v>
      </c>
      <c r="C24" s="46">
        <v>39</v>
      </c>
      <c r="D24" s="46">
        <v>39</v>
      </c>
      <c r="E24" s="46">
        <v>39</v>
      </c>
      <c r="F24" s="46">
        <v>39</v>
      </c>
      <c r="G24" s="46">
        <v>39</v>
      </c>
      <c r="H24" s="46">
        <v>39</v>
      </c>
      <c r="I24" s="46">
        <v>39</v>
      </c>
      <c r="J24" s="46">
        <v>39</v>
      </c>
      <c r="K24" s="46">
        <v>39</v>
      </c>
      <c r="L24" s="46">
        <v>39</v>
      </c>
      <c r="M24" s="46">
        <v>39</v>
      </c>
      <c r="N24" s="46">
        <v>39</v>
      </c>
      <c r="O24" s="46">
        <v>39</v>
      </c>
      <c r="P24" s="46">
        <v>39</v>
      </c>
      <c r="Q24" s="46">
        <v>39</v>
      </c>
      <c r="R24" s="46">
        <v>39</v>
      </c>
      <c r="S24" s="46">
        <v>39</v>
      </c>
      <c r="T24" s="46">
        <v>39</v>
      </c>
      <c r="U24" s="46">
        <v>39</v>
      </c>
      <c r="V24" s="46">
        <v>39</v>
      </c>
      <c r="W24" s="46">
        <v>39</v>
      </c>
      <c r="X24" s="46">
        <v>39</v>
      </c>
      <c r="Y24" s="46">
        <v>39</v>
      </c>
      <c r="Z24" s="46">
        <v>39</v>
      </c>
      <c r="AA24" s="46">
        <v>39</v>
      </c>
      <c r="AB24" s="46">
        <v>39</v>
      </c>
      <c r="AC24" s="46">
        <v>39</v>
      </c>
      <c r="AD24" s="46">
        <v>39</v>
      </c>
      <c r="AE24" s="46">
        <v>39</v>
      </c>
      <c r="AF24" s="46">
        <v>39</v>
      </c>
      <c r="AG24" s="50">
        <v>36</v>
      </c>
      <c r="AH24" s="48">
        <f t="shared" si="2"/>
        <v>39</v>
      </c>
      <c r="AI24" s="49">
        <f t="shared" si="3"/>
        <v>39</v>
      </c>
      <c r="AK24" s="51"/>
      <c r="AL24" s="62" t="s">
        <v>41</v>
      </c>
      <c r="AM24" s="63">
        <f t="shared" ref="AM24:BJ24" si="19">AM22+AM23</f>
        <v>1580.8999999999999</v>
      </c>
      <c r="AN24" s="63">
        <f t="shared" si="19"/>
        <v>1595.3</v>
      </c>
      <c r="AO24" s="63">
        <f t="shared" si="19"/>
        <v>1589.6999999999998</v>
      </c>
      <c r="AP24" s="63">
        <f t="shared" si="19"/>
        <v>1660.2399999999996</v>
      </c>
      <c r="AQ24" s="63">
        <f t="shared" si="19"/>
        <v>1623.34</v>
      </c>
      <c r="AR24" s="63">
        <f t="shared" si="19"/>
        <v>1611.4399999999998</v>
      </c>
      <c r="AS24" s="63">
        <f t="shared" si="19"/>
        <v>1638.6399999999996</v>
      </c>
      <c r="AT24" s="63">
        <f t="shared" si="19"/>
        <v>1684.0399999999995</v>
      </c>
      <c r="AU24" s="63">
        <f t="shared" si="19"/>
        <v>1691.6399999999999</v>
      </c>
      <c r="AV24" s="63">
        <f t="shared" si="19"/>
        <v>1652.3400000000001</v>
      </c>
      <c r="AW24" s="63">
        <f t="shared" si="19"/>
        <v>1711.34</v>
      </c>
      <c r="AX24" s="63">
        <f t="shared" si="19"/>
        <v>1725.7399999999998</v>
      </c>
      <c r="AY24" s="63">
        <f t="shared" si="19"/>
        <v>1773.2400000000002</v>
      </c>
      <c r="AZ24" s="63">
        <f t="shared" si="19"/>
        <v>1780.3400000000001</v>
      </c>
      <c r="BA24" s="63">
        <f t="shared" si="19"/>
        <v>1771.7400000000002</v>
      </c>
      <c r="BB24" s="63">
        <f t="shared" si="19"/>
        <v>1799.9399999999998</v>
      </c>
      <c r="BC24" s="63">
        <f t="shared" si="19"/>
        <v>1776.3400000000001</v>
      </c>
      <c r="BD24" s="63">
        <f t="shared" si="19"/>
        <v>1765.6399999999999</v>
      </c>
      <c r="BE24" s="63">
        <f t="shared" si="19"/>
        <v>1610.04</v>
      </c>
      <c r="BF24" s="63">
        <f t="shared" si="19"/>
        <v>1752.44</v>
      </c>
      <c r="BG24" s="63">
        <f t="shared" si="19"/>
        <v>1903.6399999999999</v>
      </c>
      <c r="BH24" s="63">
        <f t="shared" si="19"/>
        <v>1838.7399999999998</v>
      </c>
      <c r="BI24" s="63">
        <f t="shared" si="19"/>
        <v>1829.8400000000001</v>
      </c>
      <c r="BJ24" s="63">
        <f t="shared" si="19"/>
        <v>1775.44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27</v>
      </c>
      <c r="C25" s="46">
        <v>27</v>
      </c>
      <c r="D25" s="46">
        <v>27</v>
      </c>
      <c r="E25" s="46">
        <v>27</v>
      </c>
      <c r="F25" s="46">
        <v>27</v>
      </c>
      <c r="G25" s="46">
        <v>27</v>
      </c>
      <c r="H25" s="46">
        <v>27</v>
      </c>
      <c r="I25" s="46">
        <v>27</v>
      </c>
      <c r="J25" s="46">
        <v>27</v>
      </c>
      <c r="K25" s="46">
        <v>27</v>
      </c>
      <c r="L25" s="46">
        <v>27</v>
      </c>
      <c r="M25" s="46">
        <v>27</v>
      </c>
      <c r="N25" s="46">
        <v>27</v>
      </c>
      <c r="O25" s="46">
        <v>21</v>
      </c>
      <c r="P25" s="46">
        <v>21</v>
      </c>
      <c r="Q25" s="46">
        <v>21</v>
      </c>
      <c r="R25" s="46">
        <v>21</v>
      </c>
      <c r="S25" s="46">
        <v>21</v>
      </c>
      <c r="T25" s="46">
        <v>21</v>
      </c>
      <c r="U25" s="46">
        <v>21</v>
      </c>
      <c r="V25" s="46">
        <v>21</v>
      </c>
      <c r="W25" s="46">
        <v>21</v>
      </c>
      <c r="X25" s="46">
        <v>21</v>
      </c>
      <c r="Y25" s="46">
        <v>21</v>
      </c>
      <c r="Z25" s="46">
        <v>21</v>
      </c>
      <c r="AA25" s="46">
        <v>21</v>
      </c>
      <c r="AB25" s="46">
        <v>21</v>
      </c>
      <c r="AC25" s="46">
        <v>21</v>
      </c>
      <c r="AD25" s="46">
        <v>21</v>
      </c>
      <c r="AE25" s="46">
        <v>27.2</v>
      </c>
      <c r="AF25" s="46">
        <v>27.2</v>
      </c>
      <c r="AG25" s="61">
        <v>30</v>
      </c>
      <c r="AH25" s="48">
        <f t="shared" si="2"/>
        <v>27.2</v>
      </c>
      <c r="AI25" s="49">
        <f t="shared" si="3"/>
        <v>21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20.100000000000001</v>
      </c>
      <c r="C26" s="46">
        <v>20.100000000000001</v>
      </c>
      <c r="D26" s="46">
        <v>20.100000000000001</v>
      </c>
      <c r="E26" s="46">
        <v>26</v>
      </c>
      <c r="F26" s="46">
        <v>26</v>
      </c>
      <c r="G26" s="46">
        <v>26</v>
      </c>
      <c r="H26" s="46">
        <v>33</v>
      </c>
      <c r="I26" s="46">
        <v>33</v>
      </c>
      <c r="J26" s="46">
        <v>33</v>
      </c>
      <c r="K26" s="46">
        <v>33</v>
      </c>
      <c r="L26" s="46">
        <v>33</v>
      </c>
      <c r="M26" s="46">
        <v>33</v>
      </c>
      <c r="N26" s="46">
        <v>33</v>
      </c>
      <c r="O26" s="46">
        <v>33</v>
      </c>
      <c r="P26" s="46">
        <v>33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25</v>
      </c>
      <c r="AF26" s="46">
        <v>33</v>
      </c>
      <c r="AG26" s="50">
        <v>24.2</v>
      </c>
      <c r="AH26" s="48">
        <f t="shared" si="2"/>
        <v>33</v>
      </c>
      <c r="AI26" s="49">
        <f t="shared" si="3"/>
        <v>20.100000000000001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16.399999999999999</v>
      </c>
      <c r="C27" s="46">
        <v>16.399999999999999</v>
      </c>
      <c r="D27" s="46">
        <v>16.399999999999999</v>
      </c>
      <c r="E27" s="46">
        <v>16.399999999999999</v>
      </c>
      <c r="F27" s="46">
        <v>16.399999999999999</v>
      </c>
      <c r="G27" s="46">
        <v>16.399999999999999</v>
      </c>
      <c r="H27" s="46">
        <v>16.399999999999999</v>
      </c>
      <c r="I27" s="46">
        <v>16.399999999999999</v>
      </c>
      <c r="J27" s="46">
        <v>16.399999999999999</v>
      </c>
      <c r="K27" s="46">
        <v>16.399999999999999</v>
      </c>
      <c r="L27" s="46">
        <v>16.399999999999999</v>
      </c>
      <c r="M27" s="46">
        <v>16.399999999999999</v>
      </c>
      <c r="N27" s="46">
        <v>16.399999999999999</v>
      </c>
      <c r="O27" s="46">
        <v>16.399999999999999</v>
      </c>
      <c r="P27" s="46">
        <v>16.399999999999999</v>
      </c>
      <c r="Q27" s="46">
        <v>16.399999999999999</v>
      </c>
      <c r="R27" s="46">
        <v>16.399999999999999</v>
      </c>
      <c r="S27" s="46">
        <v>16.399999999999999</v>
      </c>
      <c r="T27" s="46">
        <v>16.399999999999999</v>
      </c>
      <c r="U27" s="46">
        <v>16.399999999999999</v>
      </c>
      <c r="V27" s="46">
        <v>16.399999999999999</v>
      </c>
      <c r="W27" s="46">
        <v>16.399999999999999</v>
      </c>
      <c r="X27" s="46">
        <v>16.399999999999999</v>
      </c>
      <c r="Y27" s="46">
        <v>16.399999999999999</v>
      </c>
      <c r="Z27" s="46">
        <v>16.399999999999999</v>
      </c>
      <c r="AA27" s="46">
        <v>16.399999999999999</v>
      </c>
      <c r="AB27" s="46">
        <v>16.399999999999999</v>
      </c>
      <c r="AC27" s="46">
        <v>16.399999999999999</v>
      </c>
      <c r="AD27" s="46">
        <v>16.399999999999999</v>
      </c>
      <c r="AE27" s="46">
        <v>27.6</v>
      </c>
      <c r="AF27" s="46">
        <v>27.6</v>
      </c>
      <c r="AG27" s="50">
        <v>28</v>
      </c>
      <c r="AH27" s="48">
        <f t="shared" si="2"/>
        <v>27.6</v>
      </c>
      <c r="AI27" s="49">
        <f t="shared" si="3"/>
        <v>16.399999999999999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27.5</v>
      </c>
      <c r="C28" s="46">
        <v>27.5</v>
      </c>
      <c r="D28" s="46">
        <v>27.5</v>
      </c>
      <c r="E28" s="46">
        <v>27.5</v>
      </c>
      <c r="F28" s="46">
        <v>27.5</v>
      </c>
      <c r="G28" s="46">
        <v>27.5</v>
      </c>
      <c r="H28" s="46">
        <v>27.5</v>
      </c>
      <c r="I28" s="46">
        <v>27.5</v>
      </c>
      <c r="J28" s="46">
        <v>27.5</v>
      </c>
      <c r="K28" s="46">
        <v>27.5</v>
      </c>
      <c r="L28" s="46">
        <v>27.5</v>
      </c>
      <c r="M28" s="46">
        <v>27.5</v>
      </c>
      <c r="N28" s="46">
        <v>27.5</v>
      </c>
      <c r="O28" s="46">
        <v>27.5</v>
      </c>
      <c r="P28" s="46">
        <v>27.5</v>
      </c>
      <c r="Q28" s="46">
        <v>27.5</v>
      </c>
      <c r="R28" s="46">
        <v>27.5</v>
      </c>
      <c r="S28" s="46">
        <v>27.5</v>
      </c>
      <c r="T28" s="46">
        <v>27.5</v>
      </c>
      <c r="U28" s="46">
        <v>27.5</v>
      </c>
      <c r="V28" s="46">
        <v>27.5</v>
      </c>
      <c r="W28" s="46">
        <v>27.5</v>
      </c>
      <c r="X28" s="46">
        <v>27.5</v>
      </c>
      <c r="Y28" s="46">
        <v>27.5</v>
      </c>
      <c r="Z28" s="46">
        <v>27.5</v>
      </c>
      <c r="AA28" s="46">
        <v>27.5</v>
      </c>
      <c r="AB28" s="46">
        <v>27.5</v>
      </c>
      <c r="AC28" s="46">
        <v>27.5</v>
      </c>
      <c r="AD28" s="46">
        <v>27.5</v>
      </c>
      <c r="AE28" s="46">
        <v>26.3</v>
      </c>
      <c r="AF28" s="46">
        <v>26.3</v>
      </c>
      <c r="AG28" s="61">
        <v>30</v>
      </c>
      <c r="AH28" s="48">
        <f t="shared" si="2"/>
        <v>27.5</v>
      </c>
      <c r="AI28" s="49">
        <f t="shared" si="3"/>
        <v>26.3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>
        <v>26</v>
      </c>
      <c r="D29" s="46">
        <v>26</v>
      </c>
      <c r="E29" s="46">
        <v>26</v>
      </c>
      <c r="F29" s="46">
        <v>26</v>
      </c>
      <c r="G29" s="46">
        <v>26</v>
      </c>
      <c r="H29" s="46">
        <v>26</v>
      </c>
      <c r="I29" s="46">
        <v>26</v>
      </c>
      <c r="J29" s="46">
        <v>26</v>
      </c>
      <c r="K29" s="46">
        <v>26</v>
      </c>
      <c r="L29" s="46">
        <v>26</v>
      </c>
      <c r="M29" s="46">
        <v>26</v>
      </c>
      <c r="N29" s="46">
        <v>26</v>
      </c>
      <c r="O29" s="46">
        <v>26</v>
      </c>
      <c r="P29" s="46">
        <v>26</v>
      </c>
      <c r="Q29" s="46">
        <v>26</v>
      </c>
      <c r="R29" s="46">
        <v>26</v>
      </c>
      <c r="S29" s="46">
        <v>26</v>
      </c>
      <c r="T29" s="46">
        <v>26</v>
      </c>
      <c r="U29" s="46">
        <v>26</v>
      </c>
      <c r="V29" s="46">
        <v>26</v>
      </c>
      <c r="W29" s="46">
        <v>26</v>
      </c>
      <c r="X29" s="46">
        <v>26</v>
      </c>
      <c r="Y29" s="46">
        <v>26</v>
      </c>
      <c r="Z29" s="46">
        <v>26</v>
      </c>
      <c r="AA29" s="46">
        <v>26</v>
      </c>
      <c r="AB29" s="46">
        <v>26</v>
      </c>
      <c r="AC29" s="46">
        <v>26</v>
      </c>
      <c r="AD29" s="46">
        <v>26</v>
      </c>
      <c r="AE29" s="46">
        <v>26</v>
      </c>
      <c r="AF29" s="46">
        <v>26</v>
      </c>
      <c r="AG29" s="50">
        <v>25</v>
      </c>
      <c r="AH29" s="48">
        <f t="shared" si="2"/>
        <v>26</v>
      </c>
      <c r="AI29" s="49">
        <f t="shared" si="3"/>
        <v>26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15</v>
      </c>
      <c r="C31" s="46">
        <v>15</v>
      </c>
      <c r="D31" s="46">
        <v>15</v>
      </c>
      <c r="E31" s="46">
        <v>15</v>
      </c>
      <c r="F31" s="46">
        <v>15</v>
      </c>
      <c r="G31" s="46">
        <v>15</v>
      </c>
      <c r="H31" s="46">
        <v>15</v>
      </c>
      <c r="I31" s="46">
        <v>15</v>
      </c>
      <c r="J31" s="46">
        <v>15</v>
      </c>
      <c r="K31" s="46">
        <v>15</v>
      </c>
      <c r="L31" s="46">
        <v>15</v>
      </c>
      <c r="M31" s="46">
        <v>15</v>
      </c>
      <c r="N31" s="46">
        <v>15</v>
      </c>
      <c r="O31" s="46">
        <v>15</v>
      </c>
      <c r="P31" s="46">
        <v>15</v>
      </c>
      <c r="Q31" s="46">
        <v>15</v>
      </c>
      <c r="R31" s="46">
        <v>15</v>
      </c>
      <c r="S31" s="46">
        <v>15</v>
      </c>
      <c r="T31" s="46">
        <v>15</v>
      </c>
      <c r="U31" s="46">
        <v>15</v>
      </c>
      <c r="V31" s="46">
        <v>15</v>
      </c>
      <c r="W31" s="46">
        <v>15</v>
      </c>
      <c r="X31" s="46">
        <v>15</v>
      </c>
      <c r="Y31" s="46">
        <v>15</v>
      </c>
      <c r="Z31" s="46">
        <v>15</v>
      </c>
      <c r="AA31" s="46">
        <v>15</v>
      </c>
      <c r="AB31" s="46">
        <v>15</v>
      </c>
      <c r="AC31" s="46">
        <v>15</v>
      </c>
      <c r="AD31" s="46">
        <v>15</v>
      </c>
      <c r="AE31" s="46">
        <v>15</v>
      </c>
      <c r="AF31" s="46">
        <v>15</v>
      </c>
      <c r="AG31" s="50">
        <v>25</v>
      </c>
      <c r="AH31" s="48">
        <f t="shared" si="2"/>
        <v>15</v>
      </c>
      <c r="AI31" s="49">
        <f t="shared" si="3"/>
        <v>15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</v>
      </c>
      <c r="C32" s="46">
        <v>25</v>
      </c>
      <c r="D32" s="46">
        <v>25</v>
      </c>
      <c r="E32" s="46">
        <v>25</v>
      </c>
      <c r="F32" s="46">
        <v>25</v>
      </c>
      <c r="G32" s="46">
        <v>25</v>
      </c>
      <c r="H32" s="46">
        <v>25</v>
      </c>
      <c r="I32" s="46">
        <v>25</v>
      </c>
      <c r="J32" s="46">
        <v>25</v>
      </c>
      <c r="K32" s="46">
        <v>25</v>
      </c>
      <c r="L32" s="46">
        <v>25</v>
      </c>
      <c r="M32" s="46">
        <v>25</v>
      </c>
      <c r="N32" s="46">
        <v>25</v>
      </c>
      <c r="O32" s="46">
        <v>25</v>
      </c>
      <c r="P32" s="46">
        <v>25</v>
      </c>
      <c r="Q32" s="46">
        <v>25</v>
      </c>
      <c r="R32" s="46">
        <v>25</v>
      </c>
      <c r="S32" s="46">
        <v>25</v>
      </c>
      <c r="T32" s="46">
        <v>25</v>
      </c>
      <c r="U32" s="46">
        <v>25</v>
      </c>
      <c r="V32" s="46">
        <v>25</v>
      </c>
      <c r="W32" s="46">
        <v>25</v>
      </c>
      <c r="X32" s="46">
        <v>25</v>
      </c>
      <c r="Y32" s="46">
        <v>25</v>
      </c>
      <c r="Z32" s="46">
        <v>25</v>
      </c>
      <c r="AA32" s="46">
        <v>25</v>
      </c>
      <c r="AB32" s="46">
        <v>25</v>
      </c>
      <c r="AC32" s="46">
        <v>25</v>
      </c>
      <c r="AD32" s="46">
        <v>25</v>
      </c>
      <c r="AE32" s="46">
        <v>25.9</v>
      </c>
      <c r="AF32" s="46">
        <v>25</v>
      </c>
      <c r="AG32" s="50">
        <v>25</v>
      </c>
      <c r="AH32" s="48">
        <f t="shared" si="2"/>
        <v>25.9</v>
      </c>
      <c r="AI32" s="49">
        <f t="shared" si="3"/>
        <v>25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13.4</v>
      </c>
      <c r="C33" s="46">
        <v>13.4</v>
      </c>
      <c r="D33" s="46">
        <v>13.4</v>
      </c>
      <c r="E33" s="46">
        <v>13.4</v>
      </c>
      <c r="F33" s="46">
        <v>13.4</v>
      </c>
      <c r="G33" s="46">
        <v>13.4</v>
      </c>
      <c r="H33" s="46">
        <v>13.4</v>
      </c>
      <c r="I33" s="46">
        <v>13.4</v>
      </c>
      <c r="J33" s="46">
        <v>13.4</v>
      </c>
      <c r="K33" s="46">
        <v>13.4</v>
      </c>
      <c r="L33" s="46">
        <v>13.4</v>
      </c>
      <c r="M33" s="46">
        <v>13.4</v>
      </c>
      <c r="N33" s="46">
        <v>13.4</v>
      </c>
      <c r="O33" s="46">
        <v>13.4</v>
      </c>
      <c r="P33" s="46">
        <v>13.4</v>
      </c>
      <c r="Q33" s="46">
        <v>13.4</v>
      </c>
      <c r="R33" s="46">
        <v>13.4</v>
      </c>
      <c r="S33" s="46">
        <v>13.4</v>
      </c>
      <c r="T33" s="46">
        <v>13.4</v>
      </c>
      <c r="U33" s="46">
        <v>13.4</v>
      </c>
      <c r="V33" s="46">
        <v>13.4</v>
      </c>
      <c r="W33" s="46">
        <v>13.4</v>
      </c>
      <c r="X33" s="46">
        <v>13.4</v>
      </c>
      <c r="Y33" s="46">
        <v>13.4</v>
      </c>
      <c r="Z33" s="46">
        <v>13.4</v>
      </c>
      <c r="AA33" s="46">
        <v>13.4</v>
      </c>
      <c r="AB33" s="46">
        <v>13.4</v>
      </c>
      <c r="AC33" s="46">
        <v>13.4</v>
      </c>
      <c r="AD33" s="46">
        <v>13.4</v>
      </c>
      <c r="AE33" s="46">
        <v>17.2</v>
      </c>
      <c r="AF33" s="46">
        <v>24.5</v>
      </c>
      <c r="AG33" s="50">
        <v>23.5</v>
      </c>
      <c r="AH33" s="48">
        <f t="shared" si="2"/>
        <v>24.5</v>
      </c>
      <c r="AI33" s="49">
        <f t="shared" si="3"/>
        <v>13.4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16.600000000000001</v>
      </c>
      <c r="C37" s="46">
        <v>16.600000000000001</v>
      </c>
      <c r="D37" s="46">
        <v>16.600000000000001</v>
      </c>
      <c r="E37" s="46">
        <v>16.600000000000001</v>
      </c>
      <c r="F37" s="46">
        <v>16.600000000000001</v>
      </c>
      <c r="G37" s="46">
        <v>16.600000000000001</v>
      </c>
      <c r="H37" s="46">
        <v>16.600000000000001</v>
      </c>
      <c r="I37" s="46">
        <v>16.600000000000001</v>
      </c>
      <c r="J37" s="46">
        <v>16.600000000000001</v>
      </c>
      <c r="K37" s="46">
        <v>16.600000000000001</v>
      </c>
      <c r="L37" s="46">
        <v>16.600000000000001</v>
      </c>
      <c r="M37" s="46">
        <v>16.600000000000001</v>
      </c>
      <c r="N37" s="46">
        <v>16.600000000000001</v>
      </c>
      <c r="O37" s="46">
        <v>16.600000000000001</v>
      </c>
      <c r="P37" s="46">
        <v>16.600000000000001</v>
      </c>
      <c r="Q37" s="46">
        <v>16.600000000000001</v>
      </c>
      <c r="R37" s="46">
        <v>16.600000000000001</v>
      </c>
      <c r="S37" s="46">
        <v>16.600000000000001</v>
      </c>
      <c r="T37" s="46">
        <v>16.600000000000001</v>
      </c>
      <c r="U37" s="46">
        <v>16.600000000000001</v>
      </c>
      <c r="V37" s="46">
        <v>16.600000000000001</v>
      </c>
      <c r="W37" s="46">
        <v>16.600000000000001</v>
      </c>
      <c r="X37" s="46">
        <v>16.600000000000001</v>
      </c>
      <c r="Y37" s="46">
        <v>16.600000000000001</v>
      </c>
      <c r="Z37" s="46">
        <v>16.600000000000001</v>
      </c>
      <c r="AA37" s="46">
        <v>16.600000000000001</v>
      </c>
      <c r="AB37" s="46">
        <v>16.600000000000001</v>
      </c>
      <c r="AC37" s="46">
        <v>16.600000000000001</v>
      </c>
      <c r="AD37" s="46">
        <v>16.600000000000001</v>
      </c>
      <c r="AE37" s="46">
        <v>12</v>
      </c>
      <c r="AF37" s="46">
        <v>11.6</v>
      </c>
      <c r="AG37" s="50">
        <v>22</v>
      </c>
      <c r="AH37" s="48">
        <f t="shared" si="2"/>
        <v>16.600000000000001</v>
      </c>
      <c r="AI37" s="49">
        <f t="shared" si="3"/>
        <v>11.6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>
        <v>20</v>
      </c>
      <c r="D38" s="46">
        <v>20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20.399999999999999</v>
      </c>
      <c r="AF38" s="46">
        <v>20.3</v>
      </c>
      <c r="AG38" s="50">
        <v>20</v>
      </c>
      <c r="AH38" s="48">
        <f t="shared" si="2"/>
        <v>20.399999999999999</v>
      </c>
      <c r="AI38" s="49">
        <f t="shared" si="3"/>
        <v>20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14</v>
      </c>
      <c r="C40" s="46">
        <v>14</v>
      </c>
      <c r="D40" s="46">
        <v>14</v>
      </c>
      <c r="E40" s="46">
        <v>14</v>
      </c>
      <c r="F40" s="46">
        <v>14</v>
      </c>
      <c r="G40" s="46">
        <v>14</v>
      </c>
      <c r="H40" s="46">
        <v>14</v>
      </c>
      <c r="I40" s="46">
        <v>14</v>
      </c>
      <c r="J40" s="46">
        <v>14</v>
      </c>
      <c r="K40" s="46">
        <v>14</v>
      </c>
      <c r="L40" s="46">
        <v>14</v>
      </c>
      <c r="M40" s="46">
        <v>14</v>
      </c>
      <c r="N40" s="46">
        <v>14</v>
      </c>
      <c r="O40" s="46">
        <v>14</v>
      </c>
      <c r="P40" s="46">
        <v>14</v>
      </c>
      <c r="Q40" s="46">
        <v>14</v>
      </c>
      <c r="R40" s="46">
        <v>14</v>
      </c>
      <c r="S40" s="46">
        <v>14</v>
      </c>
      <c r="T40" s="46">
        <v>14</v>
      </c>
      <c r="U40" s="46">
        <v>14</v>
      </c>
      <c r="V40" s="46">
        <v>14</v>
      </c>
      <c r="W40" s="46">
        <v>14</v>
      </c>
      <c r="X40" s="46">
        <v>14</v>
      </c>
      <c r="Y40" s="46">
        <v>14</v>
      </c>
      <c r="Z40" s="46">
        <v>14</v>
      </c>
      <c r="AA40" s="46">
        <v>14</v>
      </c>
      <c r="AB40" s="46">
        <v>14</v>
      </c>
      <c r="AC40" s="46">
        <v>14</v>
      </c>
      <c r="AD40" s="46">
        <v>14</v>
      </c>
      <c r="AE40" s="46">
        <v>14</v>
      </c>
      <c r="AF40" s="46">
        <v>14</v>
      </c>
      <c r="AG40" s="50">
        <v>18</v>
      </c>
      <c r="AH40" s="48">
        <f t="shared" si="2"/>
        <v>14</v>
      </c>
      <c r="AI40" s="49">
        <f t="shared" si="3"/>
        <v>14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0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50">
        <v>15.33</v>
      </c>
      <c r="AH41" s="48">
        <f t="shared" si="2"/>
        <v>0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>
        <v>7</v>
      </c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>
        <v>7</v>
      </c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>
        <v>7</v>
      </c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</v>
      </c>
      <c r="C46" s="46">
        <v>5</v>
      </c>
      <c r="D46" s="46">
        <v>5</v>
      </c>
      <c r="E46" s="46">
        <v>5</v>
      </c>
      <c r="F46" s="46">
        <v>5</v>
      </c>
      <c r="G46" s="46">
        <v>5</v>
      </c>
      <c r="H46" s="46">
        <v>5</v>
      </c>
      <c r="I46" s="46">
        <v>5</v>
      </c>
      <c r="J46" s="46">
        <v>5</v>
      </c>
      <c r="K46" s="46">
        <v>5</v>
      </c>
      <c r="L46" s="46">
        <v>5</v>
      </c>
      <c r="M46" s="46">
        <v>5</v>
      </c>
      <c r="N46" s="46">
        <v>5</v>
      </c>
      <c r="O46" s="46">
        <v>5</v>
      </c>
      <c r="P46" s="46">
        <v>5</v>
      </c>
      <c r="Q46" s="46">
        <v>5</v>
      </c>
      <c r="R46" s="46">
        <v>5</v>
      </c>
      <c r="S46" s="46">
        <v>5</v>
      </c>
      <c r="T46" s="46">
        <v>5</v>
      </c>
      <c r="U46" s="46">
        <v>5</v>
      </c>
      <c r="V46" s="46">
        <v>5</v>
      </c>
      <c r="W46" s="46">
        <v>5</v>
      </c>
      <c r="X46" s="46">
        <v>5</v>
      </c>
      <c r="Y46" s="46">
        <v>5</v>
      </c>
      <c r="Z46" s="46">
        <v>5</v>
      </c>
      <c r="AA46" s="46">
        <v>5</v>
      </c>
      <c r="AB46" s="46">
        <v>5</v>
      </c>
      <c r="AC46" s="46">
        <v>5</v>
      </c>
      <c r="AD46" s="46">
        <v>5</v>
      </c>
      <c r="AE46" s="46">
        <v>5</v>
      </c>
      <c r="AF46" s="46">
        <v>5</v>
      </c>
      <c r="AG46" s="50">
        <v>14</v>
      </c>
      <c r="AH46" s="48">
        <f t="shared" si="2"/>
        <v>5</v>
      </c>
      <c r="AI46" s="49">
        <f t="shared" si="3"/>
        <v>5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11</v>
      </c>
      <c r="C49" s="46">
        <v>11</v>
      </c>
      <c r="D49" s="46">
        <v>11</v>
      </c>
      <c r="E49" s="46">
        <v>11</v>
      </c>
      <c r="F49" s="46">
        <v>11</v>
      </c>
      <c r="G49" s="46">
        <v>11</v>
      </c>
      <c r="H49" s="46">
        <v>11</v>
      </c>
      <c r="I49" s="46">
        <v>11</v>
      </c>
      <c r="J49" s="46">
        <v>11</v>
      </c>
      <c r="K49" s="46">
        <v>11</v>
      </c>
      <c r="L49" s="46">
        <v>11</v>
      </c>
      <c r="M49" s="46">
        <v>11</v>
      </c>
      <c r="N49" s="46">
        <v>11</v>
      </c>
      <c r="O49" s="46">
        <v>11</v>
      </c>
      <c r="P49" s="46">
        <v>11</v>
      </c>
      <c r="Q49" s="46">
        <v>11</v>
      </c>
      <c r="R49" s="46">
        <v>11</v>
      </c>
      <c r="S49" s="46">
        <v>11</v>
      </c>
      <c r="T49" s="46">
        <v>11</v>
      </c>
      <c r="U49" s="46">
        <v>11</v>
      </c>
      <c r="V49" s="46">
        <v>11</v>
      </c>
      <c r="W49" s="46">
        <v>11</v>
      </c>
      <c r="X49" s="46">
        <v>11</v>
      </c>
      <c r="Y49" s="46">
        <v>11</v>
      </c>
      <c r="Z49" s="46">
        <v>11</v>
      </c>
      <c r="AA49" s="46">
        <v>11</v>
      </c>
      <c r="AB49" s="46">
        <v>11</v>
      </c>
      <c r="AC49" s="46">
        <v>11</v>
      </c>
      <c r="AD49" s="46">
        <v>11</v>
      </c>
      <c r="AE49" s="46">
        <v>11</v>
      </c>
      <c r="AF49" s="46">
        <v>11</v>
      </c>
      <c r="AG49" s="50">
        <v>12</v>
      </c>
      <c r="AH49" s="48">
        <f t="shared" si="2"/>
        <v>11</v>
      </c>
      <c r="AI49" s="49">
        <f t="shared" si="3"/>
        <v>11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2</v>
      </c>
      <c r="C50" s="46">
        <v>2</v>
      </c>
      <c r="D50" s="46">
        <v>2</v>
      </c>
      <c r="E50" s="46">
        <v>2</v>
      </c>
      <c r="F50" s="46">
        <v>2</v>
      </c>
      <c r="G50" s="46">
        <v>2</v>
      </c>
      <c r="H50" s="46">
        <v>2</v>
      </c>
      <c r="I50" s="46">
        <v>2</v>
      </c>
      <c r="J50" s="46">
        <v>2</v>
      </c>
      <c r="K50" s="46">
        <v>2</v>
      </c>
      <c r="L50" s="46">
        <v>2</v>
      </c>
      <c r="M50" s="46">
        <v>2</v>
      </c>
      <c r="N50" s="46">
        <v>2</v>
      </c>
      <c r="O50" s="46">
        <v>2</v>
      </c>
      <c r="P50" s="46">
        <v>2</v>
      </c>
      <c r="Q50" s="46">
        <v>2</v>
      </c>
      <c r="R50" s="46">
        <v>2</v>
      </c>
      <c r="S50" s="46">
        <v>2</v>
      </c>
      <c r="T50" s="46">
        <v>2</v>
      </c>
      <c r="U50" s="46">
        <v>2</v>
      </c>
      <c r="V50" s="46">
        <v>2</v>
      </c>
      <c r="W50" s="46">
        <v>2</v>
      </c>
      <c r="X50" s="46">
        <v>2</v>
      </c>
      <c r="Y50" s="46">
        <v>2</v>
      </c>
      <c r="Z50" s="46">
        <v>2</v>
      </c>
      <c r="AA50" s="46">
        <v>2</v>
      </c>
      <c r="AB50" s="46">
        <v>2</v>
      </c>
      <c r="AC50" s="46">
        <v>2</v>
      </c>
      <c r="AD50" s="46">
        <v>2</v>
      </c>
      <c r="AE50" s="46">
        <v>2</v>
      </c>
      <c r="AF50" s="46">
        <v>2</v>
      </c>
      <c r="AG50" s="50">
        <v>12</v>
      </c>
      <c r="AH50" s="48">
        <f t="shared" si="2"/>
        <v>2</v>
      </c>
      <c r="AI50" s="49">
        <f t="shared" si="3"/>
        <v>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121.5</v>
      </c>
      <c r="C60" s="68">
        <v>121.5</v>
      </c>
      <c r="D60" s="68">
        <v>121.5</v>
      </c>
      <c r="E60" s="68">
        <f>36.5+86.7</f>
        <v>123.2</v>
      </c>
      <c r="F60" s="68">
        <f>34.1+84.7</f>
        <v>118.80000000000001</v>
      </c>
      <c r="G60" s="68">
        <f>36.7+85.8</f>
        <v>122.5</v>
      </c>
      <c r="H60" s="68">
        <f>32.2+72.5</f>
        <v>104.7</v>
      </c>
      <c r="I60" s="68">
        <f>34.3+80.7</f>
        <v>115</v>
      </c>
      <c r="J60" s="68">
        <f>34.3+80.7</f>
        <v>115</v>
      </c>
      <c r="K60" s="53" t="s">
        <v>302</v>
      </c>
      <c r="L60" s="53" t="s">
        <v>302</v>
      </c>
      <c r="M60" s="53">
        <f>85.4+36.3</f>
        <v>121.7</v>
      </c>
      <c r="N60" s="53">
        <f>85+35.6</f>
        <v>120.6</v>
      </c>
      <c r="O60" s="53">
        <f>79.5+29.1</f>
        <v>108.6</v>
      </c>
      <c r="P60" s="53">
        <f>86.2+37.3</f>
        <v>123.5</v>
      </c>
      <c r="Q60" s="53">
        <f>86.2+37.3</f>
        <v>123.5</v>
      </c>
      <c r="R60" s="53">
        <f>86.2+37.3</f>
        <v>123.5</v>
      </c>
      <c r="S60" s="53">
        <v>113</v>
      </c>
      <c r="T60" s="53">
        <v>123.9</v>
      </c>
      <c r="U60" s="53">
        <v>120.9</v>
      </c>
      <c r="V60" s="53">
        <v>120.9</v>
      </c>
      <c r="W60" s="53">
        <v>120.9</v>
      </c>
      <c r="X60" s="53">
        <v>120.9</v>
      </c>
      <c r="Y60" s="53">
        <v>120.9</v>
      </c>
      <c r="Z60" s="53">
        <v>120.9</v>
      </c>
      <c r="AA60" s="68">
        <v>121.5</v>
      </c>
      <c r="AB60" s="68">
        <f>85.3+36.5</f>
        <v>121.8</v>
      </c>
      <c r="AC60" s="68">
        <f>86.1+37.3</f>
        <v>123.39999999999999</v>
      </c>
      <c r="AD60" s="68">
        <f>87.1+37.9</f>
        <v>125</v>
      </c>
      <c r="AE60" s="68">
        <f>38.4+88.1</f>
        <v>126.5</v>
      </c>
      <c r="AF60" s="68">
        <f>39.3+90.2</f>
        <v>129.5</v>
      </c>
      <c r="AG60" s="66">
        <v>240</v>
      </c>
      <c r="AH60" s="48">
        <f t="shared" si="2"/>
        <v>129.5</v>
      </c>
      <c r="AI60" s="49">
        <f t="shared" si="3"/>
        <v>104.7</v>
      </c>
      <c r="AK60" s="51"/>
    </row>
    <row r="61" spans="1:88" ht="15.75" thickBot="1" x14ac:dyDescent="0.3">
      <c r="A61" s="70" t="s">
        <v>75</v>
      </c>
      <c r="B61" s="71">
        <v>975.19999999999993</v>
      </c>
      <c r="C61" s="71">
        <v>975.19999999999993</v>
      </c>
      <c r="D61" s="71">
        <v>975.19999999999993</v>
      </c>
      <c r="E61" s="71">
        <f t="shared" ref="E61:AG61" si="20">SUM(E11:E59)</f>
        <v>999.1</v>
      </c>
      <c r="F61" s="71">
        <f t="shared" si="20"/>
        <v>1006.1</v>
      </c>
      <c r="G61" s="71">
        <f t="shared" si="20"/>
        <v>1014.1</v>
      </c>
      <c r="H61" s="71">
        <f t="shared" si="20"/>
        <v>1054.1999999999998</v>
      </c>
      <c r="I61" s="71">
        <f t="shared" si="20"/>
        <v>1054.1999999999998</v>
      </c>
      <c r="J61" s="71">
        <f t="shared" si="20"/>
        <v>1054.1999999999998</v>
      </c>
      <c r="K61" s="71">
        <f t="shared" si="20"/>
        <v>1054.1999999999998</v>
      </c>
      <c r="L61" s="71">
        <f t="shared" si="20"/>
        <v>1054.1999999999998</v>
      </c>
      <c r="M61" s="71">
        <f t="shared" si="20"/>
        <v>1055.5999999999999</v>
      </c>
      <c r="N61" s="71">
        <f t="shared" si="20"/>
        <v>1089.4000000000001</v>
      </c>
      <c r="O61" s="71">
        <f>SUM(O11:O59)</f>
        <v>1068.0999999999999</v>
      </c>
      <c r="P61" s="71">
        <f t="shared" si="20"/>
        <v>1073.0999999999999</v>
      </c>
      <c r="Q61" s="71">
        <f t="shared" si="20"/>
        <v>1026.7</v>
      </c>
      <c r="R61" s="71">
        <f t="shared" si="20"/>
        <v>1013.9</v>
      </c>
      <c r="S61" s="71">
        <f t="shared" ref="S61:AA61" si="21">SUM(S11:S59)</f>
        <v>1034.5999999999999</v>
      </c>
      <c r="T61" s="71">
        <f t="shared" si="21"/>
        <v>1054.7</v>
      </c>
      <c r="U61" s="71">
        <f t="shared" si="21"/>
        <v>1054.7</v>
      </c>
      <c r="V61" s="71">
        <f t="shared" si="21"/>
        <v>1054.7</v>
      </c>
      <c r="W61" s="71">
        <f t="shared" si="21"/>
        <v>1054.7</v>
      </c>
      <c r="X61" s="71">
        <f t="shared" si="21"/>
        <v>1034.0999999999999</v>
      </c>
      <c r="Y61" s="71">
        <f t="shared" si="21"/>
        <v>1034.0999999999999</v>
      </c>
      <c r="Z61" s="71">
        <f t="shared" si="21"/>
        <v>1034.0999999999999</v>
      </c>
      <c r="AA61" s="71">
        <f t="shared" si="21"/>
        <v>1034.0999999999999</v>
      </c>
      <c r="AB61" s="71">
        <f t="shared" si="20"/>
        <v>1058.6999999999998</v>
      </c>
      <c r="AC61" s="71">
        <f t="shared" si="20"/>
        <v>1058.6999999999998</v>
      </c>
      <c r="AD61" s="71">
        <f t="shared" si="20"/>
        <v>1058.8</v>
      </c>
      <c r="AE61" s="71">
        <f>SUM(AE11:AE59)</f>
        <v>1067.9000000000001</v>
      </c>
      <c r="AF61" s="71">
        <f>SUM(AF11:AF59)</f>
        <v>1097.8000000000002</v>
      </c>
      <c r="AG61" s="71">
        <f t="shared" si="20"/>
        <v>1466.0300000000002</v>
      </c>
      <c r="AH61" s="48">
        <f t="shared" si="2"/>
        <v>1097.8000000000002</v>
      </c>
      <c r="AI61" s="49">
        <f t="shared" si="3"/>
        <v>975.19999999999993</v>
      </c>
      <c r="AK61" s="51"/>
    </row>
    <row r="62" spans="1:88" x14ac:dyDescent="0.25">
      <c r="A62" s="73" t="s">
        <v>76</v>
      </c>
      <c r="B62" s="46">
        <v>459.4</v>
      </c>
      <c r="C62" s="46">
        <v>459.4</v>
      </c>
      <c r="D62" s="46">
        <v>459.4</v>
      </c>
      <c r="E62" s="46">
        <v>459.4</v>
      </c>
      <c r="F62" s="46">
        <v>460.1</v>
      </c>
      <c r="G62" s="46">
        <v>460.1</v>
      </c>
      <c r="H62" s="46">
        <v>460.3</v>
      </c>
      <c r="I62" s="46">
        <v>460.3</v>
      </c>
      <c r="J62" s="46">
        <v>460.3</v>
      </c>
      <c r="K62" s="46">
        <v>460.3</v>
      </c>
      <c r="L62" s="46">
        <v>460.3</v>
      </c>
      <c r="M62" s="46">
        <v>460</v>
      </c>
      <c r="N62" s="74">
        <v>460</v>
      </c>
      <c r="O62" s="74">
        <v>460</v>
      </c>
      <c r="P62" s="74">
        <v>460</v>
      </c>
      <c r="Q62" s="74">
        <v>460</v>
      </c>
      <c r="R62" s="74">
        <v>459.9</v>
      </c>
      <c r="S62" s="74">
        <v>459.9</v>
      </c>
      <c r="T62" s="74">
        <v>459.9</v>
      </c>
      <c r="U62" s="74">
        <v>459.9</v>
      </c>
      <c r="V62" s="74">
        <v>459.9</v>
      </c>
      <c r="W62" s="74">
        <v>459.9</v>
      </c>
      <c r="X62" s="74">
        <v>459.9</v>
      </c>
      <c r="Y62" s="74">
        <v>459.9</v>
      </c>
      <c r="Z62" s="74">
        <v>459.9</v>
      </c>
      <c r="AA62" s="46">
        <v>459.9</v>
      </c>
      <c r="AB62" s="46">
        <v>459.9</v>
      </c>
      <c r="AC62" s="46">
        <v>459.9</v>
      </c>
      <c r="AD62" s="46">
        <v>459.9</v>
      </c>
      <c r="AE62" s="46">
        <v>459.6</v>
      </c>
      <c r="AF62" s="46">
        <v>459.6</v>
      </c>
      <c r="AG62" s="61">
        <v>456</v>
      </c>
      <c r="AH62" s="48">
        <f t="shared" si="2"/>
        <v>460.3</v>
      </c>
      <c r="AI62" s="49">
        <f t="shared" si="3"/>
        <v>459.4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v>542</v>
      </c>
      <c r="C65" s="71">
        <v>542</v>
      </c>
      <c r="D65" s="71">
        <v>542</v>
      </c>
      <c r="E65" s="71">
        <f t="shared" ref="E65:AG65" si="22">SUM(E62:E64)</f>
        <v>542</v>
      </c>
      <c r="F65" s="71">
        <f t="shared" si="22"/>
        <v>542.6</v>
      </c>
      <c r="G65" s="71">
        <f t="shared" si="22"/>
        <v>542.6</v>
      </c>
      <c r="H65" s="71">
        <f t="shared" si="22"/>
        <v>542.79999999999995</v>
      </c>
      <c r="I65" s="71">
        <f t="shared" si="22"/>
        <v>542.79999999999995</v>
      </c>
      <c r="J65" s="71">
        <f t="shared" si="22"/>
        <v>542.79999999999995</v>
      </c>
      <c r="K65" s="71">
        <f t="shared" si="22"/>
        <v>542.79999999999995</v>
      </c>
      <c r="L65" s="71">
        <f t="shared" si="22"/>
        <v>542.79999999999995</v>
      </c>
      <c r="M65" s="71">
        <f t="shared" si="22"/>
        <v>542.5</v>
      </c>
      <c r="N65" s="71">
        <f t="shared" si="22"/>
        <v>542.5</v>
      </c>
      <c r="O65" s="71">
        <f>SUM(O62:O64)</f>
        <v>542.5</v>
      </c>
      <c r="P65" s="71">
        <f t="shared" si="22"/>
        <v>542.5</v>
      </c>
      <c r="Q65" s="71">
        <f t="shared" si="22"/>
        <v>542.5</v>
      </c>
      <c r="R65" s="71">
        <f t="shared" si="22"/>
        <v>542.4</v>
      </c>
      <c r="S65" s="71">
        <f t="shared" ref="S65:AA65" si="23">SUM(S62:S64)</f>
        <v>542.4</v>
      </c>
      <c r="T65" s="71">
        <f t="shared" si="23"/>
        <v>542.4</v>
      </c>
      <c r="U65" s="71">
        <f t="shared" si="23"/>
        <v>542.4</v>
      </c>
      <c r="V65" s="71">
        <f t="shared" si="23"/>
        <v>542.4</v>
      </c>
      <c r="W65" s="71">
        <f t="shared" si="23"/>
        <v>542.4</v>
      </c>
      <c r="X65" s="71">
        <f t="shared" si="23"/>
        <v>542.4</v>
      </c>
      <c r="Y65" s="71">
        <f t="shared" si="23"/>
        <v>542.4</v>
      </c>
      <c r="Z65" s="71">
        <f t="shared" si="23"/>
        <v>542.4</v>
      </c>
      <c r="AA65" s="71">
        <f t="shared" si="23"/>
        <v>542.4</v>
      </c>
      <c r="AB65" s="71">
        <f t="shared" si="22"/>
        <v>542.4</v>
      </c>
      <c r="AC65" s="71">
        <f t="shared" si="22"/>
        <v>542.4</v>
      </c>
      <c r="AD65" s="71">
        <f t="shared" si="22"/>
        <v>542.4</v>
      </c>
      <c r="AE65" s="71">
        <f>SUM(AE62:AE64)</f>
        <v>542.1</v>
      </c>
      <c r="AF65" s="71">
        <f>SUM(AF62:AF64)</f>
        <v>542.1</v>
      </c>
      <c r="AG65" s="72">
        <f t="shared" si="22"/>
        <v>538.1</v>
      </c>
      <c r="AH65" s="48">
        <f t="shared" si="2"/>
        <v>542.79999999999995</v>
      </c>
      <c r="AI65" s="49">
        <f t="shared" si="3"/>
        <v>542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>
        <v>144</v>
      </c>
      <c r="D66" s="46">
        <v>144</v>
      </c>
      <c r="E66" s="46">
        <v>144</v>
      </c>
      <c r="F66" s="46">
        <v>144</v>
      </c>
      <c r="G66" s="46">
        <v>144</v>
      </c>
      <c r="H66" s="46">
        <v>144</v>
      </c>
      <c r="I66" s="46">
        <v>144</v>
      </c>
      <c r="J66" s="46">
        <v>144</v>
      </c>
      <c r="K66" s="46">
        <v>144</v>
      </c>
      <c r="L66" s="46">
        <v>144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144</v>
      </c>
      <c r="AB66" s="46">
        <v>144</v>
      </c>
      <c r="AC66" s="46">
        <v>144</v>
      </c>
      <c r="AD66" s="46">
        <v>144</v>
      </c>
      <c r="AE66" s="46">
        <v>144</v>
      </c>
      <c r="AF66" s="46">
        <v>144</v>
      </c>
      <c r="AG66" s="61">
        <v>144</v>
      </c>
      <c r="AH66" s="48">
        <f t="shared" si="2"/>
        <v>144</v>
      </c>
      <c r="AI66" s="49">
        <f t="shared" si="3"/>
        <v>144</v>
      </c>
      <c r="AK66" s="51"/>
      <c r="AY66" s="1" t="s">
        <v>86</v>
      </c>
      <c r="AZ66" s="82">
        <f>ROUND(C84,0)</f>
        <v>-9</v>
      </c>
      <c r="BA66" s="81">
        <f t="shared" ref="BA66:BD70" si="24">D84</f>
        <v>-9.4</v>
      </c>
      <c r="BB66" s="81">
        <f t="shared" si="24"/>
        <v>-17.5</v>
      </c>
      <c r="BC66" s="81">
        <f t="shared" si="24"/>
        <v>-14.7</v>
      </c>
      <c r="BD66" s="81">
        <f t="shared" si="24"/>
        <v>-11.8</v>
      </c>
      <c r="BE66" s="82">
        <f>I84</f>
        <v>-4.8</v>
      </c>
      <c r="BF66" s="82">
        <f>K84</f>
        <v>36.1</v>
      </c>
      <c r="BG66" s="82">
        <f t="shared" ref="BG66:BP70" si="25">M84</f>
        <v>20.5</v>
      </c>
      <c r="BH66" s="82">
        <f t="shared" si="25"/>
        <v>40</v>
      </c>
      <c r="BI66" s="82">
        <f t="shared" si="25"/>
        <v>67</v>
      </c>
      <c r="BJ66" s="82">
        <f t="shared" si="25"/>
        <v>67.900000000000006</v>
      </c>
      <c r="BK66" s="82">
        <f t="shared" si="25"/>
        <v>57.9</v>
      </c>
      <c r="BL66" s="82">
        <f t="shared" si="25"/>
        <v>53.9</v>
      </c>
      <c r="BM66" s="82">
        <f t="shared" si="25"/>
        <v>64.3</v>
      </c>
      <c r="BN66" s="82">
        <f t="shared" si="25"/>
        <v>51.6</v>
      </c>
      <c r="BO66" s="82">
        <f t="shared" si="25"/>
        <v>56.5</v>
      </c>
      <c r="BP66" s="82">
        <f t="shared" si="25"/>
        <v>47.5</v>
      </c>
      <c r="BQ66" s="82">
        <f>X84</f>
        <v>10</v>
      </c>
      <c r="BR66" s="82">
        <f>Z84</f>
        <v>14.1</v>
      </c>
      <c r="BS66" s="81">
        <f>AB84</f>
        <v>49</v>
      </c>
      <c r="BT66" s="81">
        <f t="shared" ref="BT66:BV70" si="26">AD84</f>
        <v>44</v>
      </c>
      <c r="BU66" s="81">
        <f t="shared" si="26"/>
        <v>1.8</v>
      </c>
      <c r="BV66" s="81">
        <f t="shared" si="26"/>
        <v>-2</v>
      </c>
      <c r="BW66" s="81">
        <f>B84</f>
        <v>-20.100000000000001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46">
        <v>35.799999999999997</v>
      </c>
      <c r="AB67" s="46">
        <v>69</v>
      </c>
      <c r="AC67" s="46">
        <v>69</v>
      </c>
      <c r="AD67" s="46">
        <v>69</v>
      </c>
      <c r="AE67" s="46">
        <v>69</v>
      </c>
      <c r="AF67" s="46">
        <v>69</v>
      </c>
      <c r="AG67" s="66">
        <v>70</v>
      </c>
      <c r="AH67" s="48">
        <f t="shared" si="2"/>
        <v>70</v>
      </c>
      <c r="AI67" s="49">
        <f t="shared" si="3"/>
        <v>35.799999999999997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66.2</v>
      </c>
      <c r="C68" s="76">
        <v>66.2</v>
      </c>
      <c r="D68" s="76">
        <v>66.2</v>
      </c>
      <c r="E68" s="76">
        <v>66.2</v>
      </c>
      <c r="F68" s="76">
        <v>66.2</v>
      </c>
      <c r="G68" s="76">
        <v>66.2</v>
      </c>
      <c r="H68" s="76">
        <v>66.2</v>
      </c>
      <c r="I68" s="76">
        <v>66.2</v>
      </c>
      <c r="J68" s="76">
        <v>66.2</v>
      </c>
      <c r="K68" s="76">
        <v>66.2</v>
      </c>
      <c r="L68" s="76">
        <v>66.2</v>
      </c>
      <c r="M68" s="76">
        <v>66.2</v>
      </c>
      <c r="N68" s="76">
        <v>66.2</v>
      </c>
      <c r="O68" s="76">
        <v>66.2</v>
      </c>
      <c r="P68" s="76">
        <v>66.2</v>
      </c>
      <c r="Q68" s="76">
        <v>66.2</v>
      </c>
      <c r="R68" s="76">
        <v>66.2</v>
      </c>
      <c r="S68" s="76">
        <v>66.2</v>
      </c>
      <c r="T68" s="76">
        <v>66.2</v>
      </c>
      <c r="U68" s="76">
        <v>66.2</v>
      </c>
      <c r="V68" s="76">
        <v>66.2</v>
      </c>
      <c r="W68" s="76">
        <v>66.2</v>
      </c>
      <c r="X68" s="76">
        <v>66.2</v>
      </c>
      <c r="Y68" s="76">
        <v>66.2</v>
      </c>
      <c r="Z68" s="76">
        <v>66.2</v>
      </c>
      <c r="AA68" s="46">
        <v>66.2</v>
      </c>
      <c r="AB68" s="46">
        <v>66.2</v>
      </c>
      <c r="AC68" s="46">
        <v>66.2</v>
      </c>
      <c r="AD68" s="46">
        <v>66.2</v>
      </c>
      <c r="AE68" s="46">
        <v>66.099999999999994</v>
      </c>
      <c r="AF68" s="46">
        <v>65.7</v>
      </c>
      <c r="AG68" s="66">
        <v>69</v>
      </c>
      <c r="AH68" s="48">
        <f t="shared" si="2"/>
        <v>66.2</v>
      </c>
      <c r="AI68" s="49">
        <f t="shared" si="3"/>
        <v>65.7</v>
      </c>
      <c r="AK68" s="51"/>
      <c r="AL68" s="83"/>
      <c r="AO68" s="83"/>
      <c r="AY68" s="1" t="s">
        <v>90</v>
      </c>
      <c r="AZ68" s="82">
        <f>ROUND(C86,0)</f>
        <v>-475</v>
      </c>
      <c r="BA68" s="81">
        <f t="shared" si="24"/>
        <v>-480</v>
      </c>
      <c r="BB68" s="81">
        <f t="shared" si="24"/>
        <v>-435.2</v>
      </c>
      <c r="BC68" s="81">
        <f t="shared" si="24"/>
        <v>-480</v>
      </c>
      <c r="BD68" s="81">
        <f t="shared" si="24"/>
        <v>-488</v>
      </c>
      <c r="BE68" s="82">
        <f>I86</f>
        <v>-487</v>
      </c>
      <c r="BF68" s="82">
        <f>K86</f>
        <v>-465</v>
      </c>
      <c r="BG68" s="82">
        <f t="shared" si="25"/>
        <v>-434</v>
      </c>
      <c r="BH68" s="82">
        <f t="shared" si="25"/>
        <v>-487</v>
      </c>
      <c r="BI68" s="82">
        <f t="shared" si="25"/>
        <v>-409.8</v>
      </c>
      <c r="BJ68" s="82">
        <f t="shared" si="25"/>
        <v>-390</v>
      </c>
      <c r="BK68" s="82">
        <f t="shared" si="25"/>
        <v>-340.4</v>
      </c>
      <c r="BL68" s="82">
        <f t="shared" si="25"/>
        <v>-307.60000000000002</v>
      </c>
      <c r="BM68" s="82">
        <f t="shared" si="25"/>
        <v>-344.6</v>
      </c>
      <c r="BN68" s="82">
        <f t="shared" si="25"/>
        <v>-324.8</v>
      </c>
      <c r="BO68" s="82">
        <f t="shared" si="25"/>
        <v>-341.6</v>
      </c>
      <c r="BP68" s="82">
        <f t="shared" si="25"/>
        <v>-343.6</v>
      </c>
      <c r="BQ68" s="82">
        <f>X86</f>
        <v>-427.6</v>
      </c>
      <c r="BR68" s="82">
        <f>Z86</f>
        <v>-383.6</v>
      </c>
      <c r="BS68" s="81">
        <f>AB86</f>
        <v>-348</v>
      </c>
      <c r="BT68" s="81">
        <f t="shared" si="26"/>
        <v>-408</v>
      </c>
      <c r="BU68" s="81">
        <f t="shared" si="26"/>
        <v>-453</v>
      </c>
      <c r="BV68" s="81">
        <f t="shared" si="26"/>
        <v>-510</v>
      </c>
      <c r="BW68" s="81">
        <f>B86</f>
        <v>-483.2</v>
      </c>
    </row>
    <row r="69" spans="1:75" s="83" customFormat="1" x14ac:dyDescent="0.25">
      <c r="A69" s="65" t="s">
        <v>83</v>
      </c>
      <c r="B69" s="76">
        <v>60.4</v>
      </c>
      <c r="C69" s="76">
        <v>60.4</v>
      </c>
      <c r="D69" s="76">
        <v>60.4</v>
      </c>
      <c r="E69" s="76">
        <v>60.4</v>
      </c>
      <c r="F69" s="76">
        <v>60.4</v>
      </c>
      <c r="G69" s="76">
        <v>60.4</v>
      </c>
      <c r="H69" s="76">
        <v>60.4</v>
      </c>
      <c r="I69" s="76">
        <v>60.4</v>
      </c>
      <c r="J69" s="76">
        <v>60.4</v>
      </c>
      <c r="K69" s="76">
        <v>60.4</v>
      </c>
      <c r="L69" s="76">
        <v>60.4</v>
      </c>
      <c r="M69" s="76">
        <v>28.2</v>
      </c>
      <c r="N69" s="76">
        <v>28.2</v>
      </c>
      <c r="O69" s="76">
        <v>28.2</v>
      </c>
      <c r="P69" s="76">
        <v>28.2</v>
      </c>
      <c r="Q69" s="76">
        <v>28.2</v>
      </c>
      <c r="R69" s="76">
        <v>29.2</v>
      </c>
      <c r="S69" s="76">
        <v>26.2</v>
      </c>
      <c r="T69" s="76">
        <v>26.2</v>
      </c>
      <c r="U69" s="76">
        <v>28.2</v>
      </c>
      <c r="V69" s="76">
        <v>28.2</v>
      </c>
      <c r="W69" s="76">
        <v>28.2</v>
      </c>
      <c r="X69" s="76">
        <v>30.2</v>
      </c>
      <c r="Y69" s="76">
        <v>30.2</v>
      </c>
      <c r="Z69" s="76">
        <v>30.2</v>
      </c>
      <c r="AA69" s="46">
        <v>30.2</v>
      </c>
      <c r="AB69" s="46">
        <v>30.2</v>
      </c>
      <c r="AC69" s="46">
        <v>30.2</v>
      </c>
      <c r="AD69" s="46">
        <v>30.2</v>
      </c>
      <c r="AE69" s="46">
        <v>30.2</v>
      </c>
      <c r="AF69" s="46">
        <v>30.2</v>
      </c>
      <c r="AG69" s="66">
        <v>60</v>
      </c>
      <c r="AH69" s="48">
        <f t="shared" si="2"/>
        <v>60.4</v>
      </c>
      <c r="AI69" s="49">
        <f t="shared" si="3"/>
        <v>26.2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27.1</v>
      </c>
      <c r="C70" s="46">
        <v>14.8</v>
      </c>
      <c r="D70" s="46">
        <v>14.8</v>
      </c>
      <c r="E70" s="46">
        <v>22</v>
      </c>
      <c r="F70" s="46">
        <v>22</v>
      </c>
      <c r="G70" s="46">
        <v>22</v>
      </c>
      <c r="H70" s="46">
        <v>22</v>
      </c>
      <c r="I70" s="46">
        <v>14.1</v>
      </c>
      <c r="J70" s="46">
        <v>14.1</v>
      </c>
      <c r="K70" s="46">
        <v>14.1</v>
      </c>
      <c r="L70" s="46">
        <v>14.1</v>
      </c>
      <c r="M70" s="46">
        <v>14.2</v>
      </c>
      <c r="N70" s="46">
        <v>14.2</v>
      </c>
      <c r="O70" s="46">
        <v>27</v>
      </c>
      <c r="P70" s="46">
        <v>27</v>
      </c>
      <c r="Q70" s="46">
        <v>27</v>
      </c>
      <c r="R70" s="46">
        <v>14.2</v>
      </c>
      <c r="S70" s="46">
        <v>14.2</v>
      </c>
      <c r="T70" s="46">
        <v>14.2</v>
      </c>
      <c r="U70" s="46">
        <v>0</v>
      </c>
      <c r="V70" s="46">
        <v>10.9</v>
      </c>
      <c r="W70" s="46">
        <v>10.9</v>
      </c>
      <c r="X70" s="46">
        <v>14.7</v>
      </c>
      <c r="Y70" s="46">
        <v>14.7</v>
      </c>
      <c r="Z70" s="46">
        <v>14.7</v>
      </c>
      <c r="AA70" s="46">
        <v>14.7</v>
      </c>
      <c r="AB70" s="46">
        <v>14.7</v>
      </c>
      <c r="AC70" s="46">
        <v>14.7</v>
      </c>
      <c r="AD70" s="46">
        <v>14.7</v>
      </c>
      <c r="AE70" s="46">
        <v>27.9</v>
      </c>
      <c r="AF70" s="46">
        <v>27.9</v>
      </c>
      <c r="AG70" s="66">
        <v>30</v>
      </c>
      <c r="AH70" s="48">
        <f t="shared" si="2"/>
        <v>27.9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0.1</v>
      </c>
      <c r="J71" s="46">
        <v>0.4</v>
      </c>
      <c r="K71" s="46">
        <v>1</v>
      </c>
      <c r="L71" s="46">
        <v>1</v>
      </c>
      <c r="M71" s="46">
        <v>7.8</v>
      </c>
      <c r="N71" s="46">
        <v>10</v>
      </c>
      <c r="O71" s="46">
        <v>17.3</v>
      </c>
      <c r="P71" s="46">
        <v>17.600000000000001</v>
      </c>
      <c r="Q71" s="46">
        <v>17.399999999999999</v>
      </c>
      <c r="R71" s="46">
        <v>17.2</v>
      </c>
      <c r="S71" s="46">
        <v>14.6</v>
      </c>
      <c r="T71" s="46">
        <v>12.8</v>
      </c>
      <c r="U71" s="46">
        <v>8.6</v>
      </c>
      <c r="V71" s="46">
        <v>3.2</v>
      </c>
      <c r="W71" s="46">
        <v>3.2</v>
      </c>
      <c r="X71" s="46">
        <v>1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17.600000000000001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11.1</v>
      </c>
      <c r="C72" s="76">
        <v>11.1</v>
      </c>
      <c r="D72" s="76">
        <v>11.1</v>
      </c>
      <c r="E72" s="76">
        <v>11.1</v>
      </c>
      <c r="F72" s="76">
        <v>11.1</v>
      </c>
      <c r="G72" s="76">
        <v>11.1</v>
      </c>
      <c r="H72" s="76">
        <v>11.1</v>
      </c>
      <c r="I72" s="76">
        <v>11.1</v>
      </c>
      <c r="J72" s="76">
        <v>11.1</v>
      </c>
      <c r="K72" s="76">
        <v>11.1</v>
      </c>
      <c r="L72" s="76">
        <v>11.1</v>
      </c>
      <c r="M72" s="76">
        <v>11.1</v>
      </c>
      <c r="N72" s="76">
        <v>11.1</v>
      </c>
      <c r="O72" s="76">
        <v>12.7</v>
      </c>
      <c r="P72" s="76">
        <v>12.7</v>
      </c>
      <c r="Q72" s="76">
        <v>12.7</v>
      </c>
      <c r="R72" s="76">
        <v>12.7</v>
      </c>
      <c r="S72" s="76">
        <v>12.7</v>
      </c>
      <c r="T72" s="76">
        <v>12.7</v>
      </c>
      <c r="U72" s="76">
        <v>12.7</v>
      </c>
      <c r="V72" s="76">
        <v>12.7</v>
      </c>
      <c r="W72" s="76">
        <v>12.7</v>
      </c>
      <c r="X72" s="76">
        <v>12.7</v>
      </c>
      <c r="Y72" s="76">
        <v>12.7</v>
      </c>
      <c r="Z72" s="76">
        <v>12.7</v>
      </c>
      <c r="AA72" s="76">
        <v>12.7</v>
      </c>
      <c r="AB72" s="76">
        <v>12.7</v>
      </c>
      <c r="AC72" s="76">
        <v>12.7</v>
      </c>
      <c r="AD72" s="76">
        <v>12.7</v>
      </c>
      <c r="AE72" s="76">
        <v>12.3</v>
      </c>
      <c r="AF72" s="76">
        <v>12.3</v>
      </c>
      <c r="AG72" s="66">
        <v>24</v>
      </c>
      <c r="AH72" s="48">
        <f t="shared" si="2"/>
        <v>12.7</v>
      </c>
      <c r="AI72" s="49">
        <f t="shared" si="3"/>
        <v>11.1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8">VALUE(AZ66)</f>
        <v>-9</v>
      </c>
      <c r="BA73" s="82">
        <f t="shared" si="28"/>
        <v>-9.4</v>
      </c>
      <c r="BB73" s="82">
        <f t="shared" si="28"/>
        <v>-17.5</v>
      </c>
      <c r="BC73" s="82">
        <f t="shared" si="28"/>
        <v>-14.7</v>
      </c>
      <c r="BD73" s="82">
        <f t="shared" si="28"/>
        <v>-11.8</v>
      </c>
      <c r="BE73" s="82">
        <f t="shared" si="28"/>
        <v>-4.8</v>
      </c>
      <c r="BF73" s="82">
        <f t="shared" si="28"/>
        <v>36.1</v>
      </c>
      <c r="BG73" s="82">
        <f t="shared" si="28"/>
        <v>20.5</v>
      </c>
      <c r="BH73" s="82">
        <f t="shared" si="28"/>
        <v>40</v>
      </c>
      <c r="BI73" s="82">
        <f t="shared" si="28"/>
        <v>67</v>
      </c>
      <c r="BJ73" s="82">
        <f t="shared" si="28"/>
        <v>67.900000000000006</v>
      </c>
      <c r="BK73" s="82">
        <f t="shared" si="28"/>
        <v>57.9</v>
      </c>
      <c r="BL73" s="82">
        <f t="shared" si="28"/>
        <v>53.9</v>
      </c>
      <c r="BM73" s="82">
        <f t="shared" si="28"/>
        <v>64.3</v>
      </c>
      <c r="BN73" s="82">
        <f t="shared" si="28"/>
        <v>51.6</v>
      </c>
      <c r="BO73" s="82">
        <f t="shared" si="28"/>
        <v>56.5</v>
      </c>
      <c r="BP73" s="82">
        <f t="shared" si="28"/>
        <v>47.5</v>
      </c>
      <c r="BQ73" s="82">
        <f t="shared" si="28"/>
        <v>10</v>
      </c>
      <c r="BR73" s="82">
        <f t="shared" si="28"/>
        <v>14.1</v>
      </c>
      <c r="BS73" s="82">
        <f t="shared" si="28"/>
        <v>49</v>
      </c>
      <c r="BT73" s="82">
        <f t="shared" si="28"/>
        <v>44</v>
      </c>
      <c r="BU73" s="82">
        <f t="shared" si="28"/>
        <v>1.8</v>
      </c>
      <c r="BV73" s="82">
        <f t="shared" si="28"/>
        <v>-2</v>
      </c>
      <c r="BW73" s="82">
        <f t="shared" si="28"/>
        <v>-20.100000000000001</v>
      </c>
    </row>
    <row r="74" spans="1:75" x14ac:dyDescent="0.25">
      <c r="A74" s="65" t="s">
        <v>91</v>
      </c>
      <c r="B74" s="76">
        <v>10</v>
      </c>
      <c r="C74" s="76">
        <v>10</v>
      </c>
      <c r="D74" s="76">
        <v>10</v>
      </c>
      <c r="E74" s="76">
        <v>10</v>
      </c>
      <c r="F74" s="76">
        <v>10</v>
      </c>
      <c r="G74" s="76">
        <v>10</v>
      </c>
      <c r="H74" s="76">
        <v>10</v>
      </c>
      <c r="I74" s="76">
        <v>10</v>
      </c>
      <c r="J74" s="76">
        <v>10</v>
      </c>
      <c r="K74" s="76">
        <v>10</v>
      </c>
      <c r="L74" s="76">
        <v>10</v>
      </c>
      <c r="M74" s="76">
        <v>10</v>
      </c>
      <c r="N74" s="76">
        <v>10</v>
      </c>
      <c r="O74" s="76">
        <v>8.6999999999999993</v>
      </c>
      <c r="P74" s="76">
        <v>8.6999999999999993</v>
      </c>
      <c r="Q74" s="76">
        <v>8.6999999999999993</v>
      </c>
      <c r="R74" s="76">
        <v>8.6999999999999993</v>
      </c>
      <c r="S74" s="76">
        <v>8.6999999999999993</v>
      </c>
      <c r="T74" s="76">
        <v>8.6999999999999993</v>
      </c>
      <c r="U74" s="76">
        <v>8.6999999999999993</v>
      </c>
      <c r="V74" s="76">
        <v>8.6999999999999993</v>
      </c>
      <c r="W74" s="76">
        <v>8.6999999999999993</v>
      </c>
      <c r="X74" s="76">
        <v>8.6999999999999993</v>
      </c>
      <c r="Y74" s="76">
        <v>8.6999999999999993</v>
      </c>
      <c r="Z74" s="76">
        <v>8.6999999999999993</v>
      </c>
      <c r="AA74" s="76">
        <v>8.6999999999999993</v>
      </c>
      <c r="AB74" s="76">
        <v>0</v>
      </c>
      <c r="AC74" s="76">
        <v>0</v>
      </c>
      <c r="AD74" s="76">
        <v>0</v>
      </c>
      <c r="AE74" s="76">
        <v>0</v>
      </c>
      <c r="AF74" s="76">
        <v>9.1</v>
      </c>
      <c r="AG74" s="66">
        <v>14.1</v>
      </c>
      <c r="AH74" s="48">
        <f t="shared" si="2"/>
        <v>10</v>
      </c>
      <c r="AI74" s="49">
        <f t="shared" si="3"/>
        <v>0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14.2</v>
      </c>
      <c r="C75" s="76">
        <v>14.2</v>
      </c>
      <c r="D75" s="76">
        <v>14.2</v>
      </c>
      <c r="E75" s="76">
        <v>14.2</v>
      </c>
      <c r="F75" s="76">
        <v>14.2</v>
      </c>
      <c r="G75" s="76">
        <v>14.2</v>
      </c>
      <c r="H75" s="76">
        <v>14.2</v>
      </c>
      <c r="I75" s="76">
        <v>14.2</v>
      </c>
      <c r="J75" s="76">
        <v>14.2</v>
      </c>
      <c r="K75" s="76">
        <v>14.2</v>
      </c>
      <c r="L75" s="76">
        <v>14.2</v>
      </c>
      <c r="M75" s="76">
        <v>7.2</v>
      </c>
      <c r="N75" s="76">
        <v>14.5</v>
      </c>
      <c r="O75" s="76">
        <v>14.5</v>
      </c>
      <c r="P75" s="76">
        <v>14.5</v>
      </c>
      <c r="Q75" s="76">
        <v>14.5</v>
      </c>
      <c r="R75" s="76">
        <v>14.5</v>
      </c>
      <c r="S75" s="76">
        <v>14.5</v>
      </c>
      <c r="T75" s="76">
        <v>14.5</v>
      </c>
      <c r="U75" s="76">
        <v>14.5</v>
      </c>
      <c r="V75" s="76">
        <v>14.5</v>
      </c>
      <c r="W75" s="76">
        <v>14.5</v>
      </c>
      <c r="X75" s="76">
        <v>14.5</v>
      </c>
      <c r="Y75" s="76">
        <v>14.5</v>
      </c>
      <c r="Z75" s="76">
        <v>14.5</v>
      </c>
      <c r="AA75" s="76">
        <v>14.5</v>
      </c>
      <c r="AB75" s="76">
        <v>14.5</v>
      </c>
      <c r="AC75" s="76">
        <v>14.5</v>
      </c>
      <c r="AD75" s="76">
        <v>14.5</v>
      </c>
      <c r="AE75" s="76">
        <v>14.5</v>
      </c>
      <c r="AF75" s="76">
        <v>14.4</v>
      </c>
      <c r="AG75" s="66">
        <v>14</v>
      </c>
      <c r="AH75" s="48">
        <f t="shared" ref="AH75:AH126" si="29">MAX(B75:AF75)</f>
        <v>14.5</v>
      </c>
      <c r="AI75" s="49">
        <f t="shared" ref="AI75:AI126" si="30">MIN(B75:AF75)</f>
        <v>7.2</v>
      </c>
      <c r="AK75" s="51"/>
      <c r="AZ75" s="82">
        <f t="shared" si="28"/>
        <v>-475</v>
      </c>
      <c r="BA75" s="82">
        <f t="shared" si="28"/>
        <v>-480</v>
      </c>
      <c r="BB75" s="82">
        <f t="shared" si="28"/>
        <v>-435.2</v>
      </c>
      <c r="BC75" s="82">
        <f t="shared" si="28"/>
        <v>-480</v>
      </c>
      <c r="BD75" s="82">
        <f t="shared" si="28"/>
        <v>-488</v>
      </c>
      <c r="BE75" s="82">
        <f t="shared" si="28"/>
        <v>-487</v>
      </c>
      <c r="BF75" s="82">
        <f t="shared" si="28"/>
        <v>-465</v>
      </c>
      <c r="BG75" s="82">
        <f t="shared" si="28"/>
        <v>-434</v>
      </c>
      <c r="BH75" s="82">
        <f t="shared" si="28"/>
        <v>-487</v>
      </c>
      <c r="BI75" s="82">
        <f t="shared" si="28"/>
        <v>-409.8</v>
      </c>
      <c r="BJ75" s="82">
        <f t="shared" si="28"/>
        <v>-390</v>
      </c>
      <c r="BK75" s="82">
        <f t="shared" si="28"/>
        <v>-340.4</v>
      </c>
      <c r="BL75" s="82">
        <f t="shared" si="28"/>
        <v>-307.60000000000002</v>
      </c>
      <c r="BM75" s="82">
        <f t="shared" si="28"/>
        <v>-344.6</v>
      </c>
      <c r="BN75" s="82">
        <f t="shared" si="28"/>
        <v>-324.8</v>
      </c>
      <c r="BO75" s="82">
        <f t="shared" si="28"/>
        <v>-341.6</v>
      </c>
      <c r="BP75" s="82">
        <f t="shared" si="28"/>
        <v>-343.6</v>
      </c>
      <c r="BQ75" s="82">
        <f t="shared" si="28"/>
        <v>-427.6</v>
      </c>
      <c r="BR75" s="82">
        <f t="shared" si="28"/>
        <v>-383.6</v>
      </c>
      <c r="BS75" s="82">
        <f t="shared" si="28"/>
        <v>-348</v>
      </c>
      <c r="BT75" s="82">
        <f t="shared" si="28"/>
        <v>-408</v>
      </c>
      <c r="BU75" s="82">
        <f t="shared" si="28"/>
        <v>-453</v>
      </c>
      <c r="BV75" s="82">
        <f t="shared" si="28"/>
        <v>-510</v>
      </c>
      <c r="BW75" s="82">
        <f t="shared" si="28"/>
        <v>-483.2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9"/>
        <v>10</v>
      </c>
      <c r="AI76" s="49">
        <f t="shared" si="30"/>
        <v>10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9"/>
        <v>6</v>
      </c>
      <c r="AI77" s="49">
        <f t="shared" si="30"/>
        <v>6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5.5</v>
      </c>
      <c r="C78" s="85">
        <v>5.5</v>
      </c>
      <c r="D78" s="85">
        <v>5.5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9"/>
        <v>5.5</v>
      </c>
      <c r="AI78" s="49">
        <f t="shared" si="30"/>
        <v>3.54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v>415.2</v>
      </c>
      <c r="C79" s="71">
        <v>415.2</v>
      </c>
      <c r="D79" s="71">
        <v>415.2</v>
      </c>
      <c r="E79" s="71">
        <f t="shared" ref="E79:AG79" si="31">SUM(E66:E78)</f>
        <v>421.24</v>
      </c>
      <c r="F79" s="71">
        <f t="shared" si="31"/>
        <v>421.24</v>
      </c>
      <c r="G79" s="71">
        <f t="shared" si="31"/>
        <v>421.24</v>
      </c>
      <c r="H79" s="71">
        <f t="shared" si="31"/>
        <v>421.24</v>
      </c>
      <c r="I79" s="71">
        <f t="shared" si="31"/>
        <v>413.44000000000005</v>
      </c>
      <c r="J79" s="71">
        <f t="shared" si="31"/>
        <v>413.74</v>
      </c>
      <c r="K79" s="71">
        <f t="shared" si="31"/>
        <v>414.34000000000003</v>
      </c>
      <c r="L79" s="71">
        <f t="shared" si="31"/>
        <v>414.34000000000003</v>
      </c>
      <c r="M79" s="71">
        <f t="shared" si="31"/>
        <v>382.04</v>
      </c>
      <c r="N79" s="71">
        <f t="shared" si="31"/>
        <v>391.54</v>
      </c>
      <c r="O79" s="71">
        <f t="shared" si="31"/>
        <v>411.94</v>
      </c>
      <c r="P79" s="71">
        <f t="shared" si="31"/>
        <v>412.24</v>
      </c>
      <c r="Q79" s="71">
        <f t="shared" si="31"/>
        <v>412.03999999999996</v>
      </c>
      <c r="R79" s="71">
        <f t="shared" si="31"/>
        <v>400.03999999999996</v>
      </c>
      <c r="S79" s="71">
        <f t="shared" ref="S79:AA79" si="32">SUM(S66:S78)</f>
        <v>394.44</v>
      </c>
      <c r="T79" s="71">
        <f t="shared" si="32"/>
        <v>392.64</v>
      </c>
      <c r="U79" s="71">
        <f t="shared" si="32"/>
        <v>376.24</v>
      </c>
      <c r="V79" s="71">
        <f t="shared" si="32"/>
        <v>381.73999999999995</v>
      </c>
      <c r="W79" s="71">
        <f t="shared" si="32"/>
        <v>381.73999999999995</v>
      </c>
      <c r="X79" s="71">
        <f t="shared" si="32"/>
        <v>385.34</v>
      </c>
      <c r="Y79" s="71">
        <f t="shared" si="32"/>
        <v>384.34</v>
      </c>
      <c r="Z79" s="71">
        <f t="shared" si="32"/>
        <v>384.34</v>
      </c>
      <c r="AA79" s="71">
        <f t="shared" si="32"/>
        <v>350.14</v>
      </c>
      <c r="AB79" s="71">
        <f t="shared" si="31"/>
        <v>374.64</v>
      </c>
      <c r="AC79" s="71">
        <f t="shared" si="31"/>
        <v>374.64</v>
      </c>
      <c r="AD79" s="71">
        <f t="shared" si="31"/>
        <v>374.64</v>
      </c>
      <c r="AE79" s="71">
        <f t="shared" si="31"/>
        <v>387.34000000000003</v>
      </c>
      <c r="AF79" s="71">
        <f>SUM(AF66:AF78)</f>
        <v>395.94</v>
      </c>
      <c r="AG79" s="72">
        <f t="shared" si="31"/>
        <v>489.91</v>
      </c>
      <c r="AH79" s="48">
        <f t="shared" si="29"/>
        <v>421.24</v>
      </c>
      <c r="AI79" s="49">
        <f t="shared" si="30"/>
        <v>350.14</v>
      </c>
      <c r="AK79" s="51"/>
      <c r="AY79" s="82"/>
    </row>
    <row r="80" spans="1:75" x14ac:dyDescent="0.25">
      <c r="A80" s="45" t="s">
        <v>100</v>
      </c>
      <c r="B80" s="46">
        <v>21</v>
      </c>
      <c r="C80" s="46">
        <v>21</v>
      </c>
      <c r="D80" s="46">
        <v>21</v>
      </c>
      <c r="E80" s="46">
        <v>20.6</v>
      </c>
      <c r="F80" s="46">
        <v>20.6</v>
      </c>
      <c r="G80" s="46">
        <v>20.5</v>
      </c>
      <c r="H80" s="46">
        <v>20.5</v>
      </c>
      <c r="I80" s="46">
        <v>14</v>
      </c>
      <c r="J80" s="46">
        <v>20</v>
      </c>
      <c r="K80" s="46">
        <v>20</v>
      </c>
      <c r="L80" s="46">
        <v>20</v>
      </c>
      <c r="M80" s="46">
        <v>20</v>
      </c>
      <c r="N80" s="46">
        <v>20</v>
      </c>
      <c r="O80" s="46">
        <v>20</v>
      </c>
      <c r="P80" s="46">
        <v>20</v>
      </c>
      <c r="Q80" s="46">
        <v>20</v>
      </c>
      <c r="R80" s="46">
        <v>20</v>
      </c>
      <c r="S80" s="46">
        <v>21.1</v>
      </c>
      <c r="T80" s="46">
        <v>21.1</v>
      </c>
      <c r="U80" s="46">
        <v>21.1</v>
      </c>
      <c r="V80" s="46">
        <v>21.1</v>
      </c>
      <c r="W80" s="46">
        <v>21.1</v>
      </c>
      <c r="X80" s="46">
        <v>10.8</v>
      </c>
      <c r="Y80" s="46">
        <v>10.8</v>
      </c>
      <c r="Z80" s="46">
        <v>20.5</v>
      </c>
      <c r="AA80" s="46">
        <v>20.5</v>
      </c>
      <c r="AB80" s="46">
        <v>20.3</v>
      </c>
      <c r="AC80" s="46">
        <v>20.2</v>
      </c>
      <c r="AD80" s="46">
        <v>20.2</v>
      </c>
      <c r="AE80" s="46">
        <v>20.2</v>
      </c>
      <c r="AF80" s="46">
        <v>0</v>
      </c>
      <c r="AG80" s="61">
        <v>60</v>
      </c>
      <c r="AH80" s="48">
        <f t="shared" si="29"/>
        <v>21.1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15.7</v>
      </c>
      <c r="C81" s="76">
        <v>15.7</v>
      </c>
      <c r="D81" s="76">
        <v>15.7</v>
      </c>
      <c r="E81" s="76">
        <v>9.6999999999999993</v>
      </c>
      <c r="F81" s="76">
        <v>9.6999999999999993</v>
      </c>
      <c r="G81" s="76">
        <v>9.4</v>
      </c>
      <c r="H81" s="76">
        <v>9.4</v>
      </c>
      <c r="I81" s="76">
        <v>4.4000000000000004</v>
      </c>
      <c r="J81" s="76">
        <v>8.5</v>
      </c>
      <c r="K81" s="76">
        <v>8.5</v>
      </c>
      <c r="L81" s="76">
        <v>8.5</v>
      </c>
      <c r="M81" s="76">
        <v>8.9</v>
      </c>
      <c r="N81" s="76">
        <v>8.5</v>
      </c>
      <c r="O81" s="76">
        <v>8.5</v>
      </c>
      <c r="P81" s="76">
        <v>0</v>
      </c>
      <c r="Q81" s="76">
        <v>9.4</v>
      </c>
      <c r="R81" s="76">
        <v>9.8000000000000007</v>
      </c>
      <c r="S81" s="76">
        <v>9.8000000000000007</v>
      </c>
      <c r="T81" s="76">
        <v>9.8000000000000007</v>
      </c>
      <c r="U81" s="76">
        <v>9.8000000000000007</v>
      </c>
      <c r="V81" s="76">
        <v>9.8000000000000007</v>
      </c>
      <c r="W81" s="76">
        <v>9.8000000000000007</v>
      </c>
      <c r="X81" s="76">
        <v>5</v>
      </c>
      <c r="Y81" s="76">
        <v>5</v>
      </c>
      <c r="Z81" s="76">
        <v>9</v>
      </c>
      <c r="AA81" s="76">
        <v>9</v>
      </c>
      <c r="AB81" s="76">
        <v>8.8000000000000007</v>
      </c>
      <c r="AC81" s="76">
        <v>8.6999999999999993</v>
      </c>
      <c r="AD81" s="76">
        <v>8.6999999999999993</v>
      </c>
      <c r="AE81" s="76">
        <v>8.6999999999999993</v>
      </c>
      <c r="AF81" s="76">
        <v>0</v>
      </c>
      <c r="AG81" s="66">
        <v>32</v>
      </c>
      <c r="AH81" s="48">
        <f t="shared" si="29"/>
        <v>15.7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5.7</v>
      </c>
      <c r="C82" s="78">
        <v>5.7</v>
      </c>
      <c r="D82" s="78">
        <v>5.7</v>
      </c>
      <c r="E82" s="78">
        <v>3.5</v>
      </c>
      <c r="F82" s="78">
        <v>3.5</v>
      </c>
      <c r="G82" s="78">
        <v>3.4</v>
      </c>
      <c r="H82" s="78">
        <v>3.4</v>
      </c>
      <c r="I82" s="78">
        <v>1.6</v>
      </c>
      <c r="J82" s="78">
        <v>3.1</v>
      </c>
      <c r="K82" s="78">
        <v>3.1</v>
      </c>
      <c r="L82" s="78">
        <v>3.1</v>
      </c>
      <c r="M82" s="78">
        <v>3.3</v>
      </c>
      <c r="N82" s="78">
        <v>3.1</v>
      </c>
      <c r="O82" s="78">
        <v>3.1</v>
      </c>
      <c r="P82" s="78">
        <v>0</v>
      </c>
      <c r="Q82" s="78">
        <v>3.4</v>
      </c>
      <c r="R82" s="78">
        <v>3.6</v>
      </c>
      <c r="S82" s="78">
        <v>3.6</v>
      </c>
      <c r="T82" s="78">
        <v>3.6</v>
      </c>
      <c r="U82" s="78">
        <v>3.6</v>
      </c>
      <c r="V82" s="78">
        <v>3.6</v>
      </c>
      <c r="W82" s="78">
        <v>3.6</v>
      </c>
      <c r="X82" s="78">
        <v>1.8</v>
      </c>
      <c r="Y82" s="78">
        <v>1.8</v>
      </c>
      <c r="Z82" s="78">
        <v>3.3</v>
      </c>
      <c r="AA82" s="78">
        <v>3.3</v>
      </c>
      <c r="AB82" s="78">
        <v>3.2</v>
      </c>
      <c r="AC82" s="78">
        <v>3.2</v>
      </c>
      <c r="AD82" s="78">
        <v>3.2</v>
      </c>
      <c r="AE82" s="78">
        <v>3.2</v>
      </c>
      <c r="AF82" s="78">
        <v>0</v>
      </c>
      <c r="AG82" s="79">
        <v>14</v>
      </c>
      <c r="AH82" s="48">
        <f t="shared" si="29"/>
        <v>5.7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-9</v>
      </c>
      <c r="BH82" s="82">
        <v>0</v>
      </c>
      <c r="BI82" s="82">
        <v>-475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v>31.4</v>
      </c>
      <c r="C83" s="71">
        <v>31.4</v>
      </c>
      <c r="D83" s="71">
        <v>31.4</v>
      </c>
      <c r="E83" s="71">
        <f t="shared" ref="E83:AE83" si="33">E80+E81+E82</f>
        <v>33.799999999999997</v>
      </c>
      <c r="F83" s="71">
        <f t="shared" si="33"/>
        <v>33.799999999999997</v>
      </c>
      <c r="G83" s="71">
        <f t="shared" si="33"/>
        <v>33.299999999999997</v>
      </c>
      <c r="H83" s="71">
        <f t="shared" si="33"/>
        <v>33.299999999999997</v>
      </c>
      <c r="I83" s="71">
        <f t="shared" si="33"/>
        <v>20</v>
      </c>
      <c r="J83" s="71">
        <f t="shared" si="33"/>
        <v>31.6</v>
      </c>
      <c r="K83" s="71">
        <f t="shared" si="33"/>
        <v>31.6</v>
      </c>
      <c r="L83" s="71">
        <f t="shared" si="33"/>
        <v>31.6</v>
      </c>
      <c r="M83" s="71">
        <f t="shared" si="33"/>
        <v>32.199999999999996</v>
      </c>
      <c r="N83" s="71">
        <f t="shared" si="33"/>
        <v>31.6</v>
      </c>
      <c r="O83" s="71">
        <f t="shared" si="33"/>
        <v>31.6</v>
      </c>
      <c r="P83" s="71">
        <f t="shared" si="33"/>
        <v>20</v>
      </c>
      <c r="Q83" s="71">
        <f t="shared" si="33"/>
        <v>32.799999999999997</v>
      </c>
      <c r="R83" s="71">
        <f t="shared" si="33"/>
        <v>33.4</v>
      </c>
      <c r="S83" s="71">
        <f t="shared" ref="S83:AA83" si="34">S80+S81+S82</f>
        <v>34.5</v>
      </c>
      <c r="T83" s="71">
        <f t="shared" si="34"/>
        <v>34.5</v>
      </c>
      <c r="U83" s="71">
        <f t="shared" si="34"/>
        <v>34.5</v>
      </c>
      <c r="V83" s="71">
        <f t="shared" si="34"/>
        <v>34.5</v>
      </c>
      <c r="W83" s="71">
        <f t="shared" si="34"/>
        <v>34.5</v>
      </c>
      <c r="X83" s="71">
        <f t="shared" si="34"/>
        <v>17.600000000000001</v>
      </c>
      <c r="Y83" s="71">
        <f t="shared" si="34"/>
        <v>17.600000000000001</v>
      </c>
      <c r="Z83" s="71">
        <f t="shared" si="34"/>
        <v>32.799999999999997</v>
      </c>
      <c r="AA83" s="71">
        <f t="shared" si="34"/>
        <v>32.799999999999997</v>
      </c>
      <c r="AB83" s="71">
        <f t="shared" si="33"/>
        <v>32.300000000000004</v>
      </c>
      <c r="AC83" s="71">
        <f t="shared" si="33"/>
        <v>32.1</v>
      </c>
      <c r="AD83" s="71">
        <f t="shared" si="33"/>
        <v>32.1</v>
      </c>
      <c r="AE83" s="71">
        <f t="shared" si="33"/>
        <v>32.1</v>
      </c>
      <c r="AF83" s="71">
        <f>AF80+AF81+AF82</f>
        <v>0</v>
      </c>
      <c r="AG83" s="72">
        <f>SUM(AG80:AG82)</f>
        <v>106</v>
      </c>
      <c r="AH83" s="48">
        <f t="shared" si="29"/>
        <v>34.5</v>
      </c>
      <c r="AI83" s="49">
        <f t="shared" si="30"/>
        <v>0</v>
      </c>
      <c r="AK83" s="51"/>
      <c r="AY83" s="82"/>
      <c r="BF83" s="81"/>
      <c r="BG83" s="82">
        <v>-9.4</v>
      </c>
      <c r="BH83" s="82">
        <v>0</v>
      </c>
      <c r="BI83" s="82">
        <v>-480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-20.100000000000001</v>
      </c>
      <c r="C84" s="46">
        <v>-9.3000000000000007</v>
      </c>
      <c r="D84" s="46">
        <v>-9.4</v>
      </c>
      <c r="E84" s="46">
        <v>-17.5</v>
      </c>
      <c r="F84" s="46">
        <v>-14.7</v>
      </c>
      <c r="G84" s="46">
        <v>-11.8</v>
      </c>
      <c r="H84" s="46">
        <v>-4.8</v>
      </c>
      <c r="I84" s="46">
        <v>-4.8</v>
      </c>
      <c r="J84" s="46">
        <v>0</v>
      </c>
      <c r="K84" s="46">
        <v>36.1</v>
      </c>
      <c r="L84" s="46">
        <v>30</v>
      </c>
      <c r="M84" s="46">
        <v>20.5</v>
      </c>
      <c r="N84" s="46">
        <v>40</v>
      </c>
      <c r="O84" s="46">
        <v>67</v>
      </c>
      <c r="P84" s="46">
        <v>67.900000000000006</v>
      </c>
      <c r="Q84" s="46">
        <v>57.9</v>
      </c>
      <c r="R84" s="46">
        <v>53.9</v>
      </c>
      <c r="S84" s="46">
        <v>64.3</v>
      </c>
      <c r="T84" s="46">
        <v>51.6</v>
      </c>
      <c r="U84" s="46">
        <v>56.5</v>
      </c>
      <c r="V84" s="46">
        <v>47.5</v>
      </c>
      <c r="W84" s="46">
        <v>47.5</v>
      </c>
      <c r="X84" s="46">
        <v>10</v>
      </c>
      <c r="Y84" s="46">
        <v>10.1</v>
      </c>
      <c r="Z84" s="46">
        <v>14.1</v>
      </c>
      <c r="AA84" s="46">
        <v>18.399999999999999</v>
      </c>
      <c r="AB84" s="46">
        <v>49</v>
      </c>
      <c r="AC84" s="46">
        <v>51.5</v>
      </c>
      <c r="AD84" s="46">
        <v>44</v>
      </c>
      <c r="AE84" s="46">
        <v>1.8</v>
      </c>
      <c r="AF84" s="46">
        <v>-2</v>
      </c>
      <c r="AG84" s="61"/>
      <c r="AH84" s="48">
        <f t="shared" si="29"/>
        <v>67.900000000000006</v>
      </c>
      <c r="AI84" s="49">
        <f t="shared" si="30"/>
        <v>-20.100000000000001</v>
      </c>
      <c r="AK84" s="51"/>
      <c r="AY84" s="82"/>
      <c r="BF84" s="81"/>
      <c r="BG84" s="82">
        <v>-17.5</v>
      </c>
      <c r="BH84" s="82">
        <v>0</v>
      </c>
      <c r="BI84" s="82">
        <v>-435.2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-14.7</v>
      </c>
      <c r="BH85" s="82">
        <v>0</v>
      </c>
      <c r="BI85" s="82">
        <v>-480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-483.2</v>
      </c>
      <c r="C86" s="76">
        <v>-474.5</v>
      </c>
      <c r="D86" s="76">
        <v>-480</v>
      </c>
      <c r="E86" s="76">
        <v>-435.2</v>
      </c>
      <c r="F86" s="76">
        <v>-480</v>
      </c>
      <c r="G86" s="76">
        <v>-488</v>
      </c>
      <c r="H86" s="76">
        <v>-479.4</v>
      </c>
      <c r="I86" s="76">
        <v>-487</v>
      </c>
      <c r="J86" s="76">
        <v>-458</v>
      </c>
      <c r="K86" s="76">
        <v>-465</v>
      </c>
      <c r="L86" s="76">
        <v>-520</v>
      </c>
      <c r="M86" s="76">
        <v>-434</v>
      </c>
      <c r="N86" s="76">
        <v>-487</v>
      </c>
      <c r="O86" s="76">
        <v>-409.8</v>
      </c>
      <c r="P86" s="76">
        <v>-390</v>
      </c>
      <c r="Q86" s="76">
        <v>-340.4</v>
      </c>
      <c r="R86" s="76">
        <v>-307.60000000000002</v>
      </c>
      <c r="S86" s="76">
        <v>-344.6</v>
      </c>
      <c r="T86" s="76">
        <v>-324.8</v>
      </c>
      <c r="U86" s="76">
        <v>-341.6</v>
      </c>
      <c r="V86" s="76">
        <v>-343.6</v>
      </c>
      <c r="W86" s="76">
        <v>-343.6</v>
      </c>
      <c r="X86" s="76">
        <v>-427.6</v>
      </c>
      <c r="Y86" s="76">
        <v>-405.2</v>
      </c>
      <c r="Z86" s="76">
        <v>-383.6</v>
      </c>
      <c r="AA86" s="76">
        <v>-344</v>
      </c>
      <c r="AB86" s="76">
        <v>-348</v>
      </c>
      <c r="AC86" s="76">
        <v>-350</v>
      </c>
      <c r="AD86" s="76">
        <v>-408</v>
      </c>
      <c r="AE86" s="76">
        <v>-453</v>
      </c>
      <c r="AF86" s="76">
        <v>-510</v>
      </c>
      <c r="AG86" s="88"/>
      <c r="AH86" s="48">
        <f t="shared" si="29"/>
        <v>-307.60000000000002</v>
      </c>
      <c r="AI86" s="49">
        <f t="shared" si="30"/>
        <v>-520</v>
      </c>
      <c r="AK86" s="92"/>
      <c r="AL86" s="93"/>
      <c r="AM86" s="93"/>
      <c r="AN86" s="94"/>
      <c r="AY86" s="82"/>
      <c r="BF86" s="82"/>
      <c r="BG86" s="82">
        <v>-11.8</v>
      </c>
      <c r="BH86" s="82">
        <v>0</v>
      </c>
      <c r="BI86" s="82">
        <v>-488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9"/>
        <v>0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-4.8</v>
      </c>
      <c r="BH87" s="82">
        <v>0</v>
      </c>
      <c r="BI87" s="82">
        <v>-487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9"/>
        <v>0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36.1</v>
      </c>
      <c r="BH88" s="82">
        <v>0</v>
      </c>
      <c r="BI88" s="82">
        <v>-465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50.4</v>
      </c>
      <c r="C89" s="90">
        <v>45.3</v>
      </c>
      <c r="D89" s="90">
        <v>45.3</v>
      </c>
      <c r="E89" s="90">
        <v>46.8</v>
      </c>
      <c r="F89" s="90">
        <v>44.3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28.3</v>
      </c>
      <c r="M89" s="90">
        <v>42.8</v>
      </c>
      <c r="N89" s="90">
        <v>44.3</v>
      </c>
      <c r="O89" s="90">
        <v>0</v>
      </c>
      <c r="P89" s="90">
        <v>0</v>
      </c>
      <c r="Q89" s="90">
        <v>41.7</v>
      </c>
      <c r="R89" s="90">
        <v>44.3</v>
      </c>
      <c r="S89" s="90">
        <v>46.1</v>
      </c>
      <c r="T89" s="90">
        <v>48.9</v>
      </c>
      <c r="U89" s="90">
        <v>53.6</v>
      </c>
      <c r="V89" s="90">
        <v>48.4</v>
      </c>
      <c r="W89" s="90">
        <v>48.4</v>
      </c>
      <c r="X89" s="90">
        <v>48.2</v>
      </c>
      <c r="Y89" s="90">
        <v>45.6</v>
      </c>
      <c r="Z89" s="90">
        <v>48.3</v>
      </c>
      <c r="AA89" s="90">
        <v>50.1</v>
      </c>
      <c r="AB89" s="90">
        <v>44.6</v>
      </c>
      <c r="AC89" s="90">
        <v>48.9</v>
      </c>
      <c r="AD89" s="90">
        <v>44.8</v>
      </c>
      <c r="AE89" s="90">
        <v>51.6</v>
      </c>
      <c r="AF89" s="90">
        <v>51.6</v>
      </c>
      <c r="AG89" s="88"/>
      <c r="AH89" s="48">
        <f>MAX(B89:AF89)</f>
        <v>53.6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20.5</v>
      </c>
      <c r="BH89" s="82">
        <v>0</v>
      </c>
      <c r="BI89" s="82">
        <v>-434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4"/>
      <c r="AY90" s="82"/>
      <c r="BF90" s="82"/>
      <c r="BG90" s="82">
        <v>40</v>
      </c>
      <c r="BH90" s="82">
        <v>0</v>
      </c>
      <c r="BI90" s="82">
        <v>-487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5"/>
      <c r="BF91" s="82"/>
      <c r="BG91" s="82">
        <v>67</v>
      </c>
      <c r="BH91" s="82">
        <v>0</v>
      </c>
      <c r="BI91" s="82">
        <v>-409.8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67.900000000000006</v>
      </c>
      <c r="BH92" s="82">
        <v>0</v>
      </c>
      <c r="BI92" s="82">
        <v>-390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57.9</v>
      </c>
      <c r="BH93" s="82">
        <v>0</v>
      </c>
      <c r="BI93" s="82">
        <v>-340.4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53.9</v>
      </c>
      <c r="BH94" s="82">
        <v>0</v>
      </c>
      <c r="BI94" s="82">
        <v>-307.60000000000002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50.4</v>
      </c>
      <c r="C95" s="71">
        <f>SUMIF(C84:C94,"&gt;0")</f>
        <v>45.3</v>
      </c>
      <c r="D95" s="71">
        <f>SUMIF(D84:D94,"&gt;0")</f>
        <v>45.3</v>
      </c>
      <c r="E95" s="71">
        <f t="shared" ref="E95:AE95" si="35">SUMIF(E84:E94,"&gt;0")</f>
        <v>46.8</v>
      </c>
      <c r="F95" s="71">
        <f t="shared" si="35"/>
        <v>44.3</v>
      </c>
      <c r="G95" s="71">
        <f t="shared" si="35"/>
        <v>0</v>
      </c>
      <c r="H95" s="71">
        <f t="shared" si="35"/>
        <v>0</v>
      </c>
      <c r="I95" s="71">
        <f t="shared" si="35"/>
        <v>0</v>
      </c>
      <c r="J95" s="71">
        <f t="shared" si="35"/>
        <v>0</v>
      </c>
      <c r="K95" s="71">
        <f t="shared" si="35"/>
        <v>36.1</v>
      </c>
      <c r="L95" s="71">
        <f t="shared" si="35"/>
        <v>58.3</v>
      </c>
      <c r="M95" s="71">
        <f t="shared" si="35"/>
        <v>63.3</v>
      </c>
      <c r="N95" s="71">
        <f t="shared" si="35"/>
        <v>84.3</v>
      </c>
      <c r="O95" s="71">
        <f t="shared" si="35"/>
        <v>67</v>
      </c>
      <c r="P95" s="71">
        <f t="shared" si="35"/>
        <v>67.900000000000006</v>
      </c>
      <c r="Q95" s="71">
        <f t="shared" si="35"/>
        <v>99.6</v>
      </c>
      <c r="R95" s="71">
        <f t="shared" si="35"/>
        <v>98.199999999999989</v>
      </c>
      <c r="S95" s="71">
        <f t="shared" ref="S95:AA95" si="36">SUMIF(S84:S94,"&gt;0")</f>
        <v>110.4</v>
      </c>
      <c r="T95" s="71">
        <f t="shared" si="36"/>
        <v>100.5</v>
      </c>
      <c r="U95" s="71">
        <f t="shared" si="36"/>
        <v>110.1</v>
      </c>
      <c r="V95" s="71">
        <f t="shared" si="36"/>
        <v>95.9</v>
      </c>
      <c r="W95" s="71">
        <f t="shared" si="36"/>
        <v>95.9</v>
      </c>
      <c r="X95" s="71">
        <f t="shared" si="36"/>
        <v>58.2</v>
      </c>
      <c r="Y95" s="71">
        <f t="shared" si="36"/>
        <v>55.7</v>
      </c>
      <c r="Z95" s="71">
        <f t="shared" si="36"/>
        <v>62.4</v>
      </c>
      <c r="AA95" s="71">
        <f t="shared" si="36"/>
        <v>68.5</v>
      </c>
      <c r="AB95" s="71">
        <f t="shared" si="35"/>
        <v>93.6</v>
      </c>
      <c r="AC95" s="71">
        <f t="shared" si="35"/>
        <v>100.4</v>
      </c>
      <c r="AD95" s="71">
        <f t="shared" si="35"/>
        <v>88.8</v>
      </c>
      <c r="AE95" s="71">
        <f t="shared" si="35"/>
        <v>53.4</v>
      </c>
      <c r="AF95" s="71">
        <f>SUMIF(AF84:AF94,"&gt;0")</f>
        <v>51.6</v>
      </c>
      <c r="AG95" s="101">
        <f>SUM(AG84:AG94)</f>
        <v>0</v>
      </c>
      <c r="AH95" s="48">
        <f t="shared" si="29"/>
        <v>110.4</v>
      </c>
      <c r="AI95" s="49">
        <f t="shared" si="30"/>
        <v>0</v>
      </c>
      <c r="BF95" s="82"/>
      <c r="BG95" s="82">
        <v>64.3</v>
      </c>
      <c r="BH95" s="82">
        <v>0</v>
      </c>
      <c r="BI95" s="82">
        <v>-344.6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51.6</v>
      </c>
      <c r="BH96" s="82">
        <v>0</v>
      </c>
      <c r="BI96" s="82">
        <v>-324.8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56.5</v>
      </c>
      <c r="BH97" s="82">
        <v>0</v>
      </c>
      <c r="BI97" s="82">
        <v>-341.6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47.5</v>
      </c>
      <c r="BH98" s="82">
        <v>0</v>
      </c>
      <c r="BI98" s="82">
        <v>-343.6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10</v>
      </c>
      <c r="BH99" s="82">
        <v>0</v>
      </c>
      <c r="BI99" s="82">
        <v>-427.6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2014.2</v>
      </c>
      <c r="C100" s="108">
        <f>C61+C65+C83+C79+C95+C99</f>
        <v>2009.1</v>
      </c>
      <c r="D100" s="108">
        <f>D61+D65+D83+D79+D95+D99</f>
        <v>2009.1</v>
      </c>
      <c r="E100" s="108">
        <f t="shared" ref="E100:AG100" si="37">E61+E65+E83+E79+E95+E99</f>
        <v>2042.9399999999998</v>
      </c>
      <c r="F100" s="108">
        <f t="shared" si="37"/>
        <v>2048.04</v>
      </c>
      <c r="G100" s="108">
        <f t="shared" si="37"/>
        <v>2011.24</v>
      </c>
      <c r="H100" s="108">
        <f t="shared" si="37"/>
        <v>2051.54</v>
      </c>
      <c r="I100" s="108">
        <f t="shared" si="37"/>
        <v>2030.4399999999998</v>
      </c>
      <c r="J100" s="108">
        <f t="shared" si="37"/>
        <v>2042.3399999999997</v>
      </c>
      <c r="K100" s="108">
        <f t="shared" si="37"/>
        <v>2079.0399999999995</v>
      </c>
      <c r="L100" s="108">
        <f t="shared" si="37"/>
        <v>2101.2399999999998</v>
      </c>
      <c r="M100" s="108">
        <f t="shared" si="37"/>
        <v>2075.64</v>
      </c>
      <c r="N100" s="108">
        <f t="shared" si="37"/>
        <v>2139.34</v>
      </c>
      <c r="O100" s="108">
        <f t="shared" si="37"/>
        <v>2121.14</v>
      </c>
      <c r="P100" s="108">
        <f t="shared" si="37"/>
        <v>2115.7399999999998</v>
      </c>
      <c r="Q100" s="108">
        <f t="shared" si="37"/>
        <v>2113.64</v>
      </c>
      <c r="R100" s="108">
        <f t="shared" si="37"/>
        <v>2087.94</v>
      </c>
      <c r="S100" s="108">
        <f t="shared" ref="S100:AA100" si="38">S61+S65+S83+S79+S95+S99</f>
        <v>2116.34</v>
      </c>
      <c r="T100" s="108">
        <f t="shared" si="38"/>
        <v>2124.7399999999998</v>
      </c>
      <c r="U100" s="108">
        <f t="shared" si="38"/>
        <v>2117.94</v>
      </c>
      <c r="V100" s="108">
        <f t="shared" si="38"/>
        <v>2109.2399999999998</v>
      </c>
      <c r="W100" s="108">
        <f t="shared" si="38"/>
        <v>2109.2399999999998</v>
      </c>
      <c r="X100" s="108">
        <f t="shared" si="38"/>
        <v>2037.6399999999999</v>
      </c>
      <c r="Y100" s="108">
        <f t="shared" si="38"/>
        <v>2034.1399999999999</v>
      </c>
      <c r="Z100" s="108">
        <f t="shared" si="38"/>
        <v>2056.04</v>
      </c>
      <c r="AA100" s="108">
        <f t="shared" si="38"/>
        <v>2027.94</v>
      </c>
      <c r="AB100" s="108">
        <f t="shared" si="37"/>
        <v>2101.64</v>
      </c>
      <c r="AC100" s="108">
        <f t="shared" si="37"/>
        <v>2108.2399999999998</v>
      </c>
      <c r="AD100" s="108">
        <f t="shared" si="37"/>
        <v>2096.7399999999998</v>
      </c>
      <c r="AE100" s="108">
        <f t="shared" si="37"/>
        <v>2082.84</v>
      </c>
      <c r="AF100" s="108">
        <f>AF61+AF65+AF83+AF79+AF95+AF99</f>
        <v>2087.44</v>
      </c>
      <c r="AG100" s="72">
        <f t="shared" si="37"/>
        <v>2655.44</v>
      </c>
      <c r="AH100" s="48">
        <f t="shared" si="29"/>
        <v>2139.34</v>
      </c>
      <c r="AI100" s="49">
        <f t="shared" si="30"/>
        <v>2009.1</v>
      </c>
      <c r="BF100" s="81"/>
      <c r="BG100" s="82">
        <v>14.1</v>
      </c>
      <c r="BH100" s="82">
        <v>0</v>
      </c>
      <c r="BI100" s="82">
        <v>-383.6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70</v>
      </c>
      <c r="C101" s="110">
        <v>70</v>
      </c>
      <c r="D101" s="110">
        <v>70</v>
      </c>
      <c r="E101" s="110">
        <v>70</v>
      </c>
      <c r="F101" s="110">
        <v>70</v>
      </c>
      <c r="G101" s="110">
        <v>100</v>
      </c>
      <c r="H101" s="110">
        <v>100</v>
      </c>
      <c r="I101" s="110">
        <v>100</v>
      </c>
      <c r="J101" s="110">
        <v>100</v>
      </c>
      <c r="K101" s="110">
        <v>70</v>
      </c>
      <c r="L101" s="110">
        <v>50</v>
      </c>
      <c r="M101" s="110">
        <v>50</v>
      </c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80</v>
      </c>
      <c r="Z101" s="110">
        <v>80</v>
      </c>
      <c r="AA101" s="110">
        <v>80</v>
      </c>
      <c r="AB101" s="110">
        <v>150</v>
      </c>
      <c r="AC101" s="110">
        <v>150</v>
      </c>
      <c r="AD101" s="110">
        <v>150</v>
      </c>
      <c r="AE101" s="110">
        <v>200</v>
      </c>
      <c r="AF101" s="110">
        <v>200</v>
      </c>
      <c r="AG101" s="101"/>
      <c r="AH101" s="48">
        <f t="shared" si="29"/>
        <v>200</v>
      </c>
      <c r="AI101" s="49">
        <f t="shared" si="30"/>
        <v>50</v>
      </c>
      <c r="BF101" s="81"/>
      <c r="BG101" s="82">
        <v>49</v>
      </c>
      <c r="BH101" s="82">
        <v>0</v>
      </c>
      <c r="BI101" s="82">
        <v>-348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2084.1999999999998</v>
      </c>
      <c r="C102" s="108">
        <f>C100+C101</f>
        <v>2079.1</v>
      </c>
      <c r="D102" s="108">
        <f>D100+D101</f>
        <v>2079.1</v>
      </c>
      <c r="E102" s="108">
        <f t="shared" ref="E102:AF102" si="39">E100+E101</f>
        <v>2112.9399999999996</v>
      </c>
      <c r="F102" s="108">
        <f t="shared" si="39"/>
        <v>2118.04</v>
      </c>
      <c r="G102" s="108">
        <f t="shared" si="39"/>
        <v>2111.2399999999998</v>
      </c>
      <c r="H102" s="108">
        <f t="shared" si="39"/>
        <v>2151.54</v>
      </c>
      <c r="I102" s="108">
        <f t="shared" si="39"/>
        <v>2130.4399999999996</v>
      </c>
      <c r="J102" s="108">
        <f t="shared" si="39"/>
        <v>2142.3399999999997</v>
      </c>
      <c r="K102" s="108">
        <f t="shared" si="39"/>
        <v>2149.0399999999995</v>
      </c>
      <c r="L102" s="108">
        <f t="shared" si="39"/>
        <v>2151.2399999999998</v>
      </c>
      <c r="M102" s="108">
        <f t="shared" si="39"/>
        <v>2125.64</v>
      </c>
      <c r="N102" s="108">
        <f t="shared" si="39"/>
        <v>2139.34</v>
      </c>
      <c r="O102" s="108">
        <f t="shared" si="39"/>
        <v>2121.14</v>
      </c>
      <c r="P102" s="108">
        <f t="shared" si="39"/>
        <v>2115.7399999999998</v>
      </c>
      <c r="Q102" s="108">
        <f t="shared" si="39"/>
        <v>2113.64</v>
      </c>
      <c r="R102" s="108">
        <f t="shared" si="39"/>
        <v>2087.94</v>
      </c>
      <c r="S102" s="108">
        <f t="shared" ref="S102:AA102" si="40">S100+S101</f>
        <v>2116.34</v>
      </c>
      <c r="T102" s="108">
        <f t="shared" si="40"/>
        <v>2124.7399999999998</v>
      </c>
      <c r="U102" s="108">
        <f t="shared" si="40"/>
        <v>2117.94</v>
      </c>
      <c r="V102" s="108">
        <f t="shared" si="40"/>
        <v>2109.2399999999998</v>
      </c>
      <c r="W102" s="108">
        <f t="shared" si="40"/>
        <v>2109.2399999999998</v>
      </c>
      <c r="X102" s="108">
        <f t="shared" si="40"/>
        <v>2037.6399999999999</v>
      </c>
      <c r="Y102" s="108">
        <f t="shared" si="40"/>
        <v>2114.14</v>
      </c>
      <c r="Z102" s="108">
        <f t="shared" si="40"/>
        <v>2136.04</v>
      </c>
      <c r="AA102" s="108">
        <f t="shared" si="40"/>
        <v>2107.94</v>
      </c>
      <c r="AB102" s="108">
        <f t="shared" si="39"/>
        <v>2251.64</v>
      </c>
      <c r="AC102" s="108">
        <f t="shared" si="39"/>
        <v>2258.2399999999998</v>
      </c>
      <c r="AD102" s="108">
        <f t="shared" si="39"/>
        <v>2246.7399999999998</v>
      </c>
      <c r="AE102" s="108">
        <f t="shared" si="39"/>
        <v>2282.84</v>
      </c>
      <c r="AF102" s="108">
        <f t="shared" si="39"/>
        <v>2287.44</v>
      </c>
      <c r="AG102" s="101">
        <f>AG99+AG95+AG83+AG79+AG61+AG101</f>
        <v>2117.34</v>
      </c>
      <c r="AH102" s="48">
        <f t="shared" si="29"/>
        <v>2287.44</v>
      </c>
      <c r="AI102" s="49">
        <f t="shared" si="30"/>
        <v>2037.6399999999999</v>
      </c>
      <c r="BF102" s="81"/>
      <c r="BG102" s="82">
        <v>44</v>
      </c>
      <c r="BH102" s="82">
        <v>0</v>
      </c>
      <c r="BI102" s="82">
        <v>-408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1580.8999999999999</v>
      </c>
      <c r="C103" s="108">
        <f>C102-(C110)</f>
        <v>1595.3</v>
      </c>
      <c r="D103" s="108">
        <f>D102-(D110)</f>
        <v>1589.6999999999998</v>
      </c>
      <c r="E103" s="108">
        <f t="shared" ref="E103:AF103" si="41">E102-(E110)</f>
        <v>1660.2399999999996</v>
      </c>
      <c r="F103" s="108">
        <f t="shared" si="41"/>
        <v>1623.34</v>
      </c>
      <c r="G103" s="108">
        <f t="shared" si="41"/>
        <v>1611.4399999999998</v>
      </c>
      <c r="H103" s="108">
        <f t="shared" si="41"/>
        <v>1667.34</v>
      </c>
      <c r="I103" s="108">
        <f t="shared" si="41"/>
        <v>1638.6399999999996</v>
      </c>
      <c r="J103" s="108">
        <f t="shared" si="41"/>
        <v>1684.3399999999997</v>
      </c>
      <c r="K103" s="108">
        <f t="shared" si="41"/>
        <v>1684.0399999999995</v>
      </c>
      <c r="L103" s="108">
        <f t="shared" si="41"/>
        <v>1631.2399999999998</v>
      </c>
      <c r="M103" s="108">
        <f t="shared" si="41"/>
        <v>1691.6399999999999</v>
      </c>
      <c r="N103" s="108">
        <f t="shared" si="41"/>
        <v>1652.3400000000001</v>
      </c>
      <c r="O103" s="108">
        <f t="shared" si="41"/>
        <v>1711.34</v>
      </c>
      <c r="P103" s="108">
        <f t="shared" si="41"/>
        <v>1725.7399999999998</v>
      </c>
      <c r="Q103" s="108">
        <f t="shared" si="41"/>
        <v>1773.2399999999998</v>
      </c>
      <c r="R103" s="108">
        <f t="shared" si="41"/>
        <v>1780.3400000000001</v>
      </c>
      <c r="S103" s="108">
        <f t="shared" ref="S103:AA103" si="42">S102-(S110)</f>
        <v>1771.7400000000002</v>
      </c>
      <c r="T103" s="108">
        <f t="shared" si="42"/>
        <v>1799.9399999999998</v>
      </c>
      <c r="U103" s="108">
        <f t="shared" si="42"/>
        <v>1776.3400000000001</v>
      </c>
      <c r="V103" s="108">
        <f t="shared" si="42"/>
        <v>1765.6399999999999</v>
      </c>
      <c r="W103" s="108">
        <f t="shared" si="42"/>
        <v>1765.6399999999999</v>
      </c>
      <c r="X103" s="108">
        <f t="shared" si="42"/>
        <v>1610.04</v>
      </c>
      <c r="Y103" s="108">
        <f t="shared" si="42"/>
        <v>1708.9399999999998</v>
      </c>
      <c r="Z103" s="108">
        <f t="shared" si="42"/>
        <v>1752.44</v>
      </c>
      <c r="AA103" s="108">
        <f t="shared" si="42"/>
        <v>1763.94</v>
      </c>
      <c r="AB103" s="108">
        <f t="shared" si="41"/>
        <v>1903.6399999999999</v>
      </c>
      <c r="AC103" s="108">
        <f t="shared" si="41"/>
        <v>1908.2399999999998</v>
      </c>
      <c r="AD103" s="108">
        <f t="shared" si="41"/>
        <v>1838.7399999999998</v>
      </c>
      <c r="AE103" s="108">
        <f t="shared" si="41"/>
        <v>1829.8400000000001</v>
      </c>
      <c r="AF103" s="108">
        <f t="shared" si="41"/>
        <v>1775.44</v>
      </c>
      <c r="AG103" s="101"/>
      <c r="AH103" s="48">
        <f t="shared" si="29"/>
        <v>1908.2399999999998</v>
      </c>
      <c r="AI103" s="49">
        <f t="shared" si="30"/>
        <v>1580.8999999999999</v>
      </c>
      <c r="BF103" s="81"/>
      <c r="BG103" s="82">
        <v>1.8</v>
      </c>
      <c r="BH103" s="82">
        <v>0</v>
      </c>
      <c r="BI103" s="82">
        <v>-453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43">IF(B84&lt;0,B84*-1,0)</f>
        <v>20.100000000000001</v>
      </c>
      <c r="C104" s="89">
        <f t="shared" si="43"/>
        <v>9.3000000000000007</v>
      </c>
      <c r="D104" s="89">
        <f t="shared" ref="D104:D109" si="44">IF(D84&lt;0,D84*-1,0)</f>
        <v>9.4</v>
      </c>
      <c r="E104" s="89">
        <f t="shared" ref="E104:AF109" si="45">IF(E84&lt;0,E84*-1,0)</f>
        <v>17.5</v>
      </c>
      <c r="F104" s="89">
        <f t="shared" si="45"/>
        <v>14.7</v>
      </c>
      <c r="G104" s="89">
        <f t="shared" si="45"/>
        <v>11.8</v>
      </c>
      <c r="H104" s="89">
        <f t="shared" si="45"/>
        <v>4.8</v>
      </c>
      <c r="I104" s="89">
        <f t="shared" si="45"/>
        <v>4.8</v>
      </c>
      <c r="J104" s="89">
        <f t="shared" si="45"/>
        <v>0</v>
      </c>
      <c r="K104" s="89">
        <f t="shared" si="45"/>
        <v>0</v>
      </c>
      <c r="L104" s="89">
        <f t="shared" si="45"/>
        <v>0</v>
      </c>
      <c r="M104" s="89">
        <f t="shared" si="45"/>
        <v>0</v>
      </c>
      <c r="N104" s="89">
        <f t="shared" si="45"/>
        <v>0</v>
      </c>
      <c r="O104" s="89">
        <f t="shared" si="45"/>
        <v>0</v>
      </c>
      <c r="P104" s="89">
        <f t="shared" si="45"/>
        <v>0</v>
      </c>
      <c r="Q104" s="89">
        <f t="shared" si="45"/>
        <v>0</v>
      </c>
      <c r="R104" s="89">
        <f t="shared" si="45"/>
        <v>0</v>
      </c>
      <c r="S104" s="89">
        <f t="shared" ref="S104:AA104" si="46">IF(S84&lt;0,S84*-1,0)</f>
        <v>0</v>
      </c>
      <c r="T104" s="89">
        <f t="shared" si="46"/>
        <v>0</v>
      </c>
      <c r="U104" s="89">
        <f t="shared" si="46"/>
        <v>0</v>
      </c>
      <c r="V104" s="89">
        <f t="shared" si="46"/>
        <v>0</v>
      </c>
      <c r="W104" s="89">
        <f t="shared" si="46"/>
        <v>0</v>
      </c>
      <c r="X104" s="89">
        <f t="shared" si="46"/>
        <v>0</v>
      </c>
      <c r="Y104" s="89">
        <f t="shared" si="46"/>
        <v>0</v>
      </c>
      <c r="Z104" s="89">
        <f t="shared" si="46"/>
        <v>0</v>
      </c>
      <c r="AA104" s="89">
        <f t="shared" si="46"/>
        <v>0</v>
      </c>
      <c r="AB104" s="89">
        <f t="shared" si="45"/>
        <v>0</v>
      </c>
      <c r="AC104" s="89">
        <f t="shared" si="45"/>
        <v>0</v>
      </c>
      <c r="AD104" s="89">
        <f t="shared" si="45"/>
        <v>0</v>
      </c>
      <c r="AE104" s="89">
        <f t="shared" si="45"/>
        <v>0</v>
      </c>
      <c r="AF104" s="89">
        <f t="shared" si="45"/>
        <v>2</v>
      </c>
      <c r="AG104" s="61"/>
      <c r="AH104" s="48">
        <f t="shared" si="29"/>
        <v>20.100000000000001</v>
      </c>
      <c r="AI104" s="49">
        <f t="shared" si="30"/>
        <v>0</v>
      </c>
      <c r="BG104" s="82">
        <v>-2</v>
      </c>
      <c r="BH104" s="82">
        <v>0</v>
      </c>
      <c r="BI104" s="82">
        <v>-510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3"/>
        <v>0</v>
      </c>
      <c r="C105" s="89">
        <f t="shared" si="43"/>
        <v>0</v>
      </c>
      <c r="D105" s="89">
        <f t="shared" si="44"/>
        <v>0</v>
      </c>
      <c r="E105" s="89">
        <f t="shared" ref="E105:Q105" si="47">IF(E85&lt;0,E85*-1,0)</f>
        <v>0</v>
      </c>
      <c r="F105" s="89">
        <f t="shared" si="47"/>
        <v>0</v>
      </c>
      <c r="G105" s="89">
        <f t="shared" si="47"/>
        <v>0</v>
      </c>
      <c r="H105" s="89">
        <f t="shared" si="47"/>
        <v>0</v>
      </c>
      <c r="I105" s="89">
        <f t="shared" si="47"/>
        <v>0</v>
      </c>
      <c r="J105" s="89">
        <f t="shared" si="47"/>
        <v>0</v>
      </c>
      <c r="K105" s="89">
        <f t="shared" si="47"/>
        <v>0</v>
      </c>
      <c r="L105" s="89">
        <f t="shared" si="47"/>
        <v>0</v>
      </c>
      <c r="M105" s="89">
        <f t="shared" si="47"/>
        <v>0</v>
      </c>
      <c r="N105" s="89">
        <f t="shared" si="47"/>
        <v>0</v>
      </c>
      <c r="O105" s="89">
        <f t="shared" si="47"/>
        <v>0</v>
      </c>
      <c r="P105" s="89">
        <f t="shared" si="47"/>
        <v>0</v>
      </c>
      <c r="Q105" s="89">
        <f t="shared" si="47"/>
        <v>0</v>
      </c>
      <c r="R105" s="89">
        <f t="shared" si="45"/>
        <v>0</v>
      </c>
      <c r="S105" s="89">
        <f t="shared" si="45"/>
        <v>0</v>
      </c>
      <c r="T105" s="89">
        <f t="shared" si="45"/>
        <v>0</v>
      </c>
      <c r="U105" s="89">
        <f t="shared" si="45"/>
        <v>0</v>
      </c>
      <c r="V105" s="89">
        <f t="shared" si="45"/>
        <v>0</v>
      </c>
      <c r="W105" s="89">
        <f t="shared" si="45"/>
        <v>0</v>
      </c>
      <c r="X105" s="89">
        <f t="shared" si="45"/>
        <v>0</v>
      </c>
      <c r="Y105" s="89">
        <f t="shared" si="45"/>
        <v>0</v>
      </c>
      <c r="Z105" s="89">
        <f t="shared" si="45"/>
        <v>0</v>
      </c>
      <c r="AA105" s="89">
        <f t="shared" si="45"/>
        <v>0</v>
      </c>
      <c r="AB105" s="89">
        <f t="shared" si="45"/>
        <v>0</v>
      </c>
      <c r="AC105" s="89">
        <f t="shared" si="45"/>
        <v>0</v>
      </c>
      <c r="AD105" s="89">
        <f t="shared" si="45"/>
        <v>0</v>
      </c>
      <c r="AE105" s="89">
        <f t="shared" si="45"/>
        <v>0</v>
      </c>
      <c r="AF105" s="89">
        <f t="shared" si="45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-20.100000000000001</v>
      </c>
      <c r="BH105" s="82">
        <v>0</v>
      </c>
      <c r="BI105" s="82">
        <v>-483.2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3"/>
        <v>483.2</v>
      </c>
      <c r="C106" s="89">
        <f t="shared" si="43"/>
        <v>474.5</v>
      </c>
      <c r="D106" s="89">
        <f t="shared" si="44"/>
        <v>480</v>
      </c>
      <c r="E106" s="89">
        <f t="shared" si="45"/>
        <v>435.2</v>
      </c>
      <c r="F106" s="89">
        <f t="shared" si="45"/>
        <v>480</v>
      </c>
      <c r="G106" s="89">
        <f t="shared" si="45"/>
        <v>488</v>
      </c>
      <c r="H106" s="89">
        <f t="shared" si="45"/>
        <v>479.4</v>
      </c>
      <c r="I106" s="89">
        <f t="shared" si="45"/>
        <v>487</v>
      </c>
      <c r="J106" s="89">
        <f t="shared" si="45"/>
        <v>458</v>
      </c>
      <c r="K106" s="89">
        <f t="shared" si="45"/>
        <v>465</v>
      </c>
      <c r="L106" s="89">
        <f t="shared" si="45"/>
        <v>520</v>
      </c>
      <c r="M106" s="89">
        <f t="shared" si="45"/>
        <v>434</v>
      </c>
      <c r="N106" s="89">
        <f t="shared" si="45"/>
        <v>487</v>
      </c>
      <c r="O106" s="89">
        <f t="shared" si="45"/>
        <v>409.8</v>
      </c>
      <c r="P106" s="89">
        <f t="shared" si="45"/>
        <v>390</v>
      </c>
      <c r="Q106" s="89">
        <f t="shared" si="45"/>
        <v>340.4</v>
      </c>
      <c r="R106" s="89">
        <f t="shared" si="45"/>
        <v>307.60000000000002</v>
      </c>
      <c r="S106" s="89">
        <f t="shared" si="45"/>
        <v>344.6</v>
      </c>
      <c r="T106" s="89">
        <f t="shared" si="45"/>
        <v>324.8</v>
      </c>
      <c r="U106" s="89">
        <f t="shared" si="45"/>
        <v>341.6</v>
      </c>
      <c r="V106" s="89">
        <f t="shared" si="45"/>
        <v>343.6</v>
      </c>
      <c r="W106" s="89">
        <f t="shared" si="45"/>
        <v>343.6</v>
      </c>
      <c r="X106" s="89">
        <f t="shared" si="45"/>
        <v>427.6</v>
      </c>
      <c r="Y106" s="89">
        <f t="shared" si="45"/>
        <v>405.2</v>
      </c>
      <c r="Z106" s="89">
        <f t="shared" si="45"/>
        <v>383.6</v>
      </c>
      <c r="AA106" s="89">
        <f t="shared" si="45"/>
        <v>344</v>
      </c>
      <c r="AB106" s="89">
        <f t="shared" si="45"/>
        <v>348</v>
      </c>
      <c r="AC106" s="89">
        <f t="shared" si="45"/>
        <v>350</v>
      </c>
      <c r="AD106" s="89">
        <f t="shared" si="45"/>
        <v>408</v>
      </c>
      <c r="AE106" s="89">
        <f t="shared" si="45"/>
        <v>453</v>
      </c>
      <c r="AF106" s="89">
        <f t="shared" si="45"/>
        <v>510</v>
      </c>
      <c r="AG106" s="111"/>
      <c r="AH106" s="48">
        <f t="shared" si="29"/>
        <v>520</v>
      </c>
      <c r="AI106" s="49">
        <f t="shared" si="30"/>
        <v>307.60000000000002</v>
      </c>
    </row>
    <row r="107" spans="1:64" x14ac:dyDescent="0.25">
      <c r="A107" s="97" t="s">
        <v>107</v>
      </c>
      <c r="B107" s="89">
        <f t="shared" si="43"/>
        <v>0</v>
      </c>
      <c r="C107" s="89">
        <f t="shared" si="43"/>
        <v>0</v>
      </c>
      <c r="D107" s="89">
        <f t="shared" si="44"/>
        <v>0</v>
      </c>
      <c r="E107" s="89">
        <f t="shared" si="45"/>
        <v>0</v>
      </c>
      <c r="F107" s="89">
        <f t="shared" si="45"/>
        <v>0</v>
      </c>
      <c r="G107" s="89">
        <f t="shared" si="45"/>
        <v>0</v>
      </c>
      <c r="H107" s="89">
        <f t="shared" si="45"/>
        <v>0</v>
      </c>
      <c r="I107" s="89">
        <f t="shared" si="45"/>
        <v>0</v>
      </c>
      <c r="J107" s="89">
        <f t="shared" si="45"/>
        <v>0</v>
      </c>
      <c r="K107" s="89">
        <f t="shared" si="45"/>
        <v>0</v>
      </c>
      <c r="L107" s="89">
        <f t="shared" si="45"/>
        <v>0</v>
      </c>
      <c r="M107" s="89">
        <f t="shared" si="45"/>
        <v>0</v>
      </c>
      <c r="N107" s="89">
        <f t="shared" si="45"/>
        <v>0</v>
      </c>
      <c r="O107" s="89">
        <f t="shared" si="45"/>
        <v>0</v>
      </c>
      <c r="P107" s="89">
        <f t="shared" si="45"/>
        <v>0</v>
      </c>
      <c r="Q107" s="89">
        <f t="shared" si="45"/>
        <v>0</v>
      </c>
      <c r="R107" s="89">
        <f t="shared" si="45"/>
        <v>0</v>
      </c>
      <c r="S107" s="89">
        <f t="shared" si="45"/>
        <v>0</v>
      </c>
      <c r="T107" s="89">
        <f t="shared" si="45"/>
        <v>0</v>
      </c>
      <c r="U107" s="89">
        <f t="shared" si="45"/>
        <v>0</v>
      </c>
      <c r="V107" s="89">
        <f t="shared" si="45"/>
        <v>0</v>
      </c>
      <c r="W107" s="89">
        <f t="shared" si="45"/>
        <v>0</v>
      </c>
      <c r="X107" s="89">
        <f t="shared" si="45"/>
        <v>0</v>
      </c>
      <c r="Y107" s="89">
        <f t="shared" si="45"/>
        <v>0</v>
      </c>
      <c r="Z107" s="89">
        <f t="shared" si="45"/>
        <v>0</v>
      </c>
      <c r="AA107" s="89">
        <f t="shared" si="45"/>
        <v>0</v>
      </c>
      <c r="AB107" s="89">
        <f t="shared" si="45"/>
        <v>0</v>
      </c>
      <c r="AC107" s="89">
        <f t="shared" si="45"/>
        <v>0</v>
      </c>
      <c r="AD107" s="89">
        <f t="shared" si="45"/>
        <v>0</v>
      </c>
      <c r="AE107" s="89">
        <f t="shared" si="45"/>
        <v>0</v>
      </c>
      <c r="AF107" s="89">
        <f t="shared" si="45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43"/>
        <v>0</v>
      </c>
      <c r="C108" s="89">
        <f t="shared" si="43"/>
        <v>0</v>
      </c>
      <c r="D108" s="89">
        <f t="shared" si="44"/>
        <v>0</v>
      </c>
      <c r="E108" s="89">
        <f t="shared" si="45"/>
        <v>0</v>
      </c>
      <c r="F108" s="89">
        <f t="shared" si="45"/>
        <v>0</v>
      </c>
      <c r="G108" s="89">
        <f t="shared" si="45"/>
        <v>0</v>
      </c>
      <c r="H108" s="89">
        <f t="shared" si="45"/>
        <v>0</v>
      </c>
      <c r="I108" s="89">
        <f t="shared" si="45"/>
        <v>0</v>
      </c>
      <c r="J108" s="89">
        <f t="shared" si="45"/>
        <v>0</v>
      </c>
      <c r="K108" s="89">
        <f t="shared" si="45"/>
        <v>0</v>
      </c>
      <c r="L108" s="89">
        <f t="shared" si="45"/>
        <v>0</v>
      </c>
      <c r="M108" s="89">
        <f t="shared" si="45"/>
        <v>0</v>
      </c>
      <c r="N108" s="89">
        <f t="shared" si="45"/>
        <v>0</v>
      </c>
      <c r="O108" s="89">
        <f t="shared" si="45"/>
        <v>0</v>
      </c>
      <c r="P108" s="89">
        <f t="shared" si="45"/>
        <v>0</v>
      </c>
      <c r="Q108" s="89">
        <f t="shared" si="45"/>
        <v>0</v>
      </c>
      <c r="R108" s="89">
        <f t="shared" si="45"/>
        <v>0</v>
      </c>
      <c r="S108" s="89">
        <f t="shared" si="45"/>
        <v>0</v>
      </c>
      <c r="T108" s="89">
        <f t="shared" si="45"/>
        <v>0</v>
      </c>
      <c r="U108" s="89">
        <f t="shared" si="45"/>
        <v>0</v>
      </c>
      <c r="V108" s="89">
        <f t="shared" si="45"/>
        <v>0</v>
      </c>
      <c r="W108" s="89">
        <f t="shared" si="45"/>
        <v>0</v>
      </c>
      <c r="X108" s="89">
        <f t="shared" si="45"/>
        <v>0</v>
      </c>
      <c r="Y108" s="89">
        <f t="shared" si="45"/>
        <v>0</v>
      </c>
      <c r="Z108" s="89">
        <f t="shared" si="45"/>
        <v>0</v>
      </c>
      <c r="AA108" s="89">
        <f t="shared" si="45"/>
        <v>0</v>
      </c>
      <c r="AB108" s="89">
        <f t="shared" si="45"/>
        <v>0</v>
      </c>
      <c r="AC108" s="89">
        <f t="shared" si="45"/>
        <v>0</v>
      </c>
      <c r="AD108" s="89">
        <f t="shared" si="45"/>
        <v>0</v>
      </c>
      <c r="AE108" s="89">
        <f t="shared" si="45"/>
        <v>0</v>
      </c>
      <c r="AF108" s="89">
        <f t="shared" si="45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43"/>
        <v>0</v>
      </c>
      <c r="C109" s="89">
        <f t="shared" si="43"/>
        <v>0</v>
      </c>
      <c r="D109" s="89">
        <f t="shared" si="44"/>
        <v>0</v>
      </c>
      <c r="E109" s="89">
        <f t="shared" si="45"/>
        <v>0</v>
      </c>
      <c r="F109" s="89">
        <f t="shared" si="45"/>
        <v>0</v>
      </c>
      <c r="G109" s="89">
        <f t="shared" si="45"/>
        <v>0</v>
      </c>
      <c r="H109" s="89">
        <f t="shared" si="45"/>
        <v>0</v>
      </c>
      <c r="I109" s="89">
        <f t="shared" si="45"/>
        <v>0</v>
      </c>
      <c r="J109" s="89">
        <f t="shared" si="45"/>
        <v>0</v>
      </c>
      <c r="K109" s="89">
        <f t="shared" si="45"/>
        <v>0</v>
      </c>
      <c r="L109" s="89">
        <f t="shared" si="45"/>
        <v>0</v>
      </c>
      <c r="M109" s="89">
        <f t="shared" si="45"/>
        <v>0</v>
      </c>
      <c r="N109" s="89">
        <f t="shared" si="45"/>
        <v>0</v>
      </c>
      <c r="O109" s="89">
        <f t="shared" si="45"/>
        <v>0</v>
      </c>
      <c r="P109" s="89">
        <f t="shared" si="45"/>
        <v>0</v>
      </c>
      <c r="Q109" s="89">
        <f t="shared" si="45"/>
        <v>0</v>
      </c>
      <c r="R109" s="89">
        <f t="shared" si="45"/>
        <v>0</v>
      </c>
      <c r="S109" s="89">
        <f t="shared" si="45"/>
        <v>0</v>
      </c>
      <c r="T109" s="89">
        <f t="shared" si="45"/>
        <v>0</v>
      </c>
      <c r="U109" s="89">
        <f t="shared" si="45"/>
        <v>0</v>
      </c>
      <c r="V109" s="89">
        <f t="shared" si="45"/>
        <v>0</v>
      </c>
      <c r="W109" s="89">
        <f t="shared" si="45"/>
        <v>0</v>
      </c>
      <c r="X109" s="89">
        <f t="shared" si="45"/>
        <v>0</v>
      </c>
      <c r="Y109" s="89">
        <f t="shared" si="45"/>
        <v>0</v>
      </c>
      <c r="Z109" s="89">
        <f t="shared" si="45"/>
        <v>0</v>
      </c>
      <c r="AA109" s="89">
        <f t="shared" si="45"/>
        <v>0</v>
      </c>
      <c r="AB109" s="89">
        <f t="shared" si="45"/>
        <v>0</v>
      </c>
      <c r="AC109" s="89">
        <f t="shared" si="45"/>
        <v>0</v>
      </c>
      <c r="AD109" s="89">
        <f t="shared" si="45"/>
        <v>0</v>
      </c>
      <c r="AE109" s="89">
        <f t="shared" si="45"/>
        <v>0</v>
      </c>
      <c r="AF109" s="89">
        <f t="shared" si="45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503.3</v>
      </c>
      <c r="C110" s="71">
        <f>SUM(C104:C109)</f>
        <v>483.8</v>
      </c>
      <c r="D110" s="71">
        <f>SUM(D104:D109)</f>
        <v>489.4</v>
      </c>
      <c r="E110" s="71">
        <f t="shared" ref="E110:AF110" si="48">SUM(E104:E109)</f>
        <v>452.7</v>
      </c>
      <c r="F110" s="71">
        <f t="shared" si="48"/>
        <v>494.7</v>
      </c>
      <c r="G110" s="71">
        <f t="shared" si="48"/>
        <v>499.8</v>
      </c>
      <c r="H110" s="71">
        <f t="shared" si="48"/>
        <v>484.2</v>
      </c>
      <c r="I110" s="71">
        <f t="shared" si="48"/>
        <v>491.8</v>
      </c>
      <c r="J110" s="71">
        <f t="shared" si="48"/>
        <v>458</v>
      </c>
      <c r="K110" s="71">
        <f t="shared" si="48"/>
        <v>465</v>
      </c>
      <c r="L110" s="71">
        <f t="shared" si="48"/>
        <v>520</v>
      </c>
      <c r="M110" s="71">
        <f t="shared" si="48"/>
        <v>434</v>
      </c>
      <c r="N110" s="71">
        <f t="shared" si="48"/>
        <v>487</v>
      </c>
      <c r="O110" s="71">
        <f t="shared" si="48"/>
        <v>409.8</v>
      </c>
      <c r="P110" s="71">
        <f t="shared" si="48"/>
        <v>390</v>
      </c>
      <c r="Q110" s="71">
        <f t="shared" si="48"/>
        <v>340.4</v>
      </c>
      <c r="R110" s="71">
        <f t="shared" si="48"/>
        <v>307.60000000000002</v>
      </c>
      <c r="S110" s="71">
        <f t="shared" ref="S110:AA110" si="49">SUM(S104:S109)</f>
        <v>344.6</v>
      </c>
      <c r="T110" s="71">
        <f t="shared" si="49"/>
        <v>324.8</v>
      </c>
      <c r="U110" s="71">
        <f t="shared" si="49"/>
        <v>341.6</v>
      </c>
      <c r="V110" s="71">
        <f t="shared" si="49"/>
        <v>343.6</v>
      </c>
      <c r="W110" s="71">
        <f t="shared" si="49"/>
        <v>343.6</v>
      </c>
      <c r="X110" s="71">
        <f t="shared" si="49"/>
        <v>427.6</v>
      </c>
      <c r="Y110" s="71">
        <f t="shared" si="49"/>
        <v>405.2</v>
      </c>
      <c r="Z110" s="71">
        <f t="shared" si="49"/>
        <v>383.6</v>
      </c>
      <c r="AA110" s="71">
        <f t="shared" si="49"/>
        <v>344</v>
      </c>
      <c r="AB110" s="71">
        <f t="shared" si="48"/>
        <v>348</v>
      </c>
      <c r="AC110" s="71">
        <f t="shared" si="48"/>
        <v>350</v>
      </c>
      <c r="AD110" s="71">
        <f t="shared" si="48"/>
        <v>408</v>
      </c>
      <c r="AE110" s="71">
        <f t="shared" si="48"/>
        <v>453</v>
      </c>
      <c r="AF110" s="71">
        <f t="shared" si="48"/>
        <v>512</v>
      </c>
      <c r="AG110" s="101"/>
      <c r="AH110" s="48">
        <f t="shared" si="29"/>
        <v>520</v>
      </c>
      <c r="AI110" s="49">
        <f t="shared" si="30"/>
        <v>307.60000000000002</v>
      </c>
    </row>
    <row r="111" spans="1:64" ht="15.75" thickBot="1" x14ac:dyDescent="0.3">
      <c r="A111" s="87" t="s">
        <v>131</v>
      </c>
      <c r="B111" s="71">
        <f>B95-B110</f>
        <v>-452.90000000000003</v>
      </c>
      <c r="C111" s="71">
        <f>C95-C110</f>
        <v>-438.5</v>
      </c>
      <c r="D111" s="71">
        <f>D95-D110</f>
        <v>-444.09999999999997</v>
      </c>
      <c r="E111" s="71">
        <f t="shared" ref="E111:AF111" si="50">E95-E110</f>
        <v>-405.9</v>
      </c>
      <c r="F111" s="71">
        <f t="shared" si="50"/>
        <v>-450.4</v>
      </c>
      <c r="G111" s="71">
        <f t="shared" si="50"/>
        <v>-499.8</v>
      </c>
      <c r="H111" s="71">
        <f t="shared" si="50"/>
        <v>-484.2</v>
      </c>
      <c r="I111" s="71">
        <f t="shared" si="50"/>
        <v>-491.8</v>
      </c>
      <c r="J111" s="71">
        <f t="shared" si="50"/>
        <v>-458</v>
      </c>
      <c r="K111" s="71">
        <f t="shared" si="50"/>
        <v>-428.9</v>
      </c>
      <c r="L111" s="71">
        <f t="shared" si="50"/>
        <v>-461.7</v>
      </c>
      <c r="M111" s="71">
        <f t="shared" si="50"/>
        <v>-370.7</v>
      </c>
      <c r="N111" s="71">
        <f t="shared" si="50"/>
        <v>-402.7</v>
      </c>
      <c r="O111" s="71">
        <f t="shared" si="50"/>
        <v>-342.8</v>
      </c>
      <c r="P111" s="71">
        <f t="shared" si="50"/>
        <v>-322.10000000000002</v>
      </c>
      <c r="Q111" s="71">
        <f t="shared" si="50"/>
        <v>-240.79999999999998</v>
      </c>
      <c r="R111" s="71">
        <f t="shared" si="50"/>
        <v>-209.40000000000003</v>
      </c>
      <c r="S111" s="71">
        <f t="shared" ref="S111:AA111" si="51">S95-S110</f>
        <v>-234.20000000000002</v>
      </c>
      <c r="T111" s="71">
        <f t="shared" si="51"/>
        <v>-224.3</v>
      </c>
      <c r="U111" s="71">
        <f t="shared" si="51"/>
        <v>-231.50000000000003</v>
      </c>
      <c r="V111" s="71">
        <f t="shared" si="51"/>
        <v>-247.70000000000002</v>
      </c>
      <c r="W111" s="71">
        <f t="shared" si="51"/>
        <v>-247.70000000000002</v>
      </c>
      <c r="X111" s="71">
        <f t="shared" si="51"/>
        <v>-369.40000000000003</v>
      </c>
      <c r="Y111" s="71">
        <f t="shared" si="51"/>
        <v>-349.5</v>
      </c>
      <c r="Z111" s="71">
        <f t="shared" si="51"/>
        <v>-321.20000000000005</v>
      </c>
      <c r="AA111" s="71">
        <f t="shared" si="51"/>
        <v>-275.5</v>
      </c>
      <c r="AB111" s="71">
        <f t="shared" si="50"/>
        <v>-254.4</v>
      </c>
      <c r="AC111" s="71">
        <f t="shared" si="50"/>
        <v>-249.6</v>
      </c>
      <c r="AD111" s="71">
        <f t="shared" si="50"/>
        <v>-319.2</v>
      </c>
      <c r="AE111" s="71">
        <f t="shared" si="50"/>
        <v>-399.6</v>
      </c>
      <c r="AF111" s="71">
        <f t="shared" si="50"/>
        <v>-460.4</v>
      </c>
      <c r="AG111" s="101"/>
      <c r="AH111" s="48">
        <f t="shared" si="29"/>
        <v>-209.40000000000003</v>
      </c>
      <c r="AI111" s="49">
        <f t="shared" si="30"/>
        <v>-499.8</v>
      </c>
    </row>
    <row r="112" spans="1:64" x14ac:dyDescent="0.25">
      <c r="A112" s="113" t="s">
        <v>132</v>
      </c>
      <c r="B112" s="114">
        <v>50.03</v>
      </c>
      <c r="C112" s="114">
        <v>50.05</v>
      </c>
      <c r="D112" s="114">
        <v>50.05</v>
      </c>
      <c r="E112" s="114">
        <v>50.026000000000003</v>
      </c>
      <c r="F112" s="114">
        <v>50.063000000000002</v>
      </c>
      <c r="G112" s="114">
        <v>50.04</v>
      </c>
      <c r="H112" s="114">
        <v>50.021000000000001</v>
      </c>
      <c r="I112" s="114">
        <v>50.01</v>
      </c>
      <c r="J112" s="114">
        <v>50.057000000000002</v>
      </c>
      <c r="K112" s="114">
        <v>50.069000000000003</v>
      </c>
      <c r="L112" s="114">
        <v>50.036999999999999</v>
      </c>
      <c r="M112" s="114">
        <v>50.011000000000003</v>
      </c>
      <c r="N112" s="114">
        <v>49.9</v>
      </c>
      <c r="O112" s="114">
        <v>49.911999999999999</v>
      </c>
      <c r="P112" s="114">
        <v>49.926000000000002</v>
      </c>
      <c r="Q112" s="114">
        <v>49.975000000000001</v>
      </c>
      <c r="R112" s="114">
        <v>50.066000000000003</v>
      </c>
      <c r="S112" s="114">
        <v>50.03</v>
      </c>
      <c r="T112" s="114">
        <v>50.05</v>
      </c>
      <c r="U112" s="114">
        <v>50.05</v>
      </c>
      <c r="V112" s="114">
        <v>49.93</v>
      </c>
      <c r="W112" s="114">
        <v>49.93</v>
      </c>
      <c r="X112" s="114">
        <v>49.93</v>
      </c>
      <c r="Y112" s="114">
        <v>49.95</v>
      </c>
      <c r="Z112" s="114">
        <v>49.91</v>
      </c>
      <c r="AA112" s="114">
        <v>49.77</v>
      </c>
      <c r="AB112" s="114">
        <v>50.073999999999998</v>
      </c>
      <c r="AC112" s="114">
        <v>49.997999999999998</v>
      </c>
      <c r="AD112" s="114">
        <v>49.914999999999999</v>
      </c>
      <c r="AE112" s="114">
        <v>49.97</v>
      </c>
      <c r="AF112" s="114">
        <v>50.03</v>
      </c>
      <c r="AG112" s="115"/>
      <c r="AH112" s="48">
        <f t="shared" si="29"/>
        <v>50.073999999999998</v>
      </c>
      <c r="AI112" s="49">
        <f t="shared" si="30"/>
        <v>49.77</v>
      </c>
    </row>
    <row r="113" spans="1:35" x14ac:dyDescent="0.25">
      <c r="A113" s="116" t="s">
        <v>133</v>
      </c>
      <c r="B113" s="76">
        <v>118.8</v>
      </c>
      <c r="C113" s="76">
        <v>117.7</v>
      </c>
      <c r="D113" s="76">
        <v>117.7</v>
      </c>
      <c r="E113" s="76">
        <v>118.2</v>
      </c>
      <c r="F113" s="76">
        <v>118</v>
      </c>
      <c r="G113" s="76">
        <v>119.6</v>
      </c>
      <c r="H113" s="76">
        <v>116.9</v>
      </c>
      <c r="I113" s="76">
        <v>118.4</v>
      </c>
      <c r="J113" s="76">
        <v>118.4</v>
      </c>
      <c r="K113" s="76">
        <v>117</v>
      </c>
      <c r="L113" s="76">
        <v>118</v>
      </c>
      <c r="M113" s="76">
        <v>115.5</v>
      </c>
      <c r="N113" s="76">
        <v>116</v>
      </c>
      <c r="O113" s="76">
        <v>118.3</v>
      </c>
      <c r="P113" s="76">
        <v>117.9</v>
      </c>
      <c r="Q113" s="76">
        <v>117.1</v>
      </c>
      <c r="R113" s="76">
        <v>119.1</v>
      </c>
      <c r="S113" s="76">
        <v>118</v>
      </c>
      <c r="T113" s="76">
        <v>119.5</v>
      </c>
      <c r="U113" s="76">
        <v>119.5</v>
      </c>
      <c r="V113" s="76">
        <v>119.5</v>
      </c>
      <c r="W113" s="76">
        <v>119.5</v>
      </c>
      <c r="X113" s="76">
        <v>121.7</v>
      </c>
      <c r="Y113" s="76">
        <v>122</v>
      </c>
      <c r="Z113" s="76">
        <v>124.5</v>
      </c>
      <c r="AA113" s="76">
        <v>122.9</v>
      </c>
      <c r="AB113" s="76">
        <v>120.7</v>
      </c>
      <c r="AC113" s="76">
        <v>119.6</v>
      </c>
      <c r="AD113" s="76">
        <v>119.6</v>
      </c>
      <c r="AE113" s="76">
        <v>121</v>
      </c>
      <c r="AF113" s="76">
        <v>121.7</v>
      </c>
      <c r="AG113" s="117"/>
      <c r="AH113" s="48">
        <f t="shared" si="29"/>
        <v>124.5</v>
      </c>
      <c r="AI113" s="49">
        <f t="shared" si="30"/>
        <v>115.5</v>
      </c>
    </row>
    <row r="114" spans="1:35" x14ac:dyDescent="0.25">
      <c r="A114" s="116" t="s">
        <v>134</v>
      </c>
      <c r="B114" s="76">
        <v>125</v>
      </c>
      <c r="C114" s="76">
        <v>124.4</v>
      </c>
      <c r="D114" s="76">
        <v>124.4</v>
      </c>
      <c r="E114" s="76">
        <v>123.2</v>
      </c>
      <c r="F114" s="76">
        <v>123.9</v>
      </c>
      <c r="G114" s="76">
        <v>125.8</v>
      </c>
      <c r="H114" s="76">
        <v>123.4</v>
      </c>
      <c r="I114" s="76">
        <v>124.7</v>
      </c>
      <c r="J114" s="76">
        <v>123.6</v>
      </c>
      <c r="K114" s="76">
        <v>122.5</v>
      </c>
      <c r="L114" s="76">
        <v>122.4</v>
      </c>
      <c r="M114" s="76">
        <v>121</v>
      </c>
      <c r="N114" s="76">
        <v>121</v>
      </c>
      <c r="O114" s="76">
        <v>122.1</v>
      </c>
      <c r="P114" s="76">
        <v>121.8</v>
      </c>
      <c r="Q114" s="76">
        <v>121.5</v>
      </c>
      <c r="R114" s="76">
        <v>123</v>
      </c>
      <c r="S114" s="76">
        <v>121.7</v>
      </c>
      <c r="T114" s="76">
        <v>122.9</v>
      </c>
      <c r="U114" s="76">
        <v>129.30000000000001</v>
      </c>
      <c r="V114" s="76">
        <v>122.6</v>
      </c>
      <c r="W114" s="76">
        <v>122.6</v>
      </c>
      <c r="X114" s="76">
        <v>125.1</v>
      </c>
      <c r="Y114" s="76">
        <v>125.2</v>
      </c>
      <c r="Z114" s="76">
        <v>127.5</v>
      </c>
      <c r="AA114" s="76">
        <v>125.7</v>
      </c>
      <c r="AB114" s="76">
        <v>124.7</v>
      </c>
      <c r="AC114" s="76">
        <v>124.2</v>
      </c>
      <c r="AD114" s="76">
        <v>124.5</v>
      </c>
      <c r="AE114" s="76">
        <v>125.8</v>
      </c>
      <c r="AF114" s="76">
        <v>126.6</v>
      </c>
      <c r="AG114" s="117"/>
      <c r="AH114" s="48">
        <f t="shared" si="29"/>
        <v>129.30000000000001</v>
      </c>
      <c r="AI114" s="49">
        <f t="shared" si="30"/>
        <v>121</v>
      </c>
    </row>
    <row r="115" spans="1:35" x14ac:dyDescent="0.25">
      <c r="A115" s="116" t="s">
        <v>135</v>
      </c>
      <c r="B115" s="76">
        <v>127</v>
      </c>
      <c r="C115" s="76">
        <v>127</v>
      </c>
      <c r="D115" s="76">
        <v>127</v>
      </c>
      <c r="E115" s="76">
        <v>129.9</v>
      </c>
      <c r="F115" s="76">
        <v>129.30000000000001</v>
      </c>
      <c r="G115" s="76">
        <v>129.30000000000001</v>
      </c>
      <c r="H115" s="76">
        <v>128.4</v>
      </c>
      <c r="I115" s="76">
        <v>127.8</v>
      </c>
      <c r="J115" s="76">
        <v>127.8</v>
      </c>
      <c r="K115" s="76">
        <v>127.5</v>
      </c>
      <c r="L115" s="76" t="s">
        <v>301</v>
      </c>
      <c r="M115" s="76"/>
      <c r="N115" s="76">
        <v>126.4</v>
      </c>
      <c r="O115" s="76">
        <v>123.6</v>
      </c>
      <c r="P115" s="76">
        <v>127.7</v>
      </c>
      <c r="Q115" s="76">
        <v>128</v>
      </c>
      <c r="R115" s="76">
        <v>125.9</v>
      </c>
      <c r="S115" s="76">
        <v>127.8</v>
      </c>
      <c r="T115" s="76">
        <v>127.6</v>
      </c>
      <c r="U115" s="76">
        <v>128</v>
      </c>
      <c r="V115" s="76">
        <v>130.19999999999999</v>
      </c>
      <c r="W115" s="76">
        <v>130.19999999999999</v>
      </c>
      <c r="X115" s="76">
        <v>130</v>
      </c>
      <c r="Y115" s="76">
        <v>130.1</v>
      </c>
      <c r="Z115" s="76">
        <v>131.6</v>
      </c>
      <c r="AA115" s="76">
        <v>130.80000000000001</v>
      </c>
      <c r="AB115" s="76">
        <v>129.80000000000001</v>
      </c>
      <c r="AC115" s="76">
        <v>129.6</v>
      </c>
      <c r="AD115" s="76">
        <v>129.19999999999999</v>
      </c>
      <c r="AE115" s="76">
        <v>128.5</v>
      </c>
      <c r="AF115" s="76">
        <v>129</v>
      </c>
      <c r="AG115" s="117"/>
      <c r="AH115" s="48">
        <f t="shared" si="29"/>
        <v>131.6</v>
      </c>
      <c r="AI115" s="49">
        <f t="shared" si="30"/>
        <v>123.6</v>
      </c>
    </row>
    <row r="116" spans="1:35" x14ac:dyDescent="0.25">
      <c r="A116" s="118" t="s">
        <v>136</v>
      </c>
      <c r="B116" s="76">
        <v>128.4</v>
      </c>
      <c r="C116" s="76">
        <v>129.1</v>
      </c>
      <c r="D116" s="76">
        <v>129.1</v>
      </c>
      <c r="E116" s="76">
        <v>131.5</v>
      </c>
      <c r="F116" s="76">
        <v>131.5</v>
      </c>
      <c r="G116" s="76">
        <v>131.69999999999999</v>
      </c>
      <c r="H116" s="76">
        <v>129</v>
      </c>
      <c r="I116" s="76">
        <v>128.4</v>
      </c>
      <c r="J116" s="76">
        <v>128.4</v>
      </c>
      <c r="K116" s="76">
        <v>128.1</v>
      </c>
      <c r="L116" s="76" t="s">
        <v>301</v>
      </c>
      <c r="M116" s="76"/>
      <c r="N116" s="76">
        <v>126.4</v>
      </c>
      <c r="O116" s="76">
        <v>123.1</v>
      </c>
      <c r="P116" s="76">
        <v>127</v>
      </c>
      <c r="Q116" s="76">
        <v>127</v>
      </c>
      <c r="R116" s="76">
        <v>125.9</v>
      </c>
      <c r="S116" s="76">
        <v>127.8</v>
      </c>
      <c r="T116" s="76">
        <v>127.1</v>
      </c>
      <c r="U116" s="76">
        <v>127.1</v>
      </c>
      <c r="V116" s="76">
        <v>128.19999999999999</v>
      </c>
      <c r="W116" s="76">
        <v>128.19999999999999</v>
      </c>
      <c r="X116" s="76">
        <v>127.8</v>
      </c>
      <c r="Y116" s="76">
        <v>128.6</v>
      </c>
      <c r="Z116" s="76">
        <v>130.9</v>
      </c>
      <c r="AA116" s="76">
        <v>130.4</v>
      </c>
      <c r="AB116" s="76">
        <v>128.6</v>
      </c>
      <c r="AC116" s="76">
        <v>129</v>
      </c>
      <c r="AD116" s="76">
        <v>129.19999999999999</v>
      </c>
      <c r="AE116" s="76">
        <v>129.1</v>
      </c>
      <c r="AF116" s="76">
        <v>128.69999999999999</v>
      </c>
      <c r="AG116" s="117"/>
      <c r="AH116" s="48">
        <f t="shared" si="29"/>
        <v>131.69999999999999</v>
      </c>
      <c r="AI116" s="49">
        <f t="shared" si="30"/>
        <v>123.1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9"/>
        <v>0</v>
      </c>
      <c r="AI117" s="49">
        <f t="shared" si="30"/>
        <v>0</v>
      </c>
    </row>
    <row r="118" spans="1:35" x14ac:dyDescent="0.25">
      <c r="A118" s="116" t="s">
        <v>138</v>
      </c>
      <c r="B118" s="76">
        <v>114.6</v>
      </c>
      <c r="C118" s="76">
        <v>116.3</v>
      </c>
      <c r="D118" s="76">
        <v>116.3</v>
      </c>
      <c r="E118" s="76">
        <v>121.7</v>
      </c>
      <c r="F118" s="76">
        <v>119.2</v>
      </c>
      <c r="G118" s="76">
        <v>125.7</v>
      </c>
      <c r="H118" s="76">
        <v>117.1</v>
      </c>
      <c r="I118" s="76">
        <v>120.8</v>
      </c>
      <c r="J118" s="76">
        <v>120.8</v>
      </c>
      <c r="K118" s="76">
        <v>125.1</v>
      </c>
      <c r="L118" s="76">
        <v>124.2</v>
      </c>
      <c r="M118" s="76">
        <v>122.9</v>
      </c>
      <c r="N118" s="76">
        <v>123.5</v>
      </c>
      <c r="O118" s="76">
        <v>125.5</v>
      </c>
      <c r="P118" s="76">
        <v>124.1</v>
      </c>
      <c r="Q118" s="76">
        <v>129.5</v>
      </c>
      <c r="R118" s="76">
        <v>132.80000000000001</v>
      </c>
      <c r="S118" s="76">
        <v>111.2</v>
      </c>
      <c r="T118" s="76">
        <v>123.6</v>
      </c>
      <c r="U118" s="76">
        <v>122.7</v>
      </c>
      <c r="V118" s="76">
        <v>126.4</v>
      </c>
      <c r="W118" s="76">
        <v>126.4</v>
      </c>
      <c r="X118" s="76">
        <v>126</v>
      </c>
      <c r="Y118" s="76">
        <v>128</v>
      </c>
      <c r="Z118" s="76">
        <v>128.19999999999999</v>
      </c>
      <c r="AA118" s="76">
        <v>129</v>
      </c>
      <c r="AB118" s="76">
        <v>127.6</v>
      </c>
      <c r="AC118" s="76">
        <v>126.8</v>
      </c>
      <c r="AD118" s="76">
        <v>125.4</v>
      </c>
      <c r="AE118" s="76">
        <v>112.6</v>
      </c>
      <c r="AF118" s="76">
        <v>121.6</v>
      </c>
      <c r="AG118" s="117"/>
      <c r="AH118" s="48">
        <f t="shared" si="29"/>
        <v>132.80000000000001</v>
      </c>
      <c r="AI118" s="49">
        <f t="shared" si="30"/>
        <v>111.2</v>
      </c>
    </row>
    <row r="119" spans="1:35" ht="15.75" thickBot="1" x14ac:dyDescent="0.3">
      <c r="A119" s="116" t="s">
        <v>139</v>
      </c>
      <c r="B119" s="105">
        <v>63.2</v>
      </c>
      <c r="C119" s="105">
        <v>63.1</v>
      </c>
      <c r="D119" s="105">
        <v>63.1</v>
      </c>
      <c r="E119" s="105">
        <v>64.3</v>
      </c>
      <c r="F119" s="105">
        <v>63</v>
      </c>
      <c r="G119" s="105">
        <v>63.8</v>
      </c>
      <c r="H119" s="105">
        <v>62.4</v>
      </c>
      <c r="I119" s="105">
        <v>63.1</v>
      </c>
      <c r="J119" s="105">
        <v>63.1</v>
      </c>
      <c r="K119" s="105">
        <v>62.2</v>
      </c>
      <c r="L119" s="105">
        <v>61.7</v>
      </c>
      <c r="M119" s="105">
        <v>60.6</v>
      </c>
      <c r="N119" s="105">
        <v>60.9</v>
      </c>
      <c r="O119" s="105">
        <v>61.2</v>
      </c>
      <c r="P119" s="105">
        <v>61.3</v>
      </c>
      <c r="Q119" s="105">
        <v>60.6</v>
      </c>
      <c r="R119" s="105">
        <v>61.8</v>
      </c>
      <c r="S119" s="105">
        <v>61.1</v>
      </c>
      <c r="T119" s="105">
        <v>61.6</v>
      </c>
      <c r="U119" s="105">
        <v>61.6</v>
      </c>
      <c r="V119" s="105">
        <v>61</v>
      </c>
      <c r="W119" s="105">
        <v>61</v>
      </c>
      <c r="X119" s="105">
        <v>63</v>
      </c>
      <c r="Y119" s="105">
        <v>63.1</v>
      </c>
      <c r="Z119" s="105">
        <v>64.3</v>
      </c>
      <c r="AA119" s="105">
        <v>63.4</v>
      </c>
      <c r="AB119" s="105">
        <v>63.1</v>
      </c>
      <c r="AC119" s="105">
        <v>62.8</v>
      </c>
      <c r="AD119" s="105">
        <v>63</v>
      </c>
      <c r="AE119" s="105">
        <v>64.099999999999994</v>
      </c>
      <c r="AF119" s="105">
        <v>64.3</v>
      </c>
      <c r="AG119" s="121"/>
      <c r="AH119" s="48">
        <f t="shared" si="29"/>
        <v>64.3</v>
      </c>
      <c r="AI119" s="49">
        <f t="shared" si="30"/>
        <v>60.6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148.64000000000001</v>
      </c>
      <c r="C121" s="124">
        <f>SUM(C25,C31,C34:C35,C69,C71:C72,C74,C76,C122:C126,C158,C164,C170,C179,C181,C193,C200,C203:C204,C211,C213,C215,C219:C221,C223:C225,C230,C236:C237,C239:C241,C249,C254)</f>
        <v>148.64000000000001</v>
      </c>
      <c r="D121" s="124">
        <f>SUM(D25,D31,D34:D35,D69,D71:D72,D74,D76,D122:D126,D158,D164,D170,D179,D181,D193,D200,D203:D204,D211,D213,D215,D219:D221,D223:D225,D230,D236:D237,D239:D241,D249,D254)</f>
        <v>148.64000000000001</v>
      </c>
      <c r="E121" s="124">
        <f t="shared" ref="E121:O121" si="52">SUM(E25,E31,E34:E35,E69,E71:E72,E74,E76,E122:E126,E158,E164,E170,E179,E181,E193,E200,E203:E204,E211,E213,E215,E219:E221,E223:E225,E230,E236:E237,E239:E241,E249,E254)</f>
        <v>194.73999999999998</v>
      </c>
      <c r="F121" s="124">
        <f t="shared" si="52"/>
        <v>144.94</v>
      </c>
      <c r="G121" s="124">
        <f t="shared" si="52"/>
        <v>136.43999999999997</v>
      </c>
      <c r="H121" s="124">
        <f t="shared" si="52"/>
        <v>142.73999999999995</v>
      </c>
      <c r="I121" s="124">
        <f t="shared" si="52"/>
        <v>116.44000000000003</v>
      </c>
      <c r="J121" s="124">
        <f t="shared" si="52"/>
        <v>147.74</v>
      </c>
      <c r="K121" s="124">
        <f t="shared" si="52"/>
        <v>157.94000000000003</v>
      </c>
      <c r="L121" s="124">
        <f t="shared" si="52"/>
        <v>168.53999999999996</v>
      </c>
      <c r="M121" s="124">
        <f t="shared" si="52"/>
        <v>154.13999999999999</v>
      </c>
      <c r="N121" s="124">
        <f t="shared" si="52"/>
        <v>163.74</v>
      </c>
      <c r="O121" s="124">
        <f t="shared" si="52"/>
        <v>157.03999999999996</v>
      </c>
      <c r="P121" s="124">
        <v>42</v>
      </c>
      <c r="Q121" s="124">
        <f t="shared" ref="Q121:AF121" si="53">SUM(Q25,Q31,Q34:Q35,Q69,Q71:Q72,Q74,Q76,Q122:Q126,Q158,Q164,Q170,Q179,Q181,Q193,Q200,Q203:Q204,Q211,Q213,Q215,Q219:Q221,Q223:Q225,Q230,Q236:Q237,Q239:Q241,Q249,Q254)</f>
        <v>132.74</v>
      </c>
      <c r="R121" s="124">
        <f t="shared" si="53"/>
        <v>134.94</v>
      </c>
      <c r="S121" s="124">
        <f t="shared" si="53"/>
        <v>146.54</v>
      </c>
      <c r="T121" s="124">
        <f t="shared" si="53"/>
        <v>146.24</v>
      </c>
      <c r="U121" s="124">
        <f t="shared" si="53"/>
        <v>157.34</v>
      </c>
      <c r="V121" s="124">
        <f t="shared" si="53"/>
        <v>152.43999999999997</v>
      </c>
      <c r="W121" s="124">
        <f t="shared" si="53"/>
        <v>152.43999999999997</v>
      </c>
      <c r="X121" s="124">
        <f t="shared" si="53"/>
        <v>110.04</v>
      </c>
      <c r="Y121" s="124">
        <f t="shared" si="53"/>
        <v>110.44000000000001</v>
      </c>
      <c r="Z121" s="124">
        <f t="shared" si="53"/>
        <v>215.34</v>
      </c>
      <c r="AA121" s="124">
        <f t="shared" si="53"/>
        <v>222.73999999999998</v>
      </c>
      <c r="AB121" s="124">
        <f t="shared" si="53"/>
        <v>191.44</v>
      </c>
      <c r="AC121" s="124">
        <f t="shared" si="53"/>
        <v>181.34</v>
      </c>
      <c r="AD121" s="124">
        <f t="shared" si="53"/>
        <v>182.73999999999998</v>
      </c>
      <c r="AE121" s="124">
        <f t="shared" si="53"/>
        <v>162.84</v>
      </c>
      <c r="AF121" s="124">
        <f t="shared" si="53"/>
        <v>69.439999999999969</v>
      </c>
      <c r="AG121" s="125"/>
      <c r="AH121" s="48">
        <f t="shared" si="29"/>
        <v>222.73999999999998</v>
      </c>
      <c r="AI121" s="49">
        <f t="shared" si="30"/>
        <v>42</v>
      </c>
    </row>
    <row r="122" spans="1:35" x14ac:dyDescent="0.25">
      <c r="A122" s="126" t="s">
        <v>142</v>
      </c>
      <c r="B122" s="127">
        <v>77.5</v>
      </c>
      <c r="C122" s="127">
        <v>77.5</v>
      </c>
      <c r="D122" s="127">
        <v>77.5</v>
      </c>
      <c r="E122" s="127">
        <v>70.599999999999994</v>
      </c>
      <c r="F122" s="127">
        <v>75.900000000000006</v>
      </c>
      <c r="G122" s="127">
        <v>60.6</v>
      </c>
      <c r="H122" s="127">
        <v>61.7</v>
      </c>
      <c r="I122" s="127">
        <v>64</v>
      </c>
      <c r="J122" s="127">
        <v>73.5</v>
      </c>
      <c r="K122" s="127">
        <v>75.2</v>
      </c>
      <c r="L122" s="127">
        <v>72.2</v>
      </c>
      <c r="M122" s="127">
        <v>78.2</v>
      </c>
      <c r="N122" s="127">
        <v>87.8</v>
      </c>
      <c r="O122" s="127">
        <v>61.1</v>
      </c>
      <c r="P122" s="127">
        <v>60.9</v>
      </c>
      <c r="Q122" s="127">
        <v>56.5</v>
      </c>
      <c r="R122" s="127">
        <v>51.7</v>
      </c>
      <c r="S122" s="127">
        <v>50.5</v>
      </c>
      <c r="T122" s="127">
        <v>50</v>
      </c>
      <c r="U122" s="127">
        <v>58.4</v>
      </c>
      <c r="V122" s="127">
        <v>68.5</v>
      </c>
      <c r="W122" s="127">
        <v>68.5</v>
      </c>
      <c r="X122" s="127">
        <v>37.700000000000003</v>
      </c>
      <c r="Y122" s="127">
        <v>37.700000000000003</v>
      </c>
      <c r="Z122" s="127">
        <v>70.7</v>
      </c>
      <c r="AA122" s="127">
        <v>55.9</v>
      </c>
      <c r="AB122" s="127">
        <v>59.8</v>
      </c>
      <c r="AC122" s="127">
        <v>62.6</v>
      </c>
      <c r="AD122" s="127">
        <v>61.8</v>
      </c>
      <c r="AE122" s="127">
        <v>59.3</v>
      </c>
      <c r="AF122" s="127">
        <v>62.7</v>
      </c>
      <c r="AG122" s="128">
        <v>75</v>
      </c>
      <c r="AH122" s="48">
        <f t="shared" si="29"/>
        <v>87.8</v>
      </c>
      <c r="AI122" s="49">
        <f t="shared" si="30"/>
        <v>37.700000000000003</v>
      </c>
    </row>
    <row r="123" spans="1:35" x14ac:dyDescent="0.25">
      <c r="A123" s="129" t="s">
        <v>143</v>
      </c>
      <c r="B123" s="130">
        <v>111.1</v>
      </c>
      <c r="C123" s="130">
        <v>111.1</v>
      </c>
      <c r="D123" s="130">
        <v>111.1</v>
      </c>
      <c r="E123" s="130">
        <v>103.1</v>
      </c>
      <c r="F123" s="130">
        <v>108.7</v>
      </c>
      <c r="G123" s="130">
        <v>93.8</v>
      </c>
      <c r="H123" s="130">
        <v>92.7</v>
      </c>
      <c r="I123" s="130">
        <v>99.5</v>
      </c>
      <c r="J123" s="130">
        <v>108.4</v>
      </c>
      <c r="K123" s="130">
        <v>110.9</v>
      </c>
      <c r="L123" s="130">
        <v>105.1</v>
      </c>
      <c r="M123" s="130">
        <v>112.1</v>
      </c>
      <c r="N123" s="130">
        <v>124</v>
      </c>
      <c r="O123" s="130">
        <v>93.9</v>
      </c>
      <c r="P123" s="130">
        <v>91.4</v>
      </c>
      <c r="Q123" s="130">
        <v>86.8</v>
      </c>
      <c r="R123" s="130">
        <v>80</v>
      </c>
      <c r="S123" s="130">
        <v>77.900000000000006</v>
      </c>
      <c r="T123" s="130">
        <v>77.2</v>
      </c>
      <c r="U123" s="130">
        <v>89.2</v>
      </c>
      <c r="V123" s="130">
        <v>101.1</v>
      </c>
      <c r="W123" s="130">
        <v>101.1</v>
      </c>
      <c r="X123" s="130">
        <v>101.5</v>
      </c>
      <c r="Y123" s="130">
        <v>101.5</v>
      </c>
      <c r="Z123" s="130">
        <v>104.7</v>
      </c>
      <c r="AA123" s="130">
        <v>82.2</v>
      </c>
      <c r="AB123" s="130">
        <v>88.8</v>
      </c>
      <c r="AC123" s="130">
        <v>92.3</v>
      </c>
      <c r="AD123" s="130">
        <v>93.5</v>
      </c>
      <c r="AE123" s="130">
        <v>91.5</v>
      </c>
      <c r="AF123" s="130">
        <v>97.7</v>
      </c>
      <c r="AG123" s="128">
        <v>240</v>
      </c>
      <c r="AH123" s="48">
        <f t="shared" si="29"/>
        <v>124</v>
      </c>
      <c r="AI123" s="49">
        <f t="shared" si="30"/>
        <v>77.2</v>
      </c>
    </row>
    <row r="124" spans="1:35" x14ac:dyDescent="0.25">
      <c r="A124" s="129" t="s">
        <v>144</v>
      </c>
      <c r="B124" s="130">
        <v>-169.4</v>
      </c>
      <c r="C124" s="130">
        <v>-169.4</v>
      </c>
      <c r="D124" s="130">
        <v>-169.4</v>
      </c>
      <c r="E124" s="130">
        <f>-52.6-58.7</f>
        <v>-111.30000000000001</v>
      </c>
      <c r="F124" s="130">
        <f>-76.9-82.2</f>
        <v>-159.10000000000002</v>
      </c>
      <c r="G124" s="130">
        <f>-65.7-71.6</f>
        <v>-137.30000000000001</v>
      </c>
      <c r="H124" s="130">
        <f>-63.1-69.2</f>
        <v>-132.30000000000001</v>
      </c>
      <c r="I124" s="130">
        <f>-80-85.6</f>
        <v>-165.6</v>
      </c>
      <c r="J124" s="130">
        <f>-76.7-82.1</f>
        <v>-158.80000000000001</v>
      </c>
      <c r="K124" s="130">
        <f>-74-80</f>
        <v>-154</v>
      </c>
      <c r="L124" s="130">
        <f>-67.9-73.8</f>
        <v>-141.69999999999999</v>
      </c>
      <c r="M124" s="130">
        <f>-72-78</f>
        <v>-150</v>
      </c>
      <c r="N124" s="130">
        <f>-75-82</f>
        <v>-157</v>
      </c>
      <c r="O124" s="130">
        <f>-58-62</f>
        <v>-120</v>
      </c>
      <c r="P124" s="130">
        <f>-57-65</f>
        <v>-122</v>
      </c>
      <c r="Q124" s="130">
        <v>-131.6</v>
      </c>
      <c r="R124" s="130">
        <v>-126.5</v>
      </c>
      <c r="S124" s="130">
        <v>-97</v>
      </c>
      <c r="T124" s="130">
        <v>-96.5</v>
      </c>
      <c r="U124" s="130">
        <v>-104.6</v>
      </c>
      <c r="V124" s="130">
        <v>-124.9</v>
      </c>
      <c r="W124" s="130">
        <v>-124.9</v>
      </c>
      <c r="X124" s="130">
        <v>-132.9</v>
      </c>
      <c r="Y124" s="130">
        <v>-132</v>
      </c>
      <c r="Z124" s="130">
        <v>-82.4</v>
      </c>
      <c r="AA124" s="130">
        <v>-43.8</v>
      </c>
      <c r="AB124" s="130">
        <f>-31-36</f>
        <v>-67</v>
      </c>
      <c r="AC124" s="130">
        <f>-37-43</f>
        <v>-80</v>
      </c>
      <c r="AD124" s="130">
        <f>-35-40</f>
        <v>-75</v>
      </c>
      <c r="AE124" s="130">
        <f>-44.8-50.9</f>
        <v>-95.699999999999989</v>
      </c>
      <c r="AF124" s="130">
        <f>-87.4-91.2</f>
        <v>-178.60000000000002</v>
      </c>
      <c r="AG124" s="128">
        <v>240</v>
      </c>
      <c r="AH124" s="48">
        <f t="shared" si="29"/>
        <v>-43.8</v>
      </c>
      <c r="AI124" s="49">
        <f t="shared" si="30"/>
        <v>-178.60000000000002</v>
      </c>
    </row>
    <row r="125" spans="1:35" ht="15.75" thickBot="1" x14ac:dyDescent="0.3">
      <c r="A125" s="129" t="s">
        <v>145</v>
      </c>
      <c r="B125" s="130">
        <v>-13</v>
      </c>
      <c r="C125" s="130">
        <v>-13</v>
      </c>
      <c r="D125" s="130">
        <v>-13</v>
      </c>
      <c r="E125" s="130">
        <v>-10.1</v>
      </c>
      <c r="F125" s="130">
        <v>-23</v>
      </c>
      <c r="G125" s="130">
        <v>-23.1</v>
      </c>
      <c r="H125" s="130">
        <v>-21.8</v>
      </c>
      <c r="I125" s="130">
        <v>-24</v>
      </c>
      <c r="J125" s="130">
        <v>-18.2</v>
      </c>
      <c r="K125" s="130">
        <v>-17.600000000000001</v>
      </c>
      <c r="L125" s="130">
        <v>-10.5</v>
      </c>
      <c r="M125" s="130">
        <v>-4.2</v>
      </c>
      <c r="N125" s="130">
        <v>-11.3</v>
      </c>
      <c r="O125" s="130">
        <v>0.2</v>
      </c>
      <c r="P125" s="130">
        <v>2.6</v>
      </c>
      <c r="Q125" s="130">
        <v>-0.9</v>
      </c>
      <c r="R125" s="130">
        <v>7</v>
      </c>
      <c r="S125" s="130">
        <v>-2</v>
      </c>
      <c r="T125" s="130">
        <v>0.2</v>
      </c>
      <c r="U125" s="130">
        <v>1.2</v>
      </c>
      <c r="V125" s="130">
        <v>0</v>
      </c>
      <c r="W125" s="130">
        <v>0</v>
      </c>
      <c r="X125" s="130">
        <v>-3.8</v>
      </c>
      <c r="Y125" s="130">
        <v>-3.3</v>
      </c>
      <c r="Z125" s="130">
        <v>15.8</v>
      </c>
      <c r="AA125" s="130">
        <v>21.9</v>
      </c>
      <c r="AB125" s="130">
        <v>12</v>
      </c>
      <c r="AC125" s="130">
        <v>8.6</v>
      </c>
      <c r="AD125" s="130">
        <v>4.5999999999999996</v>
      </c>
      <c r="AE125" s="130">
        <v>4.0999999999999996</v>
      </c>
      <c r="AF125" s="130">
        <v>-25.1</v>
      </c>
      <c r="AG125" s="128">
        <v>60</v>
      </c>
      <c r="AH125" s="48">
        <f t="shared" si="29"/>
        <v>21.9</v>
      </c>
      <c r="AI125" s="49">
        <f t="shared" si="30"/>
        <v>-25.1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9"/>
        <v>0</v>
      </c>
      <c r="AI126" s="49">
        <f t="shared" si="30"/>
        <v>0</v>
      </c>
    </row>
    <row r="127" spans="1:35" x14ac:dyDescent="0.25">
      <c r="A127" s="129" t="s">
        <v>147</v>
      </c>
      <c r="B127" s="131">
        <v>37</v>
      </c>
      <c r="C127" s="131">
        <v>37</v>
      </c>
      <c r="D127" s="131">
        <v>37</v>
      </c>
      <c r="E127" s="131">
        <v>32.200000000000003</v>
      </c>
      <c r="F127" s="131">
        <v>43.6</v>
      </c>
      <c r="G127" s="131">
        <v>48</v>
      </c>
      <c r="H127" s="131">
        <v>58</v>
      </c>
      <c r="I127" s="131">
        <v>88.8</v>
      </c>
      <c r="J127" s="131">
        <v>94.9</v>
      </c>
      <c r="K127" s="131">
        <v>97.9</v>
      </c>
      <c r="L127" s="131">
        <v>104.5</v>
      </c>
      <c r="M127" s="131">
        <v>100.6</v>
      </c>
      <c r="N127" s="131">
        <v>99.2</v>
      </c>
      <c r="O127" s="131">
        <v>112.2</v>
      </c>
      <c r="P127" s="131">
        <v>112.5</v>
      </c>
      <c r="Q127" s="131">
        <v>114.8</v>
      </c>
      <c r="R127" s="131">
        <v>114</v>
      </c>
      <c r="S127" s="131">
        <v>107.6</v>
      </c>
      <c r="T127" s="131">
        <v>109.4</v>
      </c>
      <c r="U127" s="131">
        <v>108.8</v>
      </c>
      <c r="V127" s="131">
        <v>101.9</v>
      </c>
      <c r="W127" s="131">
        <v>101.9</v>
      </c>
      <c r="X127" s="131">
        <v>98</v>
      </c>
      <c r="Y127" s="131">
        <v>100.7</v>
      </c>
      <c r="Z127" s="131">
        <v>90.7</v>
      </c>
      <c r="AA127" s="131">
        <v>98.2</v>
      </c>
      <c r="AB127" s="131">
        <v>91.3</v>
      </c>
      <c r="AC127" s="131">
        <v>91.9</v>
      </c>
      <c r="AD127" s="131">
        <v>76.2</v>
      </c>
      <c r="AE127" s="131">
        <v>56.5</v>
      </c>
      <c r="AF127" s="131">
        <v>88.7</v>
      </c>
      <c r="AG127" s="132"/>
      <c r="AH127" s="48"/>
      <c r="AI127" s="49"/>
    </row>
    <row r="128" spans="1:35" x14ac:dyDescent="0.25">
      <c r="A128" s="129" t="s">
        <v>148</v>
      </c>
      <c r="B128" s="131">
        <v>-10.199999999999999</v>
      </c>
      <c r="C128" s="131">
        <v>-10.199999999999999</v>
      </c>
      <c r="D128" s="131">
        <v>-10.199999999999999</v>
      </c>
      <c r="E128" s="131">
        <v>-6.7</v>
      </c>
      <c r="F128" s="131">
        <v>-3.7</v>
      </c>
      <c r="G128" s="131">
        <v>-4.5</v>
      </c>
      <c r="H128" s="131">
        <v>-6.2</v>
      </c>
      <c r="I128" s="131">
        <v>45.3</v>
      </c>
      <c r="J128" s="131">
        <v>31.9</v>
      </c>
      <c r="K128" s="131">
        <v>29.6</v>
      </c>
      <c r="L128" s="131">
        <v>31.2</v>
      </c>
      <c r="M128" s="131">
        <v>34.299999999999997</v>
      </c>
      <c r="N128" s="131">
        <v>26.2</v>
      </c>
      <c r="O128" s="131">
        <v>49.1</v>
      </c>
      <c r="P128" s="131">
        <v>47.3</v>
      </c>
      <c r="Q128" s="131">
        <v>56.7</v>
      </c>
      <c r="R128" s="131">
        <v>57.5</v>
      </c>
      <c r="S128" s="131">
        <v>49.7</v>
      </c>
      <c r="T128" s="131">
        <v>51.8</v>
      </c>
      <c r="U128" s="131">
        <v>34.299999999999997</v>
      </c>
      <c r="V128" s="131">
        <v>27.8</v>
      </c>
      <c r="W128" s="131">
        <v>27.8</v>
      </c>
      <c r="X128" s="131">
        <v>31.6</v>
      </c>
      <c r="Y128" s="131">
        <v>29.5</v>
      </c>
      <c r="Z128" s="131">
        <v>-20.100000000000001</v>
      </c>
      <c r="AA128" s="131">
        <v>-21</v>
      </c>
      <c r="AB128" s="131">
        <v>-18.8</v>
      </c>
      <c r="AC128" s="131">
        <v>-18.3</v>
      </c>
      <c r="AD128" s="131">
        <v>-18.7</v>
      </c>
      <c r="AE128" s="131">
        <v>-13</v>
      </c>
      <c r="AF128" s="131">
        <v>42.3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48</v>
      </c>
      <c r="C129" s="131">
        <v>48</v>
      </c>
      <c r="D129" s="131">
        <v>48</v>
      </c>
      <c r="E129" s="131">
        <v>80.900000000000006</v>
      </c>
      <c r="F129" s="131">
        <v>54.7</v>
      </c>
      <c r="G129" s="131">
        <v>69</v>
      </c>
      <c r="H129" s="131">
        <v>75.3</v>
      </c>
      <c r="I129" s="131">
        <v>59.9</v>
      </c>
      <c r="J129" s="131">
        <v>54.4</v>
      </c>
      <c r="K129" s="131">
        <v>55.3</v>
      </c>
      <c r="L129" s="131">
        <v>57.2</v>
      </c>
      <c r="M129" s="131">
        <v>55.8</v>
      </c>
      <c r="N129" s="131">
        <v>62.5</v>
      </c>
      <c r="O129" s="131">
        <v>71.7</v>
      </c>
      <c r="P129" s="131">
        <v>72.3</v>
      </c>
      <c r="Q129" s="131">
        <v>72.599999999999994</v>
      </c>
      <c r="R129" s="131">
        <v>70.599999999999994</v>
      </c>
      <c r="S129" s="131">
        <v>79</v>
      </c>
      <c r="T129" s="131">
        <v>71.900000000000006</v>
      </c>
      <c r="U129" s="131">
        <v>71.599999999999994</v>
      </c>
      <c r="V129" s="131">
        <v>57.5</v>
      </c>
      <c r="W129" s="131">
        <v>57.5</v>
      </c>
      <c r="X129" s="131">
        <v>44.7</v>
      </c>
      <c r="Y129" s="131">
        <v>46.3</v>
      </c>
      <c r="Z129" s="131">
        <v>62.8</v>
      </c>
      <c r="AA129" s="131">
        <v>78.900000000000006</v>
      </c>
      <c r="AB129" s="131">
        <v>88.4</v>
      </c>
      <c r="AC129" s="131">
        <v>90.1</v>
      </c>
      <c r="AD129" s="131">
        <v>97</v>
      </c>
      <c r="AE129" s="131">
        <v>74.8</v>
      </c>
      <c r="AF129" s="131">
        <v>28.9</v>
      </c>
      <c r="AG129" s="128"/>
      <c r="AH129" s="48">
        <f>MAX(B129:AF129)</f>
        <v>97</v>
      </c>
      <c r="AI129" s="49">
        <f>MIN(B129:AF129)</f>
        <v>28.9</v>
      </c>
    </row>
    <row r="130" spans="1:37" x14ac:dyDescent="0.25">
      <c r="A130" s="126" t="s">
        <v>150</v>
      </c>
      <c r="B130" s="131">
        <v>-378.9</v>
      </c>
      <c r="C130" s="131">
        <v>-378.9</v>
      </c>
      <c r="D130" s="131">
        <v>-378.9</v>
      </c>
      <c r="E130" s="131">
        <v>-387</v>
      </c>
      <c r="F130" s="131">
        <v>-365</v>
      </c>
      <c r="G130" s="131">
        <v>-384</v>
      </c>
      <c r="H130" s="131">
        <v>-385</v>
      </c>
      <c r="I130" s="131">
        <v>-350</v>
      </c>
      <c r="J130" s="131">
        <v>-345</v>
      </c>
      <c r="K130" s="131" t="s">
        <v>302</v>
      </c>
      <c r="L130" s="131" t="s">
        <v>301</v>
      </c>
      <c r="M130" s="131">
        <v>-354</v>
      </c>
      <c r="N130" s="131">
        <v>-354</v>
      </c>
      <c r="O130" s="131">
        <v>-334.9</v>
      </c>
      <c r="P130" s="131">
        <v>-335</v>
      </c>
      <c r="Q130" s="131">
        <v>-327</v>
      </c>
      <c r="R130" s="131">
        <v>-323</v>
      </c>
      <c r="S130" s="131">
        <v>-317.89999999999998</v>
      </c>
      <c r="T130" s="131">
        <v>-319.5</v>
      </c>
      <c r="U130" s="131">
        <v>-324.7</v>
      </c>
      <c r="V130" s="131">
        <v>-325.7</v>
      </c>
      <c r="W130" s="131">
        <v>-325.7</v>
      </c>
      <c r="X130" s="131">
        <v>-319.8</v>
      </c>
      <c r="Y130" s="131">
        <v>-317</v>
      </c>
      <c r="Z130" s="131">
        <v>-331.3</v>
      </c>
      <c r="AA130" s="131">
        <v>-343.7</v>
      </c>
      <c r="AB130" s="131">
        <v>-359.9</v>
      </c>
      <c r="AC130" s="131">
        <v>-359</v>
      </c>
      <c r="AD130" s="131">
        <v>-381</v>
      </c>
      <c r="AE130" s="131">
        <v>-390</v>
      </c>
      <c r="AF130" s="131">
        <v>-368</v>
      </c>
      <c r="AG130" s="128"/>
      <c r="AH130" s="48">
        <f>MAX(B130:AF130)</f>
        <v>-317</v>
      </c>
      <c r="AI130" s="49">
        <f>MIN(B130:AF130)</f>
        <v>-390</v>
      </c>
    </row>
    <row r="131" spans="1:37" x14ac:dyDescent="0.25">
      <c r="A131" s="129" t="s">
        <v>151</v>
      </c>
      <c r="B131" s="119">
        <v>40.200000000000003</v>
      </c>
      <c r="C131" s="119">
        <v>40.200000000000003</v>
      </c>
      <c r="D131" s="119">
        <v>40.200000000000003</v>
      </c>
      <c r="E131" s="119">
        <v>46.4</v>
      </c>
      <c r="F131" s="119">
        <v>43.4</v>
      </c>
      <c r="G131" s="119">
        <v>51.7</v>
      </c>
      <c r="H131" s="119">
        <v>31.6</v>
      </c>
      <c r="I131" s="119">
        <v>38.299999999999997</v>
      </c>
      <c r="J131" s="119">
        <v>43.6</v>
      </c>
      <c r="K131" s="119" t="s">
        <v>302</v>
      </c>
      <c r="L131" s="119" t="s">
        <v>301</v>
      </c>
      <c r="M131" s="119">
        <v>36.1</v>
      </c>
      <c r="N131" s="119">
        <v>31.3</v>
      </c>
      <c r="O131" s="119">
        <v>20.7</v>
      </c>
      <c r="P131" s="119">
        <v>33.700000000000003</v>
      </c>
      <c r="Q131" s="119">
        <v>22.9</v>
      </c>
      <c r="R131" s="119">
        <v>25.2</v>
      </c>
      <c r="S131" s="119">
        <v>30.5</v>
      </c>
      <c r="T131" s="119">
        <v>35.5</v>
      </c>
      <c r="U131" s="119">
        <v>28.7</v>
      </c>
      <c r="V131" s="119">
        <v>26.4</v>
      </c>
      <c r="W131" s="119">
        <v>26.4</v>
      </c>
      <c r="X131" s="119">
        <v>26.8</v>
      </c>
      <c r="Y131" s="119">
        <v>29.3</v>
      </c>
      <c r="Z131" s="119">
        <v>32.5</v>
      </c>
      <c r="AA131" s="119">
        <v>30.8</v>
      </c>
      <c r="AB131" s="119">
        <v>30.1</v>
      </c>
      <c r="AC131" s="119">
        <v>32.1</v>
      </c>
      <c r="AD131" s="119">
        <v>26.9</v>
      </c>
      <c r="AE131" s="119">
        <v>31.2</v>
      </c>
      <c r="AF131" s="119">
        <v>36.200000000000003</v>
      </c>
      <c r="AG131" s="128"/>
      <c r="AH131" s="48">
        <f>MAX(B131:AF131)</f>
        <v>51.7</v>
      </c>
      <c r="AI131" s="49">
        <f>MIN(B131:AF131)</f>
        <v>20.7</v>
      </c>
    </row>
    <row r="132" spans="1:37" x14ac:dyDescent="0.25">
      <c r="A132" s="129" t="s">
        <v>152</v>
      </c>
      <c r="B132" s="119">
        <v>42.2</v>
      </c>
      <c r="C132" s="119">
        <v>42.2</v>
      </c>
      <c r="D132" s="119">
        <v>42.2</v>
      </c>
      <c r="E132" s="119">
        <v>29.8</v>
      </c>
      <c r="F132" s="119">
        <v>23.2</v>
      </c>
      <c r="G132" s="119">
        <v>17.7</v>
      </c>
      <c r="H132" s="119">
        <v>29</v>
      </c>
      <c r="I132" s="119">
        <v>25.4</v>
      </c>
      <c r="J132" s="119">
        <v>25.7</v>
      </c>
      <c r="K132" s="119">
        <v>28.9</v>
      </c>
      <c r="L132" s="119">
        <v>9.1</v>
      </c>
      <c r="M132" s="119">
        <v>25</v>
      </c>
      <c r="N132" s="119">
        <v>17.5</v>
      </c>
      <c r="O132" s="119">
        <v>33.299999999999997</v>
      </c>
      <c r="P132" s="119">
        <v>-30.7</v>
      </c>
      <c r="Q132" s="119">
        <v>47.9</v>
      </c>
      <c r="R132" s="119">
        <v>56.2</v>
      </c>
      <c r="S132" s="119">
        <v>39.6</v>
      </c>
      <c r="T132" s="119">
        <v>42.6</v>
      </c>
      <c r="U132" s="119">
        <v>34</v>
      </c>
      <c r="V132" s="119">
        <v>54.8</v>
      </c>
      <c r="W132" s="119">
        <v>54.8</v>
      </c>
      <c r="X132" s="119">
        <v>23.7</v>
      </c>
      <c r="Y132" s="119">
        <v>32.6</v>
      </c>
      <c r="Z132" s="119">
        <v>32.5</v>
      </c>
      <c r="AA132" s="119">
        <v>36.799999999999997</v>
      </c>
      <c r="AB132" s="119">
        <v>44.2</v>
      </c>
      <c r="AC132" s="119">
        <v>45</v>
      </c>
      <c r="AD132" s="119">
        <v>46.7</v>
      </c>
      <c r="AE132" s="119">
        <v>37.4</v>
      </c>
      <c r="AF132" s="119">
        <v>19</v>
      </c>
      <c r="AG132" s="128"/>
      <c r="AH132" s="48">
        <f>MAX(B132:AF132)</f>
        <v>56.2</v>
      </c>
      <c r="AI132" s="49">
        <f>MIN(B132:AF132)</f>
        <v>-30.7</v>
      </c>
    </row>
    <row r="133" spans="1:37" ht="15.75" thickBot="1" x14ac:dyDescent="0.3">
      <c r="A133" s="129" t="s">
        <v>153</v>
      </c>
      <c r="B133" s="119">
        <v>61.2</v>
      </c>
      <c r="C133" s="119">
        <v>61.2</v>
      </c>
      <c r="D133" s="119">
        <v>61.2</v>
      </c>
      <c r="E133" s="119">
        <v>51.3</v>
      </c>
      <c r="F133" s="119">
        <v>45.8</v>
      </c>
      <c r="G133" s="119">
        <v>44.1</v>
      </c>
      <c r="H133" s="119">
        <v>49.8</v>
      </c>
      <c r="I133" s="119">
        <v>44.3</v>
      </c>
      <c r="J133" s="119">
        <v>45.1</v>
      </c>
      <c r="K133" s="119">
        <v>49.8</v>
      </c>
      <c r="L133" s="119">
        <v>28</v>
      </c>
      <c r="M133" s="119">
        <v>54.3</v>
      </c>
      <c r="N133" s="119">
        <v>54.8</v>
      </c>
      <c r="O133" s="119">
        <v>74.099999999999994</v>
      </c>
      <c r="P133" s="119">
        <v>66</v>
      </c>
      <c r="Q133" s="119">
        <v>83.6</v>
      </c>
      <c r="R133" s="119">
        <v>89.4</v>
      </c>
      <c r="S133" s="119">
        <v>67.8</v>
      </c>
      <c r="T133" s="119">
        <v>59.9</v>
      </c>
      <c r="U133" s="119">
        <v>62.6</v>
      </c>
      <c r="V133" s="119">
        <v>73.900000000000006</v>
      </c>
      <c r="W133" s="119">
        <v>73.900000000000006</v>
      </c>
      <c r="X133" s="119">
        <v>56.7</v>
      </c>
      <c r="Y133" s="119">
        <v>46.4</v>
      </c>
      <c r="Z133" s="119">
        <v>54.5</v>
      </c>
      <c r="AA133" s="119">
        <v>59.2</v>
      </c>
      <c r="AB133" s="119">
        <v>65.7</v>
      </c>
      <c r="AC133" s="119">
        <v>62.9</v>
      </c>
      <c r="AD133" s="119">
        <v>64.099999999999994</v>
      </c>
      <c r="AE133" s="119">
        <v>62.8</v>
      </c>
      <c r="AF133" s="119">
        <v>56.3</v>
      </c>
      <c r="AG133" s="128"/>
      <c r="AH133" s="48">
        <f>MAX(B133:AF133)</f>
        <v>89.4</v>
      </c>
      <c r="AI133" s="49">
        <f>MIN(B133:AF133)</f>
        <v>28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>
        <v>884.1</v>
      </c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4">SUM(B142:B246)</f>
        <v>0</v>
      </c>
      <c r="C247" s="161">
        <f t="shared" si="54"/>
        <v>0</v>
      </c>
      <c r="D247" s="161">
        <f t="shared" si="54"/>
        <v>0</v>
      </c>
      <c r="E247" s="161">
        <f t="shared" si="54"/>
        <v>0</v>
      </c>
      <c r="F247" s="161">
        <f t="shared" si="54"/>
        <v>0</v>
      </c>
      <c r="G247" s="161">
        <f t="shared" si="54"/>
        <v>0</v>
      </c>
      <c r="H247" s="161">
        <f t="shared" si="54"/>
        <v>0</v>
      </c>
      <c r="I247" s="161">
        <f t="shared" si="54"/>
        <v>0</v>
      </c>
      <c r="J247" s="161">
        <f t="shared" si="54"/>
        <v>0</v>
      </c>
      <c r="K247" s="161">
        <f t="shared" si="54"/>
        <v>0</v>
      </c>
      <c r="L247" s="161">
        <f t="shared" si="54"/>
        <v>0</v>
      </c>
      <c r="M247" s="161">
        <f t="shared" si="54"/>
        <v>0</v>
      </c>
      <c r="N247" s="161">
        <f t="shared" si="54"/>
        <v>0</v>
      </c>
      <c r="O247" s="161">
        <f t="shared" si="54"/>
        <v>0</v>
      </c>
      <c r="P247" s="161">
        <f t="shared" si="54"/>
        <v>0</v>
      </c>
      <c r="Q247" s="161">
        <f t="shared" si="54"/>
        <v>0</v>
      </c>
      <c r="R247" s="161">
        <f t="shared" si="54"/>
        <v>0</v>
      </c>
      <c r="S247" s="161">
        <f t="shared" si="54"/>
        <v>0</v>
      </c>
      <c r="T247" s="161">
        <f t="shared" si="54"/>
        <v>0</v>
      </c>
      <c r="U247" s="161">
        <f t="shared" si="54"/>
        <v>0</v>
      </c>
      <c r="V247" s="161">
        <f t="shared" si="54"/>
        <v>0</v>
      </c>
      <c r="W247" s="161">
        <f t="shared" si="54"/>
        <v>0</v>
      </c>
      <c r="X247" s="161">
        <f t="shared" si="54"/>
        <v>0</v>
      </c>
      <c r="Y247" s="161">
        <f t="shared" si="54"/>
        <v>0</v>
      </c>
      <c r="Z247" s="161">
        <f t="shared" si="54"/>
        <v>0</v>
      </c>
      <c r="AA247" s="161">
        <f t="shared" si="54"/>
        <v>0</v>
      </c>
      <c r="AB247" s="161">
        <f t="shared" si="54"/>
        <v>0</v>
      </c>
      <c r="AC247" s="161">
        <f t="shared" si="54"/>
        <v>0</v>
      </c>
      <c r="AD247" s="161">
        <f t="shared" si="54"/>
        <v>0</v>
      </c>
      <c r="AE247" s="161">
        <f t="shared" si="54"/>
        <v>0</v>
      </c>
      <c r="AF247" s="162">
        <f t="shared" si="54"/>
        <v>0</v>
      </c>
      <c r="AG247" s="163">
        <f t="shared" si="5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5">AF249</f>
        <v>0.3</v>
      </c>
      <c r="C249" s="166">
        <v>0.3</v>
      </c>
      <c r="D249" s="166">
        <f t="shared" ref="D249:S254" si="56">C249</f>
        <v>0.3</v>
      </c>
      <c r="E249" s="166">
        <f t="shared" si="56"/>
        <v>0.3</v>
      </c>
      <c r="F249" s="166">
        <f t="shared" si="56"/>
        <v>0.3</v>
      </c>
      <c r="G249" s="166">
        <f t="shared" si="56"/>
        <v>0.3</v>
      </c>
      <c r="H249" s="166">
        <f t="shared" si="56"/>
        <v>0.3</v>
      </c>
      <c r="I249" s="166">
        <f t="shared" si="56"/>
        <v>0.3</v>
      </c>
      <c r="J249" s="166">
        <f t="shared" si="56"/>
        <v>0.3</v>
      </c>
      <c r="K249" s="166">
        <f t="shared" si="56"/>
        <v>0.3</v>
      </c>
      <c r="L249" s="166">
        <f t="shared" si="56"/>
        <v>0.3</v>
      </c>
      <c r="M249" s="166">
        <f t="shared" si="56"/>
        <v>0.3</v>
      </c>
      <c r="N249" s="166">
        <f t="shared" si="56"/>
        <v>0.3</v>
      </c>
      <c r="O249" s="166">
        <f t="shared" si="56"/>
        <v>0.3</v>
      </c>
      <c r="P249" s="166">
        <f t="shared" si="56"/>
        <v>0.3</v>
      </c>
      <c r="Q249" s="166">
        <f t="shared" si="56"/>
        <v>0.3</v>
      </c>
      <c r="R249" s="166">
        <f t="shared" si="56"/>
        <v>0.3</v>
      </c>
      <c r="S249" s="166">
        <f t="shared" si="56"/>
        <v>0.3</v>
      </c>
      <c r="T249" s="166">
        <f t="shared" ref="T249:AF254" si="57">S249</f>
        <v>0.3</v>
      </c>
      <c r="U249" s="166">
        <f t="shared" si="57"/>
        <v>0.3</v>
      </c>
      <c r="V249" s="166">
        <f t="shared" si="57"/>
        <v>0.3</v>
      </c>
      <c r="W249" s="166">
        <f t="shared" si="57"/>
        <v>0.3</v>
      </c>
      <c r="X249" s="166">
        <f t="shared" si="57"/>
        <v>0.3</v>
      </c>
      <c r="Y249" s="166">
        <f t="shared" si="57"/>
        <v>0.3</v>
      </c>
      <c r="Z249" s="166">
        <f t="shared" si="57"/>
        <v>0.3</v>
      </c>
      <c r="AA249" s="166">
        <f t="shared" si="57"/>
        <v>0.3</v>
      </c>
      <c r="AB249" s="166">
        <f t="shared" si="57"/>
        <v>0.3</v>
      </c>
      <c r="AC249" s="166">
        <f t="shared" si="57"/>
        <v>0.3</v>
      </c>
      <c r="AD249" s="166">
        <f t="shared" si="57"/>
        <v>0.3</v>
      </c>
      <c r="AE249" s="166">
        <f t="shared" si="57"/>
        <v>0.3</v>
      </c>
      <c r="AF249" s="166">
        <f t="shared" si="5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5"/>
        <v>0.4</v>
      </c>
      <c r="C250" s="152">
        <v>0.4</v>
      </c>
      <c r="D250" s="152">
        <f t="shared" si="56"/>
        <v>0.4</v>
      </c>
      <c r="E250" s="152">
        <f t="shared" si="56"/>
        <v>0.4</v>
      </c>
      <c r="F250" s="152">
        <f t="shared" si="56"/>
        <v>0.4</v>
      </c>
      <c r="G250" s="152">
        <f t="shared" si="56"/>
        <v>0.4</v>
      </c>
      <c r="H250" s="152">
        <f t="shared" si="56"/>
        <v>0.4</v>
      </c>
      <c r="I250" s="152">
        <f t="shared" si="56"/>
        <v>0.4</v>
      </c>
      <c r="J250" s="152">
        <f t="shared" si="56"/>
        <v>0.4</v>
      </c>
      <c r="K250" s="152">
        <f t="shared" si="56"/>
        <v>0.4</v>
      </c>
      <c r="L250" s="152">
        <f t="shared" si="56"/>
        <v>0.4</v>
      </c>
      <c r="M250" s="152">
        <f t="shared" si="56"/>
        <v>0.4</v>
      </c>
      <c r="N250" s="152">
        <f t="shared" si="56"/>
        <v>0.4</v>
      </c>
      <c r="O250" s="152">
        <f t="shared" si="56"/>
        <v>0.4</v>
      </c>
      <c r="P250" s="152">
        <f t="shared" si="56"/>
        <v>0.4</v>
      </c>
      <c r="Q250" s="152">
        <f t="shared" si="56"/>
        <v>0.4</v>
      </c>
      <c r="R250" s="152">
        <f t="shared" si="56"/>
        <v>0.4</v>
      </c>
      <c r="S250" s="152">
        <f t="shared" si="56"/>
        <v>0.4</v>
      </c>
      <c r="T250" s="152">
        <f t="shared" si="57"/>
        <v>0.4</v>
      </c>
      <c r="U250" s="152">
        <f t="shared" si="57"/>
        <v>0.4</v>
      </c>
      <c r="V250" s="152">
        <f t="shared" si="57"/>
        <v>0.4</v>
      </c>
      <c r="W250" s="152">
        <f t="shared" si="57"/>
        <v>0.4</v>
      </c>
      <c r="X250" s="152">
        <f t="shared" si="57"/>
        <v>0.4</v>
      </c>
      <c r="Y250" s="152">
        <f t="shared" si="57"/>
        <v>0.4</v>
      </c>
      <c r="Z250" s="152">
        <f t="shared" si="57"/>
        <v>0.4</v>
      </c>
      <c r="AA250" s="152">
        <f t="shared" si="57"/>
        <v>0.4</v>
      </c>
      <c r="AB250" s="152">
        <f t="shared" si="57"/>
        <v>0.4</v>
      </c>
      <c r="AC250" s="152">
        <f t="shared" si="57"/>
        <v>0.4</v>
      </c>
      <c r="AD250" s="152">
        <f t="shared" si="57"/>
        <v>0.4</v>
      </c>
      <c r="AE250" s="152">
        <f t="shared" si="57"/>
        <v>0.4</v>
      </c>
      <c r="AF250" s="152">
        <f t="shared" si="5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5"/>
        <v>1.5</v>
      </c>
      <c r="C251" s="152">
        <v>1.5</v>
      </c>
      <c r="D251" s="152">
        <f t="shared" si="56"/>
        <v>1.5</v>
      </c>
      <c r="E251" s="152">
        <f t="shared" si="56"/>
        <v>1.5</v>
      </c>
      <c r="F251" s="152">
        <f t="shared" si="56"/>
        <v>1.5</v>
      </c>
      <c r="G251" s="152">
        <f t="shared" si="56"/>
        <v>1.5</v>
      </c>
      <c r="H251" s="152">
        <f t="shared" si="56"/>
        <v>1.5</v>
      </c>
      <c r="I251" s="152">
        <f t="shared" si="56"/>
        <v>1.5</v>
      </c>
      <c r="J251" s="152">
        <f t="shared" si="56"/>
        <v>1.5</v>
      </c>
      <c r="K251" s="152">
        <f t="shared" si="56"/>
        <v>1.5</v>
      </c>
      <c r="L251" s="152">
        <f t="shared" si="56"/>
        <v>1.5</v>
      </c>
      <c r="M251" s="152">
        <f t="shared" si="56"/>
        <v>1.5</v>
      </c>
      <c r="N251" s="152">
        <f t="shared" si="56"/>
        <v>1.5</v>
      </c>
      <c r="O251" s="152">
        <f t="shared" si="56"/>
        <v>1.5</v>
      </c>
      <c r="P251" s="152">
        <f t="shared" si="56"/>
        <v>1.5</v>
      </c>
      <c r="Q251" s="152">
        <f t="shared" si="56"/>
        <v>1.5</v>
      </c>
      <c r="R251" s="152">
        <f t="shared" si="56"/>
        <v>1.5</v>
      </c>
      <c r="S251" s="152">
        <f t="shared" si="56"/>
        <v>1.5</v>
      </c>
      <c r="T251" s="152">
        <f t="shared" si="57"/>
        <v>1.5</v>
      </c>
      <c r="U251" s="152">
        <f t="shared" si="57"/>
        <v>1.5</v>
      </c>
      <c r="V251" s="152">
        <f t="shared" si="57"/>
        <v>1.5</v>
      </c>
      <c r="W251" s="152">
        <f t="shared" si="57"/>
        <v>1.5</v>
      </c>
      <c r="X251" s="152">
        <f t="shared" si="57"/>
        <v>1.5</v>
      </c>
      <c r="Y251" s="152">
        <f t="shared" si="57"/>
        <v>1.5</v>
      </c>
      <c r="Z251" s="152">
        <f t="shared" si="57"/>
        <v>1.5</v>
      </c>
      <c r="AA251" s="152">
        <f t="shared" si="57"/>
        <v>1.5</v>
      </c>
      <c r="AB251" s="152">
        <f t="shared" si="57"/>
        <v>1.5</v>
      </c>
      <c r="AC251" s="152">
        <f t="shared" si="57"/>
        <v>1.5</v>
      </c>
      <c r="AD251" s="152">
        <f t="shared" si="57"/>
        <v>1.5</v>
      </c>
      <c r="AE251" s="152">
        <f t="shared" si="57"/>
        <v>1.5</v>
      </c>
      <c r="AF251" s="152">
        <f t="shared" si="5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5"/>
        <v>0.3</v>
      </c>
      <c r="C252" s="152">
        <v>0.3</v>
      </c>
      <c r="D252" s="152">
        <f t="shared" si="56"/>
        <v>0.3</v>
      </c>
      <c r="E252" s="152">
        <f t="shared" si="56"/>
        <v>0.3</v>
      </c>
      <c r="F252" s="152">
        <f t="shared" si="56"/>
        <v>0.3</v>
      </c>
      <c r="G252" s="152">
        <f t="shared" si="56"/>
        <v>0.3</v>
      </c>
      <c r="H252" s="152">
        <f t="shared" si="56"/>
        <v>0.3</v>
      </c>
      <c r="I252" s="152">
        <f t="shared" si="56"/>
        <v>0.3</v>
      </c>
      <c r="J252" s="152">
        <f t="shared" si="56"/>
        <v>0.3</v>
      </c>
      <c r="K252" s="152">
        <f t="shared" si="56"/>
        <v>0.3</v>
      </c>
      <c r="L252" s="152">
        <f t="shared" si="56"/>
        <v>0.3</v>
      </c>
      <c r="M252" s="152">
        <f t="shared" si="56"/>
        <v>0.3</v>
      </c>
      <c r="N252" s="152">
        <f t="shared" si="56"/>
        <v>0.3</v>
      </c>
      <c r="O252" s="152">
        <f t="shared" si="56"/>
        <v>0.3</v>
      </c>
      <c r="P252" s="152">
        <f t="shared" si="56"/>
        <v>0.3</v>
      </c>
      <c r="Q252" s="152">
        <f t="shared" si="56"/>
        <v>0.3</v>
      </c>
      <c r="R252" s="152">
        <f t="shared" si="56"/>
        <v>0.3</v>
      </c>
      <c r="S252" s="152">
        <f t="shared" si="56"/>
        <v>0.3</v>
      </c>
      <c r="T252" s="152">
        <f t="shared" si="57"/>
        <v>0.3</v>
      </c>
      <c r="U252" s="152">
        <f t="shared" si="57"/>
        <v>0.3</v>
      </c>
      <c r="V252" s="152">
        <f t="shared" si="57"/>
        <v>0.3</v>
      </c>
      <c r="W252" s="152">
        <f t="shared" si="57"/>
        <v>0.3</v>
      </c>
      <c r="X252" s="152">
        <f t="shared" si="57"/>
        <v>0.3</v>
      </c>
      <c r="Y252" s="152">
        <f t="shared" si="57"/>
        <v>0.3</v>
      </c>
      <c r="Z252" s="152">
        <f t="shared" si="57"/>
        <v>0.3</v>
      </c>
      <c r="AA252" s="152">
        <f t="shared" si="57"/>
        <v>0.3</v>
      </c>
      <c r="AB252" s="152">
        <f t="shared" si="57"/>
        <v>0.3</v>
      </c>
      <c r="AC252" s="152">
        <f t="shared" si="57"/>
        <v>0.3</v>
      </c>
      <c r="AD252" s="152">
        <f t="shared" si="57"/>
        <v>0.3</v>
      </c>
      <c r="AE252" s="152">
        <f t="shared" si="57"/>
        <v>0.3</v>
      </c>
      <c r="AF252" s="152">
        <f t="shared" si="5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5"/>
        <v>0.4</v>
      </c>
      <c r="C253" s="152">
        <v>0.4</v>
      </c>
      <c r="D253" s="152">
        <f t="shared" si="56"/>
        <v>0.4</v>
      </c>
      <c r="E253" s="152">
        <f t="shared" si="56"/>
        <v>0.4</v>
      </c>
      <c r="F253" s="152">
        <f t="shared" si="56"/>
        <v>0.4</v>
      </c>
      <c r="G253" s="152">
        <f t="shared" si="56"/>
        <v>0.4</v>
      </c>
      <c r="H253" s="152">
        <f t="shared" si="56"/>
        <v>0.4</v>
      </c>
      <c r="I253" s="152">
        <f t="shared" si="56"/>
        <v>0.4</v>
      </c>
      <c r="J253" s="152">
        <f t="shared" si="56"/>
        <v>0.4</v>
      </c>
      <c r="K253" s="152">
        <f t="shared" si="56"/>
        <v>0.4</v>
      </c>
      <c r="L253" s="152">
        <f t="shared" si="56"/>
        <v>0.4</v>
      </c>
      <c r="M253" s="152">
        <f t="shared" si="56"/>
        <v>0.4</v>
      </c>
      <c r="N253" s="152">
        <f t="shared" si="56"/>
        <v>0.4</v>
      </c>
      <c r="O253" s="152">
        <f t="shared" si="56"/>
        <v>0.4</v>
      </c>
      <c r="P253" s="152">
        <f t="shared" si="56"/>
        <v>0.4</v>
      </c>
      <c r="Q253" s="152">
        <f t="shared" si="56"/>
        <v>0.4</v>
      </c>
      <c r="R253" s="152">
        <f t="shared" si="56"/>
        <v>0.4</v>
      </c>
      <c r="S253" s="152">
        <f t="shared" si="56"/>
        <v>0.4</v>
      </c>
      <c r="T253" s="152">
        <f t="shared" si="57"/>
        <v>0.4</v>
      </c>
      <c r="U253" s="152">
        <f t="shared" si="57"/>
        <v>0.4</v>
      </c>
      <c r="V253" s="152">
        <f t="shared" si="57"/>
        <v>0.4</v>
      </c>
      <c r="W253" s="152">
        <f t="shared" si="57"/>
        <v>0.4</v>
      </c>
      <c r="X253" s="152">
        <f t="shared" si="57"/>
        <v>0.4</v>
      </c>
      <c r="Y253" s="152">
        <f t="shared" si="57"/>
        <v>0.4</v>
      </c>
      <c r="Z253" s="152">
        <f t="shared" si="57"/>
        <v>0.4</v>
      </c>
      <c r="AA253" s="152">
        <f t="shared" si="57"/>
        <v>0.4</v>
      </c>
      <c r="AB253" s="152">
        <f t="shared" si="57"/>
        <v>0.4</v>
      </c>
      <c r="AC253" s="152">
        <f t="shared" si="57"/>
        <v>0.4</v>
      </c>
      <c r="AD253" s="152">
        <f t="shared" si="57"/>
        <v>0.4</v>
      </c>
      <c r="AE253" s="152">
        <f t="shared" si="57"/>
        <v>0.4</v>
      </c>
      <c r="AF253" s="152">
        <f t="shared" si="5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5"/>
        <v>0.64</v>
      </c>
      <c r="C254" s="157">
        <v>0.64</v>
      </c>
      <c r="D254" s="157">
        <f t="shared" si="56"/>
        <v>0.64</v>
      </c>
      <c r="E254" s="157">
        <f t="shared" si="56"/>
        <v>0.64</v>
      </c>
      <c r="F254" s="157">
        <f t="shared" si="56"/>
        <v>0.64</v>
      </c>
      <c r="G254" s="157">
        <f t="shared" si="56"/>
        <v>0.64</v>
      </c>
      <c r="H254" s="157">
        <f t="shared" si="56"/>
        <v>0.64</v>
      </c>
      <c r="I254" s="157">
        <f t="shared" si="56"/>
        <v>0.64</v>
      </c>
      <c r="J254" s="157">
        <f t="shared" si="56"/>
        <v>0.64</v>
      </c>
      <c r="K254" s="157">
        <f t="shared" si="56"/>
        <v>0.64</v>
      </c>
      <c r="L254" s="157">
        <f t="shared" si="56"/>
        <v>0.64</v>
      </c>
      <c r="M254" s="157">
        <f t="shared" si="56"/>
        <v>0.64</v>
      </c>
      <c r="N254" s="157">
        <f t="shared" si="56"/>
        <v>0.64</v>
      </c>
      <c r="O254" s="157">
        <f t="shared" si="56"/>
        <v>0.64</v>
      </c>
      <c r="P254" s="157">
        <f t="shared" si="56"/>
        <v>0.64</v>
      </c>
      <c r="Q254" s="157">
        <f t="shared" si="56"/>
        <v>0.64</v>
      </c>
      <c r="R254" s="157">
        <f t="shared" si="56"/>
        <v>0.64</v>
      </c>
      <c r="S254" s="157">
        <f t="shared" si="56"/>
        <v>0.64</v>
      </c>
      <c r="T254" s="157">
        <f t="shared" si="57"/>
        <v>0.64</v>
      </c>
      <c r="U254" s="157">
        <f t="shared" si="57"/>
        <v>0.64</v>
      </c>
      <c r="V254" s="157">
        <f t="shared" si="57"/>
        <v>0.64</v>
      </c>
      <c r="W254" s="157">
        <f t="shared" si="57"/>
        <v>0.64</v>
      </c>
      <c r="X254" s="157">
        <f t="shared" si="57"/>
        <v>0.64</v>
      </c>
      <c r="Y254" s="157">
        <f t="shared" si="57"/>
        <v>0.64</v>
      </c>
      <c r="Z254" s="157">
        <f t="shared" si="57"/>
        <v>0.64</v>
      </c>
      <c r="AA254" s="157">
        <f t="shared" si="57"/>
        <v>0.64</v>
      </c>
      <c r="AB254" s="157">
        <f t="shared" si="57"/>
        <v>0.64</v>
      </c>
      <c r="AC254" s="157">
        <f t="shared" si="57"/>
        <v>0.64</v>
      </c>
      <c r="AD254" s="157">
        <f t="shared" si="57"/>
        <v>0.64</v>
      </c>
      <c r="AE254" s="157">
        <f t="shared" si="57"/>
        <v>0.64</v>
      </c>
      <c r="AF254" s="157">
        <f t="shared" si="5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8">SUM(B249:B254)</f>
        <v>3.54</v>
      </c>
      <c r="C255" s="161">
        <f t="shared" si="58"/>
        <v>3.54</v>
      </c>
      <c r="D255" s="161">
        <f t="shared" si="58"/>
        <v>3.54</v>
      </c>
      <c r="E255" s="161">
        <f t="shared" si="58"/>
        <v>3.54</v>
      </c>
      <c r="F255" s="161">
        <f t="shared" si="58"/>
        <v>3.54</v>
      </c>
      <c r="G255" s="161">
        <f t="shared" si="58"/>
        <v>3.54</v>
      </c>
      <c r="H255" s="161">
        <f t="shared" si="58"/>
        <v>3.54</v>
      </c>
      <c r="I255" s="161">
        <f t="shared" si="58"/>
        <v>3.54</v>
      </c>
      <c r="J255" s="161">
        <f t="shared" si="58"/>
        <v>3.54</v>
      </c>
      <c r="K255" s="161">
        <f t="shared" si="58"/>
        <v>3.54</v>
      </c>
      <c r="L255" s="161">
        <f t="shared" si="58"/>
        <v>3.54</v>
      </c>
      <c r="M255" s="161">
        <f t="shared" si="58"/>
        <v>3.54</v>
      </c>
      <c r="N255" s="161">
        <f t="shared" si="58"/>
        <v>3.54</v>
      </c>
      <c r="O255" s="161">
        <f t="shared" si="58"/>
        <v>3.54</v>
      </c>
      <c r="P255" s="161">
        <f t="shared" si="58"/>
        <v>3.54</v>
      </c>
      <c r="Q255" s="161">
        <f t="shared" si="58"/>
        <v>3.54</v>
      </c>
      <c r="R255" s="161">
        <f t="shared" si="58"/>
        <v>3.54</v>
      </c>
      <c r="S255" s="161">
        <f t="shared" si="58"/>
        <v>3.54</v>
      </c>
      <c r="T255" s="161">
        <f t="shared" si="58"/>
        <v>3.54</v>
      </c>
      <c r="U255" s="161">
        <f t="shared" si="58"/>
        <v>3.54</v>
      </c>
      <c r="V255" s="161">
        <f t="shared" si="58"/>
        <v>3.54</v>
      </c>
      <c r="W255" s="161">
        <f t="shared" si="58"/>
        <v>3.54</v>
      </c>
      <c r="X255" s="161">
        <f t="shared" si="58"/>
        <v>3.54</v>
      </c>
      <c r="Y255" s="161">
        <f t="shared" si="58"/>
        <v>3.54</v>
      </c>
      <c r="Z255" s="161">
        <f t="shared" si="58"/>
        <v>3.54</v>
      </c>
      <c r="AA255" s="161">
        <f t="shared" si="58"/>
        <v>3.54</v>
      </c>
      <c r="AB255" s="161">
        <f t="shared" si="58"/>
        <v>3.54</v>
      </c>
      <c r="AC255" s="161">
        <f t="shared" si="58"/>
        <v>3.54</v>
      </c>
      <c r="AD255" s="161">
        <f t="shared" si="58"/>
        <v>3.54</v>
      </c>
      <c r="AE255" s="161">
        <f t="shared" si="58"/>
        <v>3.54</v>
      </c>
      <c r="AF255" s="161">
        <f t="shared" si="58"/>
        <v>3.54</v>
      </c>
      <c r="AG255" s="171">
        <f t="shared" si="5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2151.54</v>
      </c>
      <c r="C259" s="174">
        <f>INDEX(G9:N9,1,MATCH(MAX(G102:N102),G102:N102,0))</f>
        <v>0.22916666666666666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2080/10/9)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3222" priority="80">
      <formula>$AH11=0</formula>
    </cfRule>
  </conditionalFormatting>
  <conditionalFormatting sqref="A89">
    <cfRule type="expression" dxfId="3221" priority="138">
      <formula>$AH94=0</formula>
    </cfRule>
  </conditionalFormatting>
  <conditionalFormatting sqref="A90:A94">
    <cfRule type="expression" dxfId="3220" priority="81">
      <formula>$AH89=0</formula>
    </cfRule>
  </conditionalFormatting>
  <conditionalFormatting sqref="B8">
    <cfRule type="expression" dxfId="3219" priority="134">
      <formula>AND(C$9&gt;=14/24,C$9&lt;20/24)</formula>
    </cfRule>
    <cfRule type="expression" dxfId="3218" priority="135">
      <formula>AND(C$9&gt;=8/24,C$9&lt;14/24)</formula>
    </cfRule>
    <cfRule type="expression" dxfId="3217" priority="136">
      <formula>C$9&lt;8/24</formula>
    </cfRule>
    <cfRule type="expression" dxfId="3216" priority="137">
      <formula>C$9&gt;=20/24</formula>
    </cfRule>
  </conditionalFormatting>
  <conditionalFormatting sqref="B11:L57 M12:M57 N15:Z57 E62:E64 B62:D77 E66:Z77 AA72:AF77 B80:AF102 B9:AF10 B104:AF120 B122:AF140 B247:AF247 B249:B255">
    <cfRule type="expression" dxfId="3215" priority="41">
      <formula>B$9&gt;=20/24</formula>
    </cfRule>
  </conditionalFormatting>
  <conditionalFormatting sqref="B9:AF10 B11:L57 M12:M57 N15:Z57 E62:E64 B62:D77 E66:Z77 AA72:AF77 B80:AF102 B104:AF120 B122:AF140 B247:AF247 B249:B255">
    <cfRule type="expression" dxfId="3214" priority="42">
      <formula>AND(B$9&gt;=14/24,B$9&lt;20/24)</formula>
    </cfRule>
    <cfRule type="expression" dxfId="3213" priority="43">
      <formula>AND(B$9&gt;=8/24,B$9&lt;14/24)</formula>
    </cfRule>
    <cfRule type="expression" dxfId="3212" priority="44">
      <formula>B$9&lt;8/24</formula>
    </cfRule>
  </conditionalFormatting>
  <conditionalFormatting sqref="B58:AF60">
    <cfRule type="expression" dxfId="3211" priority="37">
      <formula>B$9&gt;=20/24</formula>
    </cfRule>
    <cfRule type="expression" dxfId="3210" priority="38">
      <formula>AND(B$9&gt;=14/24,B$9&lt;20/24)</formula>
    </cfRule>
    <cfRule type="expression" dxfId="3209" priority="39">
      <formula>AND(B$9&gt;=8/24,B$9&lt;14/24)</formula>
    </cfRule>
    <cfRule type="expression" dxfId="3208" priority="49">
      <formula>B$9&lt;8/24</formula>
    </cfRule>
  </conditionalFormatting>
  <conditionalFormatting sqref="D249:AF255">
    <cfRule type="expression" dxfId="3207" priority="119">
      <formula>D$9&gt;=20/24</formula>
    </cfRule>
    <cfRule type="expression" dxfId="3206" priority="120">
      <formula>AND(D$9&gt;=14/24,D$9&lt;20/24)</formula>
    </cfRule>
    <cfRule type="expression" dxfId="3205" priority="121">
      <formula>AND(D$9&gt;=8/24,D$9&lt;14/24)</formula>
    </cfRule>
    <cfRule type="expression" dxfId="3204" priority="122">
      <formula>D$9&lt;8/24</formula>
    </cfRule>
  </conditionalFormatting>
  <conditionalFormatting sqref="E11:L58 B11:D83 M12:M58 N15:N59 O15:R77 S15:AF83 E59:M59 E60:N77 AG61 AG65 E78:R83 AG83">
    <cfRule type="expression" dxfId="3203" priority="40">
      <formula>B11&gt;$AG11</formula>
    </cfRule>
  </conditionalFormatting>
  <conditionalFormatting sqref="E62:AF71">
    <cfRule type="expression" dxfId="3202" priority="45">
      <formula>E$9&gt;=20/24</formula>
    </cfRule>
    <cfRule type="expression" dxfId="3201" priority="46">
      <formula>AND(E$9&gt;=14/24,E$9&lt;20/24)</formula>
    </cfRule>
    <cfRule type="expression" dxfId="3200" priority="47">
      <formula>AND(E$9&gt;=8/24,E$9&lt;14/24)</formula>
    </cfRule>
    <cfRule type="expression" dxfId="3199" priority="48">
      <formula>E$9&lt;8/24</formula>
    </cfRule>
  </conditionalFormatting>
  <conditionalFormatting sqref="F66:Z68">
    <cfRule type="expression" dxfId="3198" priority="72">
      <formula>F$9&gt;=20/24</formula>
    </cfRule>
    <cfRule type="expression" dxfId="3197" priority="73">
      <formula>AND(F$9&gt;=14/24,F$9&lt;20/24)</formula>
    </cfRule>
    <cfRule type="expression" dxfId="3196" priority="74">
      <formula>AND(F$9&gt;=8/24,F$9&lt;14/24)</formula>
    </cfRule>
    <cfRule type="expression" dxfId="3195" priority="75">
      <formula>F$9&lt;8/24</formula>
    </cfRule>
  </conditionalFormatting>
  <conditionalFormatting sqref="L71:Z71">
    <cfRule type="expression" dxfId="3194" priority="68">
      <formula>L$9&gt;=20/24</formula>
    </cfRule>
    <cfRule type="expression" dxfId="3193" priority="69">
      <formula>AND(L$9&gt;=14/24,L$9&lt;20/24)</formula>
    </cfRule>
    <cfRule type="expression" dxfId="3192" priority="70">
      <formula>AND(L$9&gt;=8/24,L$9&lt;14/24)</formula>
    </cfRule>
    <cfRule type="expression" dxfId="3191" priority="71">
      <formula>L$9&lt;8/24</formula>
    </cfRule>
  </conditionalFormatting>
  <conditionalFormatting sqref="M8 S8 AB8">
    <cfRule type="expression" dxfId="3190" priority="126">
      <formula>AND(N$9&gt;=14/24,N$9&lt;20/24)</formula>
    </cfRule>
    <cfRule type="expression" dxfId="3189" priority="127">
      <formula>AND(N$9&gt;=8/24,N$9&lt;14/24)</formula>
    </cfRule>
    <cfRule type="expression" dxfId="3188" priority="128">
      <formula>N$9&lt;8/24</formula>
    </cfRule>
  </conditionalFormatting>
  <conditionalFormatting sqref="M11:P11 Q11:Z14 AA11:AF57 N12:P14">
    <cfRule type="expression" dxfId="3187" priority="55">
      <formula>M$9&gt;=20/24</formula>
    </cfRule>
    <cfRule type="expression" dxfId="3186" priority="56">
      <formula>AND(M$9&gt;=14/24,M$9&lt;20/24)</formula>
    </cfRule>
    <cfRule type="expression" dxfId="3185" priority="57">
      <formula>AND(M$9&gt;=8/24,M$9&lt;14/24)</formula>
    </cfRule>
    <cfRule type="expression" dxfId="3184" priority="58">
      <formula>M$9&lt;8/24</formula>
    </cfRule>
  </conditionalFormatting>
  <conditionalFormatting sqref="M66:Z70">
    <cfRule type="expression" dxfId="3183" priority="76">
      <formula>M$9&gt;=20/24</formula>
    </cfRule>
    <cfRule type="expression" dxfId="3182" priority="77">
      <formula>AND(M$9&gt;=14/24,M$9&lt;20/24)</formula>
    </cfRule>
    <cfRule type="expression" dxfId="3181" priority="78">
      <formula>AND(M$9&gt;=8/24,M$9&lt;14/24)</formula>
    </cfRule>
    <cfRule type="expression" dxfId="3180" priority="79">
      <formula>M$9&lt;8/24</formula>
    </cfRule>
  </conditionalFormatting>
  <conditionalFormatting sqref="M11:AD11 AE11:AF14 N12:AD14">
    <cfRule type="expression" dxfId="3179" priority="54">
      <formula>M11&gt;$AG11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178" priority="125">
      <formula>N$9&gt;=20/24</formula>
    </cfRule>
  </conditionalFormatting>
  <conditionalFormatting sqref="S8">
    <cfRule type="expression" dxfId="3177" priority="112">
      <formula>U$9&gt;=20/24</formula>
    </cfRule>
    <cfRule type="expression" dxfId="3176" priority="113">
      <formula>AND(U$9&gt;=14/24,U$9&lt;20/24)</formula>
    </cfRule>
    <cfRule type="expression" dxfId="3175" priority="114">
      <formula>AND(U$9&gt;=8/24,U$9&lt;14/24)</formula>
    </cfRule>
    <cfRule type="expression" dxfId="3174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173" priority="108">
      <formula>AD$9&gt;=20/24</formula>
    </cfRule>
    <cfRule type="expression" dxfId="3172" priority="109">
      <formula>AND(AD$9&gt;=14/24,AD$9&lt;20/24)</formula>
    </cfRule>
    <cfRule type="expression" dxfId="3171" priority="110">
      <formula>AND(AD$9&gt;=8/24,AD$9&lt;14/24)</formula>
    </cfRule>
    <cfRule type="expression" dxfId="3170" priority="111">
      <formula>AD$9&lt;8/24</formula>
    </cfRule>
  </conditionalFormatting>
  <conditionalFormatting sqref="AG65">
    <cfRule type="expression" dxfId="3169" priority="87">
      <formula>AG$9&gt;=20/24</formula>
    </cfRule>
    <cfRule type="expression" dxfId="3168" priority="88">
      <formula>AND(AG$9&gt;=14/24,AG$9&lt;20/24)</formula>
    </cfRule>
    <cfRule type="expression" dxfId="3167" priority="89">
      <formula>AND(AG$9&gt;=8/24,AG$9&lt;14/24)</formula>
    </cfRule>
    <cfRule type="expression" dxfId="3166" priority="90">
      <formula>AG$9&lt;8/24</formula>
    </cfRule>
  </conditionalFormatting>
  <conditionalFormatting sqref="AG78:AG79">
    <cfRule type="expression" dxfId="3165" priority="82">
      <formula>AG78&gt;$AG78</formula>
    </cfRule>
  </conditionalFormatting>
  <conditionalFormatting sqref="AG83">
    <cfRule type="expression" dxfId="3164" priority="83">
      <formula>AG$9&gt;=20/24</formula>
    </cfRule>
    <cfRule type="expression" dxfId="3163" priority="84">
      <formula>AND(AG$9&gt;=14/24,AG$9&lt;20/24)</formula>
    </cfRule>
    <cfRule type="expression" dxfId="3162" priority="85">
      <formula>AND(AG$9&gt;=8/24,AG$9&lt;14/24)</formula>
    </cfRule>
    <cfRule type="expression" dxfId="3161" priority="86">
      <formula>AG$9&lt;8/24</formula>
    </cfRule>
  </conditionalFormatting>
  <conditionalFormatting sqref="AG100">
    <cfRule type="expression" dxfId="3160" priority="104">
      <formula>AG$9&gt;=20/24</formula>
    </cfRule>
    <cfRule type="expression" dxfId="3159" priority="105">
      <formula>AND(AG$9&gt;=14/24,AG$9&lt;20/24)</formula>
    </cfRule>
    <cfRule type="expression" dxfId="3158" priority="106">
      <formula>AND(AG$9&gt;=8/24,AG$9&lt;14/24)</formula>
    </cfRule>
    <cfRule type="expression" dxfId="3157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156" priority="129">
      <formula>AJ$9&gt;=20/24</formula>
    </cfRule>
    <cfRule type="expression" dxfId="3155" priority="130">
      <formula>AND(AJ$9&gt;=14/24,AJ$9&lt;20/24)</formula>
    </cfRule>
    <cfRule type="expression" dxfId="3154" priority="131">
      <formula>AND(AJ$9&gt;=8/24,AJ$9&lt;14/24)</formula>
    </cfRule>
    <cfRule type="expression" dxfId="3153" priority="132">
      <formula>AJ$9&lt;8/24</formula>
    </cfRule>
  </conditionalFormatting>
  <conditionalFormatting sqref="AL86:AN86 AL92:AN92">
    <cfRule type="expression" dxfId="3152" priority="97">
      <formula>AL$9&gt;=20/24</formula>
    </cfRule>
    <cfRule type="expression" dxfId="3151" priority="98">
      <formula>AND(AL$9&gt;=14/24,AL$9&lt;20/24)</formula>
    </cfRule>
    <cfRule type="expression" dxfId="3150" priority="99">
      <formula>AND(AL$9&gt;=8/24,AL$9&lt;14/24)</formula>
    </cfRule>
    <cfRule type="expression" dxfId="3149" priority="100">
      <formula>AL$9&lt;8/24</formula>
    </cfRule>
  </conditionalFormatting>
  <conditionalFormatting sqref="AM15:AM21 AN16:AR21">
    <cfRule type="expression" dxfId="3148" priority="13">
      <formula>AX$9&gt;=20/24</formula>
    </cfRule>
    <cfRule type="expression" dxfId="3147" priority="14">
      <formula>AND(AX$9&gt;=14/24,AX$9&lt;20/24)</formula>
    </cfRule>
    <cfRule type="expression" dxfId="3146" priority="15">
      <formula>AND(AX$9&gt;=8/24,AX$9&lt;14/24)</formula>
    </cfRule>
    <cfRule type="expression" dxfId="3145" priority="16">
      <formula>AX$9&lt;8/24</formula>
    </cfRule>
  </conditionalFormatting>
  <conditionalFormatting sqref="AN87:AN90">
    <cfRule type="expression" dxfId="3144" priority="93">
      <formula>AN$9&gt;=20/24</formula>
    </cfRule>
    <cfRule type="expression" dxfId="3143" priority="94">
      <formula>AND(AN$9&gt;=14/24,AN$9&lt;20/24)</formula>
    </cfRule>
    <cfRule type="expression" dxfId="3142" priority="95">
      <formula>AND(AN$9&gt;=8/24,AN$9&lt;14/24)</formula>
    </cfRule>
    <cfRule type="expression" dxfId="3141" priority="96">
      <formula>AN$9&lt;8/24</formula>
    </cfRule>
  </conditionalFormatting>
  <conditionalFormatting sqref="AN15:AR15">
    <cfRule type="expression" dxfId="3140" priority="1">
      <formula>U$9&gt;=20/24</formula>
    </cfRule>
    <cfRule type="expression" dxfId="3139" priority="2">
      <formula>AND(U$9&gt;=14/24,U$9&lt;20/24)</formula>
    </cfRule>
    <cfRule type="expression" dxfId="3138" priority="3">
      <formula>AND(U$9&gt;=8/24,U$9&lt;14/24)</formula>
    </cfRule>
    <cfRule type="expression" dxfId="3137" priority="4">
      <formula>U$9&lt;8/24</formula>
    </cfRule>
  </conditionalFormatting>
  <conditionalFormatting sqref="AS15">
    <cfRule type="expression" dxfId="3136" priority="9">
      <formula>AA$9&gt;=20/24</formula>
    </cfRule>
    <cfRule type="expression" dxfId="3135" priority="10">
      <formula>AND(AA$9&gt;=14/24,AA$9&lt;20/24)</formula>
    </cfRule>
    <cfRule type="expression" dxfId="3134" priority="11">
      <formula>AND(AA$9&gt;=8/24,AA$9&lt;14/24)</formula>
    </cfRule>
    <cfRule type="expression" dxfId="3133" priority="12">
      <formula>AA$9&lt;8/24</formula>
    </cfRule>
  </conditionalFormatting>
  <conditionalFormatting sqref="AS16:AS21">
    <cfRule type="expression" dxfId="3132" priority="17">
      <formula>BE$9&gt;=20/24</formula>
    </cfRule>
    <cfRule type="expression" dxfId="3131" priority="18">
      <formula>AND(BE$9&gt;=14/24,BE$9&lt;20/24)</formula>
    </cfRule>
    <cfRule type="expression" dxfId="3130" priority="19">
      <formula>AND(BE$9&gt;=8/24,BE$9&lt;14/24)</formula>
    </cfRule>
    <cfRule type="expression" dxfId="3129" priority="20">
      <formula>BE$9&lt;8/24</formula>
    </cfRule>
  </conditionalFormatting>
  <conditionalFormatting sqref="AT15 AX15:BJ15">
    <cfRule type="expression" dxfId="3128" priority="21">
      <formula>AC$9&gt;=20/24</formula>
    </cfRule>
    <cfRule type="expression" dxfId="3127" priority="22">
      <formula>AND(AC$9&gt;=14/24,AC$9&lt;20/24)</formula>
    </cfRule>
    <cfRule type="expression" dxfId="3126" priority="23">
      <formula>AND(AC$9&gt;=8/24,AC$9&lt;14/24)</formula>
    </cfRule>
    <cfRule type="expression" dxfId="3125" priority="24">
      <formula>AC$9&lt;8/24</formula>
    </cfRule>
  </conditionalFormatting>
  <conditionalFormatting sqref="AT16:AT21">
    <cfRule type="expression" dxfId="3124" priority="25">
      <formula>BG$9&gt;=20/24</formula>
    </cfRule>
    <cfRule type="expression" dxfId="3123" priority="26">
      <formula>AND(BG$9&gt;=14/24,BG$9&lt;20/24)</formula>
    </cfRule>
    <cfRule type="expression" dxfId="3122" priority="27">
      <formula>AND(BG$9&gt;=8/24,BG$9&lt;14/24)</formula>
    </cfRule>
    <cfRule type="expression" dxfId="3121" priority="28">
      <formula>BG$9&lt;8/24</formula>
    </cfRule>
  </conditionalFormatting>
  <conditionalFormatting sqref="AU15:AV15">
    <cfRule type="expression" dxfId="3120" priority="29">
      <formula>AE$9&gt;=20/24</formula>
    </cfRule>
    <cfRule type="expression" dxfId="3119" priority="30">
      <formula>AND(AE$9&gt;=14/24,AE$9&lt;20/24)</formula>
    </cfRule>
    <cfRule type="expression" dxfId="3118" priority="31">
      <formula>AND(AE$9&gt;=8/24,AE$9&lt;14/24)</formula>
    </cfRule>
    <cfRule type="expression" dxfId="3117" priority="32">
      <formula>AE$9&lt;8/24</formula>
    </cfRule>
  </conditionalFormatting>
  <conditionalFormatting sqref="AU16:BJ21">
    <cfRule type="expression" dxfId="3116" priority="33">
      <formula>BI$9&gt;=20/24</formula>
    </cfRule>
    <cfRule type="expression" dxfId="3115" priority="34">
      <formula>AND(BI$9&gt;=14/24,BI$9&lt;20/24)</formula>
    </cfRule>
    <cfRule type="expression" dxfId="3114" priority="35">
      <formula>AND(BI$9&gt;=8/24,BI$9&lt;14/24)</formula>
    </cfRule>
    <cfRule type="expression" dxfId="3113" priority="36">
      <formula>BI$9&lt;8/24</formula>
    </cfRule>
  </conditionalFormatting>
  <conditionalFormatting sqref="AW15">
    <cfRule type="expression" dxfId="3112" priority="5">
      <formula>B$9&gt;=20/24</formula>
    </cfRule>
    <cfRule type="expression" dxfId="3111" priority="6">
      <formula>AND(B$9&gt;=14/24,B$9&lt;20/24)</formula>
    </cfRule>
    <cfRule type="expression" dxfId="3110" priority="7">
      <formula>AND(B$9&gt;=8/24,B$9&lt;14/24)</formula>
    </cfRule>
    <cfRule type="expression" dxfId="310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8575-FAF3-48A5-B42D-48B4487B0CFB}">
  <dimension ref="A1:CJ297"/>
  <sheetViews>
    <sheetView zoomScale="106" workbookViewId="0">
      <pane xSplit="1" ySplit="10" topLeftCell="C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R101" sqref="R10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2080/10/10</v>
      </c>
      <c r="C4" s="189"/>
      <c r="D4" s="189"/>
      <c r="E4" s="190" t="str">
        <f ca="1">"2080/"&amp;"10/"&amp;INT(MID(CELL("filename",G6),FIND("]",CELL("filename",G6))+1,200))</f>
        <v>2080/10/10</v>
      </c>
      <c r="F4" s="190"/>
      <c r="G4" s="190"/>
      <c r="H4" s="190" t="str">
        <f ca="1">TEXT(E4,"dddd")</f>
        <v>Thursday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48.9</v>
      </c>
      <c r="C5" s="30">
        <f t="shared" si="0"/>
        <v>51.9</v>
      </c>
      <c r="D5" s="30">
        <f t="shared" si="0"/>
        <v>52</v>
      </c>
      <c r="E5" s="30">
        <f t="shared" si="0"/>
        <v>50</v>
      </c>
      <c r="F5" s="30">
        <f t="shared" si="0"/>
        <v>51</v>
      </c>
      <c r="G5" s="30">
        <f t="shared" si="0"/>
        <v>51</v>
      </c>
      <c r="H5" s="30">
        <f t="shared" si="0"/>
        <v>51</v>
      </c>
      <c r="I5" s="30">
        <f t="shared" si="0"/>
        <v>49</v>
      </c>
      <c r="J5" s="30">
        <f t="shared" si="0"/>
        <v>74</v>
      </c>
      <c r="K5" s="30">
        <f t="shared" si="0"/>
        <v>83.3</v>
      </c>
      <c r="L5" s="30">
        <f t="shared" si="0"/>
        <v>78.5</v>
      </c>
      <c r="M5" s="30">
        <f t="shared" si="0"/>
        <v>112.6</v>
      </c>
      <c r="N5" s="30">
        <f t="shared" si="0"/>
        <v>106.9</v>
      </c>
      <c r="O5" s="30">
        <f t="shared" si="0"/>
        <v>120.5</v>
      </c>
      <c r="P5" s="30">
        <f t="shared" si="0"/>
        <v>118.9</v>
      </c>
      <c r="Q5" s="30">
        <f t="shared" si="0"/>
        <v>0</v>
      </c>
      <c r="R5" s="30">
        <f t="shared" si="0"/>
        <v>122.64400000000001</v>
      </c>
      <c r="S5" s="30">
        <f t="shared" si="0"/>
        <v>122.7</v>
      </c>
      <c r="T5" s="30">
        <f t="shared" si="0"/>
        <v>122.7</v>
      </c>
      <c r="U5" s="30">
        <f t="shared" si="0"/>
        <v>121</v>
      </c>
      <c r="V5" s="30">
        <f t="shared" si="0"/>
        <v>86.800000000000011</v>
      </c>
      <c r="W5" s="30">
        <f t="shared" si="0"/>
        <v>91.9</v>
      </c>
      <c r="X5" s="30">
        <f t="shared" si="0"/>
        <v>91.9</v>
      </c>
      <c r="Y5" s="30">
        <f t="shared" si="0"/>
        <v>60</v>
      </c>
      <c r="Z5" s="30">
        <f t="shared" si="0"/>
        <v>64</v>
      </c>
      <c r="AA5" s="30">
        <f t="shared" si="0"/>
        <v>73.400000000000006</v>
      </c>
      <c r="AB5" s="30">
        <f t="shared" si="0"/>
        <v>73.400000000000006</v>
      </c>
      <c r="AC5" s="30">
        <f t="shared" si="0"/>
        <v>69.599999999999994</v>
      </c>
      <c r="AD5" s="30">
        <f t="shared" si="0"/>
        <v>87</v>
      </c>
      <c r="AE5" s="30">
        <f t="shared" si="0"/>
        <v>498</v>
      </c>
      <c r="AF5" s="30">
        <f>B95</f>
        <v>48.2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2175MW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B103</f>
        <v>1791.6399999999999</v>
      </c>
      <c r="C7" s="35">
        <f t="shared" si="1"/>
        <v>1708.44</v>
      </c>
      <c r="D7" s="35">
        <f t="shared" si="1"/>
        <v>1666.8400000000001</v>
      </c>
      <c r="E7" s="35">
        <f t="shared" si="1"/>
        <v>1527.04</v>
      </c>
      <c r="F7" s="35">
        <f t="shared" si="1"/>
        <v>1610.54</v>
      </c>
      <c r="G7" s="35">
        <f t="shared" si="1"/>
        <v>1606.6399999999999</v>
      </c>
      <c r="H7" s="35">
        <f t="shared" si="1"/>
        <v>1617.04</v>
      </c>
      <c r="I7" s="35">
        <f t="shared" si="1"/>
        <v>1592.44</v>
      </c>
      <c r="J7" s="35">
        <f t="shared" si="1"/>
        <v>1596.44</v>
      </c>
      <c r="K7" s="35">
        <f t="shared" si="1"/>
        <v>1616.94</v>
      </c>
      <c r="L7" s="35">
        <f t="shared" si="1"/>
        <v>1686.14</v>
      </c>
      <c r="M7" s="35">
        <f t="shared" si="1"/>
        <v>1769.74</v>
      </c>
      <c r="N7" s="35">
        <f t="shared" si="1"/>
        <v>1783.7399999999998</v>
      </c>
      <c r="O7" s="35">
        <f t="shared" si="1"/>
        <v>1843.04</v>
      </c>
      <c r="P7" s="35">
        <f t="shared" si="1"/>
        <v>1905.0399999999997</v>
      </c>
      <c r="Q7" s="35">
        <f t="shared" si="1"/>
        <v>1894.04</v>
      </c>
      <c r="R7" s="35">
        <f t="shared" si="1"/>
        <v>3.54</v>
      </c>
      <c r="S7" s="35">
        <f t="shared" si="1"/>
        <v>1766.8220000000001</v>
      </c>
      <c r="T7" s="35">
        <f t="shared" si="1"/>
        <v>1857.8779999999997</v>
      </c>
      <c r="U7" s="35">
        <f t="shared" si="1"/>
        <v>1857.8779999999997</v>
      </c>
      <c r="V7" s="35">
        <f t="shared" si="1"/>
        <v>1794.1779999999999</v>
      </c>
      <c r="W7" s="35">
        <f t="shared" si="1"/>
        <v>1734.578</v>
      </c>
      <c r="X7" s="35">
        <f t="shared" si="1"/>
        <v>1742.6780000000001</v>
      </c>
      <c r="Y7" s="35">
        <f t="shared" si="1"/>
        <v>1842.6379999999999</v>
      </c>
      <c r="Z7" s="35">
        <f t="shared" si="1"/>
        <v>1754.6379999999999</v>
      </c>
      <c r="AA7" s="35">
        <f t="shared" si="1"/>
        <v>1761.6779999999999</v>
      </c>
      <c r="AB7" s="35">
        <f t="shared" si="1"/>
        <v>1901.4780000000001</v>
      </c>
      <c r="AC7" s="35">
        <f t="shared" si="1"/>
        <v>1952.9780000000001</v>
      </c>
      <c r="AD7" s="35">
        <f t="shared" si="1"/>
        <v>1919.1779999999999</v>
      </c>
      <c r="AE7" s="35">
        <f t="shared" si="1"/>
        <v>1846.9780000000001</v>
      </c>
      <c r="AF7" s="35">
        <f t="shared" si="1"/>
        <v>2702.9780000000001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2702.978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2702.978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60.2</v>
      </c>
      <c r="C11" s="46">
        <v>74.7</v>
      </c>
      <c r="D11" s="46">
        <v>86</v>
      </c>
      <c r="E11" s="46">
        <v>87.3</v>
      </c>
      <c r="F11" s="46">
        <v>87.2</v>
      </c>
      <c r="G11" s="46">
        <v>87.3</v>
      </c>
      <c r="H11" s="46">
        <v>87.3</v>
      </c>
      <c r="I11" s="46">
        <v>87.3</v>
      </c>
      <c r="J11" s="46">
        <v>87.3</v>
      </c>
      <c r="K11" s="46">
        <v>87.3</v>
      </c>
      <c r="L11" s="46">
        <v>90.1</v>
      </c>
      <c r="M11" s="46">
        <v>90.1</v>
      </c>
      <c r="N11" s="46">
        <v>90.3</v>
      </c>
      <c r="O11" s="46">
        <v>90.3</v>
      </c>
      <c r="P11" s="46">
        <v>90.3</v>
      </c>
      <c r="Q11" s="46">
        <v>0</v>
      </c>
      <c r="R11" s="46" t="s">
        <v>304</v>
      </c>
      <c r="S11" s="46">
        <v>0</v>
      </c>
      <c r="T11" s="46">
        <v>0</v>
      </c>
      <c r="U11" s="46">
        <v>0</v>
      </c>
      <c r="V11" s="46">
        <v>30</v>
      </c>
      <c r="W11" s="46">
        <v>15</v>
      </c>
      <c r="X11" s="46">
        <v>15</v>
      </c>
      <c r="Y11" s="46">
        <v>15</v>
      </c>
      <c r="Z11" s="46">
        <v>38</v>
      </c>
      <c r="AA11" s="46">
        <v>38</v>
      </c>
      <c r="AB11" s="46">
        <v>38</v>
      </c>
      <c r="AC11" s="46">
        <v>38</v>
      </c>
      <c r="AD11" s="46">
        <v>55</v>
      </c>
      <c r="AE11" s="46">
        <v>55</v>
      </c>
      <c r="AF11" s="46">
        <v>69</v>
      </c>
      <c r="AG11" s="47">
        <v>86</v>
      </c>
      <c r="AH11" s="48">
        <f t="shared" ref="AH11:AH74" si="2">MAX(B11:AF11)</f>
        <v>90.3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77</v>
      </c>
      <c r="C12" s="46">
        <v>77</v>
      </c>
      <c r="D12" s="46">
        <v>77</v>
      </c>
      <c r="E12" s="46">
        <v>77</v>
      </c>
      <c r="F12" s="46">
        <v>77</v>
      </c>
      <c r="G12" s="46">
        <v>83</v>
      </c>
      <c r="H12" s="46">
        <v>83</v>
      </c>
      <c r="I12" s="46">
        <v>83</v>
      </c>
      <c r="J12" s="46">
        <v>83</v>
      </c>
      <c r="K12" s="46">
        <v>83</v>
      </c>
      <c r="L12" s="46">
        <v>83</v>
      </c>
      <c r="M12" s="46">
        <v>83</v>
      </c>
      <c r="N12" s="46">
        <v>73.5</v>
      </c>
      <c r="O12" s="46">
        <v>73.5</v>
      </c>
      <c r="P12" s="46">
        <v>73.5</v>
      </c>
      <c r="Q12" s="46">
        <v>78</v>
      </c>
      <c r="R12" s="46" t="s">
        <v>310</v>
      </c>
      <c r="S12" s="46">
        <v>77.7</v>
      </c>
      <c r="T12" s="46">
        <v>77.7</v>
      </c>
      <c r="U12" s="46">
        <v>77.7</v>
      </c>
      <c r="V12" s="46">
        <v>77.7</v>
      </c>
      <c r="W12" s="46">
        <v>71</v>
      </c>
      <c r="X12" s="46">
        <v>71</v>
      </c>
      <c r="Y12" s="46">
        <v>71</v>
      </c>
      <c r="Z12" s="46">
        <v>71</v>
      </c>
      <c r="AA12" s="46">
        <v>71</v>
      </c>
      <c r="AB12" s="46">
        <v>71</v>
      </c>
      <c r="AC12" s="46">
        <v>71</v>
      </c>
      <c r="AD12" s="46">
        <v>71</v>
      </c>
      <c r="AE12" s="46">
        <v>71</v>
      </c>
      <c r="AF12" s="46">
        <v>71</v>
      </c>
      <c r="AG12" s="50">
        <v>77</v>
      </c>
      <c r="AH12" s="48">
        <f t="shared" si="2"/>
        <v>83</v>
      </c>
      <c r="AI12" s="49">
        <f t="shared" si="3"/>
        <v>71</v>
      </c>
      <c r="AK12" s="51"/>
      <c r="AL12" s="52" t="str">
        <f ca="1">MID(CELL("filename",C7),FIND("]",CELL("filename",C7))+1,600)</f>
        <v>10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73.400000000000006</v>
      </c>
      <c r="C13" s="46">
        <v>50</v>
      </c>
      <c r="D13" s="46">
        <v>50</v>
      </c>
      <c r="E13" s="46">
        <v>50</v>
      </c>
      <c r="F13" s="46">
        <v>38</v>
      </c>
      <c r="G13" s="46">
        <v>69.099999999999994</v>
      </c>
      <c r="H13" s="46">
        <v>72.900000000000006</v>
      </c>
      <c r="I13" s="46">
        <v>72.900000000000006</v>
      </c>
      <c r="J13" s="46">
        <v>72.900000000000006</v>
      </c>
      <c r="K13" s="46">
        <v>72.900000000000006</v>
      </c>
      <c r="L13" s="46">
        <v>72.900000000000006</v>
      </c>
      <c r="M13" s="46">
        <v>72.900000000000006</v>
      </c>
      <c r="N13" s="46">
        <v>72.900000000000006</v>
      </c>
      <c r="O13" s="46">
        <v>72.900000000000006</v>
      </c>
      <c r="P13" s="46">
        <v>72.900000000000006</v>
      </c>
      <c r="Q13" s="46">
        <v>76.3</v>
      </c>
      <c r="R13" s="46" t="s">
        <v>304</v>
      </c>
      <c r="S13" s="46">
        <v>76.3</v>
      </c>
      <c r="T13" s="46">
        <v>76.3</v>
      </c>
      <c r="U13" s="46">
        <v>76.3</v>
      </c>
      <c r="V13" s="46">
        <v>76.3</v>
      </c>
      <c r="W13" s="46">
        <v>52.5</v>
      </c>
      <c r="X13" s="46">
        <v>52.5</v>
      </c>
      <c r="Y13" s="46">
        <v>52.5</v>
      </c>
      <c r="Z13" s="46">
        <v>52.5</v>
      </c>
      <c r="AA13" s="46">
        <v>52.5</v>
      </c>
      <c r="AB13" s="46">
        <v>52.5</v>
      </c>
      <c r="AC13" s="46">
        <v>74</v>
      </c>
      <c r="AD13" s="46">
        <v>74</v>
      </c>
      <c r="AE13" s="46">
        <v>74</v>
      </c>
      <c r="AF13" s="46">
        <v>74</v>
      </c>
      <c r="AG13" s="50">
        <v>73</v>
      </c>
      <c r="AH13" s="48">
        <f t="shared" si="2"/>
        <v>76.3</v>
      </c>
      <c r="AI13" s="49">
        <f t="shared" si="3"/>
        <v>38</v>
      </c>
      <c r="AK13" s="51"/>
      <c r="AL13" s="52" t="str">
        <f ca="1">"Daily Load Curve(Excluding of Export) of Nepal ("&amp;A4&amp;" "&amp;B4&amp;")"</f>
        <v>Daily Load Curve(Excluding of Export) of Nepal (Nepali Date: 2080/10/10)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40.4</v>
      </c>
      <c r="C14" s="46">
        <v>40.4</v>
      </c>
      <c r="D14" s="46">
        <v>40.4</v>
      </c>
      <c r="E14" s="46">
        <v>40.4</v>
      </c>
      <c r="F14" s="46">
        <v>40.4</v>
      </c>
      <c r="G14" s="46">
        <v>40.799999999999997</v>
      </c>
      <c r="H14" s="46">
        <v>40.799999999999997</v>
      </c>
      <c r="I14" s="46">
        <v>40.799999999999997</v>
      </c>
      <c r="J14" s="46">
        <v>40.799999999999997</v>
      </c>
      <c r="K14" s="46">
        <v>40.799999999999997</v>
      </c>
      <c r="L14" s="46">
        <v>40.799999999999997</v>
      </c>
      <c r="M14" s="46">
        <v>40.799999999999997</v>
      </c>
      <c r="N14" s="46">
        <v>40.799999999999997</v>
      </c>
      <c r="O14" s="46">
        <v>40.799999999999997</v>
      </c>
      <c r="P14" s="46">
        <v>40.799999999999997</v>
      </c>
      <c r="Q14" s="46">
        <v>40.799999999999997</v>
      </c>
      <c r="R14" s="46" t="s">
        <v>308</v>
      </c>
      <c r="S14" s="46">
        <v>40.299999999999997</v>
      </c>
      <c r="T14" s="46">
        <v>40.299999999999997</v>
      </c>
      <c r="U14" s="46">
        <v>40.299999999999997</v>
      </c>
      <c r="V14" s="46">
        <v>40.299999999999997</v>
      </c>
      <c r="W14" s="46">
        <v>40.299999999999997</v>
      </c>
      <c r="X14" s="46">
        <v>40.299999999999997</v>
      </c>
      <c r="Y14" s="46">
        <v>40.299999999999997</v>
      </c>
      <c r="Z14" s="46">
        <v>40.299999999999997</v>
      </c>
      <c r="AA14" s="46">
        <v>40.299999999999997</v>
      </c>
      <c r="AB14" s="46">
        <v>40.299999999999997</v>
      </c>
      <c r="AC14" s="46">
        <v>40.299999999999997</v>
      </c>
      <c r="AD14" s="46">
        <v>40.299999999999997</v>
      </c>
      <c r="AE14" s="46">
        <v>40.299999999999997</v>
      </c>
      <c r="AF14" s="46">
        <v>40.299999999999997</v>
      </c>
      <c r="AG14" s="50">
        <v>71</v>
      </c>
      <c r="AH14" s="48">
        <f t="shared" si="2"/>
        <v>40.799999999999997</v>
      </c>
      <c r="AI14" s="49">
        <f t="shared" si="3"/>
        <v>40.299999999999997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59.9</v>
      </c>
      <c r="C15" s="46">
        <v>55</v>
      </c>
      <c r="D15" s="46">
        <v>55</v>
      </c>
      <c r="E15" s="46">
        <v>55</v>
      </c>
      <c r="F15" s="46">
        <v>56</v>
      </c>
      <c r="G15" s="46">
        <v>50.9</v>
      </c>
      <c r="H15" s="46">
        <v>50.9</v>
      </c>
      <c r="I15" s="46">
        <v>50.9</v>
      </c>
      <c r="J15" s="46">
        <v>50.9</v>
      </c>
      <c r="K15" s="46">
        <v>50.9</v>
      </c>
      <c r="L15" s="46">
        <v>50.9</v>
      </c>
      <c r="M15" s="46">
        <v>50.9</v>
      </c>
      <c r="N15" s="46">
        <v>50.9</v>
      </c>
      <c r="O15" s="46">
        <v>50.9</v>
      </c>
      <c r="P15" s="46">
        <v>50.9</v>
      </c>
      <c r="Q15" s="46">
        <v>36.9</v>
      </c>
      <c r="R15" s="46" t="s">
        <v>311</v>
      </c>
      <c r="S15" s="46">
        <v>36.9</v>
      </c>
      <c r="T15" s="46">
        <v>36.9</v>
      </c>
      <c r="U15" s="46">
        <v>36.9</v>
      </c>
      <c r="V15" s="46">
        <v>36.9</v>
      </c>
      <c r="W15" s="46">
        <v>36.9</v>
      </c>
      <c r="X15" s="46">
        <v>36.9</v>
      </c>
      <c r="Y15" s="46">
        <v>36.9</v>
      </c>
      <c r="Z15" s="46">
        <v>36.9</v>
      </c>
      <c r="AA15" s="46">
        <v>36.9</v>
      </c>
      <c r="AB15" s="46">
        <v>36.9</v>
      </c>
      <c r="AC15" s="46">
        <v>36.9</v>
      </c>
      <c r="AD15" s="46">
        <v>36.9</v>
      </c>
      <c r="AE15" s="46">
        <v>36.9</v>
      </c>
      <c r="AF15" s="46">
        <v>36.9</v>
      </c>
      <c r="AG15" s="50">
        <v>54</v>
      </c>
      <c r="AH15" s="48">
        <f t="shared" si="2"/>
        <v>59.9</v>
      </c>
      <c r="AI15" s="49">
        <f t="shared" si="3"/>
        <v>36.9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27.1</v>
      </c>
      <c r="F16" s="46">
        <v>27.1</v>
      </c>
      <c r="G16" s="46">
        <v>27.1</v>
      </c>
      <c r="H16" s="46">
        <v>27.1</v>
      </c>
      <c r="I16" s="46">
        <v>27.1</v>
      </c>
      <c r="J16" s="46">
        <v>27.1</v>
      </c>
      <c r="K16" s="46">
        <v>27.1</v>
      </c>
      <c r="L16" s="46">
        <v>27.1</v>
      </c>
      <c r="M16" s="46">
        <v>27.1</v>
      </c>
      <c r="N16" s="46">
        <v>27.1</v>
      </c>
      <c r="O16" s="46">
        <v>27.1</v>
      </c>
      <c r="P16" s="46">
        <v>27.1</v>
      </c>
      <c r="Q16" s="46">
        <v>27.1</v>
      </c>
      <c r="R16" s="46" t="s">
        <v>305</v>
      </c>
      <c r="S16" s="46">
        <v>27</v>
      </c>
      <c r="T16" s="46">
        <v>27</v>
      </c>
      <c r="U16" s="46">
        <v>27</v>
      </c>
      <c r="V16" s="46">
        <v>27</v>
      </c>
      <c r="W16" s="46">
        <v>27</v>
      </c>
      <c r="X16" s="46">
        <v>27</v>
      </c>
      <c r="Y16" s="46">
        <v>27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</v>
      </c>
      <c r="AF16" s="46">
        <v>27</v>
      </c>
      <c r="AG16" s="50">
        <v>54</v>
      </c>
      <c r="AH16" s="48">
        <f t="shared" si="2"/>
        <v>27.1</v>
      </c>
      <c r="AI16" s="49">
        <f t="shared" si="3"/>
        <v>27</v>
      </c>
      <c r="AK16" s="51"/>
      <c r="AL16" s="54" t="s">
        <v>7</v>
      </c>
      <c r="AM16" s="59">
        <f t="shared" ref="AM16:AR16" si="4">B61</f>
        <v>1113.9000000000001</v>
      </c>
      <c r="AN16" s="59">
        <f t="shared" si="4"/>
        <v>1099.5999999999999</v>
      </c>
      <c r="AO16" s="59">
        <f t="shared" si="4"/>
        <v>1108.3000000000002</v>
      </c>
      <c r="AP16" s="59">
        <f t="shared" si="4"/>
        <v>1109.5999999999999</v>
      </c>
      <c r="AQ16" s="59">
        <f t="shared" si="4"/>
        <v>1082.6000000000001</v>
      </c>
      <c r="AR16" s="59">
        <f t="shared" si="4"/>
        <v>1115.0999999999999</v>
      </c>
      <c r="AS16" s="59">
        <f>I61</f>
        <v>1118.5</v>
      </c>
      <c r="AT16" s="59">
        <f>K61</f>
        <v>1119.5</v>
      </c>
      <c r="AU16" s="59">
        <f t="shared" ref="AU16:BD16" si="5">M61</f>
        <v>1122.3000000000002</v>
      </c>
      <c r="AV16" s="59">
        <f t="shared" si="5"/>
        <v>1113</v>
      </c>
      <c r="AW16" s="59">
        <f t="shared" si="5"/>
        <v>1113</v>
      </c>
      <c r="AX16" s="59">
        <f t="shared" si="5"/>
        <v>1113</v>
      </c>
      <c r="AY16" s="59">
        <f t="shared" si="5"/>
        <v>1017</v>
      </c>
      <c r="AZ16" s="59">
        <f t="shared" si="5"/>
        <v>0</v>
      </c>
      <c r="BA16" s="59">
        <f t="shared" si="5"/>
        <v>955.53800000000012</v>
      </c>
      <c r="BB16" s="59">
        <f t="shared" si="5"/>
        <v>955.53800000000012</v>
      </c>
      <c r="BC16" s="59">
        <f t="shared" si="5"/>
        <v>955.53800000000012</v>
      </c>
      <c r="BD16" s="59">
        <f t="shared" si="5"/>
        <v>985.53800000000001</v>
      </c>
      <c r="BE16" s="60">
        <f>X61</f>
        <v>953.13800000000015</v>
      </c>
      <c r="BF16" s="60">
        <f>Z61</f>
        <v>994.83800000000008</v>
      </c>
      <c r="BG16" s="60">
        <f>AB61</f>
        <v>990.83800000000008</v>
      </c>
      <c r="BH16" s="60">
        <f>AD61</f>
        <v>1029.3380000000002</v>
      </c>
      <c r="BI16" s="60">
        <f>AE61</f>
        <v>1029.3380000000002</v>
      </c>
      <c r="BJ16" s="60">
        <f>AF61</f>
        <v>1043.3380000000002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</v>
      </c>
      <c r="C17" s="46">
        <v>55.4</v>
      </c>
      <c r="D17" s="46">
        <v>55.3</v>
      </c>
      <c r="E17" s="46">
        <v>55.3</v>
      </c>
      <c r="F17" s="46">
        <v>55.3</v>
      </c>
      <c r="G17" s="46">
        <v>55.3</v>
      </c>
      <c r="H17" s="46">
        <v>55.3</v>
      </c>
      <c r="I17" s="46">
        <v>55.3</v>
      </c>
      <c r="J17" s="46">
        <v>55.3</v>
      </c>
      <c r="K17" s="46">
        <v>55.3</v>
      </c>
      <c r="L17" s="46">
        <v>55.3</v>
      </c>
      <c r="M17" s="46">
        <v>55.3</v>
      </c>
      <c r="N17" s="46">
        <v>55.3</v>
      </c>
      <c r="O17" s="46">
        <v>55.3</v>
      </c>
      <c r="P17" s="46">
        <v>55.3</v>
      </c>
      <c r="Q17" s="46">
        <v>55.7</v>
      </c>
      <c r="R17" s="46"/>
      <c r="S17" s="46">
        <v>55.7</v>
      </c>
      <c r="T17" s="46">
        <v>55.7</v>
      </c>
      <c r="U17" s="46">
        <v>55.7</v>
      </c>
      <c r="V17" s="46">
        <v>55.7</v>
      </c>
      <c r="W17" s="46">
        <v>55.7</v>
      </c>
      <c r="X17" s="46">
        <v>55.7</v>
      </c>
      <c r="Y17" s="46">
        <v>55.7</v>
      </c>
      <c r="Z17" s="46">
        <v>55.7</v>
      </c>
      <c r="AA17" s="46">
        <v>55.7</v>
      </c>
      <c r="AB17" s="46">
        <v>55.7</v>
      </c>
      <c r="AC17" s="46">
        <v>55.7</v>
      </c>
      <c r="AD17" s="46">
        <v>55.7</v>
      </c>
      <c r="AE17" s="46">
        <v>55.7</v>
      </c>
      <c r="AF17" s="46">
        <v>55.7</v>
      </c>
      <c r="AG17" s="47">
        <v>52.4</v>
      </c>
      <c r="AH17" s="48">
        <f t="shared" si="2"/>
        <v>55.7</v>
      </c>
      <c r="AI17" s="49">
        <f t="shared" si="3"/>
        <v>55</v>
      </c>
      <c r="AK17" s="51"/>
      <c r="AL17" s="54" t="s">
        <v>27</v>
      </c>
      <c r="AM17" s="59">
        <f t="shared" ref="AM17:AR17" si="6">B65</f>
        <v>542.4</v>
      </c>
      <c r="AN17" s="59">
        <f t="shared" si="6"/>
        <v>542.4</v>
      </c>
      <c r="AO17" s="59">
        <f t="shared" si="6"/>
        <v>542.5</v>
      </c>
      <c r="AP17" s="59">
        <f t="shared" si="6"/>
        <v>542.5</v>
      </c>
      <c r="AQ17" s="59">
        <f t="shared" si="6"/>
        <v>462.5</v>
      </c>
      <c r="AR17" s="59">
        <f t="shared" si="6"/>
        <v>236.1</v>
      </c>
      <c r="AS17" s="59">
        <f>I65</f>
        <v>159.5</v>
      </c>
      <c r="AT17" s="59">
        <f>K65</f>
        <v>159.5</v>
      </c>
      <c r="AU17" s="59">
        <f t="shared" ref="AU17:BD17" si="7">M65</f>
        <v>236.6</v>
      </c>
      <c r="AV17" s="59">
        <f t="shared" si="7"/>
        <v>542.5</v>
      </c>
      <c r="AW17" s="59">
        <f t="shared" si="7"/>
        <v>542.5</v>
      </c>
      <c r="AX17" s="59">
        <f t="shared" si="7"/>
        <v>542.5</v>
      </c>
      <c r="AY17" s="59">
        <f t="shared" si="7"/>
        <v>542.5</v>
      </c>
      <c r="AZ17" s="59">
        <f t="shared" si="7"/>
        <v>0</v>
      </c>
      <c r="BA17" s="59">
        <f t="shared" si="7"/>
        <v>542.5</v>
      </c>
      <c r="BB17" s="59">
        <f t="shared" si="7"/>
        <v>542.5</v>
      </c>
      <c r="BC17" s="59">
        <f t="shared" si="7"/>
        <v>542.5</v>
      </c>
      <c r="BD17" s="59">
        <f t="shared" si="7"/>
        <v>542.5</v>
      </c>
      <c r="BE17" s="60">
        <f>X65</f>
        <v>542.5</v>
      </c>
      <c r="BF17" s="60">
        <f>Z65</f>
        <v>542.5</v>
      </c>
      <c r="BG17" s="60">
        <f>AB65</f>
        <v>542.5</v>
      </c>
      <c r="BH17" s="60">
        <f>AD65</f>
        <v>542.5</v>
      </c>
      <c r="BI17" s="60">
        <f>AE65</f>
        <v>542.5</v>
      </c>
      <c r="BJ17" s="60">
        <f>AF65</f>
        <v>542.5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53">
        <v>50.4</v>
      </c>
      <c r="C18" s="53">
        <v>50.4</v>
      </c>
      <c r="D18" s="53">
        <v>50.4</v>
      </c>
      <c r="E18" s="53">
        <v>50.4</v>
      </c>
      <c r="F18" s="53">
        <v>50.4</v>
      </c>
      <c r="G18" s="53">
        <v>50.4</v>
      </c>
      <c r="H18" s="53">
        <v>50.4</v>
      </c>
      <c r="I18" s="53">
        <v>50.4</v>
      </c>
      <c r="J18" s="53">
        <v>50.4</v>
      </c>
      <c r="K18" s="53">
        <v>50.4</v>
      </c>
      <c r="L18" s="53">
        <v>50.4</v>
      </c>
      <c r="M18" s="53">
        <v>50.4</v>
      </c>
      <c r="N18" s="53">
        <v>50.4</v>
      </c>
      <c r="O18" s="53">
        <v>50.4</v>
      </c>
      <c r="P18" s="53">
        <v>50.4</v>
      </c>
      <c r="Q18" s="46">
        <v>50.4</v>
      </c>
      <c r="R18" s="46" t="s">
        <v>307</v>
      </c>
      <c r="S18" s="46">
        <v>50.3</v>
      </c>
      <c r="T18" s="46">
        <v>50.3</v>
      </c>
      <c r="U18" s="46">
        <v>50.3</v>
      </c>
      <c r="V18" s="46">
        <v>50.3</v>
      </c>
      <c r="W18" s="46">
        <v>50.3</v>
      </c>
      <c r="X18" s="46">
        <v>50.3</v>
      </c>
      <c r="Y18" s="46">
        <v>50.3</v>
      </c>
      <c r="Z18" s="46">
        <v>50.3</v>
      </c>
      <c r="AA18" s="46">
        <v>50.3</v>
      </c>
      <c r="AB18" s="46">
        <v>50.3</v>
      </c>
      <c r="AC18" s="46">
        <v>50.3</v>
      </c>
      <c r="AD18" s="46">
        <v>50.3</v>
      </c>
      <c r="AE18" s="46">
        <v>50.3</v>
      </c>
      <c r="AF18" s="46">
        <v>50.3</v>
      </c>
      <c r="AG18" s="50">
        <v>50</v>
      </c>
      <c r="AH18" s="48">
        <f t="shared" si="2"/>
        <v>50.4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396.64</v>
      </c>
      <c r="AN18" s="59">
        <f t="shared" si="8"/>
        <v>398.04</v>
      </c>
      <c r="AO18" s="59">
        <f t="shared" si="8"/>
        <v>394.74</v>
      </c>
      <c r="AP18" s="59">
        <f t="shared" si="8"/>
        <v>250.44000000000003</v>
      </c>
      <c r="AQ18" s="59">
        <f t="shared" si="8"/>
        <v>382.44</v>
      </c>
      <c r="AR18" s="59">
        <f t="shared" si="8"/>
        <v>390.44</v>
      </c>
      <c r="AS18" s="59">
        <f>I79</f>
        <v>390.44</v>
      </c>
      <c r="AT18" s="59">
        <f>K79</f>
        <v>397.04</v>
      </c>
      <c r="AU18" s="59">
        <f t="shared" ref="AU18:BD18" si="9">M79</f>
        <v>400.44</v>
      </c>
      <c r="AV18" s="59">
        <f t="shared" si="9"/>
        <v>381.04</v>
      </c>
      <c r="AW18" s="59">
        <f t="shared" si="9"/>
        <v>381.04</v>
      </c>
      <c r="AX18" s="59">
        <f t="shared" si="9"/>
        <v>392.44</v>
      </c>
      <c r="AY18" s="59">
        <f t="shared" si="9"/>
        <v>395.84</v>
      </c>
      <c r="AZ18" s="59">
        <f t="shared" si="9"/>
        <v>3.54</v>
      </c>
      <c r="BA18" s="59">
        <f t="shared" si="9"/>
        <v>395.54</v>
      </c>
      <c r="BB18" s="59">
        <f t="shared" si="9"/>
        <v>395.54</v>
      </c>
      <c r="BC18" s="59">
        <f t="shared" si="9"/>
        <v>395.54</v>
      </c>
      <c r="BD18" s="59">
        <f t="shared" si="9"/>
        <v>395.54</v>
      </c>
      <c r="BE18" s="60">
        <f>X79</f>
        <v>395.54</v>
      </c>
      <c r="BF18" s="60">
        <f>Z79</f>
        <v>387.7</v>
      </c>
      <c r="BG18" s="60">
        <f>AB79</f>
        <v>395.14</v>
      </c>
      <c r="BH18" s="60">
        <f>AD79</f>
        <v>395.14</v>
      </c>
      <c r="BI18" s="60">
        <f>AE79</f>
        <v>385.54</v>
      </c>
      <c r="BJ18" s="60">
        <f>AF79</f>
        <v>385.54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 t="s">
        <v>313</v>
      </c>
      <c r="S19" s="46">
        <v>44.5</v>
      </c>
      <c r="T19" s="46">
        <v>44.5</v>
      </c>
      <c r="U19" s="46">
        <v>44.5</v>
      </c>
      <c r="V19" s="46">
        <v>44.5</v>
      </c>
      <c r="W19" s="46">
        <v>44.5</v>
      </c>
      <c r="X19" s="46">
        <v>44.5</v>
      </c>
      <c r="Y19" s="46">
        <v>44.5</v>
      </c>
      <c r="Z19" s="46">
        <v>44.5</v>
      </c>
      <c r="AA19" s="46">
        <v>44.5</v>
      </c>
      <c r="AB19" s="46">
        <v>44.5</v>
      </c>
      <c r="AC19" s="46">
        <v>44.5</v>
      </c>
      <c r="AD19" s="46">
        <v>44.5</v>
      </c>
      <c r="AE19" s="46">
        <v>44.5</v>
      </c>
      <c r="AF19" s="46">
        <v>44.5</v>
      </c>
      <c r="AG19" s="50">
        <v>45</v>
      </c>
      <c r="AH19" s="48">
        <f t="shared" si="2"/>
        <v>45</v>
      </c>
      <c r="AI19" s="49">
        <f t="shared" si="3"/>
        <v>44.5</v>
      </c>
      <c r="AK19" s="51"/>
      <c r="AL19" s="54" t="s">
        <v>31</v>
      </c>
      <c r="AM19" s="59">
        <f t="shared" ref="AM19:AR19" si="10">B95</f>
        <v>48.2</v>
      </c>
      <c r="AN19" s="59">
        <f t="shared" si="10"/>
        <v>48.9</v>
      </c>
      <c r="AO19" s="59">
        <f t="shared" si="10"/>
        <v>51.9</v>
      </c>
      <c r="AP19" s="59">
        <f t="shared" si="10"/>
        <v>52</v>
      </c>
      <c r="AQ19" s="59">
        <f t="shared" si="10"/>
        <v>50</v>
      </c>
      <c r="AR19" s="59">
        <f t="shared" si="10"/>
        <v>51</v>
      </c>
      <c r="AS19" s="59">
        <f>I95</f>
        <v>51</v>
      </c>
      <c r="AT19" s="59">
        <f>K95</f>
        <v>74</v>
      </c>
      <c r="AU19" s="59">
        <f t="shared" ref="AU19:BD19" si="11">M95</f>
        <v>78.5</v>
      </c>
      <c r="AV19" s="59">
        <f t="shared" si="11"/>
        <v>112.6</v>
      </c>
      <c r="AW19" s="59">
        <f t="shared" si="11"/>
        <v>106.9</v>
      </c>
      <c r="AX19" s="59">
        <f t="shared" si="11"/>
        <v>120.5</v>
      </c>
      <c r="AY19" s="59">
        <f t="shared" si="11"/>
        <v>118.9</v>
      </c>
      <c r="AZ19" s="59">
        <f t="shared" si="11"/>
        <v>0</v>
      </c>
      <c r="BA19" s="59">
        <f t="shared" si="11"/>
        <v>122.64400000000001</v>
      </c>
      <c r="BB19" s="59">
        <f t="shared" si="11"/>
        <v>122.7</v>
      </c>
      <c r="BC19" s="59">
        <f t="shared" si="11"/>
        <v>122.7</v>
      </c>
      <c r="BD19" s="59">
        <f t="shared" si="11"/>
        <v>121</v>
      </c>
      <c r="BE19" s="60">
        <f>X95</f>
        <v>91.9</v>
      </c>
      <c r="BF19" s="60">
        <f>Z95</f>
        <v>60</v>
      </c>
      <c r="BG19" s="60">
        <f>AB95</f>
        <v>73.400000000000006</v>
      </c>
      <c r="BH19" s="60">
        <f>AD95</f>
        <v>69.599999999999994</v>
      </c>
      <c r="BI19" s="60">
        <f>AE95</f>
        <v>87</v>
      </c>
      <c r="BJ19" s="60">
        <f>AF95</f>
        <v>498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40</v>
      </c>
      <c r="I20" s="46">
        <v>40</v>
      </c>
      <c r="J20" s="46">
        <v>40</v>
      </c>
      <c r="K20" s="46">
        <v>40</v>
      </c>
      <c r="L20" s="46">
        <v>40</v>
      </c>
      <c r="M20" s="46">
        <v>40</v>
      </c>
      <c r="N20" s="46">
        <v>40</v>
      </c>
      <c r="O20" s="46">
        <v>40</v>
      </c>
      <c r="P20" s="46">
        <v>40</v>
      </c>
      <c r="Q20" s="46">
        <v>40</v>
      </c>
      <c r="R20" s="46" t="s">
        <v>304</v>
      </c>
      <c r="S20" s="46">
        <v>40.5</v>
      </c>
      <c r="T20" s="46">
        <v>40.5</v>
      </c>
      <c r="U20" s="46">
        <v>40.5</v>
      </c>
      <c r="V20" s="46">
        <v>40.5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16.899999999999999</v>
      </c>
      <c r="AU20" s="59">
        <f t="shared" ref="AU20:BD20" si="13">M83</f>
        <v>14.6</v>
      </c>
      <c r="AV20" s="59">
        <f t="shared" si="13"/>
        <v>26</v>
      </c>
      <c r="AW20" s="59">
        <f t="shared" si="13"/>
        <v>17.600000000000001</v>
      </c>
      <c r="AX20" s="59">
        <f t="shared" si="13"/>
        <v>31.8</v>
      </c>
      <c r="AY20" s="59">
        <f t="shared" si="13"/>
        <v>31.8</v>
      </c>
      <c r="AZ20" s="59">
        <f t="shared" si="13"/>
        <v>0</v>
      </c>
      <c r="BA20" s="59">
        <f t="shared" si="13"/>
        <v>32.6</v>
      </c>
      <c r="BB20" s="59">
        <f t="shared" si="13"/>
        <v>32.6</v>
      </c>
      <c r="BC20" s="59">
        <f t="shared" si="13"/>
        <v>32.6</v>
      </c>
      <c r="BD20" s="59">
        <f t="shared" si="13"/>
        <v>32.6</v>
      </c>
      <c r="BE20" s="60">
        <f>X83</f>
        <v>32.6</v>
      </c>
      <c r="BF20" s="60">
        <f>Z83</f>
        <v>32.6</v>
      </c>
      <c r="BG20" s="60">
        <f>AB83</f>
        <v>32.6</v>
      </c>
      <c r="BH20" s="60">
        <f>AD83</f>
        <v>32.6</v>
      </c>
      <c r="BI20" s="60">
        <f>AE83</f>
        <v>32.6</v>
      </c>
      <c r="BJ20" s="60">
        <f>AF83</f>
        <v>32.6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 t="s">
        <v>308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200</v>
      </c>
      <c r="AN21" s="59">
        <f t="shared" si="14"/>
        <v>150</v>
      </c>
      <c r="AO21" s="59">
        <f t="shared" si="14"/>
        <v>100</v>
      </c>
      <c r="AP21" s="59">
        <f t="shared" si="14"/>
        <v>100</v>
      </c>
      <c r="AQ21" s="59">
        <f t="shared" si="14"/>
        <v>100</v>
      </c>
      <c r="AR21" s="59">
        <f t="shared" si="14"/>
        <v>210</v>
      </c>
      <c r="AS21" s="59">
        <f>I101</f>
        <v>180</v>
      </c>
      <c r="AT21" s="59">
        <f>K101</f>
        <v>80</v>
      </c>
      <c r="AU21" s="59">
        <f t="shared" ref="AU21:BD21" si="15">M101</f>
        <v>250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100</v>
      </c>
      <c r="BG21" s="60">
        <f>AB101</f>
        <v>200</v>
      </c>
      <c r="BH21" s="60">
        <f>AD101</f>
        <v>200</v>
      </c>
      <c r="BI21" s="60">
        <f>AE101</f>
        <v>200</v>
      </c>
      <c r="BJ21" s="60">
        <f>AF101</f>
        <v>201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 t="s">
        <v>306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2301.14</v>
      </c>
      <c r="AN22" s="63">
        <f t="shared" si="16"/>
        <v>2238.94</v>
      </c>
      <c r="AO22" s="63">
        <f t="shared" si="16"/>
        <v>2197.44</v>
      </c>
      <c r="AP22" s="63">
        <f t="shared" si="16"/>
        <v>2054.54</v>
      </c>
      <c r="AQ22" s="63">
        <f t="shared" si="16"/>
        <v>2077.54</v>
      </c>
      <c r="AR22" s="63">
        <f t="shared" si="16"/>
        <v>2002.6399999999999</v>
      </c>
      <c r="AS22" s="63">
        <f t="shared" si="16"/>
        <v>1899.44</v>
      </c>
      <c r="AT22" s="63">
        <f t="shared" si="16"/>
        <v>1846.94</v>
      </c>
      <c r="AU22" s="63">
        <f t="shared" si="16"/>
        <v>2102.44</v>
      </c>
      <c r="AV22" s="63">
        <f t="shared" si="16"/>
        <v>2175.14</v>
      </c>
      <c r="AW22" s="63">
        <f t="shared" si="16"/>
        <v>2161.04</v>
      </c>
      <c r="AX22" s="63">
        <f t="shared" si="16"/>
        <v>2200.2400000000002</v>
      </c>
      <c r="AY22" s="63">
        <f t="shared" si="16"/>
        <v>2106.04</v>
      </c>
      <c r="AZ22" s="63">
        <f t="shared" si="16"/>
        <v>3.54</v>
      </c>
      <c r="BA22" s="63">
        <f t="shared" si="16"/>
        <v>2048.8220000000001</v>
      </c>
      <c r="BB22" s="63">
        <f t="shared" si="16"/>
        <v>2048.8780000000002</v>
      </c>
      <c r="BC22" s="63">
        <f t="shared" si="16"/>
        <v>2048.8780000000002</v>
      </c>
      <c r="BD22" s="63">
        <f t="shared" si="16"/>
        <v>2077.1779999999999</v>
      </c>
      <c r="BE22" s="63">
        <f t="shared" si="16"/>
        <v>2015.6780000000001</v>
      </c>
      <c r="BF22" s="63">
        <f t="shared" si="16"/>
        <v>2117.6379999999999</v>
      </c>
      <c r="BG22" s="63">
        <f t="shared" si="16"/>
        <v>2234.4780000000001</v>
      </c>
      <c r="BH22" s="63">
        <f t="shared" si="16"/>
        <v>2269.1779999999999</v>
      </c>
      <c r="BI22" s="63">
        <f t="shared" si="16"/>
        <v>2276.9780000000001</v>
      </c>
      <c r="BJ22" s="63">
        <f t="shared" si="16"/>
        <v>2702.9780000000001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20.6</v>
      </c>
      <c r="C23" s="46">
        <v>20.6</v>
      </c>
      <c r="D23" s="46">
        <v>20.6</v>
      </c>
      <c r="E23" s="46">
        <v>20.6</v>
      </c>
      <c r="F23" s="46">
        <v>20.6</v>
      </c>
      <c r="G23" s="46">
        <v>20.6</v>
      </c>
      <c r="H23" s="46">
        <v>20.6</v>
      </c>
      <c r="I23" s="46">
        <v>20.6</v>
      </c>
      <c r="J23" s="46">
        <v>20.6</v>
      </c>
      <c r="K23" s="46">
        <v>20.6</v>
      </c>
      <c r="L23" s="46">
        <v>20.6</v>
      </c>
      <c r="M23" s="46">
        <v>20.6</v>
      </c>
      <c r="N23" s="46">
        <v>20.6</v>
      </c>
      <c r="O23" s="46">
        <v>20.6</v>
      </c>
      <c r="P23" s="46">
        <v>20.6</v>
      </c>
      <c r="Q23" s="46">
        <v>20.6</v>
      </c>
      <c r="R23" s="46" t="s">
        <v>312</v>
      </c>
      <c r="S23" s="46">
        <v>20.65</v>
      </c>
      <c r="T23" s="46">
        <v>20.65</v>
      </c>
      <c r="U23" s="46">
        <v>20.65</v>
      </c>
      <c r="V23" s="46">
        <v>20.65</v>
      </c>
      <c r="W23" s="46">
        <v>20.65</v>
      </c>
      <c r="X23" s="46">
        <v>20.65</v>
      </c>
      <c r="Y23" s="46">
        <v>20.65</v>
      </c>
      <c r="Z23" s="46">
        <v>20.65</v>
      </c>
      <c r="AA23" s="46">
        <v>20.65</v>
      </c>
      <c r="AB23" s="46">
        <v>20.65</v>
      </c>
      <c r="AC23" s="46">
        <v>20.65</v>
      </c>
      <c r="AD23" s="46">
        <v>20.65</v>
      </c>
      <c r="AE23" s="46">
        <v>20.65</v>
      </c>
      <c r="AF23" s="46">
        <v>20.65</v>
      </c>
      <c r="AG23" s="50">
        <v>38.46</v>
      </c>
      <c r="AH23" s="48">
        <f t="shared" si="2"/>
        <v>20.65</v>
      </c>
      <c r="AI23" s="49">
        <f t="shared" si="3"/>
        <v>20.6</v>
      </c>
      <c r="AK23" s="51"/>
      <c r="AL23" s="62" t="s">
        <v>39</v>
      </c>
      <c r="AM23" s="63">
        <f t="shared" ref="AM23:AR23" si="17">B110*-1</f>
        <v>-509.5</v>
      </c>
      <c r="AN23" s="63">
        <f t="shared" si="17"/>
        <v>-530.5</v>
      </c>
      <c r="AO23" s="63">
        <f t="shared" si="17"/>
        <v>-530.6</v>
      </c>
      <c r="AP23" s="63">
        <f t="shared" si="17"/>
        <v>-527.5</v>
      </c>
      <c r="AQ23" s="63">
        <f t="shared" si="17"/>
        <v>-467</v>
      </c>
      <c r="AR23" s="63">
        <f t="shared" si="17"/>
        <v>-396</v>
      </c>
      <c r="AS23" s="63">
        <f>I110*-1</f>
        <v>-307</v>
      </c>
      <c r="AT23" s="63">
        <f>K110*-1</f>
        <v>-230</v>
      </c>
      <c r="AU23" s="63">
        <f t="shared" ref="AU23:BD23" si="18">M110*-1</f>
        <v>-332.7</v>
      </c>
      <c r="AV23" s="63">
        <f t="shared" si="18"/>
        <v>-391.4</v>
      </c>
      <c r="AW23" s="63">
        <f t="shared" si="18"/>
        <v>-318</v>
      </c>
      <c r="AX23" s="63">
        <f t="shared" si="18"/>
        <v>-295.2</v>
      </c>
      <c r="AY23" s="63">
        <f t="shared" si="18"/>
        <v>-212</v>
      </c>
      <c r="AZ23" s="63">
        <f t="shared" si="18"/>
        <v>0</v>
      </c>
      <c r="BA23" s="63">
        <f t="shared" si="18"/>
        <v>-282</v>
      </c>
      <c r="BB23" s="63">
        <f t="shared" si="18"/>
        <v>-191</v>
      </c>
      <c r="BC23" s="63">
        <f t="shared" si="18"/>
        <v>-191</v>
      </c>
      <c r="BD23" s="63">
        <f t="shared" si="18"/>
        <v>-283</v>
      </c>
      <c r="BE23" s="63">
        <f>X110*-1</f>
        <v>-273</v>
      </c>
      <c r="BF23" s="63">
        <f>Z110*-1</f>
        <v>-363</v>
      </c>
      <c r="BG23" s="63">
        <f>AB110*-1</f>
        <v>-333</v>
      </c>
      <c r="BH23" s="63">
        <f>AD110*-1</f>
        <v>-350</v>
      </c>
      <c r="BI23" s="63">
        <f>AE110*-1</f>
        <v>-430</v>
      </c>
      <c r="BJ23" s="63">
        <f>AF110*-1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23</v>
      </c>
      <c r="I24" s="46">
        <v>23</v>
      </c>
      <c r="J24" s="46">
        <v>23</v>
      </c>
      <c r="K24" s="46">
        <v>24</v>
      </c>
      <c r="L24" s="46">
        <v>24</v>
      </c>
      <c r="M24" s="46">
        <v>24</v>
      </c>
      <c r="N24" s="46">
        <v>24</v>
      </c>
      <c r="O24" s="46">
        <v>24</v>
      </c>
      <c r="P24" s="46">
        <v>24</v>
      </c>
      <c r="Q24" s="46">
        <v>24</v>
      </c>
      <c r="R24" s="46" t="s">
        <v>309</v>
      </c>
      <c r="S24" s="46">
        <v>5</v>
      </c>
      <c r="T24" s="46">
        <v>5</v>
      </c>
      <c r="U24" s="46">
        <v>5</v>
      </c>
      <c r="V24" s="46">
        <v>5</v>
      </c>
      <c r="W24" s="46">
        <v>25.7</v>
      </c>
      <c r="X24" s="46">
        <v>25.7</v>
      </c>
      <c r="Y24" s="46">
        <v>25.7</v>
      </c>
      <c r="Z24" s="46">
        <v>40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40</v>
      </c>
      <c r="AI24" s="49">
        <f t="shared" si="3"/>
        <v>5</v>
      </c>
      <c r="AK24" s="51"/>
      <c r="AL24" s="62" t="s">
        <v>41</v>
      </c>
      <c r="AM24" s="63">
        <f t="shared" ref="AM24:BJ24" si="19">AM22+AM23</f>
        <v>1791.6399999999999</v>
      </c>
      <c r="AN24" s="63">
        <f t="shared" si="19"/>
        <v>1708.44</v>
      </c>
      <c r="AO24" s="63">
        <f t="shared" si="19"/>
        <v>1666.8400000000001</v>
      </c>
      <c r="AP24" s="63">
        <f t="shared" si="19"/>
        <v>1527.04</v>
      </c>
      <c r="AQ24" s="63">
        <f t="shared" si="19"/>
        <v>1610.54</v>
      </c>
      <c r="AR24" s="63">
        <f t="shared" si="19"/>
        <v>1606.6399999999999</v>
      </c>
      <c r="AS24" s="63">
        <f t="shared" si="19"/>
        <v>1592.44</v>
      </c>
      <c r="AT24" s="63">
        <f t="shared" si="19"/>
        <v>1616.94</v>
      </c>
      <c r="AU24" s="63">
        <f t="shared" si="19"/>
        <v>1769.74</v>
      </c>
      <c r="AV24" s="63">
        <f t="shared" si="19"/>
        <v>1783.7399999999998</v>
      </c>
      <c r="AW24" s="63">
        <f t="shared" si="19"/>
        <v>1843.04</v>
      </c>
      <c r="AX24" s="63">
        <f t="shared" si="19"/>
        <v>1905.0400000000002</v>
      </c>
      <c r="AY24" s="63">
        <f t="shared" si="19"/>
        <v>1894.04</v>
      </c>
      <c r="AZ24" s="63">
        <f t="shared" si="19"/>
        <v>3.54</v>
      </c>
      <c r="BA24" s="63">
        <f t="shared" si="19"/>
        <v>1766.8220000000001</v>
      </c>
      <c r="BB24" s="63">
        <f t="shared" si="19"/>
        <v>1857.8780000000002</v>
      </c>
      <c r="BC24" s="63">
        <f t="shared" si="19"/>
        <v>1857.8780000000002</v>
      </c>
      <c r="BD24" s="63">
        <f t="shared" si="19"/>
        <v>1794.1779999999999</v>
      </c>
      <c r="BE24" s="63">
        <f t="shared" si="19"/>
        <v>1742.6780000000001</v>
      </c>
      <c r="BF24" s="63">
        <f t="shared" si="19"/>
        <v>1754.6379999999999</v>
      </c>
      <c r="BG24" s="63">
        <f t="shared" si="19"/>
        <v>1901.4780000000001</v>
      </c>
      <c r="BH24" s="63">
        <f t="shared" si="19"/>
        <v>1919.1779999999999</v>
      </c>
      <c r="BI24" s="63">
        <f t="shared" si="19"/>
        <v>1846.9780000000001</v>
      </c>
      <c r="BJ24" s="63">
        <f t="shared" si="19"/>
        <v>2702.9780000000001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26.6</v>
      </c>
      <c r="C25" s="46">
        <v>24.7</v>
      </c>
      <c r="D25" s="46">
        <v>22.7</v>
      </c>
      <c r="E25" s="46">
        <v>22.7</v>
      </c>
      <c r="F25" s="46">
        <v>21</v>
      </c>
      <c r="G25" s="46">
        <v>21</v>
      </c>
      <c r="H25" s="46">
        <v>24</v>
      </c>
      <c r="I25" s="46">
        <v>24</v>
      </c>
      <c r="J25" s="46">
        <v>24</v>
      </c>
      <c r="K25" s="46">
        <v>24</v>
      </c>
      <c r="L25" s="46">
        <v>24</v>
      </c>
      <c r="M25" s="46">
        <v>24</v>
      </c>
      <c r="N25" s="46">
        <v>24</v>
      </c>
      <c r="O25" s="46">
        <v>24</v>
      </c>
      <c r="P25" s="46">
        <v>24</v>
      </c>
      <c r="Q25" s="46">
        <v>24</v>
      </c>
      <c r="R25" s="46"/>
      <c r="S25" s="46">
        <v>25.6</v>
      </c>
      <c r="T25" s="46">
        <v>25.6</v>
      </c>
      <c r="U25" s="46">
        <v>25.6</v>
      </c>
      <c r="V25" s="46">
        <v>25.6</v>
      </c>
      <c r="W25" s="46">
        <v>25.6</v>
      </c>
      <c r="X25" s="46">
        <v>25.6</v>
      </c>
      <c r="Y25" s="46">
        <v>25.6</v>
      </c>
      <c r="Z25" s="46">
        <v>30</v>
      </c>
      <c r="AA25" s="46">
        <v>30</v>
      </c>
      <c r="AB25" s="46">
        <v>30</v>
      </c>
      <c r="AC25" s="46">
        <v>30</v>
      </c>
      <c r="AD25" s="46">
        <v>30</v>
      </c>
      <c r="AE25" s="46">
        <v>30</v>
      </c>
      <c r="AF25" s="46">
        <v>30</v>
      </c>
      <c r="AG25" s="61">
        <v>30</v>
      </c>
      <c r="AH25" s="48">
        <f t="shared" si="2"/>
        <v>30</v>
      </c>
      <c r="AI25" s="49">
        <f t="shared" si="3"/>
        <v>21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>
        <v>33</v>
      </c>
      <c r="D26" s="46">
        <v>33</v>
      </c>
      <c r="E26" s="46">
        <v>33</v>
      </c>
      <c r="F26" s="46">
        <v>33</v>
      </c>
      <c r="G26" s="46">
        <v>33</v>
      </c>
      <c r="H26" s="46">
        <v>33</v>
      </c>
      <c r="I26" s="46">
        <v>33</v>
      </c>
      <c r="J26" s="46">
        <v>33</v>
      </c>
      <c r="K26" s="46">
        <v>33</v>
      </c>
      <c r="L26" s="46">
        <v>33</v>
      </c>
      <c r="M26" s="46">
        <v>33</v>
      </c>
      <c r="N26" s="46">
        <v>33</v>
      </c>
      <c r="O26" s="46">
        <v>33</v>
      </c>
      <c r="P26" s="46">
        <v>33</v>
      </c>
      <c r="Q26" s="46">
        <v>33</v>
      </c>
      <c r="R26" s="46"/>
      <c r="S26" s="46">
        <v>20.9</v>
      </c>
      <c r="T26" s="46">
        <v>20.9</v>
      </c>
      <c r="U26" s="46">
        <v>20.9</v>
      </c>
      <c r="V26" s="46">
        <v>20.9</v>
      </c>
      <c r="W26" s="46">
        <v>20.9</v>
      </c>
      <c r="X26" s="46">
        <v>20.9</v>
      </c>
      <c r="Y26" s="46">
        <v>20.9</v>
      </c>
      <c r="Z26" s="46">
        <v>20.9</v>
      </c>
      <c r="AA26" s="46">
        <v>20.9</v>
      </c>
      <c r="AB26" s="46">
        <v>20.9</v>
      </c>
      <c r="AC26" s="46">
        <v>20.9</v>
      </c>
      <c r="AD26" s="46">
        <v>20.9</v>
      </c>
      <c r="AE26" s="46">
        <v>20.9</v>
      </c>
      <c r="AF26" s="46">
        <v>20.9</v>
      </c>
      <c r="AG26" s="50">
        <v>24.2</v>
      </c>
      <c r="AH26" s="48">
        <f t="shared" si="2"/>
        <v>33</v>
      </c>
      <c r="AI26" s="49">
        <f t="shared" si="3"/>
        <v>20.9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28.5</v>
      </c>
      <c r="C27" s="46">
        <v>28.5</v>
      </c>
      <c r="D27" s="46">
        <v>28.5</v>
      </c>
      <c r="E27" s="46">
        <v>28.5</v>
      </c>
      <c r="F27" s="46">
        <v>28.5</v>
      </c>
      <c r="G27" s="46">
        <v>28.5</v>
      </c>
      <c r="H27" s="46">
        <v>28.5</v>
      </c>
      <c r="I27" s="46">
        <v>28.5</v>
      </c>
      <c r="J27" s="46">
        <v>28.5</v>
      </c>
      <c r="K27" s="46">
        <v>28.5</v>
      </c>
      <c r="L27" s="46">
        <v>28.5</v>
      </c>
      <c r="M27" s="46">
        <v>28.5</v>
      </c>
      <c r="N27" s="46">
        <v>28.5</v>
      </c>
      <c r="O27" s="46">
        <v>28.5</v>
      </c>
      <c r="P27" s="46">
        <v>28.5</v>
      </c>
      <c r="Q27" s="46">
        <v>28.5</v>
      </c>
      <c r="R27" s="46"/>
      <c r="S27" s="46" t="s">
        <v>314</v>
      </c>
      <c r="T27" s="46" t="s">
        <v>314</v>
      </c>
      <c r="U27" s="46" t="s">
        <v>314</v>
      </c>
      <c r="V27" s="46" t="s">
        <v>314</v>
      </c>
      <c r="W27" s="46" t="s">
        <v>314</v>
      </c>
      <c r="X27" s="46" t="s">
        <v>314</v>
      </c>
      <c r="Y27" s="46" t="s">
        <v>314</v>
      </c>
      <c r="Z27" s="46" t="s">
        <v>314</v>
      </c>
      <c r="AA27" s="46" t="s">
        <v>314</v>
      </c>
      <c r="AB27" s="46" t="s">
        <v>314</v>
      </c>
      <c r="AC27" s="46" t="s">
        <v>314</v>
      </c>
      <c r="AD27" s="46" t="s">
        <v>314</v>
      </c>
      <c r="AE27" s="46" t="s">
        <v>314</v>
      </c>
      <c r="AF27" s="46" t="s">
        <v>314</v>
      </c>
      <c r="AG27" s="50">
        <v>28</v>
      </c>
      <c r="AH27" s="48">
        <f t="shared" si="2"/>
        <v>28.5</v>
      </c>
      <c r="AI27" s="49">
        <f t="shared" si="3"/>
        <v>28.5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26.3</v>
      </c>
      <c r="C28" s="46">
        <v>26.3</v>
      </c>
      <c r="D28" s="46">
        <v>26.3</v>
      </c>
      <c r="E28" s="46">
        <v>26.3</v>
      </c>
      <c r="F28" s="46">
        <v>19.8</v>
      </c>
      <c r="G28" s="46">
        <v>19.8</v>
      </c>
      <c r="H28" s="46">
        <v>26.6</v>
      </c>
      <c r="I28" s="46">
        <v>26.6</v>
      </c>
      <c r="J28" s="46">
        <v>26.6</v>
      </c>
      <c r="K28" s="46">
        <v>26.6</v>
      </c>
      <c r="L28" s="46">
        <v>26.6</v>
      </c>
      <c r="M28" s="46">
        <v>26.6</v>
      </c>
      <c r="N28" s="46">
        <v>26.6</v>
      </c>
      <c r="O28" s="46">
        <v>26.6</v>
      </c>
      <c r="P28" s="46">
        <v>26.6</v>
      </c>
      <c r="Q28" s="46">
        <v>26.6</v>
      </c>
      <c r="R28" s="46"/>
      <c r="S28" s="46">
        <v>19</v>
      </c>
      <c r="T28" s="46">
        <v>19</v>
      </c>
      <c r="U28" s="46">
        <v>19</v>
      </c>
      <c r="V28" s="46">
        <v>19</v>
      </c>
      <c r="W28" s="46">
        <v>17</v>
      </c>
      <c r="X28" s="46">
        <v>17</v>
      </c>
      <c r="Y28" s="46">
        <v>17</v>
      </c>
      <c r="Z28" s="46">
        <v>17</v>
      </c>
      <c r="AA28" s="46">
        <v>17</v>
      </c>
      <c r="AB28" s="46">
        <v>17</v>
      </c>
      <c r="AC28" s="46">
        <v>17</v>
      </c>
      <c r="AD28" s="46">
        <v>17</v>
      </c>
      <c r="AE28" s="46">
        <v>17</v>
      </c>
      <c r="AF28" s="46">
        <v>17</v>
      </c>
      <c r="AG28" s="61">
        <v>30</v>
      </c>
      <c r="AH28" s="48">
        <f t="shared" si="2"/>
        <v>26.6</v>
      </c>
      <c r="AI28" s="49">
        <f t="shared" si="3"/>
        <v>17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/>
      <c r="S29" s="46">
        <v>25</v>
      </c>
      <c r="T29" s="46">
        <v>25</v>
      </c>
      <c r="U29" s="46">
        <v>25</v>
      </c>
      <c r="V29" s="46">
        <v>25</v>
      </c>
      <c r="W29" s="46">
        <v>15.9</v>
      </c>
      <c r="X29" s="46">
        <v>15.9</v>
      </c>
      <c r="Y29" s="46">
        <v>15.9</v>
      </c>
      <c r="Z29" s="46">
        <v>15.9</v>
      </c>
      <c r="AA29" s="46">
        <v>15.9</v>
      </c>
      <c r="AB29" s="46">
        <v>15.9</v>
      </c>
      <c r="AC29" s="46">
        <v>15.9</v>
      </c>
      <c r="AD29" s="46">
        <v>15.9</v>
      </c>
      <c r="AE29" s="46">
        <v>15.9</v>
      </c>
      <c r="AF29" s="46">
        <v>15.9</v>
      </c>
      <c r="AG29" s="50">
        <v>25</v>
      </c>
      <c r="AH29" s="48">
        <f t="shared" si="2"/>
        <v>25</v>
      </c>
      <c r="AI29" s="49">
        <f t="shared" si="3"/>
        <v>15.9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/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15</v>
      </c>
      <c r="C31" s="46">
        <v>15</v>
      </c>
      <c r="D31" s="46">
        <v>15</v>
      </c>
      <c r="E31" s="46">
        <v>15</v>
      </c>
      <c r="F31" s="46">
        <v>15</v>
      </c>
      <c r="G31" s="46">
        <v>15</v>
      </c>
      <c r="H31" s="46">
        <v>15</v>
      </c>
      <c r="I31" s="46">
        <v>15</v>
      </c>
      <c r="J31" s="46">
        <v>15</v>
      </c>
      <c r="K31" s="46">
        <v>15</v>
      </c>
      <c r="L31" s="46">
        <v>15</v>
      </c>
      <c r="M31" s="46">
        <v>15</v>
      </c>
      <c r="N31" s="46">
        <v>15</v>
      </c>
      <c r="O31" s="46">
        <v>15</v>
      </c>
      <c r="P31" s="46">
        <v>15</v>
      </c>
      <c r="Q31" s="46">
        <v>15</v>
      </c>
      <c r="R31" s="46"/>
      <c r="S31" s="46">
        <v>15</v>
      </c>
      <c r="T31" s="46">
        <v>15</v>
      </c>
      <c r="U31" s="46">
        <v>15</v>
      </c>
      <c r="V31" s="46">
        <v>15</v>
      </c>
      <c r="W31" s="46">
        <v>15</v>
      </c>
      <c r="X31" s="46">
        <v>15</v>
      </c>
      <c r="Y31" s="46">
        <v>15</v>
      </c>
      <c r="Z31" s="46">
        <v>15</v>
      </c>
      <c r="AA31" s="46">
        <v>15</v>
      </c>
      <c r="AB31" s="46">
        <v>15</v>
      </c>
      <c r="AC31" s="46">
        <v>15</v>
      </c>
      <c r="AD31" s="46">
        <v>15</v>
      </c>
      <c r="AE31" s="46">
        <v>15</v>
      </c>
      <c r="AF31" s="46">
        <v>15</v>
      </c>
      <c r="AG31" s="50">
        <v>25</v>
      </c>
      <c r="AH31" s="48">
        <f t="shared" si="2"/>
        <v>15</v>
      </c>
      <c r="AI31" s="49">
        <f t="shared" si="3"/>
        <v>15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</v>
      </c>
      <c r="C32" s="46">
        <v>25.9</v>
      </c>
      <c r="D32" s="46">
        <v>25.9</v>
      </c>
      <c r="E32" s="46">
        <v>25.9</v>
      </c>
      <c r="F32" s="46">
        <v>18.2</v>
      </c>
      <c r="G32" s="46">
        <v>18.2</v>
      </c>
      <c r="H32" s="46">
        <v>25</v>
      </c>
      <c r="I32" s="46">
        <v>25</v>
      </c>
      <c r="J32" s="46">
        <v>25</v>
      </c>
      <c r="K32" s="46">
        <v>25</v>
      </c>
      <c r="L32" s="46">
        <v>25</v>
      </c>
      <c r="M32" s="46">
        <v>25</v>
      </c>
      <c r="N32" s="46">
        <v>25</v>
      </c>
      <c r="O32" s="46">
        <v>25</v>
      </c>
      <c r="P32" s="46">
        <v>25</v>
      </c>
      <c r="Q32" s="46">
        <v>25</v>
      </c>
      <c r="R32" s="46"/>
      <c r="S32" s="46">
        <v>25.6</v>
      </c>
      <c r="T32" s="46">
        <v>25.6</v>
      </c>
      <c r="U32" s="46">
        <v>25.6</v>
      </c>
      <c r="V32" s="46">
        <v>25.6</v>
      </c>
      <c r="W32" s="46">
        <v>25.6</v>
      </c>
      <c r="X32" s="46">
        <v>25.6</v>
      </c>
      <c r="Y32" s="46">
        <v>25.6</v>
      </c>
      <c r="Z32" s="46">
        <v>25.6</v>
      </c>
      <c r="AA32" s="46">
        <v>25.6</v>
      </c>
      <c r="AB32" s="46">
        <v>25.6</v>
      </c>
      <c r="AC32" s="46">
        <v>25.6</v>
      </c>
      <c r="AD32" s="46">
        <v>25.6</v>
      </c>
      <c r="AE32" s="46">
        <v>25.6</v>
      </c>
      <c r="AF32" s="46">
        <v>25.6</v>
      </c>
      <c r="AG32" s="50">
        <v>25</v>
      </c>
      <c r="AH32" s="48">
        <f t="shared" si="2"/>
        <v>25.9</v>
      </c>
      <c r="AI32" s="49">
        <f t="shared" si="3"/>
        <v>18.2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24.5</v>
      </c>
      <c r="C33" s="46">
        <v>24.5</v>
      </c>
      <c r="D33" s="46">
        <v>24.5</v>
      </c>
      <c r="E33" s="46">
        <v>24.5</v>
      </c>
      <c r="F33" s="46">
        <v>24.5</v>
      </c>
      <c r="G33" s="46">
        <v>24.5</v>
      </c>
      <c r="H33" s="46">
        <v>24.5</v>
      </c>
      <c r="I33" s="46">
        <v>24.5</v>
      </c>
      <c r="J33" s="46">
        <v>24.5</v>
      </c>
      <c r="K33" s="46">
        <v>24.5</v>
      </c>
      <c r="L33" s="46">
        <v>24.5</v>
      </c>
      <c r="M33" s="46">
        <v>24.5</v>
      </c>
      <c r="N33" s="46">
        <v>24.5</v>
      </c>
      <c r="O33" s="46">
        <v>24.5</v>
      </c>
      <c r="P33" s="46">
        <v>24.5</v>
      </c>
      <c r="Q33" s="46">
        <v>24.5</v>
      </c>
      <c r="R33" s="46"/>
      <c r="S33" s="46">
        <v>24.788</v>
      </c>
      <c r="T33" s="46">
        <v>24.788</v>
      </c>
      <c r="U33" s="46">
        <v>24.788</v>
      </c>
      <c r="V33" s="46">
        <v>24.788</v>
      </c>
      <c r="W33" s="46">
        <v>24.788</v>
      </c>
      <c r="X33" s="46">
        <v>24.788</v>
      </c>
      <c r="Y33" s="46">
        <v>24.788</v>
      </c>
      <c r="Z33" s="46">
        <v>24.788</v>
      </c>
      <c r="AA33" s="46">
        <v>24.788</v>
      </c>
      <c r="AB33" s="46">
        <v>24.788</v>
      </c>
      <c r="AC33" s="46">
        <v>24.788</v>
      </c>
      <c r="AD33" s="46">
        <v>24.788</v>
      </c>
      <c r="AE33" s="46">
        <v>24.788</v>
      </c>
      <c r="AF33" s="46">
        <v>24.788</v>
      </c>
      <c r="AG33" s="50">
        <v>23.5</v>
      </c>
      <c r="AH33" s="48">
        <f t="shared" si="2"/>
        <v>24.788</v>
      </c>
      <c r="AI33" s="49">
        <f t="shared" si="3"/>
        <v>24.5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/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/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/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11.6</v>
      </c>
      <c r="C37" s="46">
        <v>11.5</v>
      </c>
      <c r="D37" s="46">
        <v>11</v>
      </c>
      <c r="E37" s="46">
        <v>11</v>
      </c>
      <c r="F37" s="46">
        <v>11</v>
      </c>
      <c r="G37" s="46">
        <v>11</v>
      </c>
      <c r="H37" s="46">
        <v>11</v>
      </c>
      <c r="I37" s="46">
        <v>11</v>
      </c>
      <c r="J37" s="46">
        <v>11</v>
      </c>
      <c r="K37" s="46">
        <v>11</v>
      </c>
      <c r="L37" s="46">
        <v>11</v>
      </c>
      <c r="M37" s="46">
        <v>11</v>
      </c>
      <c r="N37" s="46">
        <v>11</v>
      </c>
      <c r="O37" s="46">
        <v>11</v>
      </c>
      <c r="P37" s="46">
        <v>11</v>
      </c>
      <c r="Q37" s="46">
        <v>11</v>
      </c>
      <c r="R37" s="46"/>
      <c r="S37" s="46">
        <v>13.2</v>
      </c>
      <c r="T37" s="46">
        <v>13.2</v>
      </c>
      <c r="U37" s="46">
        <v>13.2</v>
      </c>
      <c r="V37" s="46">
        <v>13.2</v>
      </c>
      <c r="W37" s="46">
        <v>13.2</v>
      </c>
      <c r="X37" s="46">
        <v>13.2</v>
      </c>
      <c r="Y37" s="46">
        <v>13.2</v>
      </c>
      <c r="Z37" s="46">
        <v>13.2</v>
      </c>
      <c r="AA37" s="46">
        <v>13.2</v>
      </c>
      <c r="AB37" s="46">
        <v>13.2</v>
      </c>
      <c r="AC37" s="46">
        <v>13.2</v>
      </c>
      <c r="AD37" s="46">
        <v>13.2</v>
      </c>
      <c r="AE37" s="46">
        <v>13.2</v>
      </c>
      <c r="AF37" s="46">
        <v>13.2</v>
      </c>
      <c r="AG37" s="50">
        <v>22</v>
      </c>
      <c r="AH37" s="48">
        <f t="shared" si="2"/>
        <v>13.2</v>
      </c>
      <c r="AI37" s="49">
        <f t="shared" si="3"/>
        <v>11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</v>
      </c>
      <c r="C38" s="46">
        <v>20.399999999999999</v>
      </c>
      <c r="D38" s="46">
        <v>20.399999999999999</v>
      </c>
      <c r="E38" s="46">
        <v>20.399999999999999</v>
      </c>
      <c r="F38" s="46">
        <v>20.399999999999999</v>
      </c>
      <c r="G38" s="46">
        <v>20.399999999999999</v>
      </c>
      <c r="H38" s="46">
        <v>20.399999999999999</v>
      </c>
      <c r="I38" s="46">
        <v>20.399999999999999</v>
      </c>
      <c r="J38" s="46">
        <v>20.399999999999999</v>
      </c>
      <c r="K38" s="46">
        <v>20.399999999999999</v>
      </c>
      <c r="L38" s="46">
        <v>20.399999999999999</v>
      </c>
      <c r="M38" s="46">
        <v>20.399999999999999</v>
      </c>
      <c r="N38" s="46">
        <v>20.399999999999999</v>
      </c>
      <c r="O38" s="46">
        <v>20.399999999999999</v>
      </c>
      <c r="P38" s="46">
        <v>20.399999999999999</v>
      </c>
      <c r="Q38" s="46">
        <v>20.399999999999999</v>
      </c>
      <c r="R38" s="46"/>
      <c r="S38" s="46">
        <v>20.399999999999999</v>
      </c>
      <c r="T38" s="46">
        <v>20.399999999999999</v>
      </c>
      <c r="U38" s="46">
        <v>20.399999999999999</v>
      </c>
      <c r="V38" s="46">
        <v>20.399999999999999</v>
      </c>
      <c r="W38" s="46">
        <v>20.399999999999999</v>
      </c>
      <c r="X38" s="46">
        <v>20.399999999999999</v>
      </c>
      <c r="Y38" s="46">
        <v>20.399999999999999</v>
      </c>
      <c r="Z38" s="46">
        <v>20.399999999999999</v>
      </c>
      <c r="AA38" s="46">
        <v>20.399999999999999</v>
      </c>
      <c r="AB38" s="46">
        <v>20.399999999999999</v>
      </c>
      <c r="AC38" s="46">
        <v>20.399999999999999</v>
      </c>
      <c r="AD38" s="46">
        <v>20.399999999999999</v>
      </c>
      <c r="AE38" s="46">
        <v>20.399999999999999</v>
      </c>
      <c r="AF38" s="46">
        <v>20.399999999999999</v>
      </c>
      <c r="AG38" s="50">
        <v>20</v>
      </c>
      <c r="AH38" s="48">
        <f t="shared" si="2"/>
        <v>20.399999999999999</v>
      </c>
      <c r="AI38" s="49">
        <f t="shared" si="3"/>
        <v>20.3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/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14.1</v>
      </c>
      <c r="C40" s="46">
        <v>14.2</v>
      </c>
      <c r="D40" s="46">
        <v>14.2</v>
      </c>
      <c r="E40" s="46">
        <v>14.2</v>
      </c>
      <c r="F40" s="46">
        <v>14.2</v>
      </c>
      <c r="G40" s="46">
        <v>14.2</v>
      </c>
      <c r="H40" s="46">
        <v>14.2</v>
      </c>
      <c r="I40" s="46">
        <v>14.2</v>
      </c>
      <c r="J40" s="46">
        <v>14.2</v>
      </c>
      <c r="K40" s="46">
        <v>14.2</v>
      </c>
      <c r="L40" s="46">
        <v>14.2</v>
      </c>
      <c r="M40" s="46">
        <v>14.2</v>
      </c>
      <c r="N40" s="46">
        <v>14.2</v>
      </c>
      <c r="O40" s="46">
        <v>14.2</v>
      </c>
      <c r="P40" s="46">
        <v>14.2</v>
      </c>
      <c r="Q40" s="46">
        <v>14.2</v>
      </c>
      <c r="R40" s="46"/>
      <c r="S40" s="46">
        <v>14.1</v>
      </c>
      <c r="T40" s="46">
        <v>14.1</v>
      </c>
      <c r="U40" s="46">
        <v>14.1</v>
      </c>
      <c r="V40" s="46">
        <v>14.1</v>
      </c>
      <c r="W40" s="46">
        <v>14.1</v>
      </c>
      <c r="X40" s="46">
        <v>14.1</v>
      </c>
      <c r="Y40" s="46">
        <v>14.1</v>
      </c>
      <c r="Z40" s="46">
        <v>14.1</v>
      </c>
      <c r="AA40" s="46">
        <v>14.1</v>
      </c>
      <c r="AB40" s="46">
        <v>14.1</v>
      </c>
      <c r="AC40" s="46">
        <v>14.1</v>
      </c>
      <c r="AD40" s="46">
        <v>14.1</v>
      </c>
      <c r="AE40" s="46">
        <v>14.1</v>
      </c>
      <c r="AF40" s="46">
        <v>14.1</v>
      </c>
      <c r="AG40" s="50">
        <v>18</v>
      </c>
      <c r="AH40" s="48">
        <f t="shared" si="2"/>
        <v>14.2</v>
      </c>
      <c r="AI40" s="49">
        <f t="shared" si="3"/>
        <v>14.1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0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/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50">
        <v>15.33</v>
      </c>
      <c r="AH41" s="48">
        <f t="shared" si="2"/>
        <v>0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/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/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>
        <v>7</v>
      </c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>
        <v>7</v>
      </c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/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/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</v>
      </c>
      <c r="C46" s="46">
        <v>5</v>
      </c>
      <c r="D46" s="46">
        <v>5</v>
      </c>
      <c r="E46" s="46">
        <v>5</v>
      </c>
      <c r="F46" s="46">
        <v>5</v>
      </c>
      <c r="G46" s="46">
        <v>5</v>
      </c>
      <c r="H46" s="46">
        <v>5</v>
      </c>
      <c r="I46" s="46">
        <v>5</v>
      </c>
      <c r="J46" s="46">
        <v>5</v>
      </c>
      <c r="K46" s="46">
        <v>5</v>
      </c>
      <c r="L46" s="46">
        <v>5</v>
      </c>
      <c r="M46" s="46">
        <v>5</v>
      </c>
      <c r="N46" s="46">
        <v>5</v>
      </c>
      <c r="O46" s="46">
        <v>5</v>
      </c>
      <c r="P46" s="46">
        <v>5</v>
      </c>
      <c r="Q46" s="46">
        <v>5</v>
      </c>
      <c r="R46" s="46"/>
      <c r="S46" s="46">
        <v>4</v>
      </c>
      <c r="T46" s="46">
        <v>4</v>
      </c>
      <c r="U46" s="46">
        <v>4</v>
      </c>
      <c r="V46" s="46">
        <v>4</v>
      </c>
      <c r="W46" s="46">
        <v>4</v>
      </c>
      <c r="X46" s="46">
        <v>4</v>
      </c>
      <c r="Y46" s="46">
        <v>4</v>
      </c>
      <c r="Z46" s="46">
        <v>4</v>
      </c>
      <c r="AA46" s="46">
        <v>4</v>
      </c>
      <c r="AB46" s="46">
        <v>4</v>
      </c>
      <c r="AC46" s="46">
        <v>4</v>
      </c>
      <c r="AD46" s="46">
        <v>4</v>
      </c>
      <c r="AE46" s="46">
        <v>4</v>
      </c>
      <c r="AF46" s="46">
        <v>4</v>
      </c>
      <c r="AG46" s="50">
        <v>14</v>
      </c>
      <c r="AH46" s="48">
        <f t="shared" si="2"/>
        <v>5</v>
      </c>
      <c r="AI46" s="49">
        <f t="shared" si="3"/>
        <v>4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/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/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11</v>
      </c>
      <c r="C49" s="46">
        <v>11</v>
      </c>
      <c r="D49" s="46">
        <v>11</v>
      </c>
      <c r="E49" s="46">
        <v>11</v>
      </c>
      <c r="F49" s="46">
        <v>11</v>
      </c>
      <c r="G49" s="46">
        <v>11</v>
      </c>
      <c r="H49" s="46">
        <v>11</v>
      </c>
      <c r="I49" s="46">
        <v>11</v>
      </c>
      <c r="J49" s="46">
        <v>11</v>
      </c>
      <c r="K49" s="46">
        <v>11</v>
      </c>
      <c r="L49" s="46">
        <v>11</v>
      </c>
      <c r="M49" s="46">
        <v>11</v>
      </c>
      <c r="N49" s="46">
        <v>11</v>
      </c>
      <c r="O49" s="46">
        <v>11</v>
      </c>
      <c r="P49" s="46">
        <v>11</v>
      </c>
      <c r="Q49" s="46">
        <v>11</v>
      </c>
      <c r="R49" s="46"/>
      <c r="S49" s="46">
        <v>11</v>
      </c>
      <c r="T49" s="46">
        <v>11</v>
      </c>
      <c r="U49" s="46">
        <v>11</v>
      </c>
      <c r="V49" s="46">
        <v>11</v>
      </c>
      <c r="W49" s="46">
        <v>11</v>
      </c>
      <c r="X49" s="46">
        <v>11</v>
      </c>
      <c r="Y49" s="46">
        <v>11</v>
      </c>
      <c r="Z49" s="46">
        <v>11</v>
      </c>
      <c r="AA49" s="46">
        <v>11</v>
      </c>
      <c r="AB49" s="46">
        <v>11</v>
      </c>
      <c r="AC49" s="46">
        <v>11</v>
      </c>
      <c r="AD49" s="46">
        <v>11</v>
      </c>
      <c r="AE49" s="46">
        <v>11</v>
      </c>
      <c r="AF49" s="46">
        <v>11</v>
      </c>
      <c r="AG49" s="50">
        <v>12</v>
      </c>
      <c r="AH49" s="48">
        <f t="shared" si="2"/>
        <v>11</v>
      </c>
      <c r="AI49" s="49">
        <f t="shared" si="3"/>
        <v>11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2</v>
      </c>
      <c r="C50" s="46">
        <v>2</v>
      </c>
      <c r="D50" s="46">
        <v>2</v>
      </c>
      <c r="E50" s="46">
        <v>2</v>
      </c>
      <c r="F50" s="46">
        <v>2</v>
      </c>
      <c r="G50" s="46">
        <v>2</v>
      </c>
      <c r="H50" s="46">
        <v>2</v>
      </c>
      <c r="I50" s="46">
        <v>2</v>
      </c>
      <c r="J50" s="46">
        <v>2</v>
      </c>
      <c r="K50" s="46">
        <v>2</v>
      </c>
      <c r="L50" s="46">
        <v>2</v>
      </c>
      <c r="M50" s="46">
        <v>2</v>
      </c>
      <c r="N50" s="46">
        <v>2</v>
      </c>
      <c r="O50" s="46">
        <v>2</v>
      </c>
      <c r="P50" s="46">
        <v>2</v>
      </c>
      <c r="Q50" s="46">
        <v>2</v>
      </c>
      <c r="R50" s="46"/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/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/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/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/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/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/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/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/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/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40.4+92.1</f>
        <v>132.5</v>
      </c>
      <c r="C60" s="68">
        <f>39.5+89.6</f>
        <v>129.1</v>
      </c>
      <c r="D60" s="68">
        <f>39.9+90.3</f>
        <v>130.19999999999999</v>
      </c>
      <c r="E60" s="68">
        <f>88.1+38.3</f>
        <v>126.39999999999999</v>
      </c>
      <c r="F60" s="68">
        <f>88.1+38.3</f>
        <v>126.39999999999999</v>
      </c>
      <c r="G60" s="68">
        <f>88.1+39.6</f>
        <v>127.69999999999999</v>
      </c>
      <c r="H60" s="68">
        <f>88.6+40.3</f>
        <v>128.89999999999998</v>
      </c>
      <c r="I60" s="68">
        <f>88.6+40.3</f>
        <v>128.89999999999998</v>
      </c>
      <c r="J60" s="68">
        <f>88.6+40.3</f>
        <v>128.89999999999998</v>
      </c>
      <c r="K60" s="68">
        <f>88.6+40.3</f>
        <v>128.89999999999998</v>
      </c>
      <c r="L60" s="53">
        <f>87.8+40.1</f>
        <v>127.9</v>
      </c>
      <c r="M60" s="53">
        <f>38.8+85.1</f>
        <v>123.89999999999999</v>
      </c>
      <c r="N60" s="53">
        <f>38.8+85.1</f>
        <v>123.89999999999999</v>
      </c>
      <c r="O60" s="53">
        <f>38.8+85.1</f>
        <v>123.89999999999999</v>
      </c>
      <c r="P60" s="53">
        <f>38.8+85.1</f>
        <v>123.89999999999999</v>
      </c>
      <c r="Q60" s="53">
        <f>38.8+85.1</f>
        <v>123.89999999999999</v>
      </c>
      <c r="R60" s="53"/>
      <c r="S60" s="53">
        <v>123.89999999999999</v>
      </c>
      <c r="T60" s="53">
        <v>123.89999999999999</v>
      </c>
      <c r="U60" s="53">
        <v>123.89999999999999</v>
      </c>
      <c r="V60" s="53">
        <v>123.89999999999999</v>
      </c>
      <c r="W60" s="53">
        <v>112</v>
      </c>
      <c r="X60" s="53">
        <v>112</v>
      </c>
      <c r="Y60" s="53">
        <v>112</v>
      </c>
      <c r="Z60" s="53">
        <v>112</v>
      </c>
      <c r="AA60" s="53">
        <v>112</v>
      </c>
      <c r="AB60" s="53">
        <v>112</v>
      </c>
      <c r="AC60" s="53">
        <v>112</v>
      </c>
      <c r="AD60" s="53">
        <v>112</v>
      </c>
      <c r="AE60" s="53">
        <v>120</v>
      </c>
      <c r="AF60" s="53">
        <v>120</v>
      </c>
      <c r="AG60" s="66">
        <v>240</v>
      </c>
      <c r="AH60" s="48">
        <f t="shared" si="2"/>
        <v>132.5</v>
      </c>
      <c r="AI60" s="49">
        <f t="shared" si="3"/>
        <v>112</v>
      </c>
      <c r="AK60" s="51"/>
    </row>
    <row r="61" spans="1:88" ht="15.75" thickBot="1" x14ac:dyDescent="0.3">
      <c r="A61" s="70" t="s">
        <v>75</v>
      </c>
      <c r="B61" s="71">
        <f>SUM(B11:B59)</f>
        <v>1113.9000000000001</v>
      </c>
      <c r="C61" s="71">
        <f>SUM(C11:C59)</f>
        <v>1099.5999999999999</v>
      </c>
      <c r="D61" s="71">
        <f>SUM(D11:D59)</f>
        <v>1108.3000000000002</v>
      </c>
      <c r="E61" s="71">
        <f>SUM(E11:E59)</f>
        <v>1109.5999999999999</v>
      </c>
      <c r="F61" s="71">
        <f t="shared" ref="F61:AG61" si="20">SUM(F11:F59)</f>
        <v>1082.6000000000001</v>
      </c>
      <c r="G61" s="71">
        <f t="shared" si="20"/>
        <v>1115.0999999999999</v>
      </c>
      <c r="H61" s="71">
        <f t="shared" si="20"/>
        <v>1118.5</v>
      </c>
      <c r="I61" s="71">
        <f t="shared" si="20"/>
        <v>1118.5</v>
      </c>
      <c r="J61" s="71">
        <f t="shared" si="20"/>
        <v>1118.5</v>
      </c>
      <c r="K61" s="71">
        <f>SUM(K11:K59)</f>
        <v>1119.5</v>
      </c>
      <c r="L61" s="71">
        <f t="shared" si="20"/>
        <v>1122.3000000000002</v>
      </c>
      <c r="M61" s="71">
        <f t="shared" si="20"/>
        <v>1122.3000000000002</v>
      </c>
      <c r="N61" s="71">
        <f t="shared" si="20"/>
        <v>1113</v>
      </c>
      <c r="O61" s="71">
        <f t="shared" si="20"/>
        <v>1113</v>
      </c>
      <c r="P61" s="71">
        <f t="shared" si="20"/>
        <v>1113</v>
      </c>
      <c r="Q61" s="71">
        <f t="shared" si="20"/>
        <v>1017</v>
      </c>
      <c r="R61" s="71">
        <f t="shared" si="20"/>
        <v>0</v>
      </c>
      <c r="S61" s="71">
        <f t="shared" si="20"/>
        <v>955.53800000000012</v>
      </c>
      <c r="T61" s="71">
        <f t="shared" si="20"/>
        <v>955.53800000000012</v>
      </c>
      <c r="U61" s="71">
        <f t="shared" si="20"/>
        <v>955.53800000000012</v>
      </c>
      <c r="V61" s="71">
        <f t="shared" si="20"/>
        <v>985.53800000000001</v>
      </c>
      <c r="W61" s="71">
        <f t="shared" si="20"/>
        <v>953.13800000000015</v>
      </c>
      <c r="X61" s="71">
        <f t="shared" si="20"/>
        <v>953.13800000000015</v>
      </c>
      <c r="Y61" s="71">
        <f>SUM(Y11:Y59)</f>
        <v>953.13800000000015</v>
      </c>
      <c r="Z61" s="71">
        <f>SUM(Z11:Z59)</f>
        <v>994.83800000000008</v>
      </c>
      <c r="AA61" s="71">
        <f t="shared" si="20"/>
        <v>990.83800000000008</v>
      </c>
      <c r="AB61" s="71">
        <f t="shared" si="20"/>
        <v>990.83800000000008</v>
      </c>
      <c r="AC61" s="71">
        <f>SUM(AC11:AC59)</f>
        <v>1012.338</v>
      </c>
      <c r="AD61" s="71">
        <f>SUM(AD11:AD59)</f>
        <v>1029.3380000000002</v>
      </c>
      <c r="AE61" s="71">
        <f>SUM(AE11:AE59)</f>
        <v>1029.3380000000002</v>
      </c>
      <c r="AF61" s="71">
        <f>SUM(AF11:AF59)</f>
        <v>1043.3380000000002</v>
      </c>
      <c r="AG61" s="71">
        <f t="shared" si="20"/>
        <v>1466.0300000000002</v>
      </c>
      <c r="AH61" s="48">
        <f t="shared" si="2"/>
        <v>1122.3000000000002</v>
      </c>
      <c r="AI61" s="49">
        <f t="shared" si="3"/>
        <v>0</v>
      </c>
      <c r="AK61" s="51"/>
    </row>
    <row r="62" spans="1:88" x14ac:dyDescent="0.25">
      <c r="A62" s="73" t="s">
        <v>76</v>
      </c>
      <c r="B62" s="46">
        <v>459.9</v>
      </c>
      <c r="C62" s="46">
        <v>459.9</v>
      </c>
      <c r="D62" s="46">
        <v>460</v>
      </c>
      <c r="E62" s="46">
        <v>460</v>
      </c>
      <c r="F62" s="46">
        <v>380</v>
      </c>
      <c r="G62" s="46">
        <v>153.5</v>
      </c>
      <c r="H62" s="46">
        <v>153.5</v>
      </c>
      <c r="I62" s="46">
        <v>76.900000000000006</v>
      </c>
      <c r="J62" s="46">
        <v>76.900000000000006</v>
      </c>
      <c r="K62" s="46">
        <v>76.900000000000006</v>
      </c>
      <c r="L62" s="46">
        <v>76.900000000000006</v>
      </c>
      <c r="M62" s="46">
        <v>154</v>
      </c>
      <c r="N62" s="74">
        <v>460</v>
      </c>
      <c r="O62" s="74">
        <v>460</v>
      </c>
      <c r="P62" s="74">
        <v>460</v>
      </c>
      <c r="Q62" s="74">
        <v>460</v>
      </c>
      <c r="R62" s="74"/>
      <c r="S62" s="74">
        <v>460</v>
      </c>
      <c r="T62" s="74">
        <v>460</v>
      </c>
      <c r="U62" s="74">
        <v>460</v>
      </c>
      <c r="V62" s="74">
        <v>460</v>
      </c>
      <c r="W62" s="46">
        <v>459.9</v>
      </c>
      <c r="X62" s="46">
        <v>459.9</v>
      </c>
      <c r="Y62" s="46">
        <v>459.9</v>
      </c>
      <c r="Z62" s="46">
        <v>459.9</v>
      </c>
      <c r="AA62" s="46">
        <v>459.9</v>
      </c>
      <c r="AB62" s="46">
        <v>459.9</v>
      </c>
      <c r="AC62" s="46">
        <v>459.9</v>
      </c>
      <c r="AD62" s="46">
        <v>459.9</v>
      </c>
      <c r="AE62" s="46">
        <v>459.9</v>
      </c>
      <c r="AF62" s="46">
        <v>459.9</v>
      </c>
      <c r="AG62" s="61">
        <v>456</v>
      </c>
      <c r="AH62" s="48">
        <f t="shared" si="2"/>
        <v>460</v>
      </c>
      <c r="AI62" s="49">
        <f t="shared" si="3"/>
        <v>76.900000000000006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/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22.5</v>
      </c>
      <c r="O64" s="78">
        <v>22.5</v>
      </c>
      <c r="P64" s="78">
        <v>22.5</v>
      </c>
      <c r="Q64" s="78">
        <v>22.5</v>
      </c>
      <c r="R64" s="78"/>
      <c r="S64" s="78">
        <v>22.5</v>
      </c>
      <c r="T64" s="78">
        <v>22.5</v>
      </c>
      <c r="U64" s="78">
        <v>22.5</v>
      </c>
      <c r="V64" s="78">
        <v>22.5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>SUM(B62:B64)</f>
        <v>542.4</v>
      </c>
      <c r="C65" s="71">
        <f>SUM(C62:C64)</f>
        <v>542.4</v>
      </c>
      <c r="D65" s="71">
        <f>SUM(D62:D64)</f>
        <v>542.5</v>
      </c>
      <c r="E65" s="71">
        <f t="shared" ref="E65:AG65" si="21">SUM(E62:E64)</f>
        <v>542.5</v>
      </c>
      <c r="F65" s="71">
        <f t="shared" si="21"/>
        <v>462.5</v>
      </c>
      <c r="G65" s="71">
        <f t="shared" si="21"/>
        <v>236.1</v>
      </c>
      <c r="H65" s="71">
        <f t="shared" si="21"/>
        <v>236.1</v>
      </c>
      <c r="I65" s="71">
        <f t="shared" si="21"/>
        <v>159.5</v>
      </c>
      <c r="J65" s="71">
        <f t="shared" si="21"/>
        <v>159.5</v>
      </c>
      <c r="K65" s="71">
        <f>SUM(K62:K64)</f>
        <v>159.5</v>
      </c>
      <c r="L65" s="71">
        <f t="shared" si="21"/>
        <v>159.5</v>
      </c>
      <c r="M65" s="71">
        <f t="shared" si="21"/>
        <v>236.6</v>
      </c>
      <c r="N65" s="71">
        <f t="shared" si="21"/>
        <v>542.5</v>
      </c>
      <c r="O65" s="71">
        <f t="shared" si="21"/>
        <v>542.5</v>
      </c>
      <c r="P65" s="71">
        <f t="shared" si="21"/>
        <v>542.5</v>
      </c>
      <c r="Q65" s="71">
        <f t="shared" si="21"/>
        <v>542.5</v>
      </c>
      <c r="R65" s="71">
        <f t="shared" si="21"/>
        <v>0</v>
      </c>
      <c r="S65" s="71">
        <f t="shared" si="21"/>
        <v>542.5</v>
      </c>
      <c r="T65" s="71">
        <f t="shared" si="21"/>
        <v>542.5</v>
      </c>
      <c r="U65" s="71">
        <f>SUM(U62:U64)</f>
        <v>542.5</v>
      </c>
      <c r="V65" s="71">
        <f t="shared" si="21"/>
        <v>542.5</v>
      </c>
      <c r="W65" s="71">
        <f t="shared" si="21"/>
        <v>542.5</v>
      </c>
      <c r="X65" s="71">
        <f t="shared" si="21"/>
        <v>542.5</v>
      </c>
      <c r="Y65" s="71">
        <f>SUM(Y62:Y64)</f>
        <v>542.5</v>
      </c>
      <c r="Z65" s="71">
        <f>SUM(Z62:Z64)</f>
        <v>542.5</v>
      </c>
      <c r="AA65" s="71">
        <f t="shared" si="21"/>
        <v>542.5</v>
      </c>
      <c r="AB65" s="71">
        <f t="shared" si="21"/>
        <v>542.5</v>
      </c>
      <c r="AC65" s="71">
        <f>SUM(AC62:AC64)</f>
        <v>542.5</v>
      </c>
      <c r="AD65" s="71">
        <f>SUM(AD62:AD64)</f>
        <v>542.5</v>
      </c>
      <c r="AE65" s="71">
        <f>SUM(AE62:AE64)</f>
        <v>542.5</v>
      </c>
      <c r="AF65" s="71">
        <f>SUM(AF62:AF64)</f>
        <v>542.5</v>
      </c>
      <c r="AG65" s="72">
        <f t="shared" si="21"/>
        <v>538.1</v>
      </c>
      <c r="AH65" s="48">
        <f t="shared" si="2"/>
        <v>542.5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>
        <v>144</v>
      </c>
      <c r="D66" s="46">
        <v>140</v>
      </c>
      <c r="E66" s="46" t="s">
        <v>162</v>
      </c>
      <c r="F66" s="46">
        <v>140</v>
      </c>
      <c r="G66" s="46">
        <v>140</v>
      </c>
      <c r="H66" s="46">
        <v>140</v>
      </c>
      <c r="I66" s="46">
        <v>140</v>
      </c>
      <c r="J66" s="46">
        <v>140</v>
      </c>
      <c r="K66" s="46">
        <v>140</v>
      </c>
      <c r="L66" s="46">
        <v>140</v>
      </c>
      <c r="M66" s="46">
        <v>140</v>
      </c>
      <c r="N66" s="46">
        <v>140</v>
      </c>
      <c r="O66" s="46">
        <v>140</v>
      </c>
      <c r="P66" s="46">
        <v>140</v>
      </c>
      <c r="Q66" s="46">
        <v>144</v>
      </c>
      <c r="R66" s="46"/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144</v>
      </c>
      <c r="AB66" s="46">
        <v>144</v>
      </c>
      <c r="AC66" s="46">
        <v>144</v>
      </c>
      <c r="AD66" s="46">
        <v>144</v>
      </c>
      <c r="AE66" s="46">
        <v>144</v>
      </c>
      <c r="AF66" s="46">
        <v>144</v>
      </c>
      <c r="AG66" s="61">
        <v>144</v>
      </c>
      <c r="AH66" s="48">
        <f t="shared" si="2"/>
        <v>144</v>
      </c>
      <c r="AI66" s="49">
        <f t="shared" si="3"/>
        <v>140</v>
      </c>
      <c r="AK66" s="51"/>
      <c r="AY66" s="1" t="s">
        <v>86</v>
      </c>
      <c r="AZ66" s="82">
        <f>ROUND(C84,0)</f>
        <v>-14</v>
      </c>
      <c r="BA66" s="81">
        <f t="shared" ref="BA66:BD70" si="22">D84</f>
        <v>-10.6</v>
      </c>
      <c r="BB66" s="81">
        <f t="shared" si="22"/>
        <v>-8.5</v>
      </c>
      <c r="BC66" s="81">
        <f t="shared" si="22"/>
        <v>-2</v>
      </c>
      <c r="BD66" s="81">
        <f t="shared" si="22"/>
        <v>-6</v>
      </c>
      <c r="BE66" s="82">
        <f>I84</f>
        <v>-7</v>
      </c>
      <c r="BF66" s="82">
        <f>K84</f>
        <v>29</v>
      </c>
      <c r="BG66" s="82">
        <f t="shared" ref="BG66:BP70" si="23">M84</f>
        <v>36.4</v>
      </c>
      <c r="BH66" s="82">
        <f t="shared" si="23"/>
        <v>58.3</v>
      </c>
      <c r="BI66" s="82">
        <f t="shared" si="23"/>
        <v>61.7</v>
      </c>
      <c r="BJ66" s="82">
        <f t="shared" si="23"/>
        <v>70.3</v>
      </c>
      <c r="BK66" s="82">
        <f t="shared" si="23"/>
        <v>68.7</v>
      </c>
      <c r="BL66" s="82">
        <f t="shared" si="23"/>
        <v>0</v>
      </c>
      <c r="BM66" s="82">
        <f t="shared" si="23"/>
        <v>74.444000000000003</v>
      </c>
      <c r="BN66" s="82">
        <f t="shared" si="23"/>
        <v>70.7</v>
      </c>
      <c r="BO66" s="82">
        <f t="shared" si="23"/>
        <v>70.7</v>
      </c>
      <c r="BP66" s="82">
        <f t="shared" si="23"/>
        <v>65</v>
      </c>
      <c r="BQ66" s="82">
        <f>X84</f>
        <v>44.5</v>
      </c>
      <c r="BR66" s="82">
        <f>Z84</f>
        <v>16</v>
      </c>
      <c r="BS66" s="81">
        <f>AB84</f>
        <v>29.8</v>
      </c>
      <c r="BT66" s="81">
        <f t="shared" ref="BT66:BV70" si="24">AD84</f>
        <v>26</v>
      </c>
      <c r="BU66" s="81">
        <f t="shared" si="24"/>
        <v>40</v>
      </c>
      <c r="BV66" s="81">
        <f t="shared" si="24"/>
        <v>20</v>
      </c>
      <c r="BW66" s="81">
        <f>B84</f>
        <v>-1.5</v>
      </c>
    </row>
    <row r="67" spans="1:75" x14ac:dyDescent="0.25">
      <c r="A67" s="65" t="s">
        <v>81</v>
      </c>
      <c r="B67" s="46">
        <v>69.3</v>
      </c>
      <c r="C67" s="46">
        <v>69.099999999999994</v>
      </c>
      <c r="D67" s="46">
        <v>69.599999999999994</v>
      </c>
      <c r="E67" s="46">
        <v>69.599999999999994</v>
      </c>
      <c r="F67" s="46">
        <v>69.599999999999994</v>
      </c>
      <c r="G67" s="46">
        <v>69.599999999999994</v>
      </c>
      <c r="H67" s="46">
        <v>69.599999999999994</v>
      </c>
      <c r="I67" s="46">
        <v>69.599999999999994</v>
      </c>
      <c r="J67" s="46">
        <v>69.599999999999994</v>
      </c>
      <c r="K67" s="46">
        <v>69.599999999999994</v>
      </c>
      <c r="L67" s="46">
        <v>69.599999999999994</v>
      </c>
      <c r="M67" s="46">
        <v>69.599999999999994</v>
      </c>
      <c r="N67" s="46">
        <v>69.599999999999994</v>
      </c>
      <c r="O67" s="46">
        <v>69.599999999999994</v>
      </c>
      <c r="P67" s="46">
        <v>69.599999999999994</v>
      </c>
      <c r="Q67" s="76">
        <v>69.599999999999994</v>
      </c>
      <c r="R67" s="76"/>
      <c r="S67" s="76">
        <v>69.599999999999994</v>
      </c>
      <c r="T67" s="76">
        <v>69.599999999999994</v>
      </c>
      <c r="U67" s="76">
        <v>69.599999999999994</v>
      </c>
      <c r="V67" s="76">
        <v>69.599999999999994</v>
      </c>
      <c r="W67" s="76">
        <v>69.599999999999994</v>
      </c>
      <c r="X67" s="76">
        <v>69.599999999999994</v>
      </c>
      <c r="Y67" s="76">
        <v>69.599999999999994</v>
      </c>
      <c r="Z67" s="76">
        <v>69.599999999999994</v>
      </c>
      <c r="AA67" s="76">
        <v>69.599999999999994</v>
      </c>
      <c r="AB67" s="76">
        <v>69.599999999999994</v>
      </c>
      <c r="AC67" s="76">
        <v>69.599999999999994</v>
      </c>
      <c r="AD67" s="76">
        <v>69.599999999999994</v>
      </c>
      <c r="AE67" s="76">
        <v>60</v>
      </c>
      <c r="AF67" s="76">
        <v>60</v>
      </c>
      <c r="AG67" s="66">
        <v>70</v>
      </c>
      <c r="AH67" s="48">
        <f t="shared" si="2"/>
        <v>69.599999999999994</v>
      </c>
      <c r="AI67" s="49">
        <f t="shared" si="3"/>
        <v>60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46">
        <v>66.8</v>
      </c>
      <c r="C68" s="46">
        <v>67.5</v>
      </c>
      <c r="D68" s="46">
        <v>67.7</v>
      </c>
      <c r="E68" s="46">
        <v>67.7</v>
      </c>
      <c r="F68" s="46">
        <v>67.7</v>
      </c>
      <c r="G68" s="46">
        <v>67.7</v>
      </c>
      <c r="H68" s="46">
        <v>67.7</v>
      </c>
      <c r="I68" s="46">
        <v>67.7</v>
      </c>
      <c r="J68" s="46">
        <v>67.7</v>
      </c>
      <c r="K68" s="46">
        <v>67.7</v>
      </c>
      <c r="L68" s="46">
        <v>67.7</v>
      </c>
      <c r="M68" s="46">
        <v>67.7</v>
      </c>
      <c r="N68" s="46">
        <v>67.7</v>
      </c>
      <c r="O68" s="46">
        <v>67.7</v>
      </c>
      <c r="P68" s="46">
        <v>67.7</v>
      </c>
      <c r="Q68" s="76">
        <v>67.099999999999994</v>
      </c>
      <c r="R68" s="76"/>
      <c r="S68" s="76">
        <v>67.099999999999994</v>
      </c>
      <c r="T68" s="76">
        <v>67.099999999999994</v>
      </c>
      <c r="U68" s="76">
        <v>67.099999999999994</v>
      </c>
      <c r="V68" s="76">
        <v>67.099999999999994</v>
      </c>
      <c r="W68" s="76">
        <v>67.099999999999994</v>
      </c>
      <c r="X68" s="76">
        <v>67.099999999999994</v>
      </c>
      <c r="Y68" s="76">
        <v>67.099999999999994</v>
      </c>
      <c r="Z68" s="76">
        <v>67.099999999999994</v>
      </c>
      <c r="AA68" s="76">
        <v>67.099999999999994</v>
      </c>
      <c r="AB68" s="76">
        <v>67.099999999999994</v>
      </c>
      <c r="AC68" s="76">
        <v>67.099999999999994</v>
      </c>
      <c r="AD68" s="76">
        <v>67.099999999999994</v>
      </c>
      <c r="AE68" s="76">
        <v>67.099999999999994</v>
      </c>
      <c r="AF68" s="76">
        <v>67.099999999999994</v>
      </c>
      <c r="AG68" s="66">
        <v>69</v>
      </c>
      <c r="AH68" s="48">
        <f t="shared" si="2"/>
        <v>67.7</v>
      </c>
      <c r="AI68" s="49">
        <f t="shared" si="3"/>
        <v>66.8</v>
      </c>
      <c r="AK68" s="51"/>
      <c r="AL68" s="83"/>
      <c r="AO68" s="83"/>
      <c r="AY68" s="1" t="s">
        <v>90</v>
      </c>
      <c r="AZ68" s="82">
        <f>ROUND(C86,0)</f>
        <v>-517</v>
      </c>
      <c r="BA68" s="81">
        <f t="shared" si="22"/>
        <v>-520</v>
      </c>
      <c r="BB68" s="81">
        <f t="shared" si="22"/>
        <v>-519</v>
      </c>
      <c r="BC68" s="81">
        <f t="shared" si="22"/>
        <v>-465</v>
      </c>
      <c r="BD68" s="81">
        <f t="shared" si="22"/>
        <v>-390</v>
      </c>
      <c r="BE68" s="82">
        <f>I86</f>
        <v>-300</v>
      </c>
      <c r="BF68" s="82">
        <f>K86</f>
        <v>-230</v>
      </c>
      <c r="BG68" s="82">
        <f t="shared" si="23"/>
        <v>-332.7</v>
      </c>
      <c r="BH68" s="82">
        <f t="shared" si="23"/>
        <v>-391.4</v>
      </c>
      <c r="BI68" s="82">
        <f t="shared" si="23"/>
        <v>-318</v>
      </c>
      <c r="BJ68" s="82">
        <f t="shared" si="23"/>
        <v>-295.2</v>
      </c>
      <c r="BK68" s="82">
        <f t="shared" si="23"/>
        <v>-212</v>
      </c>
      <c r="BL68" s="82">
        <f t="shared" si="23"/>
        <v>0</v>
      </c>
      <c r="BM68" s="82">
        <f t="shared" si="23"/>
        <v>-282</v>
      </c>
      <c r="BN68" s="82">
        <f t="shared" si="23"/>
        <v>-191</v>
      </c>
      <c r="BO68" s="82">
        <f t="shared" si="23"/>
        <v>-191</v>
      </c>
      <c r="BP68" s="82">
        <f t="shared" si="23"/>
        <v>-283</v>
      </c>
      <c r="BQ68" s="82">
        <f>X86</f>
        <v>-273</v>
      </c>
      <c r="BR68" s="82">
        <f>Z86</f>
        <v>-363</v>
      </c>
      <c r="BS68" s="81">
        <f>AB86</f>
        <v>-333</v>
      </c>
      <c r="BT68" s="81">
        <f t="shared" si="24"/>
        <v>-350</v>
      </c>
      <c r="BU68" s="81">
        <f t="shared" si="24"/>
        <v>-430</v>
      </c>
      <c r="BV68" s="81">
        <f t="shared" si="24"/>
        <v>425</v>
      </c>
      <c r="BW68" s="81">
        <f>B86</f>
        <v>-508</v>
      </c>
    </row>
    <row r="69" spans="1:75" s="83" customFormat="1" x14ac:dyDescent="0.25">
      <c r="A69" s="65" t="s">
        <v>83</v>
      </c>
      <c r="B69" s="46">
        <v>30.2</v>
      </c>
      <c r="C69" s="46">
        <v>30.2</v>
      </c>
      <c r="D69" s="46">
        <v>30.2</v>
      </c>
      <c r="E69" s="46">
        <v>30.2</v>
      </c>
      <c r="F69" s="46">
        <v>30.2</v>
      </c>
      <c r="G69" s="46">
        <v>30.2</v>
      </c>
      <c r="H69" s="46">
        <v>30.2</v>
      </c>
      <c r="I69" s="46">
        <v>30.2</v>
      </c>
      <c r="J69" s="46">
        <v>30.2</v>
      </c>
      <c r="K69" s="46">
        <v>30.2</v>
      </c>
      <c r="L69" s="46">
        <v>30.2</v>
      </c>
      <c r="M69" s="46">
        <v>30.2</v>
      </c>
      <c r="N69" s="46">
        <v>30.2</v>
      </c>
      <c r="O69" s="46">
        <v>30.2</v>
      </c>
      <c r="P69" s="46">
        <v>30.2</v>
      </c>
      <c r="Q69" s="46">
        <v>30.2</v>
      </c>
      <c r="R69" s="76"/>
      <c r="S69" s="76">
        <v>30.2</v>
      </c>
      <c r="T69" s="76">
        <v>30.2</v>
      </c>
      <c r="U69" s="76">
        <v>30.2</v>
      </c>
      <c r="V69" s="76">
        <v>30.2</v>
      </c>
      <c r="W69" s="76">
        <v>30.2</v>
      </c>
      <c r="X69" s="76">
        <v>30.2</v>
      </c>
      <c r="Y69" s="76">
        <v>30.2</v>
      </c>
      <c r="Z69" s="76">
        <v>30.2</v>
      </c>
      <c r="AA69" s="76">
        <v>30.2</v>
      </c>
      <c r="AB69" s="76">
        <v>30.2</v>
      </c>
      <c r="AC69" s="76">
        <v>30.2</v>
      </c>
      <c r="AD69" s="76">
        <v>30.2</v>
      </c>
      <c r="AE69" s="76">
        <v>30.2</v>
      </c>
      <c r="AF69" s="76">
        <v>30.2</v>
      </c>
      <c r="AG69" s="66">
        <v>60</v>
      </c>
      <c r="AH69" s="48">
        <f t="shared" si="2"/>
        <v>30.2</v>
      </c>
      <c r="AI69" s="49">
        <f t="shared" si="3"/>
        <v>30.2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>
        <v>27.5</v>
      </c>
      <c r="C70" s="46">
        <v>27.3</v>
      </c>
      <c r="D70" s="46">
        <v>27.3</v>
      </c>
      <c r="E70" s="46">
        <v>23</v>
      </c>
      <c r="F70" s="46">
        <v>15</v>
      </c>
      <c r="G70" s="46">
        <v>23</v>
      </c>
      <c r="H70" s="46">
        <v>23</v>
      </c>
      <c r="I70" s="46">
        <v>23</v>
      </c>
      <c r="J70" s="46">
        <v>23</v>
      </c>
      <c r="K70" s="46">
        <v>28</v>
      </c>
      <c r="L70" s="46">
        <v>28</v>
      </c>
      <c r="M70" s="46">
        <v>28</v>
      </c>
      <c r="N70" s="46">
        <v>0</v>
      </c>
      <c r="O70" s="46">
        <v>0</v>
      </c>
      <c r="P70" s="46">
        <v>10.6</v>
      </c>
      <c r="Q70" s="46">
        <v>10.6</v>
      </c>
      <c r="R70" s="76"/>
      <c r="S70" s="76">
        <v>10.6</v>
      </c>
      <c r="T70" s="76">
        <v>10.6</v>
      </c>
      <c r="U70" s="76">
        <v>10.6</v>
      </c>
      <c r="V70" s="76">
        <v>10.6</v>
      </c>
      <c r="W70" s="76">
        <v>10.6</v>
      </c>
      <c r="X70" s="76">
        <v>10.6</v>
      </c>
      <c r="Y70" s="76">
        <v>10.6</v>
      </c>
      <c r="Z70" s="76">
        <v>10.6</v>
      </c>
      <c r="AA70" s="76">
        <v>10.6</v>
      </c>
      <c r="AB70" s="76">
        <v>28</v>
      </c>
      <c r="AC70" s="76">
        <v>28</v>
      </c>
      <c r="AD70" s="76">
        <v>28</v>
      </c>
      <c r="AE70" s="76">
        <v>28</v>
      </c>
      <c r="AF70" s="76">
        <v>28</v>
      </c>
      <c r="AG70" s="66">
        <v>30</v>
      </c>
      <c r="AH70" s="48">
        <f t="shared" si="2"/>
        <v>28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1.6</v>
      </c>
      <c r="L71" s="46">
        <v>1.6</v>
      </c>
      <c r="M71" s="46">
        <v>5</v>
      </c>
      <c r="N71" s="46">
        <v>13.6</v>
      </c>
      <c r="O71" s="46">
        <v>13.6</v>
      </c>
      <c r="P71" s="46">
        <v>17.8</v>
      </c>
      <c r="Q71" s="46">
        <v>17.8</v>
      </c>
      <c r="R71" s="76"/>
      <c r="S71" s="76">
        <v>17.8</v>
      </c>
      <c r="T71" s="76">
        <v>17.8</v>
      </c>
      <c r="U71" s="76">
        <v>17.8</v>
      </c>
      <c r="V71" s="76">
        <v>17.8</v>
      </c>
      <c r="W71" s="76">
        <v>17.8</v>
      </c>
      <c r="X71" s="76">
        <v>17.8</v>
      </c>
      <c r="Y71" s="76">
        <v>17.8</v>
      </c>
      <c r="Z71" s="76">
        <v>8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17.8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12.2</v>
      </c>
      <c r="C72" s="76">
        <v>12.3</v>
      </c>
      <c r="D72" s="76">
        <v>12.3</v>
      </c>
      <c r="E72" s="76">
        <v>12.3</v>
      </c>
      <c r="F72" s="76">
        <v>12.3</v>
      </c>
      <c r="G72" s="76">
        <v>12.3</v>
      </c>
      <c r="H72" s="76">
        <v>12.3</v>
      </c>
      <c r="I72" s="76">
        <v>12.3</v>
      </c>
      <c r="J72" s="76">
        <v>12.3</v>
      </c>
      <c r="K72" s="76">
        <v>12.3</v>
      </c>
      <c r="L72" s="76">
        <v>12.3</v>
      </c>
      <c r="M72" s="76">
        <v>12.3</v>
      </c>
      <c r="N72" s="76">
        <v>12.3</v>
      </c>
      <c r="O72" s="76">
        <v>12.3</v>
      </c>
      <c r="P72" s="76">
        <v>9.9</v>
      </c>
      <c r="Q72" s="76">
        <v>9.9</v>
      </c>
      <c r="R72" s="76"/>
      <c r="S72" s="76">
        <v>9.9</v>
      </c>
      <c r="T72" s="76">
        <v>9.9</v>
      </c>
      <c r="U72" s="76">
        <v>9.9</v>
      </c>
      <c r="V72" s="76">
        <v>9.9</v>
      </c>
      <c r="W72" s="76">
        <v>9.9</v>
      </c>
      <c r="X72" s="76">
        <v>9.9</v>
      </c>
      <c r="Y72" s="76">
        <v>9.9</v>
      </c>
      <c r="Z72" s="76">
        <v>9.9</v>
      </c>
      <c r="AA72" s="76">
        <v>9.9</v>
      </c>
      <c r="AB72" s="76">
        <v>9.9</v>
      </c>
      <c r="AC72" s="76">
        <v>9.9</v>
      </c>
      <c r="AD72" s="76">
        <v>9.9</v>
      </c>
      <c r="AE72" s="76">
        <v>9.9</v>
      </c>
      <c r="AF72" s="76">
        <v>9.9</v>
      </c>
      <c r="AG72" s="66">
        <v>24</v>
      </c>
      <c r="AH72" s="48">
        <f t="shared" si="2"/>
        <v>12.3</v>
      </c>
      <c r="AI72" s="49">
        <f t="shared" si="3"/>
        <v>9.9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/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6">VALUE(AZ66)</f>
        <v>-14</v>
      </c>
      <c r="BA73" s="82">
        <f t="shared" si="26"/>
        <v>-10.6</v>
      </c>
      <c r="BB73" s="82">
        <f t="shared" si="26"/>
        <v>-8.5</v>
      </c>
      <c r="BC73" s="82">
        <f t="shared" si="26"/>
        <v>-2</v>
      </c>
      <c r="BD73" s="82">
        <f t="shared" si="26"/>
        <v>-6</v>
      </c>
      <c r="BE73" s="82">
        <f t="shared" si="26"/>
        <v>-7</v>
      </c>
      <c r="BF73" s="82">
        <f t="shared" si="26"/>
        <v>29</v>
      </c>
      <c r="BG73" s="82">
        <f t="shared" si="26"/>
        <v>36.4</v>
      </c>
      <c r="BH73" s="82">
        <f t="shared" si="26"/>
        <v>58.3</v>
      </c>
      <c r="BI73" s="82">
        <f t="shared" si="26"/>
        <v>61.7</v>
      </c>
      <c r="BJ73" s="82">
        <f t="shared" si="26"/>
        <v>70.3</v>
      </c>
      <c r="BK73" s="82">
        <f t="shared" si="26"/>
        <v>68.7</v>
      </c>
      <c r="BL73" s="82">
        <f t="shared" si="26"/>
        <v>0</v>
      </c>
      <c r="BM73" s="82">
        <f t="shared" si="26"/>
        <v>74.444000000000003</v>
      </c>
      <c r="BN73" s="82">
        <f t="shared" si="26"/>
        <v>70.7</v>
      </c>
      <c r="BO73" s="82">
        <f t="shared" si="26"/>
        <v>70.7</v>
      </c>
      <c r="BP73" s="82">
        <f t="shared" si="26"/>
        <v>65</v>
      </c>
      <c r="BQ73" s="82">
        <f t="shared" si="26"/>
        <v>44.5</v>
      </c>
      <c r="BR73" s="82">
        <f t="shared" si="26"/>
        <v>16</v>
      </c>
      <c r="BS73" s="82">
        <f t="shared" si="26"/>
        <v>29.8</v>
      </c>
      <c r="BT73" s="82">
        <f t="shared" si="26"/>
        <v>26</v>
      </c>
      <c r="BU73" s="82">
        <f t="shared" si="26"/>
        <v>40</v>
      </c>
      <c r="BV73" s="82">
        <f t="shared" si="26"/>
        <v>20</v>
      </c>
      <c r="BW73" s="82">
        <f t="shared" si="26"/>
        <v>-1.5</v>
      </c>
    </row>
    <row r="74" spans="1:75" x14ac:dyDescent="0.25">
      <c r="A74" s="65" t="s">
        <v>91</v>
      </c>
      <c r="B74" s="76">
        <v>8.9</v>
      </c>
      <c r="C74" s="76">
        <v>9.9</v>
      </c>
      <c r="D74" s="76">
        <v>9.9</v>
      </c>
      <c r="E74" s="76">
        <v>9.9</v>
      </c>
      <c r="F74" s="76">
        <v>9.9</v>
      </c>
      <c r="G74" s="76">
        <v>9.9</v>
      </c>
      <c r="H74" s="76">
        <v>9.9</v>
      </c>
      <c r="I74" s="76">
        <v>9.9</v>
      </c>
      <c r="J74" s="76">
        <v>9.9</v>
      </c>
      <c r="K74" s="76">
        <v>9.9</v>
      </c>
      <c r="L74" s="76">
        <v>9.9</v>
      </c>
      <c r="M74" s="76">
        <v>9.9</v>
      </c>
      <c r="N74" s="76">
        <v>9.9</v>
      </c>
      <c r="O74" s="76">
        <v>9.9</v>
      </c>
      <c r="P74" s="76">
        <v>8.9</v>
      </c>
      <c r="Q74" s="76">
        <v>8.9</v>
      </c>
      <c r="R74" s="76"/>
      <c r="S74" s="76">
        <v>8.9</v>
      </c>
      <c r="T74" s="76">
        <v>8.9</v>
      </c>
      <c r="U74" s="76">
        <v>8.9</v>
      </c>
      <c r="V74" s="76">
        <v>8.9</v>
      </c>
      <c r="W74" s="76">
        <v>8.9</v>
      </c>
      <c r="X74" s="76">
        <v>8.9</v>
      </c>
      <c r="Y74" s="76">
        <v>8.9</v>
      </c>
      <c r="Z74" s="76">
        <v>8.9</v>
      </c>
      <c r="AA74" s="76">
        <v>8.9</v>
      </c>
      <c r="AB74" s="76">
        <v>8.9</v>
      </c>
      <c r="AC74" s="76">
        <v>8.9</v>
      </c>
      <c r="AD74" s="76">
        <v>8.9</v>
      </c>
      <c r="AE74" s="76">
        <v>8.9</v>
      </c>
      <c r="AF74" s="76">
        <v>8.9</v>
      </c>
      <c r="AG74" s="66">
        <v>14.1</v>
      </c>
      <c r="AH74" s="48">
        <f t="shared" si="2"/>
        <v>9.9</v>
      </c>
      <c r="AI74" s="49">
        <f t="shared" si="3"/>
        <v>8.9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>
        <v>14.4</v>
      </c>
      <c r="C75" s="76">
        <v>14.4</v>
      </c>
      <c r="D75" s="76">
        <v>14.4</v>
      </c>
      <c r="E75" s="76">
        <v>14.4</v>
      </c>
      <c r="F75" s="76">
        <v>14.4</v>
      </c>
      <c r="G75" s="76">
        <v>14.4</v>
      </c>
      <c r="H75" s="76">
        <v>14.4</v>
      </c>
      <c r="I75" s="76">
        <v>14.4</v>
      </c>
      <c r="J75" s="76">
        <v>14.4</v>
      </c>
      <c r="K75" s="76">
        <v>14.4</v>
      </c>
      <c r="L75" s="76">
        <v>14.4</v>
      </c>
      <c r="M75" s="76">
        <v>14.4</v>
      </c>
      <c r="N75" s="76">
        <v>14.4</v>
      </c>
      <c r="O75" s="76">
        <v>14.4</v>
      </c>
      <c r="P75" s="76">
        <v>14.4</v>
      </c>
      <c r="Q75" s="76">
        <v>14.4</v>
      </c>
      <c r="R75" s="76"/>
      <c r="S75" s="76">
        <v>14.1</v>
      </c>
      <c r="T75" s="76">
        <v>14.1</v>
      </c>
      <c r="U75" s="76">
        <v>14.1</v>
      </c>
      <c r="V75" s="76">
        <v>14.1</v>
      </c>
      <c r="W75" s="76">
        <v>14.1</v>
      </c>
      <c r="X75" s="76">
        <v>14.1</v>
      </c>
      <c r="Y75" s="76">
        <v>14.1</v>
      </c>
      <c r="Z75" s="76">
        <v>14.1</v>
      </c>
      <c r="AA75" s="76">
        <v>14.1</v>
      </c>
      <c r="AB75" s="76">
        <v>14.1</v>
      </c>
      <c r="AC75" s="76">
        <v>14.1</v>
      </c>
      <c r="AD75" s="76">
        <v>14.1</v>
      </c>
      <c r="AE75" s="76">
        <v>14.1</v>
      </c>
      <c r="AF75" s="76">
        <v>14.1</v>
      </c>
      <c r="AG75" s="66">
        <v>14</v>
      </c>
      <c r="AH75" s="48">
        <f t="shared" ref="AH75:AH126" si="27">MAX(B75:AF75)</f>
        <v>14.4</v>
      </c>
      <c r="AI75" s="49">
        <f t="shared" ref="AI75:AI126" si="28">MIN(B75:AF75)</f>
        <v>14.1</v>
      </c>
      <c r="AK75" s="51"/>
      <c r="AZ75" s="82">
        <f t="shared" si="26"/>
        <v>-517</v>
      </c>
      <c r="BA75" s="82">
        <f t="shared" si="26"/>
        <v>-520</v>
      </c>
      <c r="BB75" s="82">
        <f t="shared" si="26"/>
        <v>-519</v>
      </c>
      <c r="BC75" s="82">
        <f t="shared" si="26"/>
        <v>-465</v>
      </c>
      <c r="BD75" s="82">
        <f t="shared" si="26"/>
        <v>-390</v>
      </c>
      <c r="BE75" s="82">
        <f t="shared" si="26"/>
        <v>-300</v>
      </c>
      <c r="BF75" s="82">
        <f t="shared" si="26"/>
        <v>-230</v>
      </c>
      <c r="BG75" s="82">
        <f t="shared" si="26"/>
        <v>-332.7</v>
      </c>
      <c r="BH75" s="82">
        <f t="shared" si="26"/>
        <v>-391.4</v>
      </c>
      <c r="BI75" s="82">
        <f t="shared" si="26"/>
        <v>-318</v>
      </c>
      <c r="BJ75" s="82">
        <f t="shared" si="26"/>
        <v>-295.2</v>
      </c>
      <c r="BK75" s="82">
        <f t="shared" si="26"/>
        <v>-212</v>
      </c>
      <c r="BL75" s="82">
        <f t="shared" si="26"/>
        <v>0</v>
      </c>
      <c r="BM75" s="82">
        <f t="shared" si="26"/>
        <v>-282</v>
      </c>
      <c r="BN75" s="82">
        <f t="shared" si="26"/>
        <v>-191</v>
      </c>
      <c r="BO75" s="82">
        <f t="shared" si="26"/>
        <v>-191</v>
      </c>
      <c r="BP75" s="82">
        <f t="shared" si="26"/>
        <v>-283</v>
      </c>
      <c r="BQ75" s="82">
        <f t="shared" si="26"/>
        <v>-273</v>
      </c>
      <c r="BR75" s="82">
        <f t="shared" si="26"/>
        <v>-363</v>
      </c>
      <c r="BS75" s="82">
        <f t="shared" si="26"/>
        <v>-333</v>
      </c>
      <c r="BT75" s="82">
        <f t="shared" si="26"/>
        <v>-350</v>
      </c>
      <c r="BU75" s="82">
        <f t="shared" si="26"/>
        <v>-430</v>
      </c>
      <c r="BV75" s="82">
        <f t="shared" si="26"/>
        <v>425</v>
      </c>
      <c r="BW75" s="82">
        <f t="shared" si="26"/>
        <v>-508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/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7"/>
        <v>10</v>
      </c>
      <c r="AI76" s="49">
        <f t="shared" si="28"/>
        <v>10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/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7"/>
        <v>6</v>
      </c>
      <c r="AI77" s="49">
        <f t="shared" si="28"/>
        <v>6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>SUM(B66:B78)</f>
        <v>396.64</v>
      </c>
      <c r="C79" s="71">
        <f t="shared" ref="C79:AG79" si="29">SUM(C66:C78)</f>
        <v>398.04</v>
      </c>
      <c r="D79" s="71">
        <f>SUM(D66:D78)</f>
        <v>394.74</v>
      </c>
      <c r="E79" s="71">
        <f t="shared" si="29"/>
        <v>250.44000000000003</v>
      </c>
      <c r="F79" s="71">
        <f t="shared" si="29"/>
        <v>382.44</v>
      </c>
      <c r="G79" s="71">
        <f t="shared" si="29"/>
        <v>390.44</v>
      </c>
      <c r="H79" s="71">
        <f t="shared" si="29"/>
        <v>390.44</v>
      </c>
      <c r="I79" s="71">
        <f t="shared" si="29"/>
        <v>390.44</v>
      </c>
      <c r="J79" s="71">
        <f t="shared" si="29"/>
        <v>390.44</v>
      </c>
      <c r="K79" s="71">
        <f t="shared" si="29"/>
        <v>397.04</v>
      </c>
      <c r="L79" s="71">
        <f t="shared" si="29"/>
        <v>397.04</v>
      </c>
      <c r="M79" s="71">
        <f t="shared" si="29"/>
        <v>400.44</v>
      </c>
      <c r="N79" s="71">
        <f t="shared" si="29"/>
        <v>381.04</v>
      </c>
      <c r="O79" s="71">
        <f t="shared" si="29"/>
        <v>381.04</v>
      </c>
      <c r="P79" s="71">
        <f t="shared" si="29"/>
        <v>392.44</v>
      </c>
      <c r="Q79" s="71">
        <f t="shared" si="29"/>
        <v>395.84</v>
      </c>
      <c r="R79" s="71">
        <f t="shared" si="29"/>
        <v>3.54</v>
      </c>
      <c r="S79" s="71">
        <f t="shared" si="29"/>
        <v>395.54</v>
      </c>
      <c r="T79" s="71">
        <f t="shared" si="29"/>
        <v>395.54</v>
      </c>
      <c r="U79" s="71">
        <f t="shared" si="29"/>
        <v>395.54</v>
      </c>
      <c r="V79" s="71">
        <f t="shared" si="29"/>
        <v>395.54</v>
      </c>
      <c r="W79" s="71">
        <f t="shared" si="29"/>
        <v>395.54</v>
      </c>
      <c r="X79" s="71">
        <f t="shared" si="29"/>
        <v>395.54</v>
      </c>
      <c r="Y79" s="71">
        <f t="shared" si="29"/>
        <v>395.5</v>
      </c>
      <c r="Z79" s="71">
        <f t="shared" si="29"/>
        <v>387.7</v>
      </c>
      <c r="AA79" s="71">
        <f t="shared" si="29"/>
        <v>377.74</v>
      </c>
      <c r="AB79" s="71">
        <f t="shared" si="29"/>
        <v>395.14</v>
      </c>
      <c r="AC79" s="71">
        <f>SUM(AC66:AC78)</f>
        <v>395.14</v>
      </c>
      <c r="AD79" s="71">
        <f>SUM(AD66:AD78)</f>
        <v>395.14</v>
      </c>
      <c r="AE79" s="71">
        <f>SUM(AE66:AE78)</f>
        <v>385.54</v>
      </c>
      <c r="AF79" s="71">
        <f>SUM(AF66:AF78)</f>
        <v>385.54</v>
      </c>
      <c r="AG79" s="72">
        <f t="shared" si="29"/>
        <v>489.91</v>
      </c>
      <c r="AH79" s="48">
        <f t="shared" si="27"/>
        <v>400.44</v>
      </c>
      <c r="AI79" s="49">
        <f t="shared" si="28"/>
        <v>3.54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/>
      <c r="F80" s="46"/>
      <c r="G80" s="46"/>
      <c r="H80" s="46"/>
      <c r="I80" s="46"/>
      <c r="J80" s="46"/>
      <c r="K80" s="46">
        <v>10</v>
      </c>
      <c r="L80" s="46">
        <v>10</v>
      </c>
      <c r="M80" s="46">
        <v>10.6</v>
      </c>
      <c r="N80" s="46">
        <v>20.3</v>
      </c>
      <c r="O80" s="46">
        <v>10.9</v>
      </c>
      <c r="P80" s="46">
        <v>20.6</v>
      </c>
      <c r="Q80" s="46">
        <v>20.6</v>
      </c>
      <c r="R80" s="46"/>
      <c r="S80" s="46">
        <v>20.3</v>
      </c>
      <c r="T80" s="46">
        <v>20.3</v>
      </c>
      <c r="U80" s="46">
        <v>20.3</v>
      </c>
      <c r="V80" s="46">
        <v>20.3</v>
      </c>
      <c r="W80" s="46">
        <v>20.3</v>
      </c>
      <c r="X80" s="46">
        <v>20.3</v>
      </c>
      <c r="Y80" s="46">
        <v>20.3</v>
      </c>
      <c r="Z80" s="46">
        <v>20.3</v>
      </c>
      <c r="AA80" s="46">
        <v>20.3</v>
      </c>
      <c r="AB80" s="46">
        <v>20.3</v>
      </c>
      <c r="AC80" s="46">
        <v>20.3</v>
      </c>
      <c r="AD80" s="46">
        <v>20.3</v>
      </c>
      <c r="AE80" s="46">
        <v>20.3</v>
      </c>
      <c r="AF80" s="46">
        <v>20.3</v>
      </c>
      <c r="AG80" s="61">
        <v>60</v>
      </c>
      <c r="AH80" s="48">
        <f t="shared" si="27"/>
        <v>20.6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/>
      <c r="F81" s="76"/>
      <c r="G81" s="76"/>
      <c r="H81" s="76"/>
      <c r="I81" s="76"/>
      <c r="J81" s="76"/>
      <c r="K81" s="76">
        <v>5</v>
      </c>
      <c r="L81" s="76">
        <v>2.9</v>
      </c>
      <c r="M81" s="76">
        <v>2.9</v>
      </c>
      <c r="N81" s="76">
        <v>4.2</v>
      </c>
      <c r="O81" s="76">
        <v>4.9000000000000004</v>
      </c>
      <c r="P81" s="76">
        <v>8.1999999999999993</v>
      </c>
      <c r="Q81" s="76">
        <v>8.1999999999999993</v>
      </c>
      <c r="R81" s="76"/>
      <c r="S81" s="76">
        <v>9</v>
      </c>
      <c r="T81" s="76">
        <v>9</v>
      </c>
      <c r="U81" s="76">
        <v>9</v>
      </c>
      <c r="V81" s="76">
        <v>9</v>
      </c>
      <c r="W81" s="76">
        <v>9</v>
      </c>
      <c r="X81" s="76">
        <v>9</v>
      </c>
      <c r="Y81" s="76">
        <v>9</v>
      </c>
      <c r="Z81" s="76">
        <v>9</v>
      </c>
      <c r="AA81" s="76">
        <v>9</v>
      </c>
      <c r="AB81" s="76">
        <v>9</v>
      </c>
      <c r="AC81" s="76">
        <v>9</v>
      </c>
      <c r="AD81" s="76">
        <v>9</v>
      </c>
      <c r="AE81" s="76">
        <v>9</v>
      </c>
      <c r="AF81" s="76">
        <v>9</v>
      </c>
      <c r="AG81" s="66">
        <v>32</v>
      </c>
      <c r="AH81" s="48">
        <f t="shared" si="27"/>
        <v>9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/>
      <c r="F82" s="78"/>
      <c r="G82" s="78"/>
      <c r="H82" s="78"/>
      <c r="I82" s="78"/>
      <c r="J82" s="78"/>
      <c r="K82" s="78">
        <v>1.9</v>
      </c>
      <c r="L82" s="78">
        <v>1.1000000000000001</v>
      </c>
      <c r="M82" s="78">
        <v>1.1000000000000001</v>
      </c>
      <c r="N82" s="78">
        <v>1.5</v>
      </c>
      <c r="O82" s="78">
        <v>1.8</v>
      </c>
      <c r="P82" s="78">
        <v>3</v>
      </c>
      <c r="Q82" s="78">
        <v>3</v>
      </c>
      <c r="R82" s="78"/>
      <c r="S82" s="78">
        <v>3.3</v>
      </c>
      <c r="T82" s="78">
        <v>3.3</v>
      </c>
      <c r="U82" s="78">
        <v>3.3</v>
      </c>
      <c r="V82" s="78">
        <v>3.3</v>
      </c>
      <c r="W82" s="78">
        <v>3.3</v>
      </c>
      <c r="X82" s="78">
        <v>3.3</v>
      </c>
      <c r="Y82" s="78">
        <v>3.3</v>
      </c>
      <c r="Z82" s="78">
        <v>3.3</v>
      </c>
      <c r="AA82" s="78">
        <v>3.3</v>
      </c>
      <c r="AB82" s="78">
        <v>3.3</v>
      </c>
      <c r="AC82" s="78">
        <v>3.3</v>
      </c>
      <c r="AD82" s="78">
        <v>3.3</v>
      </c>
      <c r="AE82" s="78">
        <v>3.3</v>
      </c>
      <c r="AF82" s="78">
        <v>3.3</v>
      </c>
      <c r="AG82" s="79">
        <v>14</v>
      </c>
      <c r="AH82" s="48">
        <f t="shared" si="27"/>
        <v>3.3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-14</v>
      </c>
      <c r="BH82" s="82">
        <v>0</v>
      </c>
      <c r="BI82" s="82">
        <v>-517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0</v>
      </c>
      <c r="C83" s="71">
        <f t="shared" ref="C83:AB83" si="30">C80+C81+C82</f>
        <v>0</v>
      </c>
      <c r="D83" s="71">
        <f>D80+D81+D82</f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16.899999999999999</v>
      </c>
      <c r="L83" s="71">
        <f t="shared" si="30"/>
        <v>14</v>
      </c>
      <c r="M83" s="71">
        <f t="shared" si="30"/>
        <v>14.6</v>
      </c>
      <c r="N83" s="71">
        <f t="shared" si="30"/>
        <v>26</v>
      </c>
      <c r="O83" s="71">
        <f t="shared" si="30"/>
        <v>17.600000000000001</v>
      </c>
      <c r="P83" s="71">
        <f t="shared" si="30"/>
        <v>31.8</v>
      </c>
      <c r="Q83" s="71">
        <f t="shared" si="30"/>
        <v>31.8</v>
      </c>
      <c r="R83" s="71">
        <f t="shared" si="30"/>
        <v>0</v>
      </c>
      <c r="S83" s="71">
        <f t="shared" si="30"/>
        <v>32.6</v>
      </c>
      <c r="T83" s="71">
        <f t="shared" si="30"/>
        <v>32.6</v>
      </c>
      <c r="U83" s="71">
        <f t="shared" si="30"/>
        <v>32.6</v>
      </c>
      <c r="V83" s="71">
        <f t="shared" si="30"/>
        <v>32.6</v>
      </c>
      <c r="W83" s="71">
        <f t="shared" si="30"/>
        <v>32.6</v>
      </c>
      <c r="X83" s="71">
        <f t="shared" si="30"/>
        <v>32.6</v>
      </c>
      <c r="Y83" s="71">
        <f t="shared" si="30"/>
        <v>32.6</v>
      </c>
      <c r="Z83" s="71">
        <f t="shared" si="30"/>
        <v>32.6</v>
      </c>
      <c r="AA83" s="71">
        <f t="shared" si="30"/>
        <v>32.6</v>
      </c>
      <c r="AB83" s="71">
        <f t="shared" si="30"/>
        <v>32.6</v>
      </c>
      <c r="AC83" s="71">
        <f>AC80+AC81+AC82</f>
        <v>32.6</v>
      </c>
      <c r="AD83" s="71">
        <f>AD80+AD81+AD82</f>
        <v>32.6</v>
      </c>
      <c r="AE83" s="71">
        <f>AE80+AE81+AE82</f>
        <v>32.6</v>
      </c>
      <c r="AF83" s="71">
        <f>AF80+AF81+AF82</f>
        <v>32.6</v>
      </c>
      <c r="AG83" s="72">
        <f>SUM(AG80:AG82)</f>
        <v>106</v>
      </c>
      <c r="AH83" s="48">
        <f t="shared" si="27"/>
        <v>32.6</v>
      </c>
      <c r="AI83" s="49">
        <f t="shared" si="28"/>
        <v>0</v>
      </c>
      <c r="AK83" s="51"/>
      <c r="AY83" s="82"/>
      <c r="BF83" s="81"/>
      <c r="BG83" s="82">
        <v>-10.6</v>
      </c>
      <c r="BH83" s="82">
        <v>0</v>
      </c>
      <c r="BI83" s="82">
        <v>-520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-1.5</v>
      </c>
      <c r="C84" s="46">
        <v>-13.9</v>
      </c>
      <c r="D84" s="46">
        <v>-10.6</v>
      </c>
      <c r="E84" s="46">
        <v>-8.5</v>
      </c>
      <c r="F84" s="46">
        <v>-2</v>
      </c>
      <c r="G84" s="46">
        <v>-6</v>
      </c>
      <c r="H84" s="46">
        <v>-3</v>
      </c>
      <c r="I84" s="46">
        <v>-7</v>
      </c>
      <c r="J84" s="46">
        <v>-21</v>
      </c>
      <c r="K84" s="46">
        <v>29</v>
      </c>
      <c r="L84" s="46">
        <v>38</v>
      </c>
      <c r="M84" s="46">
        <v>36.4</v>
      </c>
      <c r="N84" s="46">
        <v>58.3</v>
      </c>
      <c r="O84" s="46">
        <v>61.7</v>
      </c>
      <c r="P84" s="46">
        <v>70.3</v>
      </c>
      <c r="Q84" s="46">
        <v>68.7</v>
      </c>
      <c r="R84" s="46"/>
      <c r="S84" s="46">
        <v>74.444000000000003</v>
      </c>
      <c r="T84" s="46">
        <v>70.7</v>
      </c>
      <c r="U84" s="46">
        <v>70.7</v>
      </c>
      <c r="V84" s="46">
        <v>65</v>
      </c>
      <c r="W84" s="46">
        <v>40.700000000000003</v>
      </c>
      <c r="X84" s="46">
        <v>44.5</v>
      </c>
      <c r="Y84" s="46">
        <v>44.5</v>
      </c>
      <c r="Z84" s="46">
        <v>16</v>
      </c>
      <c r="AA84" s="46">
        <v>20</v>
      </c>
      <c r="AB84" s="46">
        <v>29.8</v>
      </c>
      <c r="AC84" s="46">
        <v>29.8</v>
      </c>
      <c r="AD84" s="46">
        <v>26</v>
      </c>
      <c r="AE84" s="46">
        <v>40</v>
      </c>
      <c r="AF84" s="46">
        <v>20</v>
      </c>
      <c r="AG84" s="61"/>
      <c r="AH84" s="48">
        <f t="shared" si="27"/>
        <v>74.444000000000003</v>
      </c>
      <c r="AI84" s="49">
        <f t="shared" si="28"/>
        <v>-21</v>
      </c>
      <c r="AK84" s="51"/>
      <c r="AY84" s="82"/>
      <c r="BF84" s="81"/>
      <c r="BG84" s="82">
        <v>-8.5</v>
      </c>
      <c r="BH84" s="82">
        <v>0</v>
      </c>
      <c r="BI84" s="82">
        <v>-519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-2</v>
      </c>
      <c r="BH85" s="82">
        <v>0</v>
      </c>
      <c r="BI85" s="82">
        <v>-465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-508</v>
      </c>
      <c r="C86" s="76">
        <v>-516.6</v>
      </c>
      <c r="D86" s="76">
        <v>-520</v>
      </c>
      <c r="E86" s="76">
        <v>-519</v>
      </c>
      <c r="F86" s="76">
        <v>-465</v>
      </c>
      <c r="G86" s="76">
        <v>-390</v>
      </c>
      <c r="H86" s="76">
        <v>-386</v>
      </c>
      <c r="I86" s="76">
        <v>-300</v>
      </c>
      <c r="J86" s="76">
        <v>-280</v>
      </c>
      <c r="K86" s="76">
        <v>-230</v>
      </c>
      <c r="L86" s="76">
        <v>-140</v>
      </c>
      <c r="M86" s="76">
        <v>-332.7</v>
      </c>
      <c r="N86" s="76">
        <v>-391.4</v>
      </c>
      <c r="O86" s="76">
        <v>-318</v>
      </c>
      <c r="P86" s="76">
        <v>-295.2</v>
      </c>
      <c r="Q86" s="76">
        <v>-212</v>
      </c>
      <c r="R86" s="76"/>
      <c r="S86" s="76">
        <v>-282</v>
      </c>
      <c r="T86" s="76">
        <v>-191</v>
      </c>
      <c r="U86" s="76">
        <v>-191</v>
      </c>
      <c r="V86" s="76">
        <v>-283</v>
      </c>
      <c r="W86" s="76">
        <v>-276</v>
      </c>
      <c r="X86" s="76">
        <v>-273</v>
      </c>
      <c r="Y86" s="76">
        <v>-273</v>
      </c>
      <c r="Z86" s="76">
        <v>-363</v>
      </c>
      <c r="AA86" s="76">
        <v>-346</v>
      </c>
      <c r="AB86" s="76">
        <v>-333</v>
      </c>
      <c r="AC86" s="76">
        <v>-303</v>
      </c>
      <c r="AD86" s="76">
        <v>-350</v>
      </c>
      <c r="AE86" s="76">
        <v>-430</v>
      </c>
      <c r="AF86" s="76">
        <v>425</v>
      </c>
      <c r="AG86" s="88"/>
      <c r="AH86" s="48">
        <f t="shared" si="27"/>
        <v>425</v>
      </c>
      <c r="AI86" s="49">
        <f t="shared" si="28"/>
        <v>-520</v>
      </c>
      <c r="AK86" s="92"/>
      <c r="AL86" s="93"/>
      <c r="AM86" s="93"/>
      <c r="AN86" s="94"/>
      <c r="AY86" s="82"/>
      <c r="BF86" s="82"/>
      <c r="BG86" s="82">
        <v>-6</v>
      </c>
      <c r="BH86" s="82">
        <v>0</v>
      </c>
      <c r="BI86" s="82">
        <v>-390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-7</v>
      </c>
      <c r="BH87" s="82">
        <v>0</v>
      </c>
      <c r="BI87" s="82">
        <v>-300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29</v>
      </c>
      <c r="BH88" s="82">
        <v>0</v>
      </c>
      <c r="BI88" s="82">
        <v>-230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48.2</v>
      </c>
      <c r="C89" s="90">
        <v>48.9</v>
      </c>
      <c r="D89" s="90">
        <v>51.9</v>
      </c>
      <c r="E89" s="90">
        <v>52</v>
      </c>
      <c r="F89" s="90">
        <v>50</v>
      </c>
      <c r="G89" s="90">
        <v>51</v>
      </c>
      <c r="H89" s="90">
        <v>51</v>
      </c>
      <c r="I89" s="90">
        <v>51</v>
      </c>
      <c r="J89" s="90">
        <v>49</v>
      </c>
      <c r="K89" s="90">
        <v>45</v>
      </c>
      <c r="L89" s="90">
        <v>45.3</v>
      </c>
      <c r="M89" s="90">
        <v>42.1</v>
      </c>
      <c r="N89" s="90">
        <v>54.3</v>
      </c>
      <c r="O89" s="90">
        <v>45.2</v>
      </c>
      <c r="P89" s="90">
        <v>50.2</v>
      </c>
      <c r="Q89" s="90">
        <v>50.2</v>
      </c>
      <c r="R89" s="90"/>
      <c r="S89" s="90">
        <v>48.2</v>
      </c>
      <c r="T89" s="90">
        <v>52</v>
      </c>
      <c r="U89" s="90">
        <v>52</v>
      </c>
      <c r="V89" s="90">
        <v>56</v>
      </c>
      <c r="W89" s="90">
        <v>46.1</v>
      </c>
      <c r="X89" s="90">
        <v>47.4</v>
      </c>
      <c r="Y89" s="90">
        <v>47.4</v>
      </c>
      <c r="Z89" s="90">
        <v>44</v>
      </c>
      <c r="AA89" s="90">
        <v>44</v>
      </c>
      <c r="AB89" s="90">
        <v>43.6</v>
      </c>
      <c r="AC89" s="90">
        <v>43.6</v>
      </c>
      <c r="AD89" s="90">
        <v>43.6</v>
      </c>
      <c r="AE89" s="90">
        <v>47</v>
      </c>
      <c r="AF89" s="90">
        <v>53</v>
      </c>
      <c r="AG89" s="88"/>
      <c r="AH89" s="48">
        <f>MAX(B89:AF89)</f>
        <v>56</v>
      </c>
      <c r="AI89" s="49">
        <f t="shared" si="28"/>
        <v>42.1</v>
      </c>
      <c r="AK89" s="99"/>
      <c r="AL89" s="46"/>
      <c r="AM89" s="46"/>
      <c r="AN89" s="100"/>
      <c r="AY89" s="82"/>
      <c r="BF89" s="82"/>
      <c r="BG89" s="82">
        <v>36.4</v>
      </c>
      <c r="BH89" s="82">
        <v>0</v>
      </c>
      <c r="BI89" s="82">
        <v>-332.7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4"/>
      <c r="AY90" s="82"/>
      <c r="BF90" s="82"/>
      <c r="BG90" s="82">
        <v>58.3</v>
      </c>
      <c r="BH90" s="82">
        <v>0</v>
      </c>
      <c r="BI90" s="82">
        <v>-391.4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5"/>
      <c r="BF91" s="82"/>
      <c r="BG91" s="82">
        <v>61.7</v>
      </c>
      <c r="BH91" s="82">
        <v>0</v>
      </c>
      <c r="BI91" s="82">
        <v>-318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70.3</v>
      </c>
      <c r="BH92" s="82">
        <v>0</v>
      </c>
      <c r="BI92" s="82">
        <v>-295.2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68.7</v>
      </c>
      <c r="BH93" s="82">
        <v>0</v>
      </c>
      <c r="BI93" s="82">
        <v>-212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48.2</v>
      </c>
      <c r="C95" s="71">
        <f>SUMIF(C84:C94,"&gt;0")</f>
        <v>48.9</v>
      </c>
      <c r="D95" s="71">
        <f t="shared" ref="D95:AB95" si="31">SUMIF(D84:D94,"&gt;0")</f>
        <v>51.9</v>
      </c>
      <c r="E95" s="71">
        <f t="shared" si="31"/>
        <v>52</v>
      </c>
      <c r="F95" s="71">
        <f t="shared" si="31"/>
        <v>50</v>
      </c>
      <c r="G95" s="71">
        <f t="shared" si="31"/>
        <v>51</v>
      </c>
      <c r="H95" s="71">
        <f t="shared" si="31"/>
        <v>51</v>
      </c>
      <c r="I95" s="71">
        <f t="shared" si="31"/>
        <v>51</v>
      </c>
      <c r="J95" s="71">
        <f t="shared" si="31"/>
        <v>49</v>
      </c>
      <c r="K95" s="71">
        <f t="shared" si="31"/>
        <v>74</v>
      </c>
      <c r="L95" s="71">
        <f t="shared" si="31"/>
        <v>83.3</v>
      </c>
      <c r="M95" s="71">
        <f t="shared" si="31"/>
        <v>78.5</v>
      </c>
      <c r="N95" s="71">
        <f t="shared" si="31"/>
        <v>112.6</v>
      </c>
      <c r="O95" s="71">
        <f t="shared" si="31"/>
        <v>106.9</v>
      </c>
      <c r="P95" s="71">
        <f t="shared" si="31"/>
        <v>120.5</v>
      </c>
      <c r="Q95" s="71">
        <f t="shared" si="31"/>
        <v>118.9</v>
      </c>
      <c r="R95" s="71">
        <f t="shared" si="31"/>
        <v>0</v>
      </c>
      <c r="S95" s="71">
        <f t="shared" si="31"/>
        <v>122.64400000000001</v>
      </c>
      <c r="T95" s="71">
        <f t="shared" si="31"/>
        <v>122.7</v>
      </c>
      <c r="U95" s="71">
        <f>SUMIF(U84:U94,"&gt;0")</f>
        <v>122.7</v>
      </c>
      <c r="V95" s="71">
        <f t="shared" si="31"/>
        <v>121</v>
      </c>
      <c r="W95" s="71">
        <f t="shared" si="31"/>
        <v>86.800000000000011</v>
      </c>
      <c r="X95" s="71">
        <f t="shared" si="31"/>
        <v>91.9</v>
      </c>
      <c r="Y95" s="71">
        <f t="shared" si="31"/>
        <v>91.9</v>
      </c>
      <c r="Z95" s="71">
        <f t="shared" si="31"/>
        <v>60</v>
      </c>
      <c r="AA95" s="71">
        <f t="shared" si="31"/>
        <v>64</v>
      </c>
      <c r="AB95" s="71">
        <f t="shared" si="31"/>
        <v>73.400000000000006</v>
      </c>
      <c r="AC95" s="71">
        <f>SUMIF(AC84:AC94,"&gt;0")</f>
        <v>73.400000000000006</v>
      </c>
      <c r="AD95" s="71">
        <f>SUMIF(AD84:AD94,"&gt;0")</f>
        <v>69.599999999999994</v>
      </c>
      <c r="AE95" s="71">
        <f>SUMIF(AE84:AE94,"&gt;0")</f>
        <v>87</v>
      </c>
      <c r="AF95" s="71">
        <f>SUMIF(AF84:AF94,"&gt;0")</f>
        <v>498</v>
      </c>
      <c r="AG95" s="101">
        <f>SUM(AG84:AG94)</f>
        <v>0</v>
      </c>
      <c r="AH95" s="48">
        <f t="shared" si="27"/>
        <v>498</v>
      </c>
      <c r="AI95" s="49">
        <f t="shared" si="28"/>
        <v>0</v>
      </c>
      <c r="BF95" s="82"/>
      <c r="BG95" s="82">
        <v>74.444000000000003</v>
      </c>
      <c r="BH95" s="82">
        <v>0</v>
      </c>
      <c r="BI95" s="82">
        <v>-282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70.7</v>
      </c>
      <c r="BH96" s="82">
        <v>0</v>
      </c>
      <c r="BI96" s="82">
        <v>-191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70.7</v>
      </c>
      <c r="BH97" s="82">
        <v>0</v>
      </c>
      <c r="BI97" s="82">
        <v>-191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65</v>
      </c>
      <c r="BH98" s="82">
        <v>0</v>
      </c>
      <c r="BI98" s="82">
        <v>-283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44.5</v>
      </c>
      <c r="BH99" s="82">
        <v>0</v>
      </c>
      <c r="BI99" s="82">
        <v>-273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2101.14</v>
      </c>
      <c r="C100" s="108">
        <f t="shared" ref="C100:AG100" si="32">C61+C65+C83+C79+C95+C99</f>
        <v>2088.94</v>
      </c>
      <c r="D100" s="108">
        <f t="shared" si="32"/>
        <v>2097.44</v>
      </c>
      <c r="E100" s="108">
        <f t="shared" si="32"/>
        <v>1954.54</v>
      </c>
      <c r="F100" s="108">
        <f t="shared" si="32"/>
        <v>1977.5400000000002</v>
      </c>
      <c r="G100" s="108">
        <f t="shared" si="32"/>
        <v>1792.6399999999999</v>
      </c>
      <c r="H100" s="108">
        <f t="shared" si="32"/>
        <v>1796.04</v>
      </c>
      <c r="I100" s="108">
        <f t="shared" si="32"/>
        <v>1719.44</v>
      </c>
      <c r="J100" s="108">
        <f t="shared" si="32"/>
        <v>1717.44</v>
      </c>
      <c r="K100" s="108">
        <f t="shared" si="32"/>
        <v>1766.94</v>
      </c>
      <c r="L100" s="108">
        <f t="shared" si="32"/>
        <v>1776.14</v>
      </c>
      <c r="M100" s="108">
        <f t="shared" si="32"/>
        <v>1852.44</v>
      </c>
      <c r="N100" s="108">
        <f t="shared" si="32"/>
        <v>2175.14</v>
      </c>
      <c r="O100" s="108">
        <f t="shared" si="32"/>
        <v>2161.04</v>
      </c>
      <c r="P100" s="108">
        <f t="shared" si="32"/>
        <v>2200.2399999999998</v>
      </c>
      <c r="Q100" s="108">
        <f t="shared" si="32"/>
        <v>2106.04</v>
      </c>
      <c r="R100" s="108">
        <f t="shared" si="32"/>
        <v>3.54</v>
      </c>
      <c r="S100" s="108">
        <f t="shared" si="32"/>
        <v>2048.8220000000001</v>
      </c>
      <c r="T100" s="108">
        <f t="shared" si="32"/>
        <v>2048.8779999999997</v>
      </c>
      <c r="U100" s="108">
        <f t="shared" si="32"/>
        <v>2048.8779999999997</v>
      </c>
      <c r="V100" s="108">
        <f t="shared" si="32"/>
        <v>2077.1779999999999</v>
      </c>
      <c r="W100" s="108">
        <f t="shared" si="32"/>
        <v>2010.578</v>
      </c>
      <c r="X100" s="108">
        <f t="shared" si="32"/>
        <v>2015.6780000000001</v>
      </c>
      <c r="Y100" s="108">
        <f t="shared" si="32"/>
        <v>2015.6380000000001</v>
      </c>
      <c r="Z100" s="108">
        <f t="shared" si="32"/>
        <v>2017.6380000000001</v>
      </c>
      <c r="AA100" s="108">
        <f t="shared" si="32"/>
        <v>2007.6780000000001</v>
      </c>
      <c r="AB100" s="108">
        <f t="shared" si="32"/>
        <v>2034.4780000000001</v>
      </c>
      <c r="AC100" s="108">
        <f>AC61+AC65+AC83+AC79+AC95+AC99</f>
        <v>2055.9780000000001</v>
      </c>
      <c r="AD100" s="108">
        <f>AD61+AD65+AD83+AD79+AD95+AD99</f>
        <v>2069.1779999999999</v>
      </c>
      <c r="AE100" s="108">
        <f>AE61+AE65+AE83+AE79+AE95+AE99</f>
        <v>2076.9780000000001</v>
      </c>
      <c r="AF100" s="108">
        <f>AF61+AF65+AF83+AF79+AF95+AF99</f>
        <v>2501.9780000000001</v>
      </c>
      <c r="AG100" s="72">
        <f t="shared" si="32"/>
        <v>2655.44</v>
      </c>
      <c r="AH100" s="48">
        <f t="shared" si="27"/>
        <v>2501.9780000000001</v>
      </c>
      <c r="AI100" s="49">
        <f t="shared" si="28"/>
        <v>3.54</v>
      </c>
      <c r="BF100" s="81"/>
      <c r="BG100" s="82">
        <v>16</v>
      </c>
      <c r="BH100" s="82">
        <v>0</v>
      </c>
      <c r="BI100" s="82">
        <v>-363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200</v>
      </c>
      <c r="C101" s="110">
        <v>150</v>
      </c>
      <c r="D101" s="110">
        <v>100</v>
      </c>
      <c r="E101" s="110">
        <v>100</v>
      </c>
      <c r="F101" s="110">
        <v>100</v>
      </c>
      <c r="G101" s="110">
        <v>210</v>
      </c>
      <c r="H101" s="110">
        <v>210</v>
      </c>
      <c r="I101" s="110">
        <v>180</v>
      </c>
      <c r="J101" s="110">
        <v>180</v>
      </c>
      <c r="K101" s="110">
        <v>80</v>
      </c>
      <c r="L101" s="110">
        <v>50</v>
      </c>
      <c r="M101" s="110">
        <v>250</v>
      </c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100</v>
      </c>
      <c r="Z101" s="110">
        <v>100</v>
      </c>
      <c r="AA101" s="110">
        <v>100</v>
      </c>
      <c r="AB101" s="110">
        <v>200</v>
      </c>
      <c r="AC101" s="110">
        <v>200</v>
      </c>
      <c r="AD101" s="110">
        <v>200</v>
      </c>
      <c r="AE101" s="110">
        <v>200</v>
      </c>
      <c r="AF101" s="110">
        <v>201</v>
      </c>
      <c r="AG101" s="101"/>
      <c r="AH101" s="48">
        <f t="shared" si="27"/>
        <v>250</v>
      </c>
      <c r="AI101" s="49">
        <f t="shared" si="28"/>
        <v>50</v>
      </c>
      <c r="BF101" s="81"/>
      <c r="BG101" s="82">
        <v>29.8</v>
      </c>
      <c r="BH101" s="82">
        <v>0</v>
      </c>
      <c r="BI101" s="82">
        <v>-333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2301.14</v>
      </c>
      <c r="C102" s="108">
        <f t="shared" ref="C102:AB102" si="33">C100+C101</f>
        <v>2238.94</v>
      </c>
      <c r="D102" s="108">
        <f t="shared" si="33"/>
        <v>2197.44</v>
      </c>
      <c r="E102" s="108">
        <f t="shared" si="33"/>
        <v>2054.54</v>
      </c>
      <c r="F102" s="108">
        <f t="shared" si="33"/>
        <v>2077.54</v>
      </c>
      <c r="G102" s="108">
        <f t="shared" si="33"/>
        <v>2002.6399999999999</v>
      </c>
      <c r="H102" s="108">
        <f t="shared" si="33"/>
        <v>2006.04</v>
      </c>
      <c r="I102" s="108">
        <f t="shared" si="33"/>
        <v>1899.44</v>
      </c>
      <c r="J102" s="108">
        <f t="shared" si="33"/>
        <v>1897.44</v>
      </c>
      <c r="K102" s="108">
        <f t="shared" si="33"/>
        <v>1846.94</v>
      </c>
      <c r="L102" s="108">
        <f t="shared" si="33"/>
        <v>1826.14</v>
      </c>
      <c r="M102" s="108">
        <f t="shared" si="33"/>
        <v>2102.44</v>
      </c>
      <c r="N102" s="108">
        <f t="shared" si="33"/>
        <v>2175.14</v>
      </c>
      <c r="O102" s="108">
        <f t="shared" si="33"/>
        <v>2161.04</v>
      </c>
      <c r="P102" s="108">
        <f t="shared" si="33"/>
        <v>2200.2399999999998</v>
      </c>
      <c r="Q102" s="108">
        <f t="shared" si="33"/>
        <v>2106.04</v>
      </c>
      <c r="R102" s="108">
        <f t="shared" si="33"/>
        <v>3.54</v>
      </c>
      <c r="S102" s="108">
        <f t="shared" si="33"/>
        <v>2048.8220000000001</v>
      </c>
      <c r="T102" s="108">
        <f t="shared" si="33"/>
        <v>2048.8779999999997</v>
      </c>
      <c r="U102" s="108">
        <f t="shared" si="33"/>
        <v>2048.8779999999997</v>
      </c>
      <c r="V102" s="108">
        <f t="shared" si="33"/>
        <v>2077.1779999999999</v>
      </c>
      <c r="W102" s="108">
        <f t="shared" si="33"/>
        <v>2010.578</v>
      </c>
      <c r="X102" s="108">
        <f t="shared" si="33"/>
        <v>2015.6780000000001</v>
      </c>
      <c r="Y102" s="108">
        <f t="shared" si="33"/>
        <v>2115.6379999999999</v>
      </c>
      <c r="Z102" s="108">
        <f t="shared" si="33"/>
        <v>2117.6379999999999</v>
      </c>
      <c r="AA102" s="108">
        <f t="shared" si="33"/>
        <v>2107.6779999999999</v>
      </c>
      <c r="AB102" s="108">
        <f t="shared" si="33"/>
        <v>2234.4780000000001</v>
      </c>
      <c r="AC102" s="108">
        <f>AC100+AC101</f>
        <v>2255.9780000000001</v>
      </c>
      <c r="AD102" s="108">
        <f>AD100+AD101</f>
        <v>2269.1779999999999</v>
      </c>
      <c r="AE102" s="108">
        <f>AE100+AE101</f>
        <v>2276.9780000000001</v>
      </c>
      <c r="AF102" s="108">
        <f>AF100+AF101</f>
        <v>2702.9780000000001</v>
      </c>
      <c r="AG102" s="101">
        <f>AG99+AG95+AG83+AG79+AG61+AG101</f>
        <v>2117.34</v>
      </c>
      <c r="AH102" s="48">
        <f t="shared" si="27"/>
        <v>2702.9780000000001</v>
      </c>
      <c r="AI102" s="49">
        <f t="shared" si="28"/>
        <v>3.54</v>
      </c>
      <c r="BF102" s="81"/>
      <c r="BG102" s="82">
        <v>26</v>
      </c>
      <c r="BH102" s="82">
        <v>0</v>
      </c>
      <c r="BI102" s="82">
        <v>-350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1791.6399999999999</v>
      </c>
      <c r="C103" s="108">
        <f t="shared" ref="C103:AB103" si="34">C102-(C110)</f>
        <v>1708.44</v>
      </c>
      <c r="D103" s="108">
        <f t="shared" si="34"/>
        <v>1666.8400000000001</v>
      </c>
      <c r="E103" s="108">
        <f t="shared" si="34"/>
        <v>1527.04</v>
      </c>
      <c r="F103" s="108">
        <f t="shared" si="34"/>
        <v>1610.54</v>
      </c>
      <c r="G103" s="108">
        <f t="shared" si="34"/>
        <v>1606.6399999999999</v>
      </c>
      <c r="H103" s="108">
        <f t="shared" si="34"/>
        <v>1617.04</v>
      </c>
      <c r="I103" s="108">
        <f t="shared" si="34"/>
        <v>1592.44</v>
      </c>
      <c r="J103" s="108">
        <f t="shared" si="34"/>
        <v>1596.44</v>
      </c>
      <c r="K103" s="108">
        <f t="shared" si="34"/>
        <v>1616.94</v>
      </c>
      <c r="L103" s="108">
        <f t="shared" si="34"/>
        <v>1686.14</v>
      </c>
      <c r="M103" s="108">
        <f t="shared" si="34"/>
        <v>1769.74</v>
      </c>
      <c r="N103" s="108">
        <f t="shared" si="34"/>
        <v>1783.7399999999998</v>
      </c>
      <c r="O103" s="108">
        <f t="shared" si="34"/>
        <v>1843.04</v>
      </c>
      <c r="P103" s="108">
        <f t="shared" si="34"/>
        <v>1905.0399999999997</v>
      </c>
      <c r="Q103" s="108">
        <f t="shared" si="34"/>
        <v>1894.04</v>
      </c>
      <c r="R103" s="108">
        <f t="shared" si="34"/>
        <v>3.54</v>
      </c>
      <c r="S103" s="108">
        <f t="shared" si="34"/>
        <v>1766.8220000000001</v>
      </c>
      <c r="T103" s="108">
        <f t="shared" si="34"/>
        <v>1857.8779999999997</v>
      </c>
      <c r="U103" s="108">
        <f t="shared" si="34"/>
        <v>1857.8779999999997</v>
      </c>
      <c r="V103" s="108">
        <f t="shared" si="34"/>
        <v>1794.1779999999999</v>
      </c>
      <c r="W103" s="108">
        <f t="shared" si="34"/>
        <v>1734.578</v>
      </c>
      <c r="X103" s="108">
        <f t="shared" si="34"/>
        <v>1742.6780000000001</v>
      </c>
      <c r="Y103" s="108">
        <f t="shared" si="34"/>
        <v>1842.6379999999999</v>
      </c>
      <c r="Z103" s="108">
        <f t="shared" si="34"/>
        <v>1754.6379999999999</v>
      </c>
      <c r="AA103" s="108">
        <f t="shared" si="34"/>
        <v>1761.6779999999999</v>
      </c>
      <c r="AB103" s="108">
        <f t="shared" si="34"/>
        <v>1901.4780000000001</v>
      </c>
      <c r="AC103" s="108">
        <f>AC102-(AC110)</f>
        <v>1952.9780000000001</v>
      </c>
      <c r="AD103" s="108">
        <f>AD102-(AD110)</f>
        <v>1919.1779999999999</v>
      </c>
      <c r="AE103" s="108">
        <f>AE102-(AE110)</f>
        <v>1846.9780000000001</v>
      </c>
      <c r="AF103" s="108">
        <f>AF102-(AF110)</f>
        <v>2702.9780000000001</v>
      </c>
      <c r="AG103" s="101"/>
      <c r="AH103" s="48">
        <f t="shared" si="27"/>
        <v>2702.9780000000001</v>
      </c>
      <c r="AI103" s="49">
        <f t="shared" si="28"/>
        <v>3.54</v>
      </c>
      <c r="BF103" s="81"/>
      <c r="BG103" s="82">
        <v>40</v>
      </c>
      <c r="BH103" s="82">
        <v>0</v>
      </c>
      <c r="BI103" s="82">
        <v>-430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5">IF(B84&lt;0,B84*-1,0)</f>
        <v>1.5</v>
      </c>
      <c r="C104" s="89">
        <f t="shared" ref="C104:AB109" si="36">IF(C84&lt;0,C84*-1,0)</f>
        <v>13.9</v>
      </c>
      <c r="D104" s="89">
        <f t="shared" si="36"/>
        <v>10.6</v>
      </c>
      <c r="E104" s="89">
        <f t="shared" si="36"/>
        <v>8.5</v>
      </c>
      <c r="F104" s="89">
        <f t="shared" si="36"/>
        <v>2</v>
      </c>
      <c r="G104" s="89">
        <f t="shared" si="36"/>
        <v>6</v>
      </c>
      <c r="H104" s="89">
        <f t="shared" si="36"/>
        <v>3</v>
      </c>
      <c r="I104" s="89">
        <f t="shared" si="36"/>
        <v>7</v>
      </c>
      <c r="J104" s="89">
        <f t="shared" si="36"/>
        <v>21</v>
      </c>
      <c r="K104" s="89">
        <f t="shared" si="36"/>
        <v>0</v>
      </c>
      <c r="L104" s="89">
        <f t="shared" si="36"/>
        <v>0</v>
      </c>
      <c r="M104" s="89">
        <f t="shared" si="36"/>
        <v>0</v>
      </c>
      <c r="N104" s="89">
        <f t="shared" si="36"/>
        <v>0</v>
      </c>
      <c r="O104" s="89">
        <f t="shared" si="36"/>
        <v>0</v>
      </c>
      <c r="P104" s="89">
        <f t="shared" si="36"/>
        <v>0</v>
      </c>
      <c r="Q104" s="89">
        <f t="shared" si="36"/>
        <v>0</v>
      </c>
      <c r="R104" s="89">
        <f t="shared" si="36"/>
        <v>0</v>
      </c>
      <c r="S104" s="89">
        <f t="shared" si="36"/>
        <v>0</v>
      </c>
      <c r="T104" s="89">
        <f t="shared" si="36"/>
        <v>0</v>
      </c>
      <c r="U104" s="89">
        <f t="shared" si="36"/>
        <v>0</v>
      </c>
      <c r="V104" s="89">
        <f t="shared" si="36"/>
        <v>0</v>
      </c>
      <c r="W104" s="89">
        <f t="shared" si="36"/>
        <v>0</v>
      </c>
      <c r="X104" s="89">
        <f t="shared" si="36"/>
        <v>0</v>
      </c>
      <c r="Y104" s="89">
        <f t="shared" si="36"/>
        <v>0</v>
      </c>
      <c r="Z104" s="89">
        <f t="shared" si="36"/>
        <v>0</v>
      </c>
      <c r="AA104" s="89">
        <f t="shared" si="36"/>
        <v>0</v>
      </c>
      <c r="AB104" s="89">
        <f t="shared" si="36"/>
        <v>0</v>
      </c>
      <c r="AC104" s="89">
        <f t="shared" ref="AC104:AF109" si="37">IF(AC84&lt;0,AC84*-1,0)</f>
        <v>0</v>
      </c>
      <c r="AD104" s="89">
        <f t="shared" si="37"/>
        <v>0</v>
      </c>
      <c r="AE104" s="89">
        <f t="shared" si="37"/>
        <v>0</v>
      </c>
      <c r="AF104" s="89">
        <f t="shared" si="37"/>
        <v>0</v>
      </c>
      <c r="AG104" s="61"/>
      <c r="AH104" s="48">
        <f t="shared" si="27"/>
        <v>21</v>
      </c>
      <c r="AI104" s="49">
        <f t="shared" si="28"/>
        <v>0</v>
      </c>
      <c r="BG104" s="82">
        <v>20</v>
      </c>
      <c r="BH104" s="82">
        <v>0</v>
      </c>
      <c r="BI104" s="82">
        <v>425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5"/>
        <v>0</v>
      </c>
      <c r="C105" s="89">
        <f t="shared" ref="C105:Q105" si="38">IF(C85&lt;0,C85*-1,0)</f>
        <v>0</v>
      </c>
      <c r="D105" s="89">
        <f t="shared" si="38"/>
        <v>0</v>
      </c>
      <c r="E105" s="89">
        <f t="shared" si="38"/>
        <v>0</v>
      </c>
      <c r="F105" s="89">
        <f t="shared" si="38"/>
        <v>0</v>
      </c>
      <c r="G105" s="89">
        <f t="shared" si="38"/>
        <v>0</v>
      </c>
      <c r="H105" s="89">
        <f t="shared" si="38"/>
        <v>0</v>
      </c>
      <c r="I105" s="89">
        <f t="shared" si="38"/>
        <v>0</v>
      </c>
      <c r="J105" s="89">
        <f t="shared" si="38"/>
        <v>0</v>
      </c>
      <c r="K105" s="89">
        <f t="shared" si="38"/>
        <v>0</v>
      </c>
      <c r="L105" s="89">
        <f t="shared" si="38"/>
        <v>0</v>
      </c>
      <c r="M105" s="89">
        <f t="shared" si="38"/>
        <v>0</v>
      </c>
      <c r="N105" s="89">
        <f t="shared" si="38"/>
        <v>0</v>
      </c>
      <c r="O105" s="89">
        <f t="shared" si="38"/>
        <v>0</v>
      </c>
      <c r="P105" s="89">
        <f t="shared" si="38"/>
        <v>0</v>
      </c>
      <c r="Q105" s="89">
        <f t="shared" si="38"/>
        <v>0</v>
      </c>
      <c r="R105" s="89">
        <f t="shared" si="36"/>
        <v>0</v>
      </c>
      <c r="S105" s="89">
        <f t="shared" si="36"/>
        <v>0</v>
      </c>
      <c r="T105" s="89">
        <f t="shared" si="36"/>
        <v>0</v>
      </c>
      <c r="U105" s="89">
        <f t="shared" si="36"/>
        <v>0</v>
      </c>
      <c r="V105" s="89">
        <f t="shared" si="36"/>
        <v>0</v>
      </c>
      <c r="W105" s="89">
        <f t="shared" si="36"/>
        <v>0</v>
      </c>
      <c r="X105" s="89">
        <f t="shared" si="36"/>
        <v>0</v>
      </c>
      <c r="Y105" s="89">
        <f t="shared" si="36"/>
        <v>0</v>
      </c>
      <c r="Z105" s="89">
        <f t="shared" si="36"/>
        <v>0</v>
      </c>
      <c r="AA105" s="89">
        <f t="shared" si="36"/>
        <v>0</v>
      </c>
      <c r="AB105" s="89">
        <f t="shared" si="36"/>
        <v>0</v>
      </c>
      <c r="AC105" s="89">
        <f t="shared" si="37"/>
        <v>0</v>
      </c>
      <c r="AD105" s="89">
        <f t="shared" si="37"/>
        <v>0</v>
      </c>
      <c r="AE105" s="89">
        <f t="shared" si="37"/>
        <v>0</v>
      </c>
      <c r="AF105" s="89">
        <f t="shared" si="37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-1.5</v>
      </c>
      <c r="BH105" s="82">
        <v>0</v>
      </c>
      <c r="BI105" s="82">
        <v>-508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5"/>
        <v>508</v>
      </c>
      <c r="C106" s="89">
        <f t="shared" si="36"/>
        <v>516.6</v>
      </c>
      <c r="D106" s="89">
        <f t="shared" si="36"/>
        <v>520</v>
      </c>
      <c r="E106" s="89">
        <f t="shared" si="36"/>
        <v>519</v>
      </c>
      <c r="F106" s="89">
        <f t="shared" si="36"/>
        <v>465</v>
      </c>
      <c r="G106" s="89">
        <f t="shared" si="36"/>
        <v>390</v>
      </c>
      <c r="H106" s="89">
        <f t="shared" si="36"/>
        <v>386</v>
      </c>
      <c r="I106" s="89">
        <f t="shared" si="36"/>
        <v>300</v>
      </c>
      <c r="J106" s="89">
        <f t="shared" si="36"/>
        <v>280</v>
      </c>
      <c r="K106" s="89">
        <f t="shared" si="36"/>
        <v>230</v>
      </c>
      <c r="L106" s="89">
        <f t="shared" si="36"/>
        <v>140</v>
      </c>
      <c r="M106" s="89">
        <f t="shared" si="36"/>
        <v>332.7</v>
      </c>
      <c r="N106" s="89">
        <f t="shared" si="36"/>
        <v>391.4</v>
      </c>
      <c r="O106" s="89">
        <f t="shared" si="36"/>
        <v>318</v>
      </c>
      <c r="P106" s="89">
        <f t="shared" si="36"/>
        <v>295.2</v>
      </c>
      <c r="Q106" s="89">
        <f t="shared" si="36"/>
        <v>212</v>
      </c>
      <c r="R106" s="89">
        <f t="shared" si="36"/>
        <v>0</v>
      </c>
      <c r="S106" s="89">
        <f t="shared" si="36"/>
        <v>282</v>
      </c>
      <c r="T106" s="89">
        <f t="shared" si="36"/>
        <v>191</v>
      </c>
      <c r="U106" s="89">
        <f t="shared" si="36"/>
        <v>191</v>
      </c>
      <c r="V106" s="89">
        <f t="shared" si="36"/>
        <v>283</v>
      </c>
      <c r="W106" s="89">
        <f t="shared" si="36"/>
        <v>276</v>
      </c>
      <c r="X106" s="89">
        <f t="shared" si="36"/>
        <v>273</v>
      </c>
      <c r="Y106" s="89">
        <f t="shared" si="36"/>
        <v>273</v>
      </c>
      <c r="Z106" s="89">
        <f t="shared" si="36"/>
        <v>363</v>
      </c>
      <c r="AA106" s="89">
        <f t="shared" si="36"/>
        <v>346</v>
      </c>
      <c r="AB106" s="89">
        <f t="shared" si="36"/>
        <v>333</v>
      </c>
      <c r="AC106" s="89">
        <f t="shared" si="37"/>
        <v>303</v>
      </c>
      <c r="AD106" s="89">
        <f t="shared" si="37"/>
        <v>350</v>
      </c>
      <c r="AE106" s="89">
        <f t="shared" si="37"/>
        <v>430</v>
      </c>
      <c r="AF106" s="89">
        <f t="shared" si="37"/>
        <v>0</v>
      </c>
      <c r="AG106" s="111"/>
      <c r="AH106" s="48">
        <f t="shared" si="27"/>
        <v>520</v>
      </c>
      <c r="AI106" s="49">
        <f t="shared" si="28"/>
        <v>0</v>
      </c>
    </row>
    <row r="107" spans="1:64" x14ac:dyDescent="0.25">
      <c r="A107" s="97" t="s">
        <v>107</v>
      </c>
      <c r="B107" s="89">
        <f t="shared" si="35"/>
        <v>0</v>
      </c>
      <c r="C107" s="89">
        <f t="shared" si="36"/>
        <v>0</v>
      </c>
      <c r="D107" s="89">
        <f t="shared" si="36"/>
        <v>0</v>
      </c>
      <c r="E107" s="89">
        <f t="shared" si="36"/>
        <v>0</v>
      </c>
      <c r="F107" s="89">
        <f t="shared" si="36"/>
        <v>0</v>
      </c>
      <c r="G107" s="89">
        <f t="shared" si="36"/>
        <v>0</v>
      </c>
      <c r="H107" s="89">
        <f t="shared" si="36"/>
        <v>0</v>
      </c>
      <c r="I107" s="89">
        <f t="shared" si="36"/>
        <v>0</v>
      </c>
      <c r="J107" s="89">
        <f t="shared" si="36"/>
        <v>0</v>
      </c>
      <c r="K107" s="89">
        <f t="shared" si="36"/>
        <v>0</v>
      </c>
      <c r="L107" s="89">
        <f t="shared" si="36"/>
        <v>0</v>
      </c>
      <c r="M107" s="89">
        <f t="shared" si="36"/>
        <v>0</v>
      </c>
      <c r="N107" s="89">
        <f t="shared" si="36"/>
        <v>0</v>
      </c>
      <c r="O107" s="89">
        <f t="shared" si="36"/>
        <v>0</v>
      </c>
      <c r="P107" s="89">
        <f t="shared" si="36"/>
        <v>0</v>
      </c>
      <c r="Q107" s="89">
        <f t="shared" si="36"/>
        <v>0</v>
      </c>
      <c r="R107" s="89">
        <f t="shared" si="36"/>
        <v>0</v>
      </c>
      <c r="S107" s="89">
        <f t="shared" si="36"/>
        <v>0</v>
      </c>
      <c r="T107" s="89">
        <f t="shared" si="36"/>
        <v>0</v>
      </c>
      <c r="U107" s="89">
        <f t="shared" si="36"/>
        <v>0</v>
      </c>
      <c r="V107" s="89">
        <f t="shared" si="36"/>
        <v>0</v>
      </c>
      <c r="W107" s="89">
        <f t="shared" si="36"/>
        <v>0</v>
      </c>
      <c r="X107" s="89">
        <f t="shared" si="36"/>
        <v>0</v>
      </c>
      <c r="Y107" s="89">
        <f t="shared" si="36"/>
        <v>0</v>
      </c>
      <c r="Z107" s="89">
        <f t="shared" si="36"/>
        <v>0</v>
      </c>
      <c r="AA107" s="89">
        <f t="shared" si="36"/>
        <v>0</v>
      </c>
      <c r="AB107" s="89">
        <f t="shared" si="36"/>
        <v>0</v>
      </c>
      <c r="AC107" s="89">
        <f t="shared" si="37"/>
        <v>0</v>
      </c>
      <c r="AD107" s="89">
        <f t="shared" si="37"/>
        <v>0</v>
      </c>
      <c r="AE107" s="89">
        <f t="shared" si="37"/>
        <v>0</v>
      </c>
      <c r="AF107" s="89">
        <f t="shared" si="37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35"/>
        <v>0</v>
      </c>
      <c r="C108" s="89">
        <f t="shared" si="36"/>
        <v>0</v>
      </c>
      <c r="D108" s="89">
        <f t="shared" si="36"/>
        <v>0</v>
      </c>
      <c r="E108" s="89">
        <f t="shared" si="36"/>
        <v>0</v>
      </c>
      <c r="F108" s="89">
        <f t="shared" si="36"/>
        <v>0</v>
      </c>
      <c r="G108" s="89">
        <f t="shared" si="36"/>
        <v>0</v>
      </c>
      <c r="H108" s="89">
        <f t="shared" si="36"/>
        <v>0</v>
      </c>
      <c r="I108" s="89">
        <f t="shared" si="36"/>
        <v>0</v>
      </c>
      <c r="J108" s="89">
        <f t="shared" si="36"/>
        <v>0</v>
      </c>
      <c r="K108" s="89">
        <f t="shared" si="36"/>
        <v>0</v>
      </c>
      <c r="L108" s="89">
        <f t="shared" si="36"/>
        <v>0</v>
      </c>
      <c r="M108" s="89">
        <f t="shared" si="36"/>
        <v>0</v>
      </c>
      <c r="N108" s="89">
        <f t="shared" si="36"/>
        <v>0</v>
      </c>
      <c r="O108" s="89">
        <f t="shared" si="36"/>
        <v>0</v>
      </c>
      <c r="P108" s="89">
        <f t="shared" si="36"/>
        <v>0</v>
      </c>
      <c r="Q108" s="89">
        <f t="shared" si="36"/>
        <v>0</v>
      </c>
      <c r="R108" s="89">
        <f t="shared" si="36"/>
        <v>0</v>
      </c>
      <c r="S108" s="89">
        <f t="shared" si="36"/>
        <v>0</v>
      </c>
      <c r="T108" s="89">
        <f t="shared" si="36"/>
        <v>0</v>
      </c>
      <c r="U108" s="89">
        <f t="shared" si="36"/>
        <v>0</v>
      </c>
      <c r="V108" s="89">
        <f t="shared" si="36"/>
        <v>0</v>
      </c>
      <c r="W108" s="89">
        <f t="shared" si="36"/>
        <v>0</v>
      </c>
      <c r="X108" s="89">
        <f t="shared" si="36"/>
        <v>0</v>
      </c>
      <c r="Y108" s="89">
        <f t="shared" si="36"/>
        <v>0</v>
      </c>
      <c r="Z108" s="89">
        <f t="shared" si="36"/>
        <v>0</v>
      </c>
      <c r="AA108" s="89">
        <f t="shared" si="36"/>
        <v>0</v>
      </c>
      <c r="AB108" s="89">
        <f t="shared" si="36"/>
        <v>0</v>
      </c>
      <c r="AC108" s="89">
        <f t="shared" si="37"/>
        <v>0</v>
      </c>
      <c r="AD108" s="89">
        <f t="shared" si="37"/>
        <v>0</v>
      </c>
      <c r="AE108" s="89">
        <f t="shared" si="37"/>
        <v>0</v>
      </c>
      <c r="AF108" s="89">
        <f t="shared" si="37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35"/>
        <v>0</v>
      </c>
      <c r="C109" s="89">
        <f t="shared" si="36"/>
        <v>0</v>
      </c>
      <c r="D109" s="89">
        <f t="shared" si="36"/>
        <v>0</v>
      </c>
      <c r="E109" s="89">
        <f t="shared" si="36"/>
        <v>0</v>
      </c>
      <c r="F109" s="89">
        <f t="shared" si="36"/>
        <v>0</v>
      </c>
      <c r="G109" s="89">
        <f t="shared" si="36"/>
        <v>0</v>
      </c>
      <c r="H109" s="89">
        <f t="shared" si="36"/>
        <v>0</v>
      </c>
      <c r="I109" s="89">
        <f t="shared" si="36"/>
        <v>0</v>
      </c>
      <c r="J109" s="89">
        <f t="shared" si="36"/>
        <v>0</v>
      </c>
      <c r="K109" s="89">
        <f t="shared" si="36"/>
        <v>0</v>
      </c>
      <c r="L109" s="89">
        <f t="shared" si="36"/>
        <v>0</v>
      </c>
      <c r="M109" s="89">
        <f t="shared" si="36"/>
        <v>0</v>
      </c>
      <c r="N109" s="89">
        <f t="shared" si="36"/>
        <v>0</v>
      </c>
      <c r="O109" s="89">
        <f t="shared" si="36"/>
        <v>0</v>
      </c>
      <c r="P109" s="89">
        <f t="shared" si="36"/>
        <v>0</v>
      </c>
      <c r="Q109" s="89">
        <f t="shared" si="36"/>
        <v>0</v>
      </c>
      <c r="R109" s="89">
        <f t="shared" si="36"/>
        <v>0</v>
      </c>
      <c r="S109" s="89">
        <f t="shared" si="36"/>
        <v>0</v>
      </c>
      <c r="T109" s="89">
        <f t="shared" si="36"/>
        <v>0</v>
      </c>
      <c r="U109" s="89">
        <f t="shared" si="36"/>
        <v>0</v>
      </c>
      <c r="V109" s="89">
        <f t="shared" si="36"/>
        <v>0</v>
      </c>
      <c r="W109" s="89">
        <f t="shared" si="36"/>
        <v>0</v>
      </c>
      <c r="X109" s="89">
        <f t="shared" si="36"/>
        <v>0</v>
      </c>
      <c r="Y109" s="89">
        <f t="shared" si="36"/>
        <v>0</v>
      </c>
      <c r="Z109" s="89">
        <f t="shared" si="36"/>
        <v>0</v>
      </c>
      <c r="AA109" s="89">
        <f t="shared" si="36"/>
        <v>0</v>
      </c>
      <c r="AB109" s="89">
        <f t="shared" si="36"/>
        <v>0</v>
      </c>
      <c r="AC109" s="89">
        <f t="shared" si="37"/>
        <v>0</v>
      </c>
      <c r="AD109" s="89">
        <f t="shared" si="37"/>
        <v>0</v>
      </c>
      <c r="AE109" s="89">
        <f t="shared" si="37"/>
        <v>0</v>
      </c>
      <c r="AF109" s="89">
        <f t="shared" si="37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>SUM(B104:B109)</f>
        <v>509.5</v>
      </c>
      <c r="C110" s="71">
        <f t="shared" ref="C110:AB110" si="39">SUM(C104:C109)</f>
        <v>530.5</v>
      </c>
      <c r="D110" s="71">
        <f t="shared" si="39"/>
        <v>530.6</v>
      </c>
      <c r="E110" s="71">
        <f t="shared" si="39"/>
        <v>527.5</v>
      </c>
      <c r="F110" s="71">
        <f t="shared" si="39"/>
        <v>467</v>
      </c>
      <c r="G110" s="71">
        <f t="shared" si="39"/>
        <v>396</v>
      </c>
      <c r="H110" s="71">
        <f t="shared" si="39"/>
        <v>389</v>
      </c>
      <c r="I110" s="71">
        <f t="shared" si="39"/>
        <v>307</v>
      </c>
      <c r="J110" s="71">
        <f t="shared" si="39"/>
        <v>301</v>
      </c>
      <c r="K110" s="71">
        <f t="shared" si="39"/>
        <v>230</v>
      </c>
      <c r="L110" s="71">
        <f t="shared" si="39"/>
        <v>140</v>
      </c>
      <c r="M110" s="71">
        <f t="shared" si="39"/>
        <v>332.7</v>
      </c>
      <c r="N110" s="71">
        <f t="shared" si="39"/>
        <v>391.4</v>
      </c>
      <c r="O110" s="71">
        <f t="shared" si="39"/>
        <v>318</v>
      </c>
      <c r="P110" s="71">
        <f t="shared" si="39"/>
        <v>295.2</v>
      </c>
      <c r="Q110" s="71">
        <f t="shared" si="39"/>
        <v>212</v>
      </c>
      <c r="R110" s="71">
        <f t="shared" si="39"/>
        <v>0</v>
      </c>
      <c r="S110" s="71">
        <f t="shared" si="39"/>
        <v>282</v>
      </c>
      <c r="T110" s="71">
        <f t="shared" si="39"/>
        <v>191</v>
      </c>
      <c r="U110" s="71">
        <f t="shared" si="39"/>
        <v>191</v>
      </c>
      <c r="V110" s="71">
        <f t="shared" si="39"/>
        <v>283</v>
      </c>
      <c r="W110" s="71">
        <f t="shared" si="39"/>
        <v>276</v>
      </c>
      <c r="X110" s="71">
        <f t="shared" si="39"/>
        <v>273</v>
      </c>
      <c r="Y110" s="71">
        <f t="shared" si="39"/>
        <v>273</v>
      </c>
      <c r="Z110" s="71">
        <f t="shared" si="39"/>
        <v>363</v>
      </c>
      <c r="AA110" s="71">
        <f t="shared" si="39"/>
        <v>346</v>
      </c>
      <c r="AB110" s="71">
        <f t="shared" si="39"/>
        <v>333</v>
      </c>
      <c r="AC110" s="71">
        <f>SUM(AC104:AC109)</f>
        <v>303</v>
      </c>
      <c r="AD110" s="71">
        <f>SUM(AD104:AD109)</f>
        <v>350</v>
      </c>
      <c r="AE110" s="71">
        <f>SUM(AE104:AE109)</f>
        <v>430</v>
      </c>
      <c r="AF110" s="71">
        <f>SUM(AF104:AF109)</f>
        <v>0</v>
      </c>
      <c r="AG110" s="101"/>
      <c r="AH110" s="48">
        <f t="shared" si="27"/>
        <v>530.6</v>
      </c>
      <c r="AI110" s="49">
        <f t="shared" si="28"/>
        <v>0</v>
      </c>
    </row>
    <row r="111" spans="1:64" ht="15.75" thickBot="1" x14ac:dyDescent="0.3">
      <c r="A111" s="87" t="s">
        <v>131</v>
      </c>
      <c r="B111" s="71">
        <f>B95-B110</f>
        <v>-461.3</v>
      </c>
      <c r="C111" s="71">
        <f t="shared" ref="C111:AB111" si="40">C95-C110</f>
        <v>-481.6</v>
      </c>
      <c r="D111" s="71">
        <f t="shared" si="40"/>
        <v>-478.70000000000005</v>
      </c>
      <c r="E111" s="71">
        <f t="shared" si="40"/>
        <v>-475.5</v>
      </c>
      <c r="F111" s="71">
        <f t="shared" si="40"/>
        <v>-417</v>
      </c>
      <c r="G111" s="71">
        <f t="shared" si="40"/>
        <v>-345</v>
      </c>
      <c r="H111" s="71">
        <f t="shared" si="40"/>
        <v>-338</v>
      </c>
      <c r="I111" s="71">
        <f t="shared" si="40"/>
        <v>-256</v>
      </c>
      <c r="J111" s="71">
        <f t="shared" si="40"/>
        <v>-252</v>
      </c>
      <c r="K111" s="71">
        <f t="shared" si="40"/>
        <v>-156</v>
      </c>
      <c r="L111" s="71">
        <f t="shared" si="40"/>
        <v>-56.7</v>
      </c>
      <c r="M111" s="71">
        <f t="shared" si="40"/>
        <v>-254.2</v>
      </c>
      <c r="N111" s="71">
        <f t="shared" si="40"/>
        <v>-278.79999999999995</v>
      </c>
      <c r="O111" s="71">
        <f t="shared" si="40"/>
        <v>-211.1</v>
      </c>
      <c r="P111" s="71">
        <f t="shared" si="40"/>
        <v>-174.7</v>
      </c>
      <c r="Q111" s="71">
        <f t="shared" si="40"/>
        <v>-93.1</v>
      </c>
      <c r="R111" s="71">
        <f t="shared" si="40"/>
        <v>0</v>
      </c>
      <c r="S111" s="71">
        <f t="shared" si="40"/>
        <v>-159.35599999999999</v>
      </c>
      <c r="T111" s="71">
        <f t="shared" si="40"/>
        <v>-68.3</v>
      </c>
      <c r="U111" s="71">
        <f t="shared" si="40"/>
        <v>-68.3</v>
      </c>
      <c r="V111" s="71">
        <f t="shared" si="40"/>
        <v>-162</v>
      </c>
      <c r="W111" s="71">
        <f t="shared" si="40"/>
        <v>-189.2</v>
      </c>
      <c r="X111" s="71">
        <f t="shared" si="40"/>
        <v>-181.1</v>
      </c>
      <c r="Y111" s="71">
        <f t="shared" si="40"/>
        <v>-181.1</v>
      </c>
      <c r="Z111" s="71">
        <f t="shared" si="40"/>
        <v>-303</v>
      </c>
      <c r="AA111" s="71">
        <f t="shared" si="40"/>
        <v>-282</v>
      </c>
      <c r="AB111" s="71">
        <f t="shared" si="40"/>
        <v>-259.60000000000002</v>
      </c>
      <c r="AC111" s="71">
        <f>AC95-AC110</f>
        <v>-229.6</v>
      </c>
      <c r="AD111" s="71">
        <f>AD95-AD110</f>
        <v>-280.39999999999998</v>
      </c>
      <c r="AE111" s="71">
        <f>AE95-AE110</f>
        <v>-343</v>
      </c>
      <c r="AF111" s="71">
        <f>AF95-AF110</f>
        <v>498</v>
      </c>
      <c r="AG111" s="101"/>
      <c r="AH111" s="48">
        <f t="shared" si="27"/>
        <v>498</v>
      </c>
      <c r="AI111" s="49">
        <f t="shared" si="28"/>
        <v>-481.6</v>
      </c>
      <c r="AL111" s="48">
        <f>70*30/100</f>
        <v>21</v>
      </c>
    </row>
    <row r="112" spans="1:64" x14ac:dyDescent="0.25">
      <c r="A112" s="113" t="s">
        <v>132</v>
      </c>
      <c r="B112" s="114">
        <v>50</v>
      </c>
      <c r="C112" s="114">
        <v>50.01</v>
      </c>
      <c r="D112" s="114">
        <v>49.97</v>
      </c>
      <c r="E112" s="114">
        <v>49.966000000000001</v>
      </c>
      <c r="F112" s="114">
        <v>50.005000000000003</v>
      </c>
      <c r="G112" s="114">
        <v>50.026000000000003</v>
      </c>
      <c r="H112" s="114">
        <v>50.05</v>
      </c>
      <c r="I112" s="114">
        <v>49.93</v>
      </c>
      <c r="J112" s="114">
        <v>50.01</v>
      </c>
      <c r="K112" s="114">
        <v>50.039000000000001</v>
      </c>
      <c r="L112" s="114">
        <v>50.034999999999997</v>
      </c>
      <c r="M112" s="114">
        <v>50.091999999999999</v>
      </c>
      <c r="N112" s="114">
        <v>49.826999999999998</v>
      </c>
      <c r="O112" s="114">
        <v>50.021000000000001</v>
      </c>
      <c r="P112" s="114">
        <v>50.03</v>
      </c>
      <c r="Q112" s="114">
        <v>50.046999999999997</v>
      </c>
      <c r="R112" s="114"/>
      <c r="S112" s="114">
        <v>50.015000000000001</v>
      </c>
      <c r="T112" s="114">
        <v>50.003999999999998</v>
      </c>
      <c r="U112" s="114">
        <v>49.920999999999999</v>
      </c>
      <c r="V112" s="114">
        <v>49.92</v>
      </c>
      <c r="W112" s="114">
        <v>49.991999999999997</v>
      </c>
      <c r="X112" s="114">
        <v>50.063000000000002</v>
      </c>
      <c r="Y112" s="114">
        <v>50.063000000000002</v>
      </c>
      <c r="Z112" s="114">
        <v>50.008000000000003</v>
      </c>
      <c r="AA112" s="114">
        <v>50.002000000000002</v>
      </c>
      <c r="AB112" s="114">
        <v>49.927</v>
      </c>
      <c r="AC112" s="114">
        <v>49.927</v>
      </c>
      <c r="AD112" s="114">
        <v>49.94</v>
      </c>
      <c r="AE112" s="114">
        <v>50.063000000000002</v>
      </c>
      <c r="AF112" s="114">
        <v>49.99</v>
      </c>
      <c r="AG112" s="115"/>
      <c r="AH112" s="48">
        <f t="shared" si="27"/>
        <v>50.091999999999999</v>
      </c>
      <c r="AI112" s="49">
        <f t="shared" si="28"/>
        <v>49.826999999999998</v>
      </c>
    </row>
    <row r="113" spans="1:35" x14ac:dyDescent="0.25">
      <c r="A113" s="116" t="s">
        <v>133</v>
      </c>
      <c r="B113" s="76">
        <v>118.6</v>
      </c>
      <c r="C113" s="76">
        <v>120</v>
      </c>
      <c r="D113" s="76">
        <v>120.6</v>
      </c>
      <c r="E113" s="76">
        <v>120.5</v>
      </c>
      <c r="F113" s="76">
        <v>122.5</v>
      </c>
      <c r="G113" s="76">
        <v>124.9</v>
      </c>
      <c r="H113" s="76">
        <v>122.1</v>
      </c>
      <c r="I113" s="76">
        <v>122</v>
      </c>
      <c r="J113" s="76">
        <v>122</v>
      </c>
      <c r="K113" s="76">
        <v>120.5</v>
      </c>
      <c r="L113" s="76">
        <v>121</v>
      </c>
      <c r="M113" s="76">
        <v>124.6</v>
      </c>
      <c r="N113" s="76">
        <v>118</v>
      </c>
      <c r="O113" s="76">
        <v>114.5</v>
      </c>
      <c r="P113" s="76">
        <v>115.9</v>
      </c>
      <c r="Q113" s="76">
        <v>115.9</v>
      </c>
      <c r="R113" s="76"/>
      <c r="S113" s="76">
        <v>113</v>
      </c>
      <c r="T113" s="76">
        <v>118</v>
      </c>
      <c r="U113" s="76">
        <v>117.3</v>
      </c>
      <c r="V113" s="76">
        <v>118</v>
      </c>
      <c r="W113" s="76">
        <v>119.6</v>
      </c>
      <c r="X113" s="76">
        <v>119</v>
      </c>
      <c r="Y113" s="76">
        <v>119</v>
      </c>
      <c r="Z113" s="76">
        <v>121</v>
      </c>
      <c r="AA113" s="76">
        <v>121</v>
      </c>
      <c r="AB113" s="76">
        <v>121.2</v>
      </c>
      <c r="AC113" s="76">
        <v>121.2</v>
      </c>
      <c r="AD113" s="76">
        <v>121.2</v>
      </c>
      <c r="AE113" s="76">
        <v>120</v>
      </c>
      <c r="AF113" s="76">
        <v>120</v>
      </c>
      <c r="AG113" s="117"/>
      <c r="AH113" s="48">
        <f t="shared" si="27"/>
        <v>124.9</v>
      </c>
      <c r="AI113" s="49">
        <f t="shared" si="28"/>
        <v>113</v>
      </c>
    </row>
    <row r="114" spans="1:35" x14ac:dyDescent="0.25">
      <c r="A114" s="116" t="s">
        <v>134</v>
      </c>
      <c r="B114" s="76">
        <v>124.7</v>
      </c>
      <c r="C114" s="76">
        <v>125.9</v>
      </c>
      <c r="D114" s="76">
        <v>126.5</v>
      </c>
      <c r="E114" s="76">
        <v>126</v>
      </c>
      <c r="F114" s="76">
        <v>127.5</v>
      </c>
      <c r="G114" s="76">
        <v>128.30000000000001</v>
      </c>
      <c r="H114" s="76">
        <v>125.9</v>
      </c>
      <c r="I114" s="76">
        <v>125.9</v>
      </c>
      <c r="J114" s="76">
        <v>125.9</v>
      </c>
      <c r="K114" s="76">
        <v>123.8</v>
      </c>
      <c r="L114" s="76">
        <v>123.6</v>
      </c>
      <c r="M114" s="76">
        <v>126.2</v>
      </c>
      <c r="N114" s="76">
        <v>120.5</v>
      </c>
      <c r="O114" s="76">
        <v>117.9</v>
      </c>
      <c r="P114" s="76">
        <v>119</v>
      </c>
      <c r="Q114" s="76">
        <v>119</v>
      </c>
      <c r="R114" s="76"/>
      <c r="S114" s="76">
        <v>121</v>
      </c>
      <c r="T114" s="76">
        <v>121</v>
      </c>
      <c r="U114" s="76">
        <v>120.7</v>
      </c>
      <c r="V114" s="76">
        <v>122</v>
      </c>
      <c r="W114" s="76">
        <v>123.7</v>
      </c>
      <c r="X114" s="76">
        <v>123.5</v>
      </c>
      <c r="Y114" s="76">
        <v>123.5</v>
      </c>
      <c r="Z114" s="76">
        <v>125</v>
      </c>
      <c r="AA114" s="76">
        <v>124.7</v>
      </c>
      <c r="AB114" s="76">
        <v>124.5</v>
      </c>
      <c r="AC114" s="76">
        <v>124.5</v>
      </c>
      <c r="AD114" s="76">
        <v>124.5</v>
      </c>
      <c r="AE114" s="76">
        <v>125</v>
      </c>
      <c r="AF114" s="76">
        <v>125</v>
      </c>
      <c r="AG114" s="117"/>
      <c r="AH114" s="48">
        <f t="shared" si="27"/>
        <v>128.30000000000001</v>
      </c>
      <c r="AI114" s="49">
        <f t="shared" si="28"/>
        <v>117.9</v>
      </c>
    </row>
    <row r="115" spans="1:35" x14ac:dyDescent="0.25">
      <c r="A115" s="116" t="s">
        <v>135</v>
      </c>
      <c r="B115" s="76">
        <v>128.1</v>
      </c>
      <c r="C115" s="76">
        <v>129.5</v>
      </c>
      <c r="D115" s="76">
        <v>128.6</v>
      </c>
      <c r="E115" s="76">
        <v>130.69999999999999</v>
      </c>
      <c r="F115" s="76">
        <v>131.6</v>
      </c>
      <c r="G115" s="76">
        <v>130.6</v>
      </c>
      <c r="H115" s="76">
        <v>130.4</v>
      </c>
      <c r="I115" s="76">
        <v>130.4</v>
      </c>
      <c r="J115" s="76">
        <v>130.4</v>
      </c>
      <c r="K115" s="76">
        <v>126.8</v>
      </c>
      <c r="L115" s="76">
        <v>126.2</v>
      </c>
      <c r="M115" s="76">
        <v>129.4</v>
      </c>
      <c r="N115" s="76">
        <v>125.7</v>
      </c>
      <c r="O115" s="76">
        <v>127.6</v>
      </c>
      <c r="P115" s="76">
        <v>126.8</v>
      </c>
      <c r="Q115" s="76">
        <v>126.8</v>
      </c>
      <c r="R115" s="76"/>
      <c r="S115" s="76">
        <v>129.80000000000001</v>
      </c>
      <c r="T115" s="76">
        <v>129</v>
      </c>
      <c r="U115" s="76">
        <v>128.9</v>
      </c>
      <c r="V115" s="76">
        <v>128</v>
      </c>
      <c r="W115" s="76">
        <v>128.80000000000001</v>
      </c>
      <c r="X115" s="76">
        <v>129</v>
      </c>
      <c r="Y115" s="76">
        <v>129</v>
      </c>
      <c r="Z115" s="76">
        <v>129</v>
      </c>
      <c r="AA115" s="76">
        <v>129.19999999999999</v>
      </c>
      <c r="AB115" s="76">
        <v>131.80000000000001</v>
      </c>
      <c r="AC115" s="76">
        <v>131.80000000000001</v>
      </c>
      <c r="AD115" s="76">
        <v>131.80000000000001</v>
      </c>
      <c r="AE115" s="76">
        <v>128</v>
      </c>
      <c r="AF115" s="76">
        <v>128</v>
      </c>
      <c r="AG115" s="117"/>
      <c r="AH115" s="48">
        <f t="shared" si="27"/>
        <v>131.80000000000001</v>
      </c>
      <c r="AI115" s="49">
        <f t="shared" si="28"/>
        <v>125.7</v>
      </c>
    </row>
    <row r="116" spans="1:35" x14ac:dyDescent="0.25">
      <c r="A116" s="118" t="s">
        <v>136</v>
      </c>
      <c r="B116" s="76">
        <v>128.69999999999999</v>
      </c>
      <c r="C116" s="76">
        <v>130.19999999999999</v>
      </c>
      <c r="D116" s="76">
        <v>129.5</v>
      </c>
      <c r="E116" s="76">
        <v>130.9</v>
      </c>
      <c r="F116" s="76">
        <v>131.80000000000001</v>
      </c>
      <c r="G116" s="76">
        <v>130.9</v>
      </c>
      <c r="H116" s="76">
        <v>129.69999999999999</v>
      </c>
      <c r="I116" s="76">
        <v>129.69999999999999</v>
      </c>
      <c r="J116" s="76">
        <v>129.69999999999999</v>
      </c>
      <c r="K116" s="76">
        <v>125.4</v>
      </c>
      <c r="L116" s="76">
        <v>125.5</v>
      </c>
      <c r="M116" s="76">
        <v>127.2</v>
      </c>
      <c r="N116" s="76">
        <v>124.1</v>
      </c>
      <c r="O116" s="76">
        <v>126.5</v>
      </c>
      <c r="P116" s="76">
        <v>125.4</v>
      </c>
      <c r="Q116" s="76">
        <v>125.4</v>
      </c>
      <c r="R116" s="76"/>
      <c r="S116" s="76">
        <v>128.69999999999999</v>
      </c>
      <c r="T116" s="76">
        <v>129</v>
      </c>
      <c r="U116" s="76">
        <v>130</v>
      </c>
      <c r="V116" s="76">
        <v>129</v>
      </c>
      <c r="W116" s="76">
        <v>129.69999999999999</v>
      </c>
      <c r="X116" s="76">
        <v>129.69999999999999</v>
      </c>
      <c r="Y116" s="76">
        <v>129.69999999999999</v>
      </c>
      <c r="Z116" s="76">
        <v>128</v>
      </c>
      <c r="AA116" s="76">
        <v>127</v>
      </c>
      <c r="AB116" s="76">
        <v>130.9</v>
      </c>
      <c r="AC116" s="76">
        <v>130.9</v>
      </c>
      <c r="AD116" s="76">
        <v>130.9</v>
      </c>
      <c r="AE116" s="76">
        <v>127</v>
      </c>
      <c r="AF116" s="76">
        <v>127</v>
      </c>
      <c r="AG116" s="117"/>
      <c r="AH116" s="48">
        <f t="shared" si="27"/>
        <v>131.80000000000001</v>
      </c>
      <c r="AI116" s="49">
        <f t="shared" si="28"/>
        <v>124.1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0</v>
      </c>
      <c r="AI117" s="49">
        <f t="shared" si="28"/>
        <v>0</v>
      </c>
    </row>
    <row r="118" spans="1:35" x14ac:dyDescent="0.25">
      <c r="A118" s="116" t="s">
        <v>138</v>
      </c>
      <c r="B118" s="76">
        <v>117.6</v>
      </c>
      <c r="C118" s="76">
        <v>116.2</v>
      </c>
      <c r="D118" s="76">
        <v>118</v>
      </c>
      <c r="E118" s="76">
        <v>119.9</v>
      </c>
      <c r="F118" s="76">
        <v>123</v>
      </c>
      <c r="G118" s="76">
        <v>124.8</v>
      </c>
      <c r="H118" s="76">
        <v>125.9</v>
      </c>
      <c r="I118" s="76">
        <v>125.9</v>
      </c>
      <c r="J118" s="76">
        <v>125.9</v>
      </c>
      <c r="K118" s="76">
        <v>129.6</v>
      </c>
      <c r="L118" s="76">
        <v>129</v>
      </c>
      <c r="M118" s="76">
        <v>127.9</v>
      </c>
      <c r="N118" s="76">
        <v>127.4</v>
      </c>
      <c r="O118" s="76">
        <v>122.6</v>
      </c>
      <c r="P118" s="76">
        <v>125.2</v>
      </c>
      <c r="Q118" s="76">
        <v>125.2</v>
      </c>
      <c r="R118" s="76"/>
      <c r="S118" s="76">
        <v>125</v>
      </c>
      <c r="T118" s="76">
        <v>125.2</v>
      </c>
      <c r="U118" s="76">
        <v>129</v>
      </c>
      <c r="V118" s="76">
        <v>127</v>
      </c>
      <c r="W118" s="76">
        <v>128.6</v>
      </c>
      <c r="X118" s="76">
        <v>128.5</v>
      </c>
      <c r="Y118" s="76">
        <v>128.5</v>
      </c>
      <c r="Z118" s="76">
        <v>131</v>
      </c>
      <c r="AA118" s="76">
        <v>129.6</v>
      </c>
      <c r="AB118" s="76">
        <v>126.7</v>
      </c>
      <c r="AC118" s="76">
        <v>126.7</v>
      </c>
      <c r="AD118" s="76">
        <v>126.7</v>
      </c>
      <c r="AE118" s="76">
        <v>124</v>
      </c>
      <c r="AF118" s="76">
        <v>117</v>
      </c>
      <c r="AG118" s="117"/>
      <c r="AH118" s="48">
        <f t="shared" si="27"/>
        <v>131</v>
      </c>
      <c r="AI118" s="49">
        <f t="shared" si="28"/>
        <v>116.2</v>
      </c>
    </row>
    <row r="119" spans="1:35" ht="15.75" thickBot="1" x14ac:dyDescent="0.3">
      <c r="A119" s="116" t="s">
        <v>139</v>
      </c>
      <c r="B119" s="105">
        <v>63.3</v>
      </c>
      <c r="C119" s="105">
        <v>63.7</v>
      </c>
      <c r="D119" s="105">
        <v>64.3</v>
      </c>
      <c r="E119" s="105">
        <v>64.3</v>
      </c>
      <c r="F119" s="105">
        <v>64.900000000000006</v>
      </c>
      <c r="G119" s="105">
        <v>65</v>
      </c>
      <c r="H119" s="105">
        <v>63.6</v>
      </c>
      <c r="I119" s="105">
        <v>63.6</v>
      </c>
      <c r="J119" s="105">
        <v>63.6</v>
      </c>
      <c r="K119" s="105">
        <v>62.6</v>
      </c>
      <c r="L119" s="105">
        <v>62.4</v>
      </c>
      <c r="M119" s="105">
        <v>63.7</v>
      </c>
      <c r="N119" s="105">
        <v>60.2</v>
      </c>
      <c r="O119" s="105">
        <v>60.2</v>
      </c>
      <c r="P119" s="105">
        <v>59.5</v>
      </c>
      <c r="Q119" s="105">
        <v>59.5</v>
      </c>
      <c r="R119" s="105"/>
      <c r="S119" s="105">
        <v>60.4</v>
      </c>
      <c r="T119" s="105">
        <v>60.9</v>
      </c>
      <c r="U119" s="105">
        <v>60.4</v>
      </c>
      <c r="V119" s="105">
        <v>61</v>
      </c>
      <c r="W119" s="105">
        <v>62</v>
      </c>
      <c r="X119" s="105">
        <v>61.9</v>
      </c>
      <c r="Y119" s="105">
        <v>61.9</v>
      </c>
      <c r="Z119" s="105">
        <v>62.9</v>
      </c>
      <c r="AA119" s="105">
        <v>62.6</v>
      </c>
      <c r="AB119" s="105">
        <v>62.8</v>
      </c>
      <c r="AC119" s="105">
        <v>62.8</v>
      </c>
      <c r="AD119" s="105">
        <v>62.8</v>
      </c>
      <c r="AE119" s="105">
        <v>63.3</v>
      </c>
      <c r="AF119" s="105">
        <v>63.3</v>
      </c>
      <c r="AG119" s="121"/>
      <c r="AH119" s="48">
        <f t="shared" si="27"/>
        <v>65</v>
      </c>
      <c r="AI119" s="49">
        <f t="shared" si="28"/>
        <v>59.5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61.440000000000019</v>
      </c>
      <c r="C121" s="124">
        <f t="shared" ref="C121:O121" si="41">SUM(C25,C31,C34:C35,C69,C71:C72,C74,C76,C122:C126,C158,C164,C170,C179,C181,C193,C200,C203:C204,C211,C213,C215,C219:C221,C223:C225,C230,C236:C237,C239:C241,C249,C254)</f>
        <v>61.140000000000029</v>
      </c>
      <c r="D121" s="124">
        <f t="shared" si="41"/>
        <v>59.339999999999989</v>
      </c>
      <c r="E121" s="124">
        <f t="shared" si="41"/>
        <v>72.940000000000012</v>
      </c>
      <c r="F121" s="124">
        <f t="shared" si="41"/>
        <v>55.340000000000018</v>
      </c>
      <c r="G121" s="124">
        <f t="shared" si="41"/>
        <v>73.639999999999972</v>
      </c>
      <c r="H121" s="124">
        <f t="shared" si="41"/>
        <v>111.64000000000001</v>
      </c>
      <c r="I121" s="124">
        <f t="shared" si="41"/>
        <v>110.34</v>
      </c>
      <c r="J121" s="124">
        <f t="shared" si="41"/>
        <v>110.34</v>
      </c>
      <c r="K121" s="124">
        <f t="shared" si="41"/>
        <v>167.73999999999998</v>
      </c>
      <c r="L121" s="124">
        <f t="shared" si="41"/>
        <v>190.94</v>
      </c>
      <c r="M121" s="124">
        <f t="shared" si="41"/>
        <v>185.63999999999996</v>
      </c>
      <c r="N121" s="124">
        <f t="shared" si="41"/>
        <v>181.33999999999997</v>
      </c>
      <c r="O121" s="124">
        <f t="shared" si="41"/>
        <v>168.84</v>
      </c>
      <c r="P121" s="124">
        <v>42</v>
      </c>
      <c r="Q121" s="124">
        <f t="shared" ref="Q121:X121" si="42">SUM(Q25,Q31,Q34:Q35,Q69,Q71:Q72,Q74,Q76,Q122:Q126,Q158,Q164,Q170,Q179,Q181,Q193,Q200,Q203:Q204,Q211,Q213,Q215,Q219:Q221,Q223:Q225,Q230,Q236:Q237,Q239:Q241,Q249,Q254)</f>
        <v>156.94000000000003</v>
      </c>
      <c r="R121" s="124">
        <f t="shared" si="42"/>
        <v>0.94</v>
      </c>
      <c r="S121" s="124">
        <f t="shared" si="42"/>
        <v>306.33999999999997</v>
      </c>
      <c r="T121" s="124">
        <f t="shared" si="42"/>
        <v>311.44</v>
      </c>
      <c r="U121" s="124">
        <f t="shared" si="42"/>
        <v>182.33999999999997</v>
      </c>
      <c r="V121" s="124">
        <f t="shared" si="42"/>
        <v>146.34</v>
      </c>
      <c r="W121" s="124">
        <f t="shared" si="42"/>
        <v>136.63999999999999</v>
      </c>
      <c r="X121" s="124">
        <f t="shared" si="42"/>
        <v>144.24</v>
      </c>
      <c r="Y121" s="124">
        <f>SUM(Y23,Y29,Y40:Y41,Y69,Y71:Y72,Y74,Y76,Y122:Y126,Y151,Y157,Y163,Y172,Y174,Y186,Y193,Y196:Y197,Y204,Y206,Y208,Y212:Y214,Y216:Y218,Y223,Y229:Y230,Y232:Y234,Y242,Y247)</f>
        <v>145.35</v>
      </c>
      <c r="Z121" s="124">
        <f>SUM(Z23,Z29,Z40:Z41,Z69,Z71:Z72,Z74,Z76,Z122:Z126,Z151,Z157,Z163,Z172,Z174,Z186,Z193,Z196:Z197,Z204,Z206,Z208,Z212:Z214,Z216:Z218,Z223,Z229:Z230,Z232:Z234,Z242,Z247)</f>
        <v>171.54999999999998</v>
      </c>
      <c r="AA121" s="124">
        <f t="shared" ref="AA121:AF121" si="43">SUM(AA25,AA31,AA34:AA35,AA69,AA71:AA72,AA74,AA76,AA122:AA126,AA158,AA164,AA170,AA179,AA181,AA193,AA200,AA203:AA204,AA211,AA213,AA215,AA219:AA221,AA223:AA225,AA230,AA236:AA237,AA239:AA241,AA249,AA254)</f>
        <v>161.24</v>
      </c>
      <c r="AB121" s="124">
        <f t="shared" si="43"/>
        <v>187.73999999999998</v>
      </c>
      <c r="AC121" s="124">
        <f t="shared" si="43"/>
        <v>187.73999999999998</v>
      </c>
      <c r="AD121" s="124">
        <f t="shared" si="43"/>
        <v>100.94</v>
      </c>
      <c r="AE121" s="124">
        <f t="shared" si="43"/>
        <v>117.94</v>
      </c>
      <c r="AF121" s="124">
        <f t="shared" si="43"/>
        <v>81.94</v>
      </c>
      <c r="AG121" s="125"/>
      <c r="AH121" s="48">
        <f t="shared" si="27"/>
        <v>311.44</v>
      </c>
      <c r="AI121" s="49">
        <f t="shared" si="28"/>
        <v>0.94</v>
      </c>
    </row>
    <row r="122" spans="1:35" x14ac:dyDescent="0.25">
      <c r="A122" s="126" t="s">
        <v>142</v>
      </c>
      <c r="B122" s="127">
        <v>62.4</v>
      </c>
      <c r="C122" s="127">
        <v>63.7</v>
      </c>
      <c r="D122" s="127">
        <v>63.2</v>
      </c>
      <c r="E122" s="127">
        <v>64</v>
      </c>
      <c r="F122" s="127">
        <v>60.9</v>
      </c>
      <c r="G122" s="127">
        <v>66.099999999999994</v>
      </c>
      <c r="H122" s="127">
        <v>72.2</v>
      </c>
      <c r="I122" s="127"/>
      <c r="J122" s="127"/>
      <c r="K122" s="127">
        <v>88.4</v>
      </c>
      <c r="L122" s="127">
        <v>72</v>
      </c>
      <c r="M122" s="127">
        <v>68.8</v>
      </c>
      <c r="N122" s="127">
        <v>69.099999999999994</v>
      </c>
      <c r="O122" s="127">
        <v>52.3</v>
      </c>
      <c r="P122" s="127">
        <v>51.3</v>
      </c>
      <c r="Q122" s="127">
        <v>51.3</v>
      </c>
      <c r="R122" s="127"/>
      <c r="S122" s="127">
        <v>64.400000000000006</v>
      </c>
      <c r="T122" s="127">
        <v>58.2</v>
      </c>
      <c r="U122" s="127">
        <v>60</v>
      </c>
      <c r="V122" s="127">
        <v>58</v>
      </c>
      <c r="W122" s="127">
        <v>48.4</v>
      </c>
      <c r="X122" s="127">
        <v>46.2</v>
      </c>
      <c r="Y122" s="127">
        <v>46.2</v>
      </c>
      <c r="Z122" s="127">
        <v>60</v>
      </c>
      <c r="AA122" s="127">
        <v>60.3</v>
      </c>
      <c r="AB122" s="127">
        <v>61.8</v>
      </c>
      <c r="AC122" s="127">
        <v>61.8</v>
      </c>
      <c r="AD122" s="127">
        <v>75</v>
      </c>
      <c r="AE122" s="127">
        <v>102</v>
      </c>
      <c r="AF122" s="127">
        <v>91</v>
      </c>
      <c r="AG122" s="128">
        <v>75</v>
      </c>
      <c r="AH122" s="48">
        <f t="shared" si="27"/>
        <v>102</v>
      </c>
      <c r="AI122" s="49">
        <f t="shared" si="28"/>
        <v>46.2</v>
      </c>
    </row>
    <row r="123" spans="1:35" x14ac:dyDescent="0.25">
      <c r="A123" s="129" t="s">
        <v>143</v>
      </c>
      <c r="B123" s="130">
        <v>97.3</v>
      </c>
      <c r="C123" s="130">
        <v>94.3</v>
      </c>
      <c r="D123" s="130">
        <v>95.1</v>
      </c>
      <c r="E123" s="130">
        <v>98.7</v>
      </c>
      <c r="F123" s="130">
        <v>91.8</v>
      </c>
      <c r="G123" s="130">
        <v>100.9</v>
      </c>
      <c r="H123" s="130">
        <v>106.7</v>
      </c>
      <c r="I123" s="130"/>
      <c r="J123" s="130"/>
      <c r="K123" s="130">
        <v>126.6</v>
      </c>
      <c r="L123" s="130">
        <v>109</v>
      </c>
      <c r="M123" s="130">
        <v>104.1</v>
      </c>
      <c r="N123" s="130">
        <v>101.3</v>
      </c>
      <c r="O123" s="130">
        <v>79.900000000000006</v>
      </c>
      <c r="P123" s="130">
        <v>75.900000000000006</v>
      </c>
      <c r="Q123" s="130">
        <v>75.900000000000006</v>
      </c>
      <c r="R123" s="130"/>
      <c r="S123" s="130">
        <v>97</v>
      </c>
      <c r="T123" s="130">
        <v>86.9</v>
      </c>
      <c r="U123" s="130">
        <v>91</v>
      </c>
      <c r="V123" s="130">
        <v>36</v>
      </c>
      <c r="W123" s="130">
        <v>73.7</v>
      </c>
      <c r="X123" s="130">
        <v>70</v>
      </c>
      <c r="Y123" s="130">
        <v>70</v>
      </c>
      <c r="Z123" s="130">
        <v>91</v>
      </c>
      <c r="AA123" s="130">
        <v>90</v>
      </c>
      <c r="AB123" s="130">
        <v>92.6</v>
      </c>
      <c r="AC123" s="130">
        <v>92.6</v>
      </c>
      <c r="AD123" s="130">
        <v>47</v>
      </c>
      <c r="AE123" s="130">
        <v>68</v>
      </c>
      <c r="AF123" s="130">
        <v>61</v>
      </c>
      <c r="AG123" s="128">
        <v>240</v>
      </c>
      <c r="AH123" s="48">
        <f t="shared" si="27"/>
        <v>126.6</v>
      </c>
      <c r="AI123" s="49">
        <f t="shared" si="28"/>
        <v>36</v>
      </c>
    </row>
    <row r="124" spans="1:35" x14ac:dyDescent="0.25">
      <c r="A124" s="129" t="s">
        <v>144</v>
      </c>
      <c r="B124" s="130">
        <f>-85.7-88.8</f>
        <v>-174.5</v>
      </c>
      <c r="C124" s="130">
        <f>-83.6-88.6</f>
        <v>-172.2</v>
      </c>
      <c r="D124" s="130">
        <f>-85.5-90.7</f>
        <v>-176.2</v>
      </c>
      <c r="E124" s="130">
        <f>-80-84</f>
        <v>-164</v>
      </c>
      <c r="F124" s="130">
        <f>-83-87</f>
        <v>-170</v>
      </c>
      <c r="G124" s="130">
        <f>-86-90</f>
        <v>-176</v>
      </c>
      <c r="H124" s="130">
        <f>-76-80</f>
        <v>-156</v>
      </c>
      <c r="I124" s="130"/>
      <c r="J124" s="130"/>
      <c r="K124" s="130">
        <f>-70-75.9</f>
        <v>-145.9</v>
      </c>
      <c r="L124" s="130">
        <f>-50-54</f>
        <v>-104</v>
      </c>
      <c r="M124" s="130">
        <v>-109</v>
      </c>
      <c r="N124" s="130">
        <v>-113</v>
      </c>
      <c r="O124" s="130">
        <v>-95</v>
      </c>
      <c r="P124" s="130">
        <v>-98</v>
      </c>
      <c r="Q124" s="130">
        <v>-98</v>
      </c>
      <c r="R124" s="130"/>
      <c r="S124" s="130">
        <v>-124</v>
      </c>
      <c r="T124" s="130">
        <v>-100</v>
      </c>
      <c r="U124" s="130">
        <v>-108</v>
      </c>
      <c r="V124" s="130">
        <v>-88</v>
      </c>
      <c r="W124" s="130">
        <v>-120</v>
      </c>
      <c r="X124" s="130">
        <v>-108</v>
      </c>
      <c r="Y124" s="130">
        <v>-108</v>
      </c>
      <c r="Z124" s="130">
        <v>-110</v>
      </c>
      <c r="AA124" s="130">
        <v>-113</v>
      </c>
      <c r="AB124" s="130">
        <v>-96</v>
      </c>
      <c r="AC124" s="130">
        <v>-96</v>
      </c>
      <c r="AD124" s="130">
        <v>-130</v>
      </c>
      <c r="AE124" s="130">
        <v>-160</v>
      </c>
      <c r="AF124" s="130">
        <v>-166</v>
      </c>
      <c r="AG124" s="128">
        <v>240</v>
      </c>
      <c r="AH124" s="48">
        <f t="shared" si="27"/>
        <v>-88</v>
      </c>
      <c r="AI124" s="49">
        <f t="shared" si="28"/>
        <v>-176.2</v>
      </c>
    </row>
    <row r="125" spans="1:35" ht="15.75" thickBot="1" x14ac:dyDescent="0.3">
      <c r="A125" s="129" t="s">
        <v>145</v>
      </c>
      <c r="B125" s="130">
        <v>-35.6</v>
      </c>
      <c r="C125" s="130">
        <v>-35.700000000000003</v>
      </c>
      <c r="D125" s="130">
        <v>-31.8</v>
      </c>
      <c r="E125" s="130">
        <v>-34.799999999999997</v>
      </c>
      <c r="F125" s="130">
        <v>-34.700000000000003</v>
      </c>
      <c r="G125" s="130">
        <v>-24.7</v>
      </c>
      <c r="H125" s="130">
        <v>-21.6</v>
      </c>
      <c r="I125" s="130"/>
      <c r="J125" s="130"/>
      <c r="K125" s="130">
        <v>-13.3</v>
      </c>
      <c r="L125" s="130">
        <v>2</v>
      </c>
      <c r="M125" s="130">
        <v>6.4</v>
      </c>
      <c r="N125" s="130">
        <v>0</v>
      </c>
      <c r="O125" s="130">
        <v>7.7</v>
      </c>
      <c r="P125" s="130">
        <v>3</v>
      </c>
      <c r="Q125" s="130">
        <v>3</v>
      </c>
      <c r="R125" s="130"/>
      <c r="S125" s="130">
        <v>18.600000000000001</v>
      </c>
      <c r="T125" s="130">
        <v>10</v>
      </c>
      <c r="U125" s="130">
        <v>13</v>
      </c>
      <c r="V125" s="130">
        <v>14</v>
      </c>
      <c r="W125" s="130">
        <v>8.1999999999999993</v>
      </c>
      <c r="X125" s="130">
        <v>9.6999999999999993</v>
      </c>
      <c r="Y125" s="130">
        <v>9.6999999999999993</v>
      </c>
      <c r="Z125" s="130">
        <v>12.9</v>
      </c>
      <c r="AA125" s="130">
        <v>11</v>
      </c>
      <c r="AB125" s="130">
        <v>16.399999999999999</v>
      </c>
      <c r="AC125" s="130">
        <v>16.399999999999999</v>
      </c>
      <c r="AD125" s="130">
        <v>-4</v>
      </c>
      <c r="AE125" s="130">
        <v>-5</v>
      </c>
      <c r="AF125" s="130">
        <v>-17</v>
      </c>
      <c r="AG125" s="128">
        <v>60</v>
      </c>
      <c r="AH125" s="48">
        <f t="shared" si="27"/>
        <v>18.600000000000001</v>
      </c>
      <c r="AI125" s="49">
        <f t="shared" si="28"/>
        <v>-35.700000000000003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>
        <v>124</v>
      </c>
      <c r="T126" s="131">
        <v>130</v>
      </c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130</v>
      </c>
      <c r="AI126" s="49">
        <f t="shared" si="28"/>
        <v>124</v>
      </c>
    </row>
    <row r="127" spans="1:35" x14ac:dyDescent="0.25">
      <c r="A127" s="129" t="s">
        <v>147</v>
      </c>
      <c r="B127" s="131">
        <v>81.5</v>
      </c>
      <c r="C127" s="131">
        <v>82.2</v>
      </c>
      <c r="D127" s="131">
        <v>82.2</v>
      </c>
      <c r="E127" s="131">
        <v>78</v>
      </c>
      <c r="F127" s="131">
        <v>78</v>
      </c>
      <c r="G127" s="131">
        <v>76.400000000000006</v>
      </c>
      <c r="H127" s="131">
        <v>75</v>
      </c>
      <c r="I127" s="131"/>
      <c r="J127" s="131"/>
      <c r="K127" s="131">
        <v>82.4</v>
      </c>
      <c r="L127" s="131">
        <v>80.5</v>
      </c>
      <c r="M127" s="131">
        <v>77.8</v>
      </c>
      <c r="N127" s="131">
        <v>93.5</v>
      </c>
      <c r="O127" s="131">
        <v>110.9</v>
      </c>
      <c r="P127" s="131">
        <v>112.3</v>
      </c>
      <c r="Q127" s="131">
        <v>112.3</v>
      </c>
      <c r="R127" s="131"/>
      <c r="S127" s="131">
        <v>93.8</v>
      </c>
      <c r="T127" s="131">
        <v>111</v>
      </c>
      <c r="U127" s="131">
        <v>112</v>
      </c>
      <c r="V127" s="131">
        <v>130</v>
      </c>
      <c r="W127" s="131">
        <v>117</v>
      </c>
      <c r="X127" s="131">
        <v>117</v>
      </c>
      <c r="Y127" s="131">
        <v>117</v>
      </c>
      <c r="Z127" s="131">
        <v>115</v>
      </c>
      <c r="AA127" s="131">
        <v>116</v>
      </c>
      <c r="AB127" s="131">
        <v>122</v>
      </c>
      <c r="AC127" s="131">
        <v>122</v>
      </c>
      <c r="AD127" s="131">
        <v>117</v>
      </c>
      <c r="AE127" s="131">
        <v>102</v>
      </c>
      <c r="AF127" s="131">
        <v>97</v>
      </c>
      <c r="AG127" s="132"/>
      <c r="AH127" s="48"/>
      <c r="AI127" s="49"/>
    </row>
    <row r="128" spans="1:35" x14ac:dyDescent="0.25">
      <c r="A128" s="129" t="s">
        <v>148</v>
      </c>
      <c r="B128" s="131">
        <v>38.9</v>
      </c>
      <c r="C128" s="131">
        <v>43.8</v>
      </c>
      <c r="D128" s="131">
        <v>52.4</v>
      </c>
      <c r="E128" s="131">
        <v>40</v>
      </c>
      <c r="F128" s="131">
        <v>45</v>
      </c>
      <c r="G128" s="131">
        <v>31.9</v>
      </c>
      <c r="H128" s="131">
        <v>29.1</v>
      </c>
      <c r="I128" s="131"/>
      <c r="J128" s="131"/>
      <c r="K128" s="131">
        <v>-2.1</v>
      </c>
      <c r="L128" s="131">
        <v>-11.5</v>
      </c>
      <c r="M128" s="131">
        <v>0.8</v>
      </c>
      <c r="N128" s="131">
        <v>9.5</v>
      </c>
      <c r="O128" s="131">
        <v>38</v>
      </c>
      <c r="P128" s="131">
        <v>42</v>
      </c>
      <c r="Q128" s="131">
        <v>42</v>
      </c>
      <c r="R128" s="131"/>
      <c r="S128" s="131">
        <v>12.4</v>
      </c>
      <c r="T128" s="131">
        <v>40</v>
      </c>
      <c r="U128" s="131">
        <v>38</v>
      </c>
      <c r="V128" s="131">
        <v>70</v>
      </c>
      <c r="W128" s="131">
        <v>55.5</v>
      </c>
      <c r="X128" s="131">
        <v>58</v>
      </c>
      <c r="Y128" s="131">
        <v>58</v>
      </c>
      <c r="Z128" s="131">
        <v>39</v>
      </c>
      <c r="AA128" s="131">
        <v>39</v>
      </c>
      <c r="AB128" s="131">
        <v>26</v>
      </c>
      <c r="AC128" s="131">
        <v>26</v>
      </c>
      <c r="AD128" s="131">
        <v>66</v>
      </c>
      <c r="AE128" s="131">
        <v>47</v>
      </c>
      <c r="AF128" s="131">
        <v>67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55.1</v>
      </c>
      <c r="C129" s="131">
        <v>54.3</v>
      </c>
      <c r="D129" s="131">
        <v>58.9</v>
      </c>
      <c r="E129" s="131">
        <v>69</v>
      </c>
      <c r="F129" s="131">
        <v>58.6</v>
      </c>
      <c r="G129" s="131">
        <v>21</v>
      </c>
      <c r="H129" s="131">
        <v>35.799999999999997</v>
      </c>
      <c r="I129" s="131"/>
      <c r="J129" s="131"/>
      <c r="K129" s="131">
        <v>37.5</v>
      </c>
      <c r="L129" s="131">
        <v>60</v>
      </c>
      <c r="M129" s="131">
        <v>23.4</v>
      </c>
      <c r="N129" s="131">
        <v>55.2</v>
      </c>
      <c r="O129" s="131">
        <v>86.5</v>
      </c>
      <c r="P129" s="131">
        <v>96.7</v>
      </c>
      <c r="Q129" s="131">
        <v>96.7</v>
      </c>
      <c r="R129" s="131"/>
      <c r="S129" s="131">
        <v>75.2</v>
      </c>
      <c r="T129" s="131">
        <v>83</v>
      </c>
      <c r="U129" s="131">
        <v>78</v>
      </c>
      <c r="V129" s="131">
        <v>90</v>
      </c>
      <c r="W129" s="131">
        <v>71.7</v>
      </c>
      <c r="X129" s="131">
        <v>73</v>
      </c>
      <c r="Y129" s="131">
        <v>73</v>
      </c>
      <c r="Z129" s="131">
        <v>61</v>
      </c>
      <c r="AA129" s="131">
        <v>60.9</v>
      </c>
      <c r="AB129" s="131">
        <v>65</v>
      </c>
      <c r="AC129" s="131">
        <v>65</v>
      </c>
      <c r="AD129" s="131">
        <v>63</v>
      </c>
      <c r="AE129" s="131">
        <v>50</v>
      </c>
      <c r="AF129" s="131">
        <v>54</v>
      </c>
      <c r="AG129" s="128"/>
      <c r="AH129" s="48">
        <f>MAX(B129:AF129)</f>
        <v>96.7</v>
      </c>
      <c r="AI129" s="49">
        <f>MIN(B129:AF129)</f>
        <v>21</v>
      </c>
    </row>
    <row r="130" spans="1:37" x14ac:dyDescent="0.25">
      <c r="A130" s="126" t="s">
        <v>150</v>
      </c>
      <c r="B130" s="131">
        <v>-380</v>
      </c>
      <c r="C130" s="131">
        <v>-375</v>
      </c>
      <c r="D130" s="131">
        <v>-377</v>
      </c>
      <c r="E130" s="131">
        <v>-377</v>
      </c>
      <c r="F130" s="131">
        <v>-340</v>
      </c>
      <c r="G130" s="131">
        <v>-234</v>
      </c>
      <c r="H130" s="131">
        <v>-192</v>
      </c>
      <c r="I130" s="131"/>
      <c r="J130" s="131"/>
      <c r="K130" s="131">
        <v>-182.4</v>
      </c>
      <c r="L130" s="131">
        <v>-152.9</v>
      </c>
      <c r="M130" s="131">
        <v>-222.3</v>
      </c>
      <c r="N130" s="131">
        <v>-319.2</v>
      </c>
      <c r="O130" s="131">
        <v>-298.3</v>
      </c>
      <c r="P130" s="131">
        <v>-299.7</v>
      </c>
      <c r="Q130" s="131">
        <v>-299.7</v>
      </c>
      <c r="R130" s="131"/>
      <c r="S130" s="131">
        <v>-251</v>
      </c>
      <c r="T130" s="131">
        <v>-276</v>
      </c>
      <c r="U130" s="131">
        <v>-287</v>
      </c>
      <c r="V130" s="131">
        <v>-312</v>
      </c>
      <c r="W130" s="131">
        <v>-317.60000000000002</v>
      </c>
      <c r="X130" s="131">
        <v>-315</v>
      </c>
      <c r="Y130" s="131">
        <v>-315</v>
      </c>
      <c r="Z130" s="131">
        <v>-326</v>
      </c>
      <c r="AA130" s="131">
        <v>-324</v>
      </c>
      <c r="AB130" s="131">
        <v>-322</v>
      </c>
      <c r="AC130" s="131">
        <v>-322</v>
      </c>
      <c r="AD130" s="131">
        <v>-334</v>
      </c>
      <c r="AE130" s="131">
        <v>-348</v>
      </c>
      <c r="AF130" s="131">
        <v>-345</v>
      </c>
      <c r="AG130" s="128"/>
      <c r="AH130" s="48">
        <f>MAX(B130:AF130)</f>
        <v>-152.9</v>
      </c>
      <c r="AI130" s="49">
        <f>MIN(B130:AF130)</f>
        <v>-380</v>
      </c>
    </row>
    <row r="131" spans="1:37" x14ac:dyDescent="0.25">
      <c r="A131" s="129" t="s">
        <v>151</v>
      </c>
      <c r="B131" s="119">
        <v>41.4</v>
      </c>
      <c r="C131" s="119">
        <v>40.9</v>
      </c>
      <c r="D131" s="119">
        <v>46.3</v>
      </c>
      <c r="E131" s="119">
        <v>45.5</v>
      </c>
      <c r="F131" s="119">
        <v>48.4</v>
      </c>
      <c r="G131" s="119">
        <v>52.8</v>
      </c>
      <c r="H131" s="119">
        <v>47.4</v>
      </c>
      <c r="I131" s="119"/>
      <c r="J131" s="119"/>
      <c r="K131" s="119">
        <v>39.200000000000003</v>
      </c>
      <c r="L131" s="119">
        <v>23.4</v>
      </c>
      <c r="M131" s="119">
        <v>44.9</v>
      </c>
      <c r="N131" s="119">
        <v>27.1</v>
      </c>
      <c r="O131" s="119">
        <v>30.7</v>
      </c>
      <c r="P131" s="119">
        <v>26.1</v>
      </c>
      <c r="Q131" s="119">
        <v>26.1</v>
      </c>
      <c r="R131" s="119"/>
      <c r="S131" s="119">
        <v>15.6</v>
      </c>
      <c r="T131" s="119">
        <v>27</v>
      </c>
      <c r="U131" s="119">
        <v>27</v>
      </c>
      <c r="V131" s="119">
        <v>23</v>
      </c>
      <c r="W131" s="119">
        <v>23.1</v>
      </c>
      <c r="X131" s="119">
        <v>26.3</v>
      </c>
      <c r="Y131" s="119">
        <v>26.3</v>
      </c>
      <c r="Z131" s="119">
        <v>11</v>
      </c>
      <c r="AA131" s="119">
        <v>9</v>
      </c>
      <c r="AB131" s="119">
        <v>6</v>
      </c>
      <c r="AC131" s="119">
        <v>6</v>
      </c>
      <c r="AD131" s="119">
        <v>11.5</v>
      </c>
      <c r="AE131" s="119">
        <v>24</v>
      </c>
      <c r="AF131" s="119">
        <v>27</v>
      </c>
      <c r="AG131" s="128"/>
      <c r="AH131" s="48">
        <f>MAX(B131:AF131)</f>
        <v>52.8</v>
      </c>
      <c r="AI131" s="49">
        <f>MIN(B131:AF131)</f>
        <v>6</v>
      </c>
    </row>
    <row r="132" spans="1:37" x14ac:dyDescent="0.25">
      <c r="A132" s="129" t="s">
        <v>152</v>
      </c>
      <c r="B132" s="119">
        <v>13.2</v>
      </c>
      <c r="C132" s="119">
        <v>11</v>
      </c>
      <c r="D132" s="119">
        <v>5.6</v>
      </c>
      <c r="E132" s="119" t="s">
        <v>162</v>
      </c>
      <c r="F132" s="119">
        <v>-1.2</v>
      </c>
      <c r="G132" s="119">
        <v>-20.3</v>
      </c>
      <c r="H132" s="119">
        <v>-19.100000000000001</v>
      </c>
      <c r="I132" s="119"/>
      <c r="J132" s="119"/>
      <c r="K132" s="119">
        <v>-11.9</v>
      </c>
      <c r="L132" s="119">
        <v>5.0999999999999996</v>
      </c>
      <c r="M132" s="119">
        <v>-53.6</v>
      </c>
      <c r="N132" s="119">
        <v>11</v>
      </c>
      <c r="O132" s="119">
        <v>15.3</v>
      </c>
      <c r="P132" s="119">
        <v>16.100000000000001</v>
      </c>
      <c r="Q132" s="119">
        <v>16.100000000000001</v>
      </c>
      <c r="R132" s="119"/>
      <c r="S132" s="119">
        <v>61.6</v>
      </c>
      <c r="T132" s="119">
        <v>57</v>
      </c>
      <c r="U132" s="119">
        <v>43</v>
      </c>
      <c r="V132" s="119">
        <v>43</v>
      </c>
      <c r="W132" s="119">
        <v>61.1</v>
      </c>
      <c r="X132" s="119">
        <v>59</v>
      </c>
      <c r="Y132" s="119">
        <v>59</v>
      </c>
      <c r="Z132" s="119">
        <v>50</v>
      </c>
      <c r="AA132" s="119">
        <v>55</v>
      </c>
      <c r="AB132" s="119">
        <v>39</v>
      </c>
      <c r="AC132" s="119">
        <v>39</v>
      </c>
      <c r="AD132" s="119">
        <v>46</v>
      </c>
      <c r="AE132" s="119">
        <v>35</v>
      </c>
      <c r="AF132" s="119">
        <v>27</v>
      </c>
      <c r="AG132" s="128"/>
      <c r="AH132" s="48">
        <f>MAX(B132:AF132)</f>
        <v>61.6</v>
      </c>
      <c r="AI132" s="49">
        <f>MIN(B132:AF132)</f>
        <v>-53.6</v>
      </c>
    </row>
    <row r="133" spans="1:37" ht="15.75" thickBot="1" x14ac:dyDescent="0.3">
      <c r="A133" s="129" t="s">
        <v>153</v>
      </c>
      <c r="B133" s="119">
        <v>54.5</v>
      </c>
      <c r="C133" s="119">
        <v>61.3</v>
      </c>
      <c r="D133" s="119">
        <v>57</v>
      </c>
      <c r="E133" s="119">
        <v>55.3</v>
      </c>
      <c r="F133" s="119"/>
      <c r="G133" s="119">
        <v>-41.1</v>
      </c>
      <c r="H133" s="119">
        <v>38</v>
      </c>
      <c r="I133" s="119"/>
      <c r="J133" s="119"/>
      <c r="K133" s="119">
        <v>41.6</v>
      </c>
      <c r="L133" s="119">
        <v>57.4</v>
      </c>
      <c r="M133" s="119">
        <v>16.3</v>
      </c>
      <c r="N133" s="119">
        <v>70</v>
      </c>
      <c r="O133" s="119">
        <v>69.3</v>
      </c>
      <c r="P133" s="119">
        <v>68.599999999999994</v>
      </c>
      <c r="Q133" s="119">
        <v>68.599999999999994</v>
      </c>
      <c r="R133" s="119"/>
      <c r="S133" s="119">
        <v>76.67</v>
      </c>
      <c r="T133" s="119">
        <v>63.7</v>
      </c>
      <c r="U133" s="119">
        <v>62</v>
      </c>
      <c r="V133" s="119">
        <v>65</v>
      </c>
      <c r="W133" s="119">
        <v>71.5</v>
      </c>
      <c r="X133" s="119">
        <v>71</v>
      </c>
      <c r="Y133" s="119">
        <v>71</v>
      </c>
      <c r="Z133" s="119">
        <v>72</v>
      </c>
      <c r="AA133" s="119">
        <v>74</v>
      </c>
      <c r="AB133" s="119">
        <v>72</v>
      </c>
      <c r="AC133" s="119">
        <v>72</v>
      </c>
      <c r="AD133" s="119">
        <v>80</v>
      </c>
      <c r="AE133" s="119">
        <v>76</v>
      </c>
      <c r="AF133" s="119">
        <v>71</v>
      </c>
      <c r="AG133" s="128"/>
      <c r="AH133" s="48">
        <f>MAX(B133:AF133)</f>
        <v>80</v>
      </c>
      <c r="AI133" s="49">
        <f>MIN(B133:AF133)</f>
        <v>-41.1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>
        <v>883.6</v>
      </c>
      <c r="J139" s="140"/>
      <c r="K139" s="140"/>
      <c r="L139" s="140"/>
      <c r="M139" s="140"/>
      <c r="N139" s="140"/>
      <c r="O139" s="140"/>
      <c r="P139" s="140"/>
      <c r="Q139" s="140"/>
      <c r="R139" s="140"/>
      <c r="S139" s="140">
        <v>883.85</v>
      </c>
      <c r="T139" s="140"/>
      <c r="U139" s="140"/>
      <c r="V139" s="140"/>
      <c r="W139" s="140"/>
      <c r="X139" s="140"/>
      <c r="Y139" s="140"/>
      <c r="Z139" s="140"/>
      <c r="AA139" s="140"/>
      <c r="AB139" s="140">
        <v>884.9</v>
      </c>
      <c r="AC139" s="140"/>
      <c r="AD139" s="140">
        <v>884.3</v>
      </c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>
        <v>1484.67</v>
      </c>
      <c r="J140" s="142"/>
      <c r="K140" s="142"/>
      <c r="L140" s="142"/>
      <c r="M140" s="142"/>
      <c r="N140" s="142"/>
      <c r="O140" s="142"/>
      <c r="P140" s="142"/>
      <c r="Q140" s="142"/>
      <c r="R140" s="142"/>
      <c r="S140" s="142">
        <v>1484.6</v>
      </c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4">SUM(B142:B246)</f>
        <v>0</v>
      </c>
      <c r="C247" s="161">
        <f t="shared" si="44"/>
        <v>0</v>
      </c>
      <c r="D247" s="161">
        <f t="shared" si="44"/>
        <v>0</v>
      </c>
      <c r="E247" s="161">
        <f t="shared" si="44"/>
        <v>0</v>
      </c>
      <c r="F247" s="161">
        <f t="shared" si="44"/>
        <v>0</v>
      </c>
      <c r="G247" s="161">
        <f t="shared" si="44"/>
        <v>0</v>
      </c>
      <c r="H247" s="161">
        <f t="shared" si="44"/>
        <v>0</v>
      </c>
      <c r="I247" s="161">
        <f t="shared" si="44"/>
        <v>0</v>
      </c>
      <c r="J247" s="161">
        <f t="shared" si="44"/>
        <v>0</v>
      </c>
      <c r="K247" s="161">
        <f t="shared" si="44"/>
        <v>0</v>
      </c>
      <c r="L247" s="161">
        <f t="shared" si="44"/>
        <v>0</v>
      </c>
      <c r="M247" s="161">
        <f t="shared" si="44"/>
        <v>0</v>
      </c>
      <c r="N247" s="161">
        <f t="shared" si="44"/>
        <v>0</v>
      </c>
      <c r="O247" s="161">
        <f t="shared" si="44"/>
        <v>0</v>
      </c>
      <c r="P247" s="161">
        <f t="shared" si="44"/>
        <v>0</v>
      </c>
      <c r="Q247" s="161">
        <f t="shared" si="44"/>
        <v>0</v>
      </c>
      <c r="R247" s="161">
        <f t="shared" si="44"/>
        <v>0</v>
      </c>
      <c r="S247" s="161">
        <f t="shared" si="44"/>
        <v>0</v>
      </c>
      <c r="T247" s="161">
        <f t="shared" si="44"/>
        <v>0</v>
      </c>
      <c r="U247" s="161">
        <f t="shared" si="44"/>
        <v>0</v>
      </c>
      <c r="V247" s="161">
        <f t="shared" si="44"/>
        <v>0</v>
      </c>
      <c r="W247" s="161">
        <f t="shared" si="44"/>
        <v>0</v>
      </c>
      <c r="X247" s="161">
        <f t="shared" si="44"/>
        <v>0</v>
      </c>
      <c r="Y247" s="161">
        <f t="shared" si="44"/>
        <v>0</v>
      </c>
      <c r="Z247" s="161">
        <f t="shared" si="44"/>
        <v>0</v>
      </c>
      <c r="AA247" s="161">
        <f t="shared" si="44"/>
        <v>0</v>
      </c>
      <c r="AB247" s="161">
        <f t="shared" si="44"/>
        <v>0</v>
      </c>
      <c r="AC247" s="161">
        <f t="shared" si="44"/>
        <v>0</v>
      </c>
      <c r="AD247" s="161">
        <f t="shared" si="44"/>
        <v>0</v>
      </c>
      <c r="AE247" s="161">
        <f t="shared" si="44"/>
        <v>0</v>
      </c>
      <c r="AF247" s="162">
        <f t="shared" si="44"/>
        <v>0</v>
      </c>
      <c r="AG247" s="163">
        <f t="shared" si="4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5">AF249</f>
        <v>0.3</v>
      </c>
      <c r="C249" s="166">
        <v>0.3</v>
      </c>
      <c r="D249" s="166">
        <f t="shared" ref="D249:S254" si="46">C249</f>
        <v>0.3</v>
      </c>
      <c r="E249" s="166">
        <f t="shared" si="46"/>
        <v>0.3</v>
      </c>
      <c r="F249" s="166">
        <f t="shared" si="46"/>
        <v>0.3</v>
      </c>
      <c r="G249" s="166">
        <f t="shared" si="46"/>
        <v>0.3</v>
      </c>
      <c r="H249" s="166">
        <f t="shared" si="46"/>
        <v>0.3</v>
      </c>
      <c r="I249" s="166">
        <f t="shared" si="46"/>
        <v>0.3</v>
      </c>
      <c r="J249" s="166">
        <f t="shared" si="46"/>
        <v>0.3</v>
      </c>
      <c r="K249" s="166">
        <f t="shared" si="46"/>
        <v>0.3</v>
      </c>
      <c r="L249" s="166">
        <f t="shared" si="46"/>
        <v>0.3</v>
      </c>
      <c r="M249" s="166">
        <f t="shared" si="46"/>
        <v>0.3</v>
      </c>
      <c r="N249" s="166">
        <f t="shared" si="46"/>
        <v>0.3</v>
      </c>
      <c r="O249" s="166">
        <f t="shared" si="46"/>
        <v>0.3</v>
      </c>
      <c r="P249" s="166">
        <f t="shared" si="46"/>
        <v>0.3</v>
      </c>
      <c r="Q249" s="166">
        <f t="shared" si="46"/>
        <v>0.3</v>
      </c>
      <c r="R249" s="166">
        <f t="shared" si="46"/>
        <v>0.3</v>
      </c>
      <c r="S249" s="166">
        <f t="shared" si="46"/>
        <v>0.3</v>
      </c>
      <c r="T249" s="166">
        <f t="shared" ref="T249:AF254" si="47">S249</f>
        <v>0.3</v>
      </c>
      <c r="U249" s="166">
        <f t="shared" si="47"/>
        <v>0.3</v>
      </c>
      <c r="V249" s="166">
        <f t="shared" si="47"/>
        <v>0.3</v>
      </c>
      <c r="W249" s="166">
        <f t="shared" si="47"/>
        <v>0.3</v>
      </c>
      <c r="X249" s="166">
        <f t="shared" si="47"/>
        <v>0.3</v>
      </c>
      <c r="Y249" s="166">
        <f t="shared" si="47"/>
        <v>0.3</v>
      </c>
      <c r="Z249" s="166">
        <f t="shared" si="47"/>
        <v>0.3</v>
      </c>
      <c r="AA249" s="166">
        <f t="shared" si="47"/>
        <v>0.3</v>
      </c>
      <c r="AB249" s="166">
        <f t="shared" si="47"/>
        <v>0.3</v>
      </c>
      <c r="AC249" s="166">
        <f t="shared" si="47"/>
        <v>0.3</v>
      </c>
      <c r="AD249" s="166">
        <f t="shared" si="47"/>
        <v>0.3</v>
      </c>
      <c r="AE249" s="166">
        <f t="shared" si="47"/>
        <v>0.3</v>
      </c>
      <c r="AF249" s="166">
        <f t="shared" si="4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5"/>
        <v>0.4</v>
      </c>
      <c r="C250" s="152">
        <v>0.4</v>
      </c>
      <c r="D250" s="152">
        <f t="shared" si="46"/>
        <v>0.4</v>
      </c>
      <c r="E250" s="152">
        <f t="shared" si="46"/>
        <v>0.4</v>
      </c>
      <c r="F250" s="152">
        <f t="shared" si="46"/>
        <v>0.4</v>
      </c>
      <c r="G250" s="152">
        <f t="shared" si="46"/>
        <v>0.4</v>
      </c>
      <c r="H250" s="152">
        <f t="shared" si="46"/>
        <v>0.4</v>
      </c>
      <c r="I250" s="152">
        <f t="shared" si="46"/>
        <v>0.4</v>
      </c>
      <c r="J250" s="152">
        <f t="shared" si="46"/>
        <v>0.4</v>
      </c>
      <c r="K250" s="152">
        <f t="shared" si="46"/>
        <v>0.4</v>
      </c>
      <c r="L250" s="152">
        <f t="shared" si="46"/>
        <v>0.4</v>
      </c>
      <c r="M250" s="152">
        <f t="shared" si="46"/>
        <v>0.4</v>
      </c>
      <c r="N250" s="152">
        <f t="shared" si="46"/>
        <v>0.4</v>
      </c>
      <c r="O250" s="152">
        <f t="shared" si="46"/>
        <v>0.4</v>
      </c>
      <c r="P250" s="152">
        <f t="shared" si="46"/>
        <v>0.4</v>
      </c>
      <c r="Q250" s="152">
        <f t="shared" si="46"/>
        <v>0.4</v>
      </c>
      <c r="R250" s="152">
        <f t="shared" si="46"/>
        <v>0.4</v>
      </c>
      <c r="S250" s="152">
        <f t="shared" si="46"/>
        <v>0.4</v>
      </c>
      <c r="T250" s="152">
        <f t="shared" si="47"/>
        <v>0.4</v>
      </c>
      <c r="U250" s="152">
        <f t="shared" si="47"/>
        <v>0.4</v>
      </c>
      <c r="V250" s="152">
        <f t="shared" si="47"/>
        <v>0.4</v>
      </c>
      <c r="W250" s="152">
        <f t="shared" si="47"/>
        <v>0.4</v>
      </c>
      <c r="X250" s="152">
        <f t="shared" si="47"/>
        <v>0.4</v>
      </c>
      <c r="Y250" s="152">
        <f t="shared" si="47"/>
        <v>0.4</v>
      </c>
      <c r="Z250" s="152">
        <f t="shared" si="47"/>
        <v>0.4</v>
      </c>
      <c r="AA250" s="152">
        <f t="shared" si="47"/>
        <v>0.4</v>
      </c>
      <c r="AB250" s="152">
        <f t="shared" si="47"/>
        <v>0.4</v>
      </c>
      <c r="AC250" s="152">
        <f t="shared" si="47"/>
        <v>0.4</v>
      </c>
      <c r="AD250" s="152">
        <f t="shared" si="47"/>
        <v>0.4</v>
      </c>
      <c r="AE250" s="152">
        <f t="shared" si="47"/>
        <v>0.4</v>
      </c>
      <c r="AF250" s="152">
        <f t="shared" si="4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5"/>
        <v>1.5</v>
      </c>
      <c r="C251" s="152">
        <v>1.5</v>
      </c>
      <c r="D251" s="152">
        <f t="shared" si="46"/>
        <v>1.5</v>
      </c>
      <c r="E251" s="152">
        <f t="shared" si="46"/>
        <v>1.5</v>
      </c>
      <c r="F251" s="152">
        <f t="shared" si="46"/>
        <v>1.5</v>
      </c>
      <c r="G251" s="152">
        <f t="shared" si="46"/>
        <v>1.5</v>
      </c>
      <c r="H251" s="152">
        <f t="shared" si="46"/>
        <v>1.5</v>
      </c>
      <c r="I251" s="152">
        <f t="shared" si="46"/>
        <v>1.5</v>
      </c>
      <c r="J251" s="152">
        <f t="shared" si="46"/>
        <v>1.5</v>
      </c>
      <c r="K251" s="152">
        <f t="shared" si="46"/>
        <v>1.5</v>
      </c>
      <c r="L251" s="152">
        <f t="shared" si="46"/>
        <v>1.5</v>
      </c>
      <c r="M251" s="152">
        <f t="shared" si="46"/>
        <v>1.5</v>
      </c>
      <c r="N251" s="152">
        <f t="shared" si="46"/>
        <v>1.5</v>
      </c>
      <c r="O251" s="152">
        <f t="shared" si="46"/>
        <v>1.5</v>
      </c>
      <c r="P251" s="152">
        <f t="shared" si="46"/>
        <v>1.5</v>
      </c>
      <c r="Q251" s="152">
        <f t="shared" si="46"/>
        <v>1.5</v>
      </c>
      <c r="R251" s="152">
        <f t="shared" si="46"/>
        <v>1.5</v>
      </c>
      <c r="S251" s="152">
        <f t="shared" si="46"/>
        <v>1.5</v>
      </c>
      <c r="T251" s="152">
        <f t="shared" si="47"/>
        <v>1.5</v>
      </c>
      <c r="U251" s="152">
        <f t="shared" si="47"/>
        <v>1.5</v>
      </c>
      <c r="V251" s="152">
        <f t="shared" si="47"/>
        <v>1.5</v>
      </c>
      <c r="W251" s="152">
        <f t="shared" si="47"/>
        <v>1.5</v>
      </c>
      <c r="X251" s="152">
        <f t="shared" si="47"/>
        <v>1.5</v>
      </c>
      <c r="Y251" s="152">
        <f t="shared" si="47"/>
        <v>1.5</v>
      </c>
      <c r="Z251" s="152">
        <f t="shared" si="47"/>
        <v>1.5</v>
      </c>
      <c r="AA251" s="152">
        <f t="shared" si="47"/>
        <v>1.5</v>
      </c>
      <c r="AB251" s="152">
        <f t="shared" si="47"/>
        <v>1.5</v>
      </c>
      <c r="AC251" s="152">
        <f t="shared" si="47"/>
        <v>1.5</v>
      </c>
      <c r="AD251" s="152">
        <f t="shared" si="47"/>
        <v>1.5</v>
      </c>
      <c r="AE251" s="152">
        <f t="shared" si="47"/>
        <v>1.5</v>
      </c>
      <c r="AF251" s="152">
        <f t="shared" si="4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5"/>
        <v>0.3</v>
      </c>
      <c r="C252" s="152">
        <v>0.3</v>
      </c>
      <c r="D252" s="152">
        <f t="shared" si="46"/>
        <v>0.3</v>
      </c>
      <c r="E252" s="152">
        <f t="shared" si="46"/>
        <v>0.3</v>
      </c>
      <c r="F252" s="152">
        <f t="shared" si="46"/>
        <v>0.3</v>
      </c>
      <c r="G252" s="152">
        <f t="shared" si="46"/>
        <v>0.3</v>
      </c>
      <c r="H252" s="152">
        <f t="shared" si="46"/>
        <v>0.3</v>
      </c>
      <c r="I252" s="152">
        <f t="shared" si="46"/>
        <v>0.3</v>
      </c>
      <c r="J252" s="152">
        <f t="shared" si="46"/>
        <v>0.3</v>
      </c>
      <c r="K252" s="152">
        <f t="shared" si="46"/>
        <v>0.3</v>
      </c>
      <c r="L252" s="152">
        <f t="shared" si="46"/>
        <v>0.3</v>
      </c>
      <c r="M252" s="152">
        <f t="shared" si="46"/>
        <v>0.3</v>
      </c>
      <c r="N252" s="152">
        <f t="shared" si="46"/>
        <v>0.3</v>
      </c>
      <c r="O252" s="152">
        <f t="shared" si="46"/>
        <v>0.3</v>
      </c>
      <c r="P252" s="152">
        <f t="shared" si="46"/>
        <v>0.3</v>
      </c>
      <c r="Q252" s="152">
        <f t="shared" si="46"/>
        <v>0.3</v>
      </c>
      <c r="R252" s="152">
        <f t="shared" si="46"/>
        <v>0.3</v>
      </c>
      <c r="S252" s="152">
        <f t="shared" si="46"/>
        <v>0.3</v>
      </c>
      <c r="T252" s="152">
        <f t="shared" si="47"/>
        <v>0.3</v>
      </c>
      <c r="U252" s="152">
        <f t="shared" si="47"/>
        <v>0.3</v>
      </c>
      <c r="V252" s="152">
        <f t="shared" si="47"/>
        <v>0.3</v>
      </c>
      <c r="W252" s="152">
        <f t="shared" si="47"/>
        <v>0.3</v>
      </c>
      <c r="X252" s="152">
        <f t="shared" si="47"/>
        <v>0.3</v>
      </c>
      <c r="Y252" s="152">
        <f t="shared" si="47"/>
        <v>0.3</v>
      </c>
      <c r="Z252" s="152">
        <f t="shared" si="47"/>
        <v>0.3</v>
      </c>
      <c r="AA252" s="152">
        <f t="shared" si="47"/>
        <v>0.3</v>
      </c>
      <c r="AB252" s="152">
        <f t="shared" si="47"/>
        <v>0.3</v>
      </c>
      <c r="AC252" s="152">
        <f t="shared" si="47"/>
        <v>0.3</v>
      </c>
      <c r="AD252" s="152">
        <f t="shared" si="47"/>
        <v>0.3</v>
      </c>
      <c r="AE252" s="152">
        <f t="shared" si="47"/>
        <v>0.3</v>
      </c>
      <c r="AF252" s="152">
        <f t="shared" si="4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5"/>
        <v>0.4</v>
      </c>
      <c r="C253" s="152">
        <v>0.4</v>
      </c>
      <c r="D253" s="152">
        <f t="shared" si="46"/>
        <v>0.4</v>
      </c>
      <c r="E253" s="152">
        <f t="shared" si="46"/>
        <v>0.4</v>
      </c>
      <c r="F253" s="152">
        <f t="shared" si="46"/>
        <v>0.4</v>
      </c>
      <c r="G253" s="152">
        <f t="shared" si="46"/>
        <v>0.4</v>
      </c>
      <c r="H253" s="152">
        <f t="shared" si="46"/>
        <v>0.4</v>
      </c>
      <c r="I253" s="152">
        <f t="shared" si="46"/>
        <v>0.4</v>
      </c>
      <c r="J253" s="152">
        <f t="shared" si="46"/>
        <v>0.4</v>
      </c>
      <c r="K253" s="152">
        <f t="shared" si="46"/>
        <v>0.4</v>
      </c>
      <c r="L253" s="152">
        <f t="shared" si="46"/>
        <v>0.4</v>
      </c>
      <c r="M253" s="152">
        <f t="shared" si="46"/>
        <v>0.4</v>
      </c>
      <c r="N253" s="152">
        <f t="shared" si="46"/>
        <v>0.4</v>
      </c>
      <c r="O253" s="152">
        <f t="shared" si="46"/>
        <v>0.4</v>
      </c>
      <c r="P253" s="152">
        <f t="shared" si="46"/>
        <v>0.4</v>
      </c>
      <c r="Q253" s="152">
        <f t="shared" si="46"/>
        <v>0.4</v>
      </c>
      <c r="R253" s="152">
        <f t="shared" si="46"/>
        <v>0.4</v>
      </c>
      <c r="S253" s="152">
        <f t="shared" si="46"/>
        <v>0.4</v>
      </c>
      <c r="T253" s="152">
        <f t="shared" si="47"/>
        <v>0.4</v>
      </c>
      <c r="U253" s="152">
        <f t="shared" si="47"/>
        <v>0.4</v>
      </c>
      <c r="V253" s="152">
        <f t="shared" si="47"/>
        <v>0.4</v>
      </c>
      <c r="W253" s="152">
        <f t="shared" si="47"/>
        <v>0.4</v>
      </c>
      <c r="X253" s="152">
        <f t="shared" si="47"/>
        <v>0.4</v>
      </c>
      <c r="Y253" s="152">
        <f t="shared" si="47"/>
        <v>0.4</v>
      </c>
      <c r="Z253" s="152">
        <f t="shared" si="47"/>
        <v>0.4</v>
      </c>
      <c r="AA253" s="152">
        <f t="shared" si="47"/>
        <v>0.4</v>
      </c>
      <c r="AB253" s="152">
        <f t="shared" si="47"/>
        <v>0.4</v>
      </c>
      <c r="AC253" s="152">
        <f t="shared" si="47"/>
        <v>0.4</v>
      </c>
      <c r="AD253" s="152">
        <f t="shared" si="47"/>
        <v>0.4</v>
      </c>
      <c r="AE253" s="152">
        <f t="shared" si="47"/>
        <v>0.4</v>
      </c>
      <c r="AF253" s="152">
        <f t="shared" si="4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5"/>
        <v>0.64</v>
      </c>
      <c r="C254" s="157">
        <v>0.64</v>
      </c>
      <c r="D254" s="157">
        <f t="shared" si="46"/>
        <v>0.64</v>
      </c>
      <c r="E254" s="157">
        <f t="shared" si="46"/>
        <v>0.64</v>
      </c>
      <c r="F254" s="157">
        <f t="shared" si="46"/>
        <v>0.64</v>
      </c>
      <c r="G254" s="157">
        <f t="shared" si="46"/>
        <v>0.64</v>
      </c>
      <c r="H254" s="157">
        <f t="shared" si="46"/>
        <v>0.64</v>
      </c>
      <c r="I254" s="157">
        <f t="shared" si="46"/>
        <v>0.64</v>
      </c>
      <c r="J254" s="157">
        <f t="shared" si="46"/>
        <v>0.64</v>
      </c>
      <c r="K254" s="157">
        <f t="shared" si="46"/>
        <v>0.64</v>
      </c>
      <c r="L254" s="157">
        <f t="shared" si="46"/>
        <v>0.64</v>
      </c>
      <c r="M254" s="157">
        <f t="shared" si="46"/>
        <v>0.64</v>
      </c>
      <c r="N254" s="157">
        <f t="shared" si="46"/>
        <v>0.64</v>
      </c>
      <c r="O254" s="157">
        <f t="shared" si="46"/>
        <v>0.64</v>
      </c>
      <c r="P254" s="157">
        <f t="shared" si="46"/>
        <v>0.64</v>
      </c>
      <c r="Q254" s="157">
        <f t="shared" si="46"/>
        <v>0.64</v>
      </c>
      <c r="R254" s="157">
        <f t="shared" si="46"/>
        <v>0.64</v>
      </c>
      <c r="S254" s="157">
        <f t="shared" si="46"/>
        <v>0.64</v>
      </c>
      <c r="T254" s="157">
        <f t="shared" si="47"/>
        <v>0.64</v>
      </c>
      <c r="U254" s="157">
        <f t="shared" si="47"/>
        <v>0.64</v>
      </c>
      <c r="V254" s="157">
        <f t="shared" si="47"/>
        <v>0.64</v>
      </c>
      <c r="W254" s="157">
        <f t="shared" si="47"/>
        <v>0.64</v>
      </c>
      <c r="X254" s="157">
        <f t="shared" si="47"/>
        <v>0.64</v>
      </c>
      <c r="Y254" s="157">
        <f t="shared" si="47"/>
        <v>0.64</v>
      </c>
      <c r="Z254" s="157">
        <f t="shared" si="47"/>
        <v>0.64</v>
      </c>
      <c r="AA254" s="157">
        <f t="shared" si="47"/>
        <v>0.64</v>
      </c>
      <c r="AB254" s="157">
        <f t="shared" si="47"/>
        <v>0.64</v>
      </c>
      <c r="AC254" s="157">
        <f t="shared" si="47"/>
        <v>0.64</v>
      </c>
      <c r="AD254" s="157">
        <f t="shared" si="47"/>
        <v>0.64</v>
      </c>
      <c r="AE254" s="157">
        <f t="shared" si="47"/>
        <v>0.64</v>
      </c>
      <c r="AF254" s="157">
        <f t="shared" si="4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8">SUM(B249:B254)</f>
        <v>3.54</v>
      </c>
      <c r="C255" s="161">
        <f t="shared" si="48"/>
        <v>3.54</v>
      </c>
      <c r="D255" s="161">
        <f t="shared" si="48"/>
        <v>3.54</v>
      </c>
      <c r="E255" s="161">
        <f t="shared" si="48"/>
        <v>3.54</v>
      </c>
      <c r="F255" s="161">
        <f t="shared" si="48"/>
        <v>3.54</v>
      </c>
      <c r="G255" s="161">
        <f t="shared" si="48"/>
        <v>3.54</v>
      </c>
      <c r="H255" s="161">
        <f t="shared" si="48"/>
        <v>3.54</v>
      </c>
      <c r="I255" s="161">
        <f t="shared" si="48"/>
        <v>3.54</v>
      </c>
      <c r="J255" s="161">
        <f t="shared" si="48"/>
        <v>3.54</v>
      </c>
      <c r="K255" s="161">
        <f t="shared" si="48"/>
        <v>3.54</v>
      </c>
      <c r="L255" s="161">
        <f t="shared" si="48"/>
        <v>3.54</v>
      </c>
      <c r="M255" s="161">
        <f t="shared" si="48"/>
        <v>3.54</v>
      </c>
      <c r="N255" s="161">
        <f t="shared" si="48"/>
        <v>3.54</v>
      </c>
      <c r="O255" s="161">
        <f t="shared" si="48"/>
        <v>3.54</v>
      </c>
      <c r="P255" s="161">
        <f t="shared" si="48"/>
        <v>3.54</v>
      </c>
      <c r="Q255" s="161">
        <f t="shared" si="48"/>
        <v>3.54</v>
      </c>
      <c r="R255" s="161">
        <f t="shared" si="48"/>
        <v>3.54</v>
      </c>
      <c r="S255" s="161">
        <f t="shared" si="48"/>
        <v>3.54</v>
      </c>
      <c r="T255" s="161">
        <f t="shared" si="48"/>
        <v>3.54</v>
      </c>
      <c r="U255" s="161">
        <f t="shared" si="48"/>
        <v>3.54</v>
      </c>
      <c r="V255" s="161">
        <f t="shared" si="48"/>
        <v>3.54</v>
      </c>
      <c r="W255" s="161">
        <f t="shared" si="48"/>
        <v>3.54</v>
      </c>
      <c r="X255" s="161">
        <f t="shared" si="48"/>
        <v>3.54</v>
      </c>
      <c r="Y255" s="161">
        <f t="shared" si="48"/>
        <v>3.54</v>
      </c>
      <c r="Z255" s="161">
        <f t="shared" si="48"/>
        <v>3.54</v>
      </c>
      <c r="AA255" s="161">
        <f t="shared" si="48"/>
        <v>3.54</v>
      </c>
      <c r="AB255" s="161">
        <f t="shared" si="48"/>
        <v>3.54</v>
      </c>
      <c r="AC255" s="161">
        <f t="shared" si="48"/>
        <v>3.54</v>
      </c>
      <c r="AD255" s="161">
        <f t="shared" si="48"/>
        <v>3.54</v>
      </c>
      <c r="AE255" s="161">
        <f t="shared" si="48"/>
        <v>3.54</v>
      </c>
      <c r="AF255" s="161">
        <f t="shared" si="48"/>
        <v>3.54</v>
      </c>
      <c r="AG255" s="171">
        <f t="shared" si="4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2175.14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2080/10/10)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3108" priority="102">
      <formula>$AH11=0</formula>
    </cfRule>
  </conditionalFormatting>
  <conditionalFormatting sqref="A89">
    <cfRule type="expression" dxfId="3107" priority="160">
      <formula>$AH94=0</formula>
    </cfRule>
  </conditionalFormatting>
  <conditionalFormatting sqref="A90:A94">
    <cfRule type="expression" dxfId="3106" priority="103">
      <formula>$AH89=0</formula>
    </cfRule>
  </conditionalFormatting>
  <conditionalFormatting sqref="B8">
    <cfRule type="expression" dxfId="3105" priority="156">
      <formula>AND(C$9&gt;=14/24,C$9&lt;20/24)</formula>
    </cfRule>
    <cfRule type="expression" dxfId="3104" priority="157">
      <formula>AND(C$9&gt;=8/24,C$9&lt;14/24)</formula>
    </cfRule>
    <cfRule type="expression" dxfId="3103" priority="158">
      <formula>C$9&lt;8/24</formula>
    </cfRule>
    <cfRule type="expression" dxfId="3102" priority="159">
      <formula>C$9&gt;=20/24</formula>
    </cfRule>
  </conditionalFormatting>
  <conditionalFormatting sqref="B11:E14">
    <cfRule type="expression" dxfId="3101" priority="10">
      <formula>B11&gt;$AG11</formula>
    </cfRule>
  </conditionalFormatting>
  <conditionalFormatting sqref="B11:E57 F14:F57 Q15:R57 G16:P57">
    <cfRule type="expression" dxfId="3100" priority="11">
      <formula>B$9&gt;=20/24</formula>
    </cfRule>
    <cfRule type="expression" dxfId="3099" priority="12">
      <formula>AND(B$9&gt;=14/24,B$9&lt;20/24)</formula>
    </cfRule>
    <cfRule type="expression" dxfId="3098" priority="13">
      <formula>AND(B$9&gt;=8/24,B$9&lt;14/24)</formula>
    </cfRule>
    <cfRule type="expression" dxfId="3097" priority="14">
      <formula>B$9&lt;8/24</formula>
    </cfRule>
  </conditionalFormatting>
  <conditionalFormatting sqref="B66:P71 Q69:Q71">
    <cfRule type="expression" dxfId="3096" priority="19">
      <formula>B$9&gt;=20/24</formula>
    </cfRule>
    <cfRule type="expression" dxfId="3095" priority="20">
      <formula>AND(B$9&gt;=14/24,B$9&lt;20/24)</formula>
    </cfRule>
    <cfRule type="expression" dxfId="3094" priority="21">
      <formula>AND(B$9&gt;=8/24,B$9&lt;14/24)</formula>
    </cfRule>
    <cfRule type="expression" dxfId="3093" priority="22">
      <formula>B$9&lt;8/24</formula>
    </cfRule>
  </conditionalFormatting>
  <conditionalFormatting sqref="B72:Q77 B80:B102 B104:AF120 B122:AF140">
    <cfRule type="expression" dxfId="3092" priority="5">
      <formula>B$9&gt;=20/24</formula>
    </cfRule>
    <cfRule type="expression" dxfId="3091" priority="6">
      <formula>AND(B$9&gt;=14/24,B$9&lt;20/24)</formula>
    </cfRule>
    <cfRule type="expression" dxfId="3090" priority="7">
      <formula>AND(B$9&gt;=8/24,B$9&lt;14/24)</formula>
    </cfRule>
    <cfRule type="expression" dxfId="3089" priority="8">
      <formula>B$9&lt;8/24</formula>
    </cfRule>
  </conditionalFormatting>
  <conditionalFormatting sqref="B9:AF10 F12:G13 H12:P15 G14:G15 S15:AF57 R72:AF77 C80:AF102 B247:AF247 B249:B255">
    <cfRule type="expression" dxfId="3088" priority="64">
      <formula>AND(B$9&gt;=14/24,B$9&lt;20/24)</formula>
    </cfRule>
    <cfRule type="expression" dxfId="3087" priority="65">
      <formula>AND(B$9&gt;=8/24,B$9&lt;14/24)</formula>
    </cfRule>
  </conditionalFormatting>
  <conditionalFormatting sqref="B9:AF10 F12:G13 H12:P15 G14:G15 S15:AF60 R72:AF77 C80:AF102 B247:AF247 B249:B255">
    <cfRule type="expression" dxfId="3086" priority="66">
      <formula>B$9&lt;8/24</formula>
    </cfRule>
  </conditionalFormatting>
  <conditionalFormatting sqref="D249:AF255">
    <cfRule type="expression" dxfId="3085" priority="141">
      <formula>D$9&gt;=20/24</formula>
    </cfRule>
    <cfRule type="expression" dxfId="3084" priority="142">
      <formula>AND(D$9&gt;=14/24,D$9&lt;20/24)</formula>
    </cfRule>
    <cfRule type="expression" dxfId="3083" priority="143">
      <formula>AND(D$9&gt;=8/24,D$9&lt;14/24)</formula>
    </cfRule>
    <cfRule type="expression" dxfId="3082" priority="144">
      <formula>D$9&lt;8/24</formula>
    </cfRule>
  </conditionalFormatting>
  <conditionalFormatting sqref="E62:J64 B62:D65">
    <cfRule type="expression" dxfId="3081" priority="15">
      <formula>B$9&gt;=20/24</formula>
    </cfRule>
    <cfRule type="expression" dxfId="3080" priority="16">
      <formula>AND(B$9&gt;=14/24,B$9&lt;20/24)</formula>
    </cfRule>
    <cfRule type="expression" dxfId="3079" priority="17">
      <formula>AND(B$9&gt;=8/24,B$9&lt;14/24)</formula>
    </cfRule>
    <cfRule type="expression" dxfId="3078" priority="18">
      <formula>B$9&lt;8/24</formula>
    </cfRule>
  </conditionalFormatting>
  <conditionalFormatting sqref="E11:P11 Q11:AF14">
    <cfRule type="expression" dxfId="3077" priority="76">
      <formula>E11&gt;$AG11</formula>
    </cfRule>
    <cfRule type="expression" dxfId="3076" priority="77">
      <formula>E$9&gt;=20/24</formula>
    </cfRule>
    <cfRule type="expression" dxfId="3075" priority="78">
      <formula>AND(E$9&gt;=14/24,E$9&lt;20/24)</formula>
    </cfRule>
    <cfRule type="expression" dxfId="3074" priority="79">
      <formula>AND(E$9&gt;=8/24,E$9&lt;14/24)</formula>
    </cfRule>
    <cfRule type="expression" dxfId="3073" priority="80">
      <formula>E$9&lt;8/24</formula>
    </cfRule>
  </conditionalFormatting>
  <conditionalFormatting sqref="F12:G13 S15:AF57 R72:AF77 C80:AF102 H12:P15 G14:G15 B9:AF10 B247:AF247 B249:B255">
    <cfRule type="expression" dxfId="3072" priority="63">
      <formula>B$9&gt;=20/24</formula>
    </cfRule>
  </conditionalFormatting>
  <conditionalFormatting sqref="H59:J59 K59:R60 G60:J60">
    <cfRule type="expression" dxfId="3071" priority="71">
      <formula>G$9&lt;8/24</formula>
    </cfRule>
  </conditionalFormatting>
  <conditionalFormatting sqref="H12:P58 G14:G59 F14:F60 Q15:R58 E15:E64 C15:D77 B15:B83 F61:J64 E66:AB77">
    <cfRule type="expression" dxfId="3070" priority="4">
      <formula>B12&gt;$AG12</formula>
    </cfRule>
  </conditionalFormatting>
  <conditionalFormatting sqref="H58:R58 G58:G59 B58:F60">
    <cfRule type="expression" dxfId="3069" priority="1">
      <formula>B$9&gt;=20/24</formula>
    </cfRule>
    <cfRule type="expression" dxfId="3068" priority="2">
      <formula>AND(B$9&gt;=14/24,B$9&lt;20/24)</formula>
    </cfRule>
    <cfRule type="expression" dxfId="3067" priority="3">
      <formula>AND(B$9&gt;=8/24,B$9&lt;14/24)</formula>
    </cfRule>
    <cfRule type="expression" dxfId="3066" priority="9">
      <formula>B$9&lt;8/24</formula>
    </cfRule>
  </conditionalFormatting>
  <conditionalFormatting sqref="K62:AF65 E65:J65">
    <cfRule type="expression" dxfId="3065" priority="82">
      <formula>E$9&gt;=20/24</formula>
    </cfRule>
    <cfRule type="expression" dxfId="3064" priority="83">
      <formula>AND(E$9&gt;=14/24,E$9&lt;20/24)</formula>
    </cfRule>
    <cfRule type="expression" dxfId="3063" priority="84">
      <formula>AND(E$9&gt;=8/24,E$9&lt;14/24)</formula>
    </cfRule>
    <cfRule type="expression" dxfId="3062" priority="85">
      <formula>E$9&lt;8/24</formula>
    </cfRule>
  </conditionalFormatting>
  <conditionalFormatting sqref="M8 S8 AB8">
    <cfRule type="expression" dxfId="3061" priority="148">
      <formula>AND(N$9&gt;=14/24,N$9&lt;20/24)</formula>
    </cfRule>
    <cfRule type="expression" dxfId="3060" priority="149">
      <formula>AND(N$9&gt;=8/24,N$9&lt;14/24)</formula>
    </cfRule>
    <cfRule type="expression" dxfId="3059" priority="150">
      <formula>N$9&lt;8/24</formula>
    </cfRule>
  </conditionalFormatting>
  <conditionalFormatting sqref="O3:P3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Q66:U68 V66:AF70 R69:U70">
    <cfRule type="expression" dxfId="3058" priority="99">
      <formula>AND(Q$9&gt;=14/24,Q$9&lt;20/24)</formula>
    </cfRule>
    <cfRule type="expression" dxfId="3057" priority="100">
      <formula>AND(Q$9&gt;=8/24,Q$9&lt;14/24)</formula>
    </cfRule>
    <cfRule type="expression" dxfId="3056" priority="101">
      <formula>Q$9&lt;8/24</formula>
    </cfRule>
  </conditionalFormatting>
  <conditionalFormatting sqref="R71:AF71">
    <cfRule type="expression" dxfId="3055" priority="90">
      <formula>R$9&gt;=20/24</formula>
    </cfRule>
    <cfRule type="expression" dxfId="3054" priority="91">
      <formula>AND(R$9&gt;=14/24,R$9&lt;20/24)</formula>
    </cfRule>
    <cfRule type="expression" dxfId="3053" priority="92">
      <formula>AND(R$9&gt;=8/24,R$9&lt;14/24)</formula>
    </cfRule>
    <cfRule type="expression" dxfId="3052" priority="93">
      <formula>R$9&lt;8/24</formula>
    </cfRule>
  </conditionalFormatting>
  <conditionalFormatting sqref="S8 AB8 M8">
    <cfRule type="expression" dxfId="3051" priority="147">
      <formula>N$9&gt;=20/24</formula>
    </cfRule>
  </conditionalFormatting>
  <conditionalFormatting sqref="S8">
    <cfRule type="expression" dxfId="3050" priority="134">
      <formula>U$9&gt;=20/24</formula>
    </cfRule>
    <cfRule type="expression" dxfId="3049" priority="135">
      <formula>AND(U$9&gt;=14/24,U$9&lt;20/24)</formula>
    </cfRule>
    <cfRule type="expression" dxfId="3048" priority="136">
      <formula>AND(U$9&gt;=8/24,U$9&lt;14/24)</formula>
    </cfRule>
    <cfRule type="expression" dxfId="3047" priority="137">
      <formula>U$9&lt;8/24</formula>
    </cfRule>
  </conditionalFormatting>
  <conditionalFormatting sqref="S15:W58 X15:AB60 AC15:AF83 H59:J59 L59:W60 K59:K65 G60:J60 F12:G13 AG61 L61:AB65 E65:J65 AG65 C78:AB83 AG83">
    <cfRule type="expression" dxfId="3046" priority="62">
      <formula>C12&gt;$AG12</formula>
    </cfRule>
  </conditionalFormatting>
  <conditionalFormatting sqref="S58:AF60 H59:J59 K59:R60 G60:J60">
    <cfRule type="expression" dxfId="3045" priority="59">
      <formula>G$9&gt;=20/24</formula>
    </cfRule>
    <cfRule type="expression" dxfId="3044" priority="60">
      <formula>AND(G$9&gt;=14/24,G$9&lt;20/24)</formula>
    </cfRule>
    <cfRule type="expression" dxfId="3043" priority="61">
      <formula>AND(G$9&gt;=8/24,G$9&lt;14/24)</formula>
    </cfRule>
  </conditionalFormatting>
  <conditionalFormatting sqref="V3 AB3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V66:AF70 Q66:U68 R69:U70">
    <cfRule type="expression" dxfId="3042" priority="98">
      <formula>Q$9&gt;=20/24</formula>
    </cfRule>
  </conditionalFormatting>
  <conditionalFormatting sqref="W66:AF71">
    <cfRule type="expression" dxfId="3041" priority="86">
      <formula>W$9&gt;=20/24</formula>
    </cfRule>
    <cfRule type="expression" dxfId="3040" priority="87">
      <formula>AND(W$9&gt;=14/24,W$9&lt;20/24)</formula>
    </cfRule>
    <cfRule type="expression" dxfId="3039" priority="88">
      <formula>AND(W$9&gt;=8/24,W$9&lt;14/24)</formula>
    </cfRule>
    <cfRule type="expression" dxfId="3038" priority="89">
      <formula>W$9&lt;8/24</formula>
    </cfRule>
  </conditionalFormatting>
  <conditionalFormatting sqref="AB8">
    <cfRule type="expression" dxfId="3037" priority="130">
      <formula>AD$9&gt;=20/24</formula>
    </cfRule>
    <cfRule type="expression" dxfId="3036" priority="131">
      <formula>AND(AD$9&gt;=14/24,AD$9&lt;20/24)</formula>
    </cfRule>
    <cfRule type="expression" dxfId="3035" priority="132">
      <formula>AND(AD$9&gt;=8/24,AD$9&lt;14/24)</formula>
    </cfRule>
    <cfRule type="expression" dxfId="3034" priority="133">
      <formula>AD$9&lt;8/24</formula>
    </cfRule>
  </conditionalFormatting>
  <conditionalFormatting sqref="AG65">
    <cfRule type="expression" dxfId="3033" priority="109">
      <formula>AG$9&gt;=20/24</formula>
    </cfRule>
    <cfRule type="expression" dxfId="3032" priority="110">
      <formula>AND(AG$9&gt;=14/24,AG$9&lt;20/24)</formula>
    </cfRule>
    <cfRule type="expression" dxfId="3031" priority="111">
      <formula>AND(AG$9&gt;=8/24,AG$9&lt;14/24)</formula>
    </cfRule>
    <cfRule type="expression" dxfId="3030" priority="112">
      <formula>AG$9&lt;8/24</formula>
    </cfRule>
  </conditionalFormatting>
  <conditionalFormatting sqref="AG78:AG79">
    <cfRule type="expression" dxfId="3029" priority="104">
      <formula>AG78&gt;$AG78</formula>
    </cfRule>
  </conditionalFormatting>
  <conditionalFormatting sqref="AG83">
    <cfRule type="expression" dxfId="3028" priority="105">
      <formula>AG$9&gt;=20/24</formula>
    </cfRule>
    <cfRule type="expression" dxfId="3027" priority="106">
      <formula>AND(AG$9&gt;=14/24,AG$9&lt;20/24)</formula>
    </cfRule>
    <cfRule type="expression" dxfId="3026" priority="107">
      <formula>AND(AG$9&gt;=8/24,AG$9&lt;14/24)</formula>
    </cfRule>
    <cfRule type="expression" dxfId="3025" priority="108">
      <formula>AG$9&lt;8/24</formula>
    </cfRule>
  </conditionalFormatting>
  <conditionalFormatting sqref="AG100">
    <cfRule type="expression" dxfId="3024" priority="126">
      <formula>AG$9&gt;=20/24</formula>
    </cfRule>
    <cfRule type="expression" dxfId="3023" priority="127">
      <formula>AND(AG$9&gt;=14/24,AG$9&lt;20/24)</formula>
    </cfRule>
    <cfRule type="expression" dxfId="3022" priority="128">
      <formula>AND(AG$9&gt;=8/24,AG$9&lt;14/24)</formula>
    </cfRule>
    <cfRule type="expression" dxfId="3021" priority="129">
      <formula>AG$9&lt;8/24</formula>
    </cfRule>
  </conditionalFormatting>
  <conditionalFormatting sqref="AL4:AL6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020" priority="151">
      <formula>AJ$9&gt;=20/24</formula>
    </cfRule>
    <cfRule type="expression" dxfId="3019" priority="152">
      <formula>AND(AJ$9&gt;=14/24,AJ$9&lt;20/24)</formula>
    </cfRule>
    <cfRule type="expression" dxfId="3018" priority="153">
      <formula>AND(AJ$9&gt;=8/24,AJ$9&lt;14/24)</formula>
    </cfRule>
    <cfRule type="expression" dxfId="3017" priority="154">
      <formula>AJ$9&lt;8/24</formula>
    </cfRule>
  </conditionalFormatting>
  <conditionalFormatting sqref="AL86:AN86 AL92:AN92">
    <cfRule type="expression" dxfId="3016" priority="119">
      <formula>AL$9&gt;=20/24</formula>
    </cfRule>
    <cfRule type="expression" dxfId="3015" priority="120">
      <formula>AND(AL$9&gt;=14/24,AL$9&lt;20/24)</formula>
    </cfRule>
    <cfRule type="expression" dxfId="3014" priority="121">
      <formula>AND(AL$9&gt;=8/24,AL$9&lt;14/24)</formula>
    </cfRule>
    <cfRule type="expression" dxfId="3013" priority="122">
      <formula>AL$9&lt;8/24</formula>
    </cfRule>
  </conditionalFormatting>
  <conditionalFormatting sqref="AM15:AM21 AN16:AR21">
    <cfRule type="expression" dxfId="3012" priority="35">
      <formula>AX$9&gt;=20/24</formula>
    </cfRule>
    <cfRule type="expression" dxfId="3011" priority="36">
      <formula>AND(AX$9&gt;=14/24,AX$9&lt;20/24)</formula>
    </cfRule>
    <cfRule type="expression" dxfId="3010" priority="37">
      <formula>AND(AX$9&gt;=8/24,AX$9&lt;14/24)</formula>
    </cfRule>
    <cfRule type="expression" dxfId="3009" priority="38">
      <formula>AX$9&lt;8/24</formula>
    </cfRule>
  </conditionalFormatting>
  <conditionalFormatting sqref="AN87:AN90">
    <cfRule type="expression" dxfId="3008" priority="115">
      <formula>AN$9&gt;=20/24</formula>
    </cfRule>
    <cfRule type="expression" dxfId="3007" priority="116">
      <formula>AND(AN$9&gt;=14/24,AN$9&lt;20/24)</formula>
    </cfRule>
    <cfRule type="expression" dxfId="3006" priority="117">
      <formula>AND(AN$9&gt;=8/24,AN$9&lt;14/24)</formula>
    </cfRule>
    <cfRule type="expression" dxfId="3005" priority="118">
      <formula>AN$9&lt;8/24</formula>
    </cfRule>
  </conditionalFormatting>
  <conditionalFormatting sqref="AN15:AR15">
    <cfRule type="expression" dxfId="3004" priority="23">
      <formula>U$9&gt;=20/24</formula>
    </cfRule>
    <cfRule type="expression" dxfId="3003" priority="24">
      <formula>AND(U$9&gt;=14/24,U$9&lt;20/24)</formula>
    </cfRule>
    <cfRule type="expression" dxfId="3002" priority="25">
      <formula>AND(U$9&gt;=8/24,U$9&lt;14/24)</formula>
    </cfRule>
    <cfRule type="expression" dxfId="3001" priority="26">
      <formula>U$9&lt;8/24</formula>
    </cfRule>
  </conditionalFormatting>
  <conditionalFormatting sqref="AS15">
    <cfRule type="expression" dxfId="3000" priority="31">
      <formula>AA$9&gt;=20/24</formula>
    </cfRule>
    <cfRule type="expression" dxfId="2999" priority="32">
      <formula>AND(AA$9&gt;=14/24,AA$9&lt;20/24)</formula>
    </cfRule>
    <cfRule type="expression" dxfId="2998" priority="33">
      <formula>AND(AA$9&gt;=8/24,AA$9&lt;14/24)</formula>
    </cfRule>
    <cfRule type="expression" dxfId="2997" priority="34">
      <formula>AA$9&lt;8/24</formula>
    </cfRule>
  </conditionalFormatting>
  <conditionalFormatting sqref="AS16:AS21">
    <cfRule type="expression" dxfId="2996" priority="39">
      <formula>BE$9&gt;=20/24</formula>
    </cfRule>
    <cfRule type="expression" dxfId="2995" priority="40">
      <formula>AND(BE$9&gt;=14/24,BE$9&lt;20/24)</formula>
    </cfRule>
    <cfRule type="expression" dxfId="2994" priority="41">
      <formula>AND(BE$9&gt;=8/24,BE$9&lt;14/24)</formula>
    </cfRule>
    <cfRule type="expression" dxfId="2993" priority="42">
      <formula>BE$9&lt;8/24</formula>
    </cfRule>
  </conditionalFormatting>
  <conditionalFormatting sqref="AT15 AX15:BJ15">
    <cfRule type="expression" dxfId="2992" priority="43">
      <formula>AC$9&gt;=20/24</formula>
    </cfRule>
    <cfRule type="expression" dxfId="2991" priority="44">
      <formula>AND(AC$9&gt;=14/24,AC$9&lt;20/24)</formula>
    </cfRule>
    <cfRule type="expression" dxfId="2990" priority="45">
      <formula>AND(AC$9&gt;=8/24,AC$9&lt;14/24)</formula>
    </cfRule>
    <cfRule type="expression" dxfId="2989" priority="46">
      <formula>AC$9&lt;8/24</formula>
    </cfRule>
  </conditionalFormatting>
  <conditionalFormatting sqref="AT16:AT21">
    <cfRule type="expression" dxfId="2988" priority="47">
      <formula>BG$9&gt;=20/24</formula>
    </cfRule>
    <cfRule type="expression" dxfId="2987" priority="48">
      <formula>AND(BG$9&gt;=14/24,BG$9&lt;20/24)</formula>
    </cfRule>
    <cfRule type="expression" dxfId="2986" priority="49">
      <formula>AND(BG$9&gt;=8/24,BG$9&lt;14/24)</formula>
    </cfRule>
    <cfRule type="expression" dxfId="2985" priority="50">
      <formula>BG$9&lt;8/24</formula>
    </cfRule>
  </conditionalFormatting>
  <conditionalFormatting sqref="AU15:AV15">
    <cfRule type="expression" dxfId="2984" priority="51">
      <formula>AE$9&gt;=20/24</formula>
    </cfRule>
    <cfRule type="expression" dxfId="2983" priority="52">
      <formula>AND(AE$9&gt;=14/24,AE$9&lt;20/24)</formula>
    </cfRule>
    <cfRule type="expression" dxfId="2982" priority="53">
      <formula>AND(AE$9&gt;=8/24,AE$9&lt;14/24)</formula>
    </cfRule>
    <cfRule type="expression" dxfId="2981" priority="54">
      <formula>AE$9&lt;8/24</formula>
    </cfRule>
  </conditionalFormatting>
  <conditionalFormatting sqref="AU16:BJ21">
    <cfRule type="expression" dxfId="2980" priority="55">
      <formula>BI$9&gt;=20/24</formula>
    </cfRule>
    <cfRule type="expression" dxfId="2979" priority="56">
      <formula>AND(BI$9&gt;=14/24,BI$9&lt;20/24)</formula>
    </cfRule>
    <cfRule type="expression" dxfId="2978" priority="57">
      <formula>AND(BI$9&gt;=8/24,BI$9&lt;14/24)</formula>
    </cfRule>
    <cfRule type="expression" dxfId="2977" priority="58">
      <formula>BI$9&lt;8/24</formula>
    </cfRule>
  </conditionalFormatting>
  <conditionalFormatting sqref="AW15">
    <cfRule type="expression" dxfId="2976" priority="27">
      <formula>B$9&gt;=20/24</formula>
    </cfRule>
    <cfRule type="expression" dxfId="2975" priority="28">
      <formula>AND(B$9&gt;=14/24,B$9&lt;20/24)</formula>
    </cfRule>
    <cfRule type="expression" dxfId="2974" priority="29">
      <formula>AND(B$9&gt;=8/24,B$9&lt;14/24)</formula>
    </cfRule>
    <cfRule type="expression" dxfId="2973" priority="30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9752-5274-4969-B075-B44B0E18E482}">
  <dimension ref="A1:CJ297"/>
  <sheetViews>
    <sheetView zoomScale="106" workbookViewId="0">
      <pane xSplit="1" ySplit="10" topLeftCell="B2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I50" sqref="I5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2080/10/11</v>
      </c>
      <c r="C4" s="189"/>
      <c r="D4" s="189"/>
      <c r="E4" s="190" t="str">
        <f ca="1">"2080/"&amp;"10/"&amp;INT(MID(CELL("filename",G6),FIND("]",CELL("filename",G6))+1,200))</f>
        <v>2080/10/11</v>
      </c>
      <c r="F4" s="190"/>
      <c r="G4" s="190"/>
      <c r="H4" s="190" t="str">
        <f ca="1">TEXT(E4,"dddd")</f>
        <v>Friday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67</v>
      </c>
      <c r="C5" s="30">
        <f t="shared" si="0"/>
        <v>70</v>
      </c>
      <c r="D5" s="30">
        <f t="shared" si="0"/>
        <v>83.1</v>
      </c>
      <c r="E5" s="30">
        <f t="shared" si="0"/>
        <v>39</v>
      </c>
      <c r="F5" s="30">
        <f t="shared" si="0"/>
        <v>38</v>
      </c>
      <c r="G5" s="30">
        <f t="shared" si="0"/>
        <v>42</v>
      </c>
      <c r="H5" s="30">
        <f t="shared" si="0"/>
        <v>36.700000000000003</v>
      </c>
      <c r="I5" s="30">
        <f t="shared" si="0"/>
        <v>0</v>
      </c>
      <c r="J5" s="30">
        <f t="shared" si="0"/>
        <v>36.700000000000003</v>
      </c>
      <c r="K5" s="30">
        <f t="shared" si="0"/>
        <v>83</v>
      </c>
      <c r="L5" s="30">
        <f t="shared" si="0"/>
        <v>602.70000000000005</v>
      </c>
      <c r="M5" s="30">
        <f t="shared" si="0"/>
        <v>65</v>
      </c>
      <c r="N5" s="30">
        <f t="shared" si="0"/>
        <v>68</v>
      </c>
      <c r="O5" s="30">
        <f t="shared" si="0"/>
        <v>95.1</v>
      </c>
      <c r="P5" s="30">
        <f t="shared" si="0"/>
        <v>95.1</v>
      </c>
      <c r="Q5" s="30">
        <f t="shared" si="0"/>
        <v>110</v>
      </c>
      <c r="R5" s="30">
        <f t="shared" si="0"/>
        <v>114.3</v>
      </c>
      <c r="S5" s="30">
        <f t="shared" si="0"/>
        <v>105.1</v>
      </c>
      <c r="T5" s="30">
        <f t="shared" si="0"/>
        <v>117.5</v>
      </c>
      <c r="U5" s="30">
        <f t="shared" si="0"/>
        <v>106.1</v>
      </c>
      <c r="V5" s="30">
        <f t="shared" si="0"/>
        <v>97.800000000000011</v>
      </c>
      <c r="W5" s="30">
        <f t="shared" si="0"/>
        <v>93.5</v>
      </c>
      <c r="X5" s="30">
        <f t="shared" si="0"/>
        <v>52.3</v>
      </c>
      <c r="Y5" s="30">
        <f t="shared" si="0"/>
        <v>44.1</v>
      </c>
      <c r="Z5" s="30">
        <f t="shared" si="0"/>
        <v>52.3</v>
      </c>
      <c r="AA5" s="30">
        <f t="shared" si="0"/>
        <v>58.5</v>
      </c>
      <c r="AB5" s="30">
        <f t="shared" si="0"/>
        <v>91.6</v>
      </c>
      <c r="AC5" s="30">
        <f t="shared" si="0"/>
        <v>56.5</v>
      </c>
      <c r="AD5" s="30">
        <f t="shared" si="0"/>
        <v>56.900000000000006</v>
      </c>
      <c r="AE5" s="30">
        <f t="shared" si="0"/>
        <v>57.1</v>
      </c>
      <c r="AF5" s="30">
        <f>B95</f>
        <v>88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2626MW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Load=162</v>
      </c>
      <c r="B7" s="35">
        <f t="shared" ref="B7:AF7" si="1">B103</f>
        <v>1825.3899999999999</v>
      </c>
      <c r="C7" s="35">
        <f t="shared" si="1"/>
        <v>1763.79</v>
      </c>
      <c r="D7" s="35">
        <f t="shared" si="1"/>
        <v>1732.79</v>
      </c>
      <c r="E7" s="35">
        <f t="shared" si="1"/>
        <v>1699.5900000000001</v>
      </c>
      <c r="F7" s="35">
        <f t="shared" si="1"/>
        <v>1651.8900000000003</v>
      </c>
      <c r="G7" s="35">
        <f t="shared" si="1"/>
        <v>1605.8899999999999</v>
      </c>
      <c r="H7" s="35">
        <f t="shared" si="1"/>
        <v>1597.0899999999997</v>
      </c>
      <c r="I7" s="35">
        <f t="shared" si="1"/>
        <v>1540.5900000000004</v>
      </c>
      <c r="J7" s="35">
        <f t="shared" si="1"/>
        <v>162.04</v>
      </c>
      <c r="K7" s="35">
        <f t="shared" si="1"/>
        <v>1532.0900000000004</v>
      </c>
      <c r="L7" s="35">
        <f t="shared" si="1"/>
        <v>1490.3900000000003</v>
      </c>
      <c r="M7" s="35">
        <f t="shared" si="1"/>
        <v>2626.4900000000002</v>
      </c>
      <c r="N7" s="35">
        <f t="shared" si="1"/>
        <v>1747.79</v>
      </c>
      <c r="O7" s="35">
        <f t="shared" si="1"/>
        <v>1703.79</v>
      </c>
      <c r="P7" s="35">
        <f t="shared" si="1"/>
        <v>1646.2400000000002</v>
      </c>
      <c r="Q7" s="35">
        <f t="shared" si="1"/>
        <v>1646.2400000000002</v>
      </c>
      <c r="R7" s="35">
        <f t="shared" si="1"/>
        <v>1706.1400000000003</v>
      </c>
      <c r="S7" s="35">
        <f t="shared" si="1"/>
        <v>1649.3400000000004</v>
      </c>
      <c r="T7" s="35">
        <f t="shared" si="1"/>
        <v>1702.94</v>
      </c>
      <c r="U7" s="35">
        <f t="shared" si="1"/>
        <v>1741.6399999999999</v>
      </c>
      <c r="V7" s="35">
        <f t="shared" si="1"/>
        <v>1722.6399999999999</v>
      </c>
      <c r="W7" s="35">
        <f t="shared" si="1"/>
        <v>1632.04</v>
      </c>
      <c r="X7" s="35">
        <f t="shared" si="1"/>
        <v>1610.7399999999998</v>
      </c>
      <c r="Y7" s="35">
        <f t="shared" si="1"/>
        <v>1613.4399999999998</v>
      </c>
      <c r="Z7" s="35">
        <f t="shared" si="1"/>
        <v>1645.3399999999997</v>
      </c>
      <c r="AA7" s="35">
        <f t="shared" si="1"/>
        <v>1756.5399999999997</v>
      </c>
      <c r="AB7" s="35">
        <f t="shared" si="1"/>
        <v>1788.44</v>
      </c>
      <c r="AC7" s="35">
        <f t="shared" si="1"/>
        <v>1795.04</v>
      </c>
      <c r="AD7" s="35">
        <f t="shared" si="1"/>
        <v>1781.3399999999997</v>
      </c>
      <c r="AE7" s="35">
        <f t="shared" si="1"/>
        <v>1711.1399999999999</v>
      </c>
      <c r="AF7" s="35">
        <f t="shared" si="1"/>
        <v>1718.7399999999998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2626.49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2626.49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55.6</v>
      </c>
      <c r="C11" s="46">
        <v>60</v>
      </c>
      <c r="D11" s="46">
        <v>60</v>
      </c>
      <c r="E11" s="46">
        <v>60</v>
      </c>
      <c r="F11" s="46">
        <v>68</v>
      </c>
      <c r="G11" s="46">
        <v>68</v>
      </c>
      <c r="H11" s="46">
        <v>62</v>
      </c>
      <c r="I11" s="46">
        <v>62</v>
      </c>
      <c r="J11" s="46"/>
      <c r="K11" s="46">
        <v>62</v>
      </c>
      <c r="L11" s="46">
        <v>62</v>
      </c>
      <c r="M11" s="46">
        <v>62</v>
      </c>
      <c r="N11" s="46">
        <v>62</v>
      </c>
      <c r="O11" s="46">
        <v>62</v>
      </c>
      <c r="P11" s="46">
        <v>62</v>
      </c>
      <c r="Q11" s="46">
        <v>62</v>
      </c>
      <c r="R11" s="46">
        <v>62</v>
      </c>
      <c r="S11" s="46">
        <v>62</v>
      </c>
      <c r="T11" s="46">
        <v>43.4</v>
      </c>
      <c r="U11" s="46">
        <v>43.4</v>
      </c>
      <c r="V11" s="46">
        <v>43.4</v>
      </c>
      <c r="W11" s="46">
        <v>43.4</v>
      </c>
      <c r="X11" s="46">
        <v>43.4</v>
      </c>
      <c r="Y11" s="46">
        <v>43.4</v>
      </c>
      <c r="Z11" s="46">
        <v>43.4</v>
      </c>
      <c r="AA11" s="46">
        <v>43.4</v>
      </c>
      <c r="AB11" s="46">
        <v>55.6</v>
      </c>
      <c r="AC11" s="46">
        <v>55.6</v>
      </c>
      <c r="AD11" s="46">
        <v>55.6</v>
      </c>
      <c r="AE11" s="46">
        <v>55.6</v>
      </c>
      <c r="AF11" s="46">
        <v>55.6</v>
      </c>
      <c r="AG11" s="47">
        <v>86</v>
      </c>
      <c r="AH11" s="48">
        <f t="shared" ref="AH11:AH74" si="2">MAX(B11:AF11)</f>
        <v>68</v>
      </c>
      <c r="AI11" s="49">
        <f t="shared" ref="AI11:AI74" si="3">MIN(B11:AF11)</f>
        <v>43.4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71</v>
      </c>
      <c r="C12" s="46">
        <v>71</v>
      </c>
      <c r="D12" s="46">
        <v>71</v>
      </c>
      <c r="E12" s="46">
        <v>82</v>
      </c>
      <c r="F12" s="46">
        <v>82</v>
      </c>
      <c r="G12" s="46">
        <v>82</v>
      </c>
      <c r="H12" s="46">
        <v>82</v>
      </c>
      <c r="I12" s="46">
        <v>82</v>
      </c>
      <c r="J12" s="46"/>
      <c r="K12" s="46">
        <v>82</v>
      </c>
      <c r="L12" s="46">
        <v>82</v>
      </c>
      <c r="M12" s="46">
        <v>82</v>
      </c>
      <c r="N12" s="46">
        <v>82</v>
      </c>
      <c r="O12" s="46">
        <v>82</v>
      </c>
      <c r="P12" s="46">
        <v>77</v>
      </c>
      <c r="Q12" s="46">
        <v>77</v>
      </c>
      <c r="R12" s="46">
        <v>77</v>
      </c>
      <c r="S12" s="46">
        <v>77</v>
      </c>
      <c r="T12" s="46">
        <v>84</v>
      </c>
      <c r="U12" s="46">
        <v>84</v>
      </c>
      <c r="V12" s="46">
        <v>84</v>
      </c>
      <c r="W12" s="46">
        <v>84</v>
      </c>
      <c r="X12" s="46">
        <v>84</v>
      </c>
      <c r="Y12" s="46">
        <v>84</v>
      </c>
      <c r="Z12" s="46">
        <v>84</v>
      </c>
      <c r="AA12" s="46">
        <v>84</v>
      </c>
      <c r="AB12" s="46">
        <v>84</v>
      </c>
      <c r="AC12" s="46">
        <v>84</v>
      </c>
      <c r="AD12" s="46">
        <v>84</v>
      </c>
      <c r="AE12" s="46">
        <v>84</v>
      </c>
      <c r="AF12" s="46">
        <v>84</v>
      </c>
      <c r="AG12" s="50">
        <v>77</v>
      </c>
      <c r="AH12" s="48">
        <f t="shared" si="2"/>
        <v>84</v>
      </c>
      <c r="AI12" s="49">
        <f t="shared" si="3"/>
        <v>71</v>
      </c>
      <c r="AK12" s="51"/>
      <c r="AL12" s="52" t="str">
        <f ca="1">MID(CELL("filename",C7),FIND("]",CELL("filename",C7))+1,600)</f>
        <v>11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74</v>
      </c>
      <c r="C13" s="46">
        <v>74</v>
      </c>
      <c r="D13" s="46">
        <v>74</v>
      </c>
      <c r="E13" s="46">
        <v>74</v>
      </c>
      <c r="F13" s="46">
        <v>76</v>
      </c>
      <c r="G13" s="46">
        <v>76</v>
      </c>
      <c r="H13" s="46">
        <v>76</v>
      </c>
      <c r="I13" s="46">
        <v>76</v>
      </c>
      <c r="J13" s="46" t="s">
        <v>315</v>
      </c>
      <c r="K13" s="46">
        <v>76</v>
      </c>
      <c r="L13" s="46">
        <v>76</v>
      </c>
      <c r="M13" s="46">
        <v>76</v>
      </c>
      <c r="N13" s="46">
        <v>76</v>
      </c>
      <c r="O13" s="46">
        <v>76</v>
      </c>
      <c r="P13" s="46">
        <v>38</v>
      </c>
      <c r="Q13" s="46">
        <v>38</v>
      </c>
      <c r="R13" s="46">
        <v>38</v>
      </c>
      <c r="S13" s="46">
        <v>38</v>
      </c>
      <c r="T13" s="46">
        <v>53.9</v>
      </c>
      <c r="U13" s="46">
        <v>53.9</v>
      </c>
      <c r="V13" s="46">
        <v>53.9</v>
      </c>
      <c r="W13" s="46">
        <v>53.9</v>
      </c>
      <c r="X13" s="46">
        <v>53.9</v>
      </c>
      <c r="Y13" s="46">
        <v>53.9</v>
      </c>
      <c r="Z13" s="46">
        <v>53.9</v>
      </c>
      <c r="AA13" s="46">
        <v>53.9</v>
      </c>
      <c r="AB13" s="46">
        <v>74</v>
      </c>
      <c r="AC13" s="46">
        <v>74</v>
      </c>
      <c r="AD13" s="46">
        <v>74</v>
      </c>
      <c r="AE13" s="46">
        <v>74</v>
      </c>
      <c r="AF13" s="46">
        <v>74</v>
      </c>
      <c r="AG13" s="50">
        <v>73</v>
      </c>
      <c r="AH13" s="48">
        <f t="shared" si="2"/>
        <v>76</v>
      </c>
      <c r="AI13" s="49">
        <f t="shared" si="3"/>
        <v>38</v>
      </c>
      <c r="AK13" s="51"/>
      <c r="AL13" s="52" t="str">
        <f ca="1">"Daily Load Curve(Excluding of Export) of Nepal ("&amp;A4&amp;" "&amp;B4&amp;")"</f>
        <v>Daily Load Curve(Excluding of Export) of Nepal (Nepali Date: 2080/10/11)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40.299999999999997</v>
      </c>
      <c r="C14" s="46">
        <v>40.299999999999997</v>
      </c>
      <c r="D14" s="46">
        <v>40.299999999999997</v>
      </c>
      <c r="E14" s="46">
        <v>40.299999999999997</v>
      </c>
      <c r="F14" s="46">
        <v>40.299999999999997</v>
      </c>
      <c r="G14" s="46">
        <v>40.299999999999997</v>
      </c>
      <c r="H14" s="46">
        <v>40.299999999999997</v>
      </c>
      <c r="I14" s="46">
        <v>40.299999999999997</v>
      </c>
      <c r="J14" s="46" t="s">
        <v>316</v>
      </c>
      <c r="K14" s="46">
        <v>40.299999999999997</v>
      </c>
      <c r="L14" s="46">
        <v>40.299999999999997</v>
      </c>
      <c r="M14" s="46">
        <v>40.299999999999997</v>
      </c>
      <c r="N14" s="46">
        <v>40.299999999999997</v>
      </c>
      <c r="O14" s="46">
        <v>40.299999999999997</v>
      </c>
      <c r="P14" s="46">
        <v>40.700000000000003</v>
      </c>
      <c r="Q14" s="46">
        <v>40.700000000000003</v>
      </c>
      <c r="R14" s="46">
        <v>40.700000000000003</v>
      </c>
      <c r="S14" s="46">
        <v>40.700000000000003</v>
      </c>
      <c r="T14" s="46">
        <v>40.700000000000003</v>
      </c>
      <c r="U14" s="46">
        <v>40.700000000000003</v>
      </c>
      <c r="V14" s="46">
        <v>40.700000000000003</v>
      </c>
      <c r="W14" s="46">
        <v>40.700000000000003</v>
      </c>
      <c r="X14" s="46">
        <v>40.700000000000003</v>
      </c>
      <c r="Y14" s="46">
        <v>40.700000000000003</v>
      </c>
      <c r="Z14" s="46">
        <v>40.700000000000003</v>
      </c>
      <c r="AA14" s="46">
        <v>40.700000000000003</v>
      </c>
      <c r="AB14" s="46">
        <v>40.700000000000003</v>
      </c>
      <c r="AC14" s="46">
        <v>40.700000000000003</v>
      </c>
      <c r="AD14" s="46">
        <v>40.700000000000003</v>
      </c>
      <c r="AE14" s="46">
        <v>40.700000000000003</v>
      </c>
      <c r="AF14" s="46">
        <v>40.700000000000003</v>
      </c>
      <c r="AG14" s="50">
        <v>71</v>
      </c>
      <c r="AH14" s="48">
        <f t="shared" si="2"/>
        <v>40.700000000000003</v>
      </c>
      <c r="AI14" s="49">
        <f t="shared" si="3"/>
        <v>40.299999999999997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54.4</v>
      </c>
      <c r="C15" s="46">
        <v>54.4</v>
      </c>
      <c r="D15" s="46">
        <v>54.4</v>
      </c>
      <c r="E15" s="46">
        <v>54.4</v>
      </c>
      <c r="F15" s="46">
        <v>56</v>
      </c>
      <c r="G15" s="46">
        <v>56</v>
      </c>
      <c r="H15" s="46">
        <v>56</v>
      </c>
      <c r="I15" s="46">
        <v>56</v>
      </c>
      <c r="J15" s="46" t="s">
        <v>317</v>
      </c>
      <c r="K15" s="46">
        <v>56</v>
      </c>
      <c r="L15" s="46">
        <v>56</v>
      </c>
      <c r="M15" s="46">
        <v>56</v>
      </c>
      <c r="N15" s="46">
        <v>56</v>
      </c>
      <c r="O15" s="46">
        <v>56</v>
      </c>
      <c r="P15" s="46">
        <v>32.1</v>
      </c>
      <c r="Q15" s="46">
        <v>32.1</v>
      </c>
      <c r="R15" s="46">
        <v>32.1</v>
      </c>
      <c r="S15" s="46">
        <v>32.1</v>
      </c>
      <c r="T15" s="46">
        <v>32.1</v>
      </c>
      <c r="U15" s="46">
        <v>32.1</v>
      </c>
      <c r="V15" s="46">
        <v>32.1</v>
      </c>
      <c r="W15" s="46">
        <v>32.1</v>
      </c>
      <c r="X15" s="46">
        <v>32.1</v>
      </c>
      <c r="Y15" s="46">
        <v>32.1</v>
      </c>
      <c r="Z15" s="46">
        <v>32.1</v>
      </c>
      <c r="AA15" s="46">
        <v>32.1</v>
      </c>
      <c r="AB15" s="46">
        <v>32.1</v>
      </c>
      <c r="AC15" s="46">
        <v>32.1</v>
      </c>
      <c r="AD15" s="46">
        <v>32.1</v>
      </c>
      <c r="AE15" s="46">
        <v>32.1</v>
      </c>
      <c r="AF15" s="46">
        <v>32.1</v>
      </c>
      <c r="AG15" s="50">
        <v>54</v>
      </c>
      <c r="AH15" s="48">
        <f t="shared" si="2"/>
        <v>56</v>
      </c>
      <c r="AI15" s="49">
        <f t="shared" si="3"/>
        <v>32.1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</v>
      </c>
      <c r="C16" s="46">
        <v>27</v>
      </c>
      <c r="D16" s="46">
        <v>27</v>
      </c>
      <c r="E16" s="46">
        <v>27</v>
      </c>
      <c r="F16" s="46">
        <v>27</v>
      </c>
      <c r="G16" s="46">
        <v>27</v>
      </c>
      <c r="H16" s="46">
        <v>27</v>
      </c>
      <c r="I16" s="46">
        <v>27</v>
      </c>
      <c r="J16" s="46" t="s">
        <v>317</v>
      </c>
      <c r="K16" s="46">
        <v>27</v>
      </c>
      <c r="L16" s="46">
        <v>27</v>
      </c>
      <c r="M16" s="46">
        <v>27</v>
      </c>
      <c r="N16" s="46">
        <v>27</v>
      </c>
      <c r="O16" s="46">
        <v>27</v>
      </c>
      <c r="P16" s="46">
        <v>25.7</v>
      </c>
      <c r="Q16" s="46">
        <v>25.7</v>
      </c>
      <c r="R16" s="46">
        <v>25.7</v>
      </c>
      <c r="S16" s="46">
        <v>25.7</v>
      </c>
      <c r="T16" s="46">
        <v>25.7</v>
      </c>
      <c r="U16" s="46">
        <v>25.7</v>
      </c>
      <c r="V16" s="46">
        <v>25.7</v>
      </c>
      <c r="W16" s="46">
        <v>25.7</v>
      </c>
      <c r="X16" s="46">
        <v>25.7</v>
      </c>
      <c r="Y16" s="46">
        <v>25.7</v>
      </c>
      <c r="Z16" s="46">
        <v>25.7</v>
      </c>
      <c r="AA16" s="46">
        <v>25.7</v>
      </c>
      <c r="AB16" s="46">
        <v>25.7</v>
      </c>
      <c r="AC16" s="46">
        <v>25.7</v>
      </c>
      <c r="AD16" s="46">
        <v>25.7</v>
      </c>
      <c r="AE16" s="46">
        <v>25.7</v>
      </c>
      <c r="AF16" s="46">
        <v>25.7</v>
      </c>
      <c r="AG16" s="50">
        <v>54</v>
      </c>
      <c r="AH16" s="48">
        <f t="shared" si="2"/>
        <v>27</v>
      </c>
      <c r="AI16" s="49">
        <f t="shared" si="3"/>
        <v>25.7</v>
      </c>
      <c r="AK16" s="51"/>
      <c r="AL16" s="54" t="s">
        <v>7</v>
      </c>
      <c r="AM16" s="59">
        <f t="shared" ref="AM16:AR16" si="4">B61</f>
        <v>1057.05</v>
      </c>
      <c r="AN16" s="59">
        <f t="shared" si="4"/>
        <v>1061.45</v>
      </c>
      <c r="AO16" s="59">
        <f t="shared" si="4"/>
        <v>1061.45</v>
      </c>
      <c r="AP16" s="59">
        <f t="shared" si="4"/>
        <v>1047.45</v>
      </c>
      <c r="AQ16" s="59">
        <f t="shared" si="4"/>
        <v>1079.95</v>
      </c>
      <c r="AR16" s="59">
        <f t="shared" si="4"/>
        <v>1088.8499999999999</v>
      </c>
      <c r="AS16" s="59">
        <f>I61</f>
        <v>1072.95</v>
      </c>
      <c r="AT16" s="59">
        <f>K61</f>
        <v>1064.45</v>
      </c>
      <c r="AU16" s="59">
        <f t="shared" ref="AU16:BD16" si="5">M61</f>
        <v>1078.95</v>
      </c>
      <c r="AV16" s="59">
        <f t="shared" si="5"/>
        <v>1078.95</v>
      </c>
      <c r="AW16" s="59">
        <f t="shared" si="5"/>
        <v>1078.95</v>
      </c>
      <c r="AX16" s="59">
        <f t="shared" si="5"/>
        <v>1048.3</v>
      </c>
      <c r="AY16" s="59">
        <f t="shared" si="5"/>
        <v>1048.3</v>
      </c>
      <c r="AZ16" s="59">
        <f t="shared" si="5"/>
        <v>1048.3</v>
      </c>
      <c r="BA16" s="59">
        <f t="shared" si="5"/>
        <v>1048.3</v>
      </c>
      <c r="BB16" s="59">
        <f t="shared" si="5"/>
        <v>1052.5999999999999</v>
      </c>
      <c r="BC16" s="59">
        <f t="shared" si="5"/>
        <v>1052.5999999999999</v>
      </c>
      <c r="BD16" s="59">
        <f t="shared" si="5"/>
        <v>1052.5999999999999</v>
      </c>
      <c r="BE16" s="60">
        <f>X61</f>
        <v>1052.5999999999999</v>
      </c>
      <c r="BF16" s="60">
        <f>Z61</f>
        <v>1052.5999999999999</v>
      </c>
      <c r="BG16" s="60">
        <f>AB61</f>
        <v>1119.9000000000001</v>
      </c>
      <c r="BH16" s="60">
        <f>AD61</f>
        <v>1127.5999999999999</v>
      </c>
      <c r="BI16" s="60">
        <f>AE61</f>
        <v>1127.5999999999999</v>
      </c>
      <c r="BJ16" s="60">
        <f>AF61</f>
        <v>1127.5999999999999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55.7</v>
      </c>
      <c r="C17" s="46">
        <v>55.7</v>
      </c>
      <c r="D17" s="46">
        <v>55.7</v>
      </c>
      <c r="E17" s="46">
        <v>55.7</v>
      </c>
      <c r="F17" s="46">
        <v>55.7</v>
      </c>
      <c r="G17" s="46">
        <v>55.7</v>
      </c>
      <c r="H17" s="46">
        <v>55.7</v>
      </c>
      <c r="I17" s="46">
        <v>55.7</v>
      </c>
      <c r="J17" s="46" t="s">
        <v>318</v>
      </c>
      <c r="K17" s="46">
        <v>55.7</v>
      </c>
      <c r="L17" s="46">
        <v>55.7</v>
      </c>
      <c r="M17" s="46">
        <v>55.7</v>
      </c>
      <c r="N17" s="46">
        <v>55.7</v>
      </c>
      <c r="O17" s="46">
        <v>55.7</v>
      </c>
      <c r="P17" s="46">
        <v>55.4</v>
      </c>
      <c r="Q17" s="46">
        <v>55.4</v>
      </c>
      <c r="R17" s="46">
        <v>55.4</v>
      </c>
      <c r="S17" s="46">
        <v>55.4</v>
      </c>
      <c r="T17" s="46">
        <v>55.4</v>
      </c>
      <c r="U17" s="46">
        <v>55.4</v>
      </c>
      <c r="V17" s="46">
        <v>55.4</v>
      </c>
      <c r="W17" s="46">
        <v>55.4</v>
      </c>
      <c r="X17" s="46">
        <v>55.4</v>
      </c>
      <c r="Y17" s="46">
        <v>55.4</v>
      </c>
      <c r="Z17" s="46">
        <v>55.4</v>
      </c>
      <c r="AA17" s="46">
        <v>55.4</v>
      </c>
      <c r="AB17" s="46">
        <v>55.4</v>
      </c>
      <c r="AC17" s="46">
        <v>55.4</v>
      </c>
      <c r="AD17" s="46">
        <v>55.4</v>
      </c>
      <c r="AE17" s="46">
        <v>55.4</v>
      </c>
      <c r="AF17" s="46">
        <v>55.4</v>
      </c>
      <c r="AG17" s="47">
        <v>52.4</v>
      </c>
      <c r="AH17" s="48">
        <f t="shared" si="2"/>
        <v>55.7</v>
      </c>
      <c r="AI17" s="49">
        <f t="shared" si="3"/>
        <v>55.4</v>
      </c>
      <c r="AK17" s="51"/>
      <c r="AL17" s="54" t="s">
        <v>27</v>
      </c>
      <c r="AM17" s="59">
        <f t="shared" ref="AM17:AR17" si="6">B65</f>
        <v>542.5</v>
      </c>
      <c r="AN17" s="59">
        <f t="shared" si="6"/>
        <v>542.5</v>
      </c>
      <c r="AO17" s="59">
        <f t="shared" si="6"/>
        <v>542.5</v>
      </c>
      <c r="AP17" s="59">
        <f t="shared" si="6"/>
        <v>542.5</v>
      </c>
      <c r="AQ17" s="59">
        <f t="shared" si="6"/>
        <v>542.5</v>
      </c>
      <c r="AR17" s="59">
        <f t="shared" si="6"/>
        <v>516.6</v>
      </c>
      <c r="AS17" s="59">
        <f>I65</f>
        <v>538.6</v>
      </c>
      <c r="AT17" s="59">
        <f>K65</f>
        <v>538.6</v>
      </c>
      <c r="AU17" s="59">
        <f t="shared" ref="AU17:BD17" si="7">M65</f>
        <v>538.6</v>
      </c>
      <c r="AV17" s="59">
        <f t="shared" si="7"/>
        <v>538.6</v>
      </c>
      <c r="AW17" s="59">
        <f t="shared" si="7"/>
        <v>538.6</v>
      </c>
      <c r="AX17" s="59">
        <f t="shared" si="7"/>
        <v>538.6</v>
      </c>
      <c r="AY17" s="59">
        <f t="shared" si="7"/>
        <v>538.6</v>
      </c>
      <c r="AZ17" s="59">
        <f t="shared" si="7"/>
        <v>538.6</v>
      </c>
      <c r="BA17" s="59">
        <f t="shared" si="7"/>
        <v>538.6</v>
      </c>
      <c r="BB17" s="59">
        <f t="shared" si="7"/>
        <v>538.6</v>
      </c>
      <c r="BC17" s="59">
        <f t="shared" si="7"/>
        <v>538.6</v>
      </c>
      <c r="BD17" s="59">
        <f t="shared" si="7"/>
        <v>538.6</v>
      </c>
      <c r="BE17" s="60">
        <f>X65</f>
        <v>538.6</v>
      </c>
      <c r="BF17" s="60">
        <f>Z65</f>
        <v>538.6</v>
      </c>
      <c r="BG17" s="60">
        <f>AB65</f>
        <v>541.9</v>
      </c>
      <c r="BH17" s="60">
        <f>AD65</f>
        <v>542</v>
      </c>
      <c r="BI17" s="60">
        <f>AE65</f>
        <v>542.1</v>
      </c>
      <c r="BJ17" s="60">
        <f>AF65</f>
        <v>542.1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 t="s">
        <v>303</v>
      </c>
      <c r="K18" s="46">
        <v>50.3</v>
      </c>
      <c r="L18" s="46">
        <v>50.3</v>
      </c>
      <c r="M18" s="46">
        <v>50.3</v>
      </c>
      <c r="N18" s="46">
        <v>50.3</v>
      </c>
      <c r="O18" s="46">
        <v>50.3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46">
        <v>50.5</v>
      </c>
      <c r="AB18" s="46">
        <v>50.5</v>
      </c>
      <c r="AC18" s="46">
        <v>50.5</v>
      </c>
      <c r="AD18" s="46">
        <v>50.5</v>
      </c>
      <c r="AE18" s="46">
        <v>50.5</v>
      </c>
      <c r="AF18" s="46">
        <v>50.5</v>
      </c>
      <c r="AG18" s="50">
        <v>50</v>
      </c>
      <c r="AH18" s="48">
        <f t="shared" si="2"/>
        <v>50.5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386.54</v>
      </c>
      <c r="AN18" s="59">
        <f t="shared" si="8"/>
        <v>386.54</v>
      </c>
      <c r="AO18" s="59">
        <f t="shared" si="8"/>
        <v>386.54</v>
      </c>
      <c r="AP18" s="59">
        <f t="shared" si="8"/>
        <v>386.54</v>
      </c>
      <c r="AQ18" s="59">
        <f t="shared" si="8"/>
        <v>372.44</v>
      </c>
      <c r="AR18" s="59">
        <f t="shared" si="8"/>
        <v>372.44</v>
      </c>
      <c r="AS18" s="59">
        <f>I79</f>
        <v>376.34000000000003</v>
      </c>
      <c r="AT18" s="59">
        <f>K79</f>
        <v>376.34000000000003</v>
      </c>
      <c r="AU18" s="59">
        <f t="shared" ref="AU18:BD18" si="9">M79</f>
        <v>385.34</v>
      </c>
      <c r="AV18" s="59">
        <f t="shared" si="9"/>
        <v>381.34</v>
      </c>
      <c r="AW18" s="59">
        <f t="shared" si="9"/>
        <v>381.34</v>
      </c>
      <c r="AX18" s="59">
        <f t="shared" si="9"/>
        <v>381.34</v>
      </c>
      <c r="AY18" s="59">
        <f t="shared" si="9"/>
        <v>381.34</v>
      </c>
      <c r="AZ18" s="59">
        <f t="shared" si="9"/>
        <v>381.34</v>
      </c>
      <c r="BA18" s="59">
        <f t="shared" si="9"/>
        <v>363.54</v>
      </c>
      <c r="BB18" s="59">
        <f t="shared" si="9"/>
        <v>422.64000000000004</v>
      </c>
      <c r="BC18" s="59">
        <f t="shared" si="9"/>
        <v>420.73999999999995</v>
      </c>
      <c r="BD18" s="59">
        <f t="shared" si="9"/>
        <v>417.53999999999996</v>
      </c>
      <c r="BE18" s="60">
        <f>X79</f>
        <v>400.93999999999994</v>
      </c>
      <c r="BF18" s="60">
        <f>Z79</f>
        <v>385.84</v>
      </c>
      <c r="BG18" s="60">
        <f>AB79</f>
        <v>409.14</v>
      </c>
      <c r="BH18" s="60">
        <f>AD79</f>
        <v>414.44</v>
      </c>
      <c r="BI18" s="60">
        <f>AE79</f>
        <v>414.44</v>
      </c>
      <c r="BJ18" s="60">
        <f>AF79</f>
        <v>364.44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44.5</v>
      </c>
      <c r="C19" s="46">
        <v>44.5</v>
      </c>
      <c r="D19" s="46">
        <v>44.5</v>
      </c>
      <c r="E19" s="46">
        <v>44.5</v>
      </c>
      <c r="F19" s="46">
        <v>44.5</v>
      </c>
      <c r="G19" s="46">
        <v>44.5</v>
      </c>
      <c r="H19" s="46">
        <v>44.5</v>
      </c>
      <c r="I19" s="46">
        <v>44.5</v>
      </c>
      <c r="J19" s="46" t="s">
        <v>291</v>
      </c>
      <c r="K19" s="46">
        <v>44.5</v>
      </c>
      <c r="L19" s="46">
        <v>44.5</v>
      </c>
      <c r="M19" s="46">
        <v>44.5</v>
      </c>
      <c r="N19" s="46">
        <v>44.5</v>
      </c>
      <c r="O19" s="46">
        <v>44.5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44.5</v>
      </c>
      <c r="AK19" s="51"/>
      <c r="AL19" s="54" t="s">
        <v>31</v>
      </c>
      <c r="AM19" s="59">
        <f t="shared" ref="AM19:AR19" si="10">B95</f>
        <v>88</v>
      </c>
      <c r="AN19" s="59">
        <f t="shared" si="10"/>
        <v>67</v>
      </c>
      <c r="AO19" s="59">
        <f t="shared" si="10"/>
        <v>70</v>
      </c>
      <c r="AP19" s="59">
        <f t="shared" si="10"/>
        <v>83.1</v>
      </c>
      <c r="AQ19" s="59">
        <f t="shared" si="10"/>
        <v>39</v>
      </c>
      <c r="AR19" s="59">
        <f t="shared" si="10"/>
        <v>38</v>
      </c>
      <c r="AS19" s="59">
        <f>I95</f>
        <v>36.700000000000003</v>
      </c>
      <c r="AT19" s="59">
        <f>K95</f>
        <v>36.700000000000003</v>
      </c>
      <c r="AU19" s="59">
        <f t="shared" ref="AU19:BD19" si="11">M95</f>
        <v>602.70000000000005</v>
      </c>
      <c r="AV19" s="59">
        <f t="shared" si="11"/>
        <v>65</v>
      </c>
      <c r="AW19" s="59">
        <f t="shared" si="11"/>
        <v>68</v>
      </c>
      <c r="AX19" s="59">
        <f t="shared" si="11"/>
        <v>95.1</v>
      </c>
      <c r="AY19" s="59">
        <f t="shared" si="11"/>
        <v>95.1</v>
      </c>
      <c r="AZ19" s="59">
        <f t="shared" si="11"/>
        <v>110</v>
      </c>
      <c r="BA19" s="59">
        <f t="shared" si="11"/>
        <v>114.3</v>
      </c>
      <c r="BB19" s="59">
        <f t="shared" si="11"/>
        <v>105.1</v>
      </c>
      <c r="BC19" s="59">
        <f t="shared" si="11"/>
        <v>117.5</v>
      </c>
      <c r="BD19" s="59">
        <f t="shared" si="11"/>
        <v>106.1</v>
      </c>
      <c r="BE19" s="60">
        <f>X95</f>
        <v>93.5</v>
      </c>
      <c r="BF19" s="60">
        <f>Z95</f>
        <v>44.1</v>
      </c>
      <c r="BG19" s="60">
        <f>AB95</f>
        <v>58.5</v>
      </c>
      <c r="BH19" s="60">
        <f>AD95</f>
        <v>56.5</v>
      </c>
      <c r="BI19" s="60">
        <f>AE95</f>
        <v>56.900000000000006</v>
      </c>
      <c r="BJ19" s="60">
        <f>AF95</f>
        <v>57.1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 t="s">
        <v>297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44.9</v>
      </c>
      <c r="Q20" s="46">
        <v>44.9</v>
      </c>
      <c r="R20" s="46">
        <v>44.9</v>
      </c>
      <c r="S20" s="46">
        <v>44.9</v>
      </c>
      <c r="T20" s="46">
        <v>44.9</v>
      </c>
      <c r="U20" s="46">
        <v>44.9</v>
      </c>
      <c r="V20" s="46">
        <v>44.9</v>
      </c>
      <c r="W20" s="46">
        <v>44.9</v>
      </c>
      <c r="X20" s="46">
        <v>44.9</v>
      </c>
      <c r="Y20" s="46">
        <v>44.9</v>
      </c>
      <c r="Z20" s="46">
        <v>44.9</v>
      </c>
      <c r="AA20" s="46">
        <v>44.9</v>
      </c>
      <c r="AB20" s="46">
        <v>44.9</v>
      </c>
      <c r="AC20" s="46">
        <v>44.9</v>
      </c>
      <c r="AD20" s="46">
        <v>44.9</v>
      </c>
      <c r="AE20" s="46">
        <v>44.9</v>
      </c>
      <c r="AF20" s="46">
        <v>44.9</v>
      </c>
      <c r="AG20" s="50">
        <v>44</v>
      </c>
      <c r="AH20" s="48">
        <f t="shared" si="2"/>
        <v>44.9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26.3</v>
      </c>
      <c r="AN20" s="59">
        <f t="shared" si="12"/>
        <v>26.3</v>
      </c>
      <c r="AO20" s="59">
        <f t="shared" si="12"/>
        <v>26.3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20.9</v>
      </c>
      <c r="AV20" s="59">
        <f t="shared" si="13"/>
        <v>20.9</v>
      </c>
      <c r="AW20" s="59">
        <f t="shared" si="13"/>
        <v>20.9</v>
      </c>
      <c r="AX20" s="59">
        <f t="shared" si="13"/>
        <v>17.900000000000002</v>
      </c>
      <c r="AY20" s="59">
        <f t="shared" si="13"/>
        <v>17.900000000000002</v>
      </c>
      <c r="AZ20" s="59">
        <f t="shared" si="13"/>
        <v>17.900000000000002</v>
      </c>
      <c r="BA20" s="59">
        <f t="shared" si="13"/>
        <v>17.899999999999999</v>
      </c>
      <c r="BB20" s="59">
        <f t="shared" si="13"/>
        <v>17.899999999999999</v>
      </c>
      <c r="BC20" s="59">
        <f t="shared" si="13"/>
        <v>30.2</v>
      </c>
      <c r="BD20" s="59">
        <f t="shared" si="13"/>
        <v>30.2</v>
      </c>
      <c r="BE20" s="60">
        <f>X83</f>
        <v>16.7</v>
      </c>
      <c r="BF20" s="60">
        <f>Z83</f>
        <v>24.6</v>
      </c>
      <c r="BG20" s="60">
        <f>AB83</f>
        <v>32.4</v>
      </c>
      <c r="BH20" s="60">
        <f>AD83</f>
        <v>29.299999999999997</v>
      </c>
      <c r="BI20" s="60">
        <f>AE83</f>
        <v>32.700000000000003</v>
      </c>
      <c r="BJ20" s="60">
        <f>AF83</f>
        <v>15.400000000000002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/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200</v>
      </c>
      <c r="AN21" s="59">
        <f t="shared" si="14"/>
        <v>200</v>
      </c>
      <c r="AO21" s="59">
        <f t="shared" si="14"/>
        <v>150</v>
      </c>
      <c r="AP21" s="59">
        <f t="shared" si="14"/>
        <v>150</v>
      </c>
      <c r="AQ21" s="59">
        <f t="shared" si="14"/>
        <v>150</v>
      </c>
      <c r="AR21" s="59">
        <f t="shared" si="14"/>
        <v>150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50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/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30</v>
      </c>
      <c r="AC22" s="46">
        <v>0</v>
      </c>
      <c r="AD22" s="46">
        <v>37.700000000000003</v>
      </c>
      <c r="AE22" s="46">
        <v>37.700000000000003</v>
      </c>
      <c r="AF22" s="46">
        <v>37.700000000000003</v>
      </c>
      <c r="AG22" s="50">
        <v>38.46</v>
      </c>
      <c r="AH22" s="48">
        <f t="shared" si="2"/>
        <v>37.700000000000003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2300.3900000000003</v>
      </c>
      <c r="AN22" s="63">
        <f t="shared" si="16"/>
        <v>2283.79</v>
      </c>
      <c r="AO22" s="63">
        <f t="shared" si="16"/>
        <v>2236.79</v>
      </c>
      <c r="AP22" s="63">
        <f t="shared" si="16"/>
        <v>2209.59</v>
      </c>
      <c r="AQ22" s="63">
        <f t="shared" si="16"/>
        <v>2183.8900000000003</v>
      </c>
      <c r="AR22" s="63">
        <f t="shared" si="16"/>
        <v>2165.89</v>
      </c>
      <c r="AS22" s="63">
        <f t="shared" si="16"/>
        <v>2024.5900000000004</v>
      </c>
      <c r="AT22" s="63">
        <f t="shared" si="16"/>
        <v>2016.0900000000004</v>
      </c>
      <c r="AU22" s="63">
        <f t="shared" si="16"/>
        <v>2626.4900000000002</v>
      </c>
      <c r="AV22" s="63">
        <f t="shared" si="16"/>
        <v>2084.7900000000004</v>
      </c>
      <c r="AW22" s="63">
        <f t="shared" si="16"/>
        <v>2087.7900000000004</v>
      </c>
      <c r="AX22" s="63">
        <f t="shared" si="16"/>
        <v>2081.2400000000002</v>
      </c>
      <c r="AY22" s="63">
        <f t="shared" si="16"/>
        <v>2081.2400000000002</v>
      </c>
      <c r="AZ22" s="63">
        <f t="shared" si="16"/>
        <v>2096.14</v>
      </c>
      <c r="BA22" s="63">
        <f t="shared" si="16"/>
        <v>2082.6400000000003</v>
      </c>
      <c r="BB22" s="63">
        <f t="shared" si="16"/>
        <v>2136.84</v>
      </c>
      <c r="BC22" s="63">
        <f t="shared" si="16"/>
        <v>2159.6399999999994</v>
      </c>
      <c r="BD22" s="63">
        <f t="shared" si="16"/>
        <v>2145.0399999999995</v>
      </c>
      <c r="BE22" s="63">
        <f t="shared" si="16"/>
        <v>2102.3399999999997</v>
      </c>
      <c r="BF22" s="63">
        <f t="shared" si="16"/>
        <v>2095.7399999999998</v>
      </c>
      <c r="BG22" s="63">
        <f t="shared" si="16"/>
        <v>2161.84</v>
      </c>
      <c r="BH22" s="63">
        <f t="shared" si="16"/>
        <v>2169.84</v>
      </c>
      <c r="BI22" s="63">
        <f t="shared" si="16"/>
        <v>2173.7399999999998</v>
      </c>
      <c r="BJ22" s="63">
        <f t="shared" si="16"/>
        <v>2156.64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20.65</v>
      </c>
      <c r="C23" s="46">
        <v>20.65</v>
      </c>
      <c r="D23" s="46">
        <v>20.65</v>
      </c>
      <c r="E23" s="46">
        <v>20.65</v>
      </c>
      <c r="F23" s="46">
        <v>20.65</v>
      </c>
      <c r="G23" s="46">
        <v>20.65</v>
      </c>
      <c r="H23" s="46">
        <v>20.65</v>
      </c>
      <c r="I23" s="46">
        <v>20.65</v>
      </c>
      <c r="J23" s="46"/>
      <c r="K23" s="46">
        <v>20.65</v>
      </c>
      <c r="L23" s="46">
        <v>20.65</v>
      </c>
      <c r="M23" s="46">
        <v>20.65</v>
      </c>
      <c r="N23" s="46">
        <v>20.65</v>
      </c>
      <c r="O23" s="46">
        <v>20.65</v>
      </c>
      <c r="P23" s="46">
        <v>20</v>
      </c>
      <c r="Q23" s="46">
        <v>20</v>
      </c>
      <c r="R23" s="46">
        <v>20</v>
      </c>
      <c r="S23" s="46">
        <v>20</v>
      </c>
      <c r="T23" s="46">
        <v>20</v>
      </c>
      <c r="U23" s="46">
        <v>20</v>
      </c>
      <c r="V23" s="46">
        <v>20</v>
      </c>
      <c r="W23" s="46">
        <v>20</v>
      </c>
      <c r="X23" s="46">
        <v>20</v>
      </c>
      <c r="Y23" s="46">
        <v>20</v>
      </c>
      <c r="Z23" s="46">
        <v>20</v>
      </c>
      <c r="AA23" s="46">
        <v>20</v>
      </c>
      <c r="AB23" s="46">
        <v>20</v>
      </c>
      <c r="AC23" s="46">
        <v>20</v>
      </c>
      <c r="AD23" s="46">
        <v>20</v>
      </c>
      <c r="AE23" s="46">
        <v>20</v>
      </c>
      <c r="AF23" s="46">
        <v>20</v>
      </c>
      <c r="AG23" s="50">
        <v>38.46</v>
      </c>
      <c r="AH23" s="48">
        <f t="shared" si="2"/>
        <v>20.65</v>
      </c>
      <c r="AI23" s="49">
        <f t="shared" si="3"/>
        <v>20</v>
      </c>
      <c r="AK23" s="51"/>
      <c r="AL23" s="62" t="s">
        <v>39</v>
      </c>
      <c r="AM23" s="63">
        <f t="shared" ref="AM23:AR23" si="17">B110*-1</f>
        <v>-475</v>
      </c>
      <c r="AN23" s="63">
        <f t="shared" si="17"/>
        <v>-520</v>
      </c>
      <c r="AO23" s="63">
        <f t="shared" si="17"/>
        <v>-504</v>
      </c>
      <c r="AP23" s="63">
        <f t="shared" si="17"/>
        <v>-510</v>
      </c>
      <c r="AQ23" s="63">
        <f t="shared" si="17"/>
        <v>-532</v>
      </c>
      <c r="AR23" s="63">
        <f t="shared" si="17"/>
        <v>-560</v>
      </c>
      <c r="AS23" s="63">
        <f>I110*-1</f>
        <v>-484</v>
      </c>
      <c r="AT23" s="63">
        <f>K110*-1</f>
        <v>-484</v>
      </c>
      <c r="AU23" s="63">
        <f t="shared" ref="AU23:BD23" si="18">M110*-1</f>
        <v>0</v>
      </c>
      <c r="AV23" s="63">
        <f t="shared" si="18"/>
        <v>-337</v>
      </c>
      <c r="AW23" s="63">
        <f t="shared" si="18"/>
        <v>-384</v>
      </c>
      <c r="AX23" s="63">
        <f t="shared" si="18"/>
        <v>-435</v>
      </c>
      <c r="AY23" s="63">
        <f t="shared" si="18"/>
        <v>-435</v>
      </c>
      <c r="AZ23" s="63">
        <f t="shared" si="18"/>
        <v>-390</v>
      </c>
      <c r="BA23" s="63">
        <f t="shared" si="18"/>
        <v>-433.3</v>
      </c>
      <c r="BB23" s="63">
        <f t="shared" si="18"/>
        <v>-433.9</v>
      </c>
      <c r="BC23" s="63">
        <f t="shared" si="18"/>
        <v>-418</v>
      </c>
      <c r="BD23" s="63">
        <f t="shared" si="18"/>
        <v>-422.4</v>
      </c>
      <c r="BE23" s="63">
        <f>X110*-1</f>
        <v>-491.6</v>
      </c>
      <c r="BF23" s="63">
        <f>Z110*-1</f>
        <v>-450.4</v>
      </c>
      <c r="BG23" s="63">
        <f>AB110*-1</f>
        <v>-373.4</v>
      </c>
      <c r="BH23" s="63">
        <f>AD110*-1</f>
        <v>-388.5</v>
      </c>
      <c r="BI23" s="63">
        <f>AE110*-1</f>
        <v>-462.6</v>
      </c>
      <c r="BJ23" s="63">
        <f>AF110*-1</f>
        <v>-437.9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0</v>
      </c>
      <c r="I24" s="46">
        <v>0</v>
      </c>
      <c r="J24" s="46"/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1825.3900000000003</v>
      </c>
      <c r="AN24" s="63">
        <f t="shared" si="19"/>
        <v>1763.79</v>
      </c>
      <c r="AO24" s="63">
        <f t="shared" si="19"/>
        <v>1732.79</v>
      </c>
      <c r="AP24" s="63">
        <f t="shared" si="19"/>
        <v>1699.5900000000001</v>
      </c>
      <c r="AQ24" s="63">
        <f t="shared" si="19"/>
        <v>1651.8900000000003</v>
      </c>
      <c r="AR24" s="63">
        <f t="shared" si="19"/>
        <v>1605.8899999999999</v>
      </c>
      <c r="AS24" s="63">
        <f t="shared" si="19"/>
        <v>1540.5900000000004</v>
      </c>
      <c r="AT24" s="63">
        <f t="shared" si="19"/>
        <v>1532.0900000000004</v>
      </c>
      <c r="AU24" s="63">
        <f t="shared" si="19"/>
        <v>2626.4900000000002</v>
      </c>
      <c r="AV24" s="63">
        <f t="shared" si="19"/>
        <v>1747.7900000000004</v>
      </c>
      <c r="AW24" s="63">
        <f t="shared" si="19"/>
        <v>1703.7900000000004</v>
      </c>
      <c r="AX24" s="63">
        <f t="shared" si="19"/>
        <v>1646.2400000000002</v>
      </c>
      <c r="AY24" s="63">
        <f t="shared" si="19"/>
        <v>1646.2400000000002</v>
      </c>
      <c r="AZ24" s="63">
        <f t="shared" si="19"/>
        <v>1706.1399999999999</v>
      </c>
      <c r="BA24" s="63">
        <f t="shared" si="19"/>
        <v>1649.3400000000004</v>
      </c>
      <c r="BB24" s="63">
        <f t="shared" si="19"/>
        <v>1702.94</v>
      </c>
      <c r="BC24" s="63">
        <f t="shared" si="19"/>
        <v>1741.6399999999994</v>
      </c>
      <c r="BD24" s="63">
        <f t="shared" si="19"/>
        <v>1722.6399999999994</v>
      </c>
      <c r="BE24" s="63">
        <f t="shared" si="19"/>
        <v>1610.7399999999998</v>
      </c>
      <c r="BF24" s="63">
        <f t="shared" si="19"/>
        <v>1645.3399999999997</v>
      </c>
      <c r="BG24" s="63">
        <f t="shared" si="19"/>
        <v>1788.44</v>
      </c>
      <c r="BH24" s="63">
        <f t="shared" si="19"/>
        <v>1781.3400000000001</v>
      </c>
      <c r="BI24" s="63">
        <f t="shared" si="19"/>
        <v>1711.1399999999999</v>
      </c>
      <c r="BJ24" s="63">
        <f t="shared" si="19"/>
        <v>1718.7399999999998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</v>
      </c>
      <c r="C25" s="46">
        <v>30</v>
      </c>
      <c r="D25" s="46">
        <v>30</v>
      </c>
      <c r="E25" s="46">
        <v>30</v>
      </c>
      <c r="F25" s="46">
        <v>21</v>
      </c>
      <c r="G25" s="46">
        <v>15</v>
      </c>
      <c r="H25" s="46">
        <v>29</v>
      </c>
      <c r="I25" s="46">
        <v>24.1</v>
      </c>
      <c r="J25" s="46"/>
      <c r="K25" s="46">
        <v>24.1</v>
      </c>
      <c r="L25" s="46">
        <v>24.1</v>
      </c>
      <c r="M25" s="46">
        <v>24.1</v>
      </c>
      <c r="N25" s="46">
        <v>24.1</v>
      </c>
      <c r="O25" s="46">
        <v>24.1</v>
      </c>
      <c r="P25" s="46">
        <v>27.2</v>
      </c>
      <c r="Q25" s="46">
        <v>27.2</v>
      </c>
      <c r="R25" s="46">
        <v>27.2</v>
      </c>
      <c r="S25" s="46">
        <v>27.2</v>
      </c>
      <c r="T25" s="46">
        <v>27.2</v>
      </c>
      <c r="U25" s="46">
        <v>27.2</v>
      </c>
      <c r="V25" s="46">
        <v>27.2</v>
      </c>
      <c r="W25" s="46">
        <v>27.2</v>
      </c>
      <c r="X25" s="46">
        <v>27.2</v>
      </c>
      <c r="Y25" s="46">
        <v>27.2</v>
      </c>
      <c r="Z25" s="46">
        <v>27.2</v>
      </c>
      <c r="AA25" s="46">
        <v>27.2</v>
      </c>
      <c r="AB25" s="46">
        <v>27.2</v>
      </c>
      <c r="AC25" s="46">
        <v>27.2</v>
      </c>
      <c r="AD25" s="46">
        <v>27.2</v>
      </c>
      <c r="AE25" s="46">
        <v>27.2</v>
      </c>
      <c r="AF25" s="46">
        <v>27.2</v>
      </c>
      <c r="AG25" s="61">
        <v>30</v>
      </c>
      <c r="AH25" s="48">
        <f t="shared" si="2"/>
        <v>30</v>
      </c>
      <c r="AI25" s="49">
        <f t="shared" si="3"/>
        <v>15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>
        <v>33</v>
      </c>
      <c r="D26" s="46">
        <v>33</v>
      </c>
      <c r="E26" s="46">
        <v>33</v>
      </c>
      <c r="F26" s="46">
        <v>33</v>
      </c>
      <c r="G26" s="46">
        <v>33</v>
      </c>
      <c r="H26" s="46">
        <v>33</v>
      </c>
      <c r="I26" s="46">
        <v>33</v>
      </c>
      <c r="J26" s="46"/>
      <c r="K26" s="46">
        <v>33</v>
      </c>
      <c r="L26" s="46">
        <v>33</v>
      </c>
      <c r="M26" s="46">
        <v>33</v>
      </c>
      <c r="N26" s="46">
        <v>33</v>
      </c>
      <c r="O26" s="46">
        <v>33</v>
      </c>
      <c r="P26" s="46">
        <v>57.9</v>
      </c>
      <c r="Q26" s="46">
        <v>57.9</v>
      </c>
      <c r="R26" s="46">
        <v>57.9</v>
      </c>
      <c r="S26" s="46">
        <v>57.9</v>
      </c>
      <c r="T26" s="46">
        <v>57.9</v>
      </c>
      <c r="U26" s="46">
        <v>57.9</v>
      </c>
      <c r="V26" s="46">
        <v>57.9</v>
      </c>
      <c r="W26" s="46">
        <v>57.9</v>
      </c>
      <c r="X26" s="46">
        <v>57.9</v>
      </c>
      <c r="Y26" s="46">
        <v>57.9</v>
      </c>
      <c r="Z26" s="46">
        <v>57.9</v>
      </c>
      <c r="AA26" s="46">
        <v>57.9</v>
      </c>
      <c r="AB26" s="46">
        <v>57.9</v>
      </c>
      <c r="AC26" s="46">
        <v>57.9</v>
      </c>
      <c r="AD26" s="46">
        <v>57.9</v>
      </c>
      <c r="AE26" s="46">
        <v>57.9</v>
      </c>
      <c r="AF26" s="46">
        <v>57.9</v>
      </c>
      <c r="AG26" s="50">
        <v>24.2</v>
      </c>
      <c r="AH26" s="48">
        <f t="shared" si="2"/>
        <v>57.9</v>
      </c>
      <c r="AI26" s="49">
        <f t="shared" si="3"/>
        <v>33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 t="s">
        <v>314</v>
      </c>
      <c r="C27" s="46" t="s">
        <v>314</v>
      </c>
      <c r="D27" s="46" t="s">
        <v>314</v>
      </c>
      <c r="E27" s="46" t="s">
        <v>314</v>
      </c>
      <c r="F27" s="46">
        <v>28</v>
      </c>
      <c r="G27" s="46">
        <v>28</v>
      </c>
      <c r="H27" s="46">
        <v>28</v>
      </c>
      <c r="I27" s="46">
        <v>28</v>
      </c>
      <c r="J27" s="46"/>
      <c r="K27" s="46">
        <v>28</v>
      </c>
      <c r="L27" s="46">
        <v>28</v>
      </c>
      <c r="M27" s="46">
        <v>28</v>
      </c>
      <c r="N27" s="46">
        <v>28</v>
      </c>
      <c r="O27" s="46">
        <v>28</v>
      </c>
      <c r="P27" s="46">
        <v>27.5</v>
      </c>
      <c r="Q27" s="46">
        <v>27.5</v>
      </c>
      <c r="R27" s="46">
        <v>27.5</v>
      </c>
      <c r="S27" s="46">
        <v>27.5</v>
      </c>
      <c r="T27" s="46">
        <v>27.5</v>
      </c>
      <c r="U27" s="46">
        <v>27.5</v>
      </c>
      <c r="V27" s="46">
        <v>27.5</v>
      </c>
      <c r="W27" s="46">
        <v>27.5</v>
      </c>
      <c r="X27" s="46">
        <v>27.5</v>
      </c>
      <c r="Y27" s="46">
        <v>27.5</v>
      </c>
      <c r="Z27" s="46">
        <v>27.5</v>
      </c>
      <c r="AA27" s="46">
        <v>27.5</v>
      </c>
      <c r="AB27" s="46">
        <v>27.5</v>
      </c>
      <c r="AC27" s="46">
        <v>27.5</v>
      </c>
      <c r="AD27" s="46">
        <v>27.5</v>
      </c>
      <c r="AE27" s="46">
        <v>27.5</v>
      </c>
      <c r="AF27" s="46">
        <v>27.5</v>
      </c>
      <c r="AG27" s="50">
        <v>28</v>
      </c>
      <c r="AH27" s="48">
        <f t="shared" si="2"/>
        <v>28</v>
      </c>
      <c r="AI27" s="49">
        <f t="shared" si="3"/>
        <v>27.5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21</v>
      </c>
      <c r="C28" s="46">
        <v>21</v>
      </c>
      <c r="D28" s="46">
        <v>21</v>
      </c>
      <c r="E28" s="46">
        <v>21</v>
      </c>
      <c r="F28" s="46">
        <v>17</v>
      </c>
      <c r="G28" s="46">
        <v>13</v>
      </c>
      <c r="H28" s="46">
        <v>24</v>
      </c>
      <c r="I28" s="46">
        <v>24</v>
      </c>
      <c r="J28" s="46"/>
      <c r="K28" s="46">
        <v>24</v>
      </c>
      <c r="L28" s="46">
        <v>24</v>
      </c>
      <c r="M28" s="46">
        <v>24</v>
      </c>
      <c r="N28" s="46">
        <v>24</v>
      </c>
      <c r="O28" s="46">
        <v>24</v>
      </c>
      <c r="P28" s="46">
        <v>27.8</v>
      </c>
      <c r="Q28" s="46">
        <v>27.8</v>
      </c>
      <c r="R28" s="46">
        <v>27.8</v>
      </c>
      <c r="S28" s="46">
        <v>27.8</v>
      </c>
      <c r="T28" s="46">
        <v>27.8</v>
      </c>
      <c r="U28" s="46">
        <v>27.8</v>
      </c>
      <c r="V28" s="46">
        <v>27.8</v>
      </c>
      <c r="W28" s="46">
        <v>27.8</v>
      </c>
      <c r="X28" s="46">
        <v>27.8</v>
      </c>
      <c r="Y28" s="46">
        <v>27.8</v>
      </c>
      <c r="Z28" s="46">
        <v>27.8</v>
      </c>
      <c r="AA28" s="46">
        <v>27.8</v>
      </c>
      <c r="AB28" s="46">
        <v>27.8</v>
      </c>
      <c r="AC28" s="46">
        <v>27.8</v>
      </c>
      <c r="AD28" s="46">
        <v>27.8</v>
      </c>
      <c r="AE28" s="46">
        <v>27.8</v>
      </c>
      <c r="AF28" s="46">
        <v>27.8</v>
      </c>
      <c r="AG28" s="61">
        <v>30</v>
      </c>
      <c r="AH28" s="48">
        <f t="shared" si="2"/>
        <v>27.8</v>
      </c>
      <c r="AI28" s="49">
        <f t="shared" si="3"/>
        <v>13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>
        <v>26</v>
      </c>
      <c r="D29" s="46">
        <v>26</v>
      </c>
      <c r="E29" s="46">
        <v>26</v>
      </c>
      <c r="F29" s="46">
        <v>26</v>
      </c>
      <c r="G29" s="46">
        <v>26</v>
      </c>
      <c r="H29" s="46">
        <v>26</v>
      </c>
      <c r="I29" s="46">
        <v>26</v>
      </c>
      <c r="J29" s="46"/>
      <c r="K29" s="46">
        <v>26</v>
      </c>
      <c r="L29" s="46">
        <v>26</v>
      </c>
      <c r="M29" s="46">
        <v>26</v>
      </c>
      <c r="N29" s="46">
        <v>26</v>
      </c>
      <c r="O29" s="46">
        <v>26</v>
      </c>
      <c r="P29" s="46">
        <v>26</v>
      </c>
      <c r="Q29" s="46">
        <v>26</v>
      </c>
      <c r="R29" s="46">
        <v>26</v>
      </c>
      <c r="S29" s="46">
        <v>26</v>
      </c>
      <c r="T29" s="46">
        <v>26</v>
      </c>
      <c r="U29" s="46">
        <v>26</v>
      </c>
      <c r="V29" s="46">
        <v>26</v>
      </c>
      <c r="W29" s="46">
        <v>26</v>
      </c>
      <c r="X29" s="46">
        <v>26</v>
      </c>
      <c r="Y29" s="46">
        <v>26</v>
      </c>
      <c r="Z29" s="46">
        <v>26</v>
      </c>
      <c r="AA29" s="46">
        <v>26</v>
      </c>
      <c r="AB29" s="46">
        <v>26</v>
      </c>
      <c r="AC29" s="46">
        <v>26</v>
      </c>
      <c r="AD29" s="46">
        <v>26</v>
      </c>
      <c r="AE29" s="46">
        <v>26</v>
      </c>
      <c r="AF29" s="46">
        <v>26</v>
      </c>
      <c r="AG29" s="50">
        <v>25</v>
      </c>
      <c r="AH29" s="48">
        <f t="shared" si="2"/>
        <v>26</v>
      </c>
      <c r="AI29" s="49">
        <f t="shared" si="3"/>
        <v>26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/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15</v>
      </c>
      <c r="C31" s="46">
        <v>15</v>
      </c>
      <c r="D31" s="46">
        <v>15</v>
      </c>
      <c r="E31" s="46">
        <v>15</v>
      </c>
      <c r="F31" s="46">
        <v>25</v>
      </c>
      <c r="G31" s="46">
        <v>25</v>
      </c>
      <c r="H31" s="46">
        <v>25</v>
      </c>
      <c r="I31" s="46">
        <v>25</v>
      </c>
      <c r="J31" s="46"/>
      <c r="K31" s="46">
        <v>25</v>
      </c>
      <c r="L31" s="46">
        <v>25</v>
      </c>
      <c r="M31" s="46">
        <v>25</v>
      </c>
      <c r="N31" s="46">
        <v>25</v>
      </c>
      <c r="O31" s="46">
        <v>25</v>
      </c>
      <c r="P31" s="46">
        <v>25</v>
      </c>
      <c r="Q31" s="46">
        <v>25</v>
      </c>
      <c r="R31" s="46">
        <v>25</v>
      </c>
      <c r="S31" s="46">
        <v>25</v>
      </c>
      <c r="T31" s="46">
        <v>25</v>
      </c>
      <c r="U31" s="46">
        <v>25</v>
      </c>
      <c r="V31" s="46">
        <v>25</v>
      </c>
      <c r="W31" s="46">
        <v>25</v>
      </c>
      <c r="X31" s="46">
        <v>25</v>
      </c>
      <c r="Y31" s="46">
        <v>25</v>
      </c>
      <c r="Z31" s="46">
        <v>25</v>
      </c>
      <c r="AA31" s="46">
        <v>25</v>
      </c>
      <c r="AB31" s="46">
        <v>25</v>
      </c>
      <c r="AC31" s="46">
        <v>25</v>
      </c>
      <c r="AD31" s="46">
        <v>25</v>
      </c>
      <c r="AE31" s="46">
        <v>25</v>
      </c>
      <c r="AF31" s="46">
        <v>25</v>
      </c>
      <c r="AG31" s="50">
        <v>25</v>
      </c>
      <c r="AH31" s="48">
        <f t="shared" si="2"/>
        <v>25</v>
      </c>
      <c r="AI31" s="49">
        <f t="shared" si="3"/>
        <v>15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18</v>
      </c>
      <c r="C32" s="46">
        <v>18</v>
      </c>
      <c r="D32" s="46">
        <v>18</v>
      </c>
      <c r="E32" s="46">
        <v>18</v>
      </c>
      <c r="F32" s="46">
        <v>15</v>
      </c>
      <c r="G32" s="46">
        <v>14</v>
      </c>
      <c r="H32" s="46">
        <v>20</v>
      </c>
      <c r="I32" s="46">
        <v>20</v>
      </c>
      <c r="J32" s="46"/>
      <c r="K32" s="46">
        <v>20</v>
      </c>
      <c r="L32" s="46">
        <v>20</v>
      </c>
      <c r="M32" s="46">
        <v>20</v>
      </c>
      <c r="N32" s="46">
        <v>20</v>
      </c>
      <c r="O32" s="46">
        <v>20</v>
      </c>
      <c r="P32" s="46">
        <v>25.5</v>
      </c>
      <c r="Q32" s="46">
        <v>25.5</v>
      </c>
      <c r="R32" s="46">
        <v>25.5</v>
      </c>
      <c r="S32" s="46">
        <v>25.5</v>
      </c>
      <c r="T32" s="46">
        <v>25.5</v>
      </c>
      <c r="U32" s="46">
        <v>25.5</v>
      </c>
      <c r="V32" s="46">
        <v>25.5</v>
      </c>
      <c r="W32" s="46">
        <v>25.5</v>
      </c>
      <c r="X32" s="46">
        <v>25.5</v>
      </c>
      <c r="Y32" s="46">
        <v>25.5</v>
      </c>
      <c r="Z32" s="46">
        <v>25.5</v>
      </c>
      <c r="AA32" s="46">
        <v>25.5</v>
      </c>
      <c r="AB32" s="46">
        <v>25.5</v>
      </c>
      <c r="AC32" s="46">
        <v>25.5</v>
      </c>
      <c r="AD32" s="46">
        <v>25.5</v>
      </c>
      <c r="AE32" s="46">
        <v>25.5</v>
      </c>
      <c r="AF32" s="46">
        <v>25.5</v>
      </c>
      <c r="AG32" s="50">
        <v>25</v>
      </c>
      <c r="AH32" s="48">
        <f t="shared" si="2"/>
        <v>25.5</v>
      </c>
      <c r="AI32" s="49">
        <f t="shared" si="3"/>
        <v>14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23.8</v>
      </c>
      <c r="C33" s="46">
        <v>23.8</v>
      </c>
      <c r="D33" s="46">
        <v>23.8</v>
      </c>
      <c r="E33" s="46">
        <v>23.8</v>
      </c>
      <c r="F33" s="46">
        <v>19.7</v>
      </c>
      <c r="G33" s="46">
        <v>19.7</v>
      </c>
      <c r="H33" s="46">
        <v>19.7</v>
      </c>
      <c r="I33" s="46">
        <v>19.7</v>
      </c>
      <c r="J33" s="46"/>
      <c r="K33" s="46">
        <v>19.7</v>
      </c>
      <c r="L33" s="46">
        <v>19.7</v>
      </c>
      <c r="M33" s="46">
        <v>19.7</v>
      </c>
      <c r="N33" s="46">
        <v>19.7</v>
      </c>
      <c r="O33" s="46">
        <v>19.7</v>
      </c>
      <c r="P33" s="46">
        <v>19.399999999999999</v>
      </c>
      <c r="Q33" s="46">
        <v>19.399999999999999</v>
      </c>
      <c r="R33" s="46">
        <v>19.399999999999999</v>
      </c>
      <c r="S33" s="46">
        <v>19.399999999999999</v>
      </c>
      <c r="T33" s="46">
        <v>19.399999999999999</v>
      </c>
      <c r="U33" s="46">
        <v>19.399999999999999</v>
      </c>
      <c r="V33" s="46">
        <v>19.399999999999999</v>
      </c>
      <c r="W33" s="46">
        <v>19.399999999999999</v>
      </c>
      <c r="X33" s="46">
        <v>19.399999999999999</v>
      </c>
      <c r="Y33" s="46">
        <v>19.399999999999999</v>
      </c>
      <c r="Z33" s="46">
        <v>19.399999999999999</v>
      </c>
      <c r="AA33" s="46">
        <v>19.399999999999999</v>
      </c>
      <c r="AB33" s="46">
        <v>19.399999999999999</v>
      </c>
      <c r="AC33" s="46">
        <v>19.399999999999999</v>
      </c>
      <c r="AD33" s="46">
        <v>19.399999999999999</v>
      </c>
      <c r="AE33" s="46">
        <v>19.399999999999999</v>
      </c>
      <c r="AF33" s="46">
        <v>19.399999999999999</v>
      </c>
      <c r="AG33" s="50">
        <v>23.5</v>
      </c>
      <c r="AH33" s="48">
        <f t="shared" si="2"/>
        <v>23.8</v>
      </c>
      <c r="AI33" s="49">
        <f t="shared" si="3"/>
        <v>19.399999999999999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5</v>
      </c>
      <c r="G34" s="46">
        <v>5</v>
      </c>
      <c r="H34" s="46">
        <v>5</v>
      </c>
      <c r="I34" s="46">
        <v>5</v>
      </c>
      <c r="J34" s="46"/>
      <c r="K34" s="46">
        <v>5</v>
      </c>
      <c r="L34" s="46">
        <v>5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/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/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13.2</v>
      </c>
      <c r="C37" s="46">
        <v>13.2</v>
      </c>
      <c r="D37" s="46">
        <v>13.2</v>
      </c>
      <c r="E37" s="46">
        <v>13.2</v>
      </c>
      <c r="F37" s="46">
        <v>15.2</v>
      </c>
      <c r="G37" s="46">
        <v>15.2</v>
      </c>
      <c r="H37" s="46">
        <v>15.2</v>
      </c>
      <c r="I37" s="46">
        <v>15.2</v>
      </c>
      <c r="J37" s="46"/>
      <c r="K37" s="46">
        <v>15.2</v>
      </c>
      <c r="L37" s="46">
        <v>15.2</v>
      </c>
      <c r="M37" s="46">
        <v>15.2</v>
      </c>
      <c r="N37" s="46">
        <v>15.2</v>
      </c>
      <c r="O37" s="46">
        <v>15.2</v>
      </c>
      <c r="P37" s="46">
        <v>15.2</v>
      </c>
      <c r="Q37" s="46">
        <v>15.2</v>
      </c>
      <c r="R37" s="46">
        <v>15.2</v>
      </c>
      <c r="S37" s="46">
        <v>15.2</v>
      </c>
      <c r="T37" s="46">
        <v>15.2</v>
      </c>
      <c r="U37" s="46">
        <v>15.2</v>
      </c>
      <c r="V37" s="46">
        <v>15.2</v>
      </c>
      <c r="W37" s="46">
        <v>15.2</v>
      </c>
      <c r="X37" s="46">
        <v>15.2</v>
      </c>
      <c r="Y37" s="46">
        <v>15.2</v>
      </c>
      <c r="Z37" s="46">
        <v>15.2</v>
      </c>
      <c r="AA37" s="46">
        <v>15.2</v>
      </c>
      <c r="AB37" s="46">
        <v>15.2</v>
      </c>
      <c r="AC37" s="46">
        <v>15.2</v>
      </c>
      <c r="AD37" s="46">
        <v>15.2</v>
      </c>
      <c r="AE37" s="46">
        <v>15.2</v>
      </c>
      <c r="AF37" s="46">
        <v>15.2</v>
      </c>
      <c r="AG37" s="50">
        <v>22</v>
      </c>
      <c r="AH37" s="48">
        <f t="shared" si="2"/>
        <v>15.2</v>
      </c>
      <c r="AI37" s="49">
        <f t="shared" si="3"/>
        <v>13.2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13</v>
      </c>
      <c r="C38" s="46">
        <v>13</v>
      </c>
      <c r="D38" s="46">
        <v>13</v>
      </c>
      <c r="E38" s="46">
        <v>0</v>
      </c>
      <c r="F38" s="46">
        <v>0</v>
      </c>
      <c r="G38" s="46">
        <v>20</v>
      </c>
      <c r="H38" s="46">
        <v>20</v>
      </c>
      <c r="I38" s="46">
        <v>20</v>
      </c>
      <c r="J38" s="46"/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/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8</v>
      </c>
      <c r="C40" s="46">
        <v>8</v>
      </c>
      <c r="D40" s="46">
        <v>8</v>
      </c>
      <c r="E40" s="46">
        <v>0</v>
      </c>
      <c r="F40" s="46">
        <v>0</v>
      </c>
      <c r="G40" s="46">
        <v>7</v>
      </c>
      <c r="H40" s="46">
        <v>7</v>
      </c>
      <c r="I40" s="46">
        <v>7</v>
      </c>
      <c r="J40" s="46"/>
      <c r="K40" s="46">
        <v>7</v>
      </c>
      <c r="L40" s="46">
        <v>7</v>
      </c>
      <c r="M40" s="46">
        <v>7</v>
      </c>
      <c r="N40" s="46">
        <v>7</v>
      </c>
      <c r="O40" s="46">
        <v>7</v>
      </c>
      <c r="P40" s="46">
        <v>7</v>
      </c>
      <c r="Q40" s="46">
        <v>7</v>
      </c>
      <c r="R40" s="46">
        <v>7</v>
      </c>
      <c r="S40" s="46">
        <v>7</v>
      </c>
      <c r="T40" s="46">
        <v>7</v>
      </c>
      <c r="U40" s="46">
        <v>7</v>
      </c>
      <c r="V40" s="46">
        <v>7</v>
      </c>
      <c r="W40" s="46">
        <v>7</v>
      </c>
      <c r="X40" s="46">
        <v>7</v>
      </c>
      <c r="Y40" s="46">
        <v>7</v>
      </c>
      <c r="Z40" s="46">
        <v>7</v>
      </c>
      <c r="AA40" s="46">
        <v>7</v>
      </c>
      <c r="AB40" s="46">
        <v>7</v>
      </c>
      <c r="AC40" s="46">
        <v>7</v>
      </c>
      <c r="AD40" s="46">
        <v>7</v>
      </c>
      <c r="AE40" s="46">
        <v>7</v>
      </c>
      <c r="AF40" s="46">
        <v>7</v>
      </c>
      <c r="AG40" s="50">
        <v>18</v>
      </c>
      <c r="AH40" s="48">
        <f t="shared" si="2"/>
        <v>8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8.5</v>
      </c>
      <c r="C41" s="46">
        <v>8.5</v>
      </c>
      <c r="D41" s="46">
        <v>8.5</v>
      </c>
      <c r="E41" s="46">
        <v>8.5</v>
      </c>
      <c r="F41" s="46">
        <v>8.5</v>
      </c>
      <c r="G41" s="46">
        <v>8.5</v>
      </c>
      <c r="H41" s="46">
        <v>8.5</v>
      </c>
      <c r="I41" s="46">
        <v>8.5</v>
      </c>
      <c r="J41" s="46">
        <v>8.5</v>
      </c>
      <c r="K41" s="46">
        <v>8.5</v>
      </c>
      <c r="L41" s="46">
        <v>8.5</v>
      </c>
      <c r="M41" s="46">
        <v>8.5</v>
      </c>
      <c r="N41" s="46">
        <v>8.5</v>
      </c>
      <c r="O41" s="46">
        <v>8.5</v>
      </c>
      <c r="P41" s="46">
        <v>8.5</v>
      </c>
      <c r="Q41" s="46">
        <v>8.5</v>
      </c>
      <c r="R41" s="46">
        <v>8.5</v>
      </c>
      <c r="S41" s="46">
        <v>8.5</v>
      </c>
      <c r="T41" s="46">
        <v>8.5</v>
      </c>
      <c r="U41" s="46">
        <v>8.5</v>
      </c>
      <c r="V41" s="46">
        <v>8.5</v>
      </c>
      <c r="W41" s="46">
        <v>8.5</v>
      </c>
      <c r="X41" s="46">
        <v>8.5</v>
      </c>
      <c r="Y41" s="46">
        <v>8.5</v>
      </c>
      <c r="Z41" s="46">
        <v>8.5</v>
      </c>
      <c r="AA41" s="46">
        <v>8.5</v>
      </c>
      <c r="AB41" s="46">
        <v>8.5</v>
      </c>
      <c r="AC41" s="46">
        <v>8.5</v>
      </c>
      <c r="AD41" s="46">
        <v>8.5</v>
      </c>
      <c r="AE41" s="46">
        <v>8.5</v>
      </c>
      <c r="AF41" s="46">
        <v>8.5</v>
      </c>
      <c r="AG41" s="50">
        <v>15.33</v>
      </c>
      <c r="AH41" s="48">
        <f t="shared" si="2"/>
        <v>8.5</v>
      </c>
      <c r="AI41" s="49">
        <f t="shared" si="3"/>
        <v>8.5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/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/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>
        <v>7</v>
      </c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/>
      <c r="K44" s="46">
        <v>7</v>
      </c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>
        <v>7</v>
      </c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/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4</v>
      </c>
      <c r="C46" s="46">
        <v>4</v>
      </c>
      <c r="D46" s="46">
        <v>4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/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50">
        <v>14</v>
      </c>
      <c r="AH46" s="48">
        <f t="shared" si="2"/>
        <v>4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/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/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8</v>
      </c>
      <c r="C49" s="46">
        <v>8</v>
      </c>
      <c r="D49" s="46">
        <v>8</v>
      </c>
      <c r="E49" s="46">
        <v>8</v>
      </c>
      <c r="F49" s="46">
        <v>8</v>
      </c>
      <c r="G49" s="46">
        <v>6</v>
      </c>
      <c r="H49" s="46">
        <v>6</v>
      </c>
      <c r="I49" s="46">
        <v>6</v>
      </c>
      <c r="J49" s="46"/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8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>
        <v>5.0999999999999996</v>
      </c>
      <c r="D50" s="46">
        <v>5.0999999999999996</v>
      </c>
      <c r="E50" s="46">
        <v>5.0999999999999996</v>
      </c>
      <c r="F50" s="46">
        <v>5.0999999999999996</v>
      </c>
      <c r="G50" s="46">
        <v>0</v>
      </c>
      <c r="H50" s="46">
        <v>0</v>
      </c>
      <c r="I50" s="46">
        <v>0</v>
      </c>
      <c r="J50" s="46"/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5</v>
      </c>
      <c r="AC50" s="46">
        <v>5</v>
      </c>
      <c r="AD50" s="46">
        <v>5</v>
      </c>
      <c r="AE50" s="46">
        <v>5</v>
      </c>
      <c r="AF50" s="46">
        <v>5</v>
      </c>
      <c r="AG50" s="50">
        <v>12</v>
      </c>
      <c r="AH50" s="48">
        <f t="shared" si="2"/>
        <v>5.0999999999999996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/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/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/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/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/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/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/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/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125</v>
      </c>
      <c r="C60" s="68">
        <v>125</v>
      </c>
      <c r="D60" s="68">
        <v>125</v>
      </c>
      <c r="E60" s="68">
        <v>125</v>
      </c>
      <c r="F60" s="68">
        <f>37+85</f>
        <v>122</v>
      </c>
      <c r="G60" s="68">
        <f>37+85</f>
        <v>122</v>
      </c>
      <c r="H60" s="68">
        <f>37+85</f>
        <v>122</v>
      </c>
      <c r="I60" s="68">
        <f>37+85</f>
        <v>122</v>
      </c>
      <c r="J60" s="68"/>
      <c r="K60" s="53">
        <v>122</v>
      </c>
      <c r="L60" s="53">
        <v>114</v>
      </c>
      <c r="M60" s="53">
        <v>114</v>
      </c>
      <c r="N60" s="53">
        <v>114</v>
      </c>
      <c r="O60" s="53">
        <v>114</v>
      </c>
      <c r="P60" s="53">
        <v>114</v>
      </c>
      <c r="Q60" s="53">
        <v>114</v>
      </c>
      <c r="R60" s="53">
        <v>114</v>
      </c>
      <c r="S60" s="53">
        <v>114</v>
      </c>
      <c r="T60" s="53">
        <v>118</v>
      </c>
      <c r="U60" s="53">
        <v>118</v>
      </c>
      <c r="V60" s="53">
        <v>118</v>
      </c>
      <c r="W60" s="53">
        <v>112.6</v>
      </c>
      <c r="X60" s="53">
        <v>112.6</v>
      </c>
      <c r="Y60" s="53">
        <v>112.6</v>
      </c>
      <c r="Z60" s="53">
        <v>112.6</v>
      </c>
      <c r="AA60" s="53">
        <v>110.8</v>
      </c>
      <c r="AB60" s="53">
        <f>33.7+78.7</f>
        <v>112.4</v>
      </c>
      <c r="AC60" s="53">
        <f>33.7+78.7</f>
        <v>112.4</v>
      </c>
      <c r="AD60" s="53">
        <f>33.7+78.7</f>
        <v>112.4</v>
      </c>
      <c r="AE60" s="53">
        <f>33.7+78.7</f>
        <v>112.4</v>
      </c>
      <c r="AF60" s="53">
        <f>33.7+78.7</f>
        <v>112.4</v>
      </c>
      <c r="AG60" s="66">
        <v>240</v>
      </c>
      <c r="AH60" s="48">
        <f t="shared" si="2"/>
        <v>125</v>
      </c>
      <c r="AI60" s="49">
        <f t="shared" si="3"/>
        <v>110.8</v>
      </c>
      <c r="AK60" s="51"/>
    </row>
    <row r="61" spans="1:88" ht="15.75" thickBot="1" x14ac:dyDescent="0.3">
      <c r="A61" s="70" t="s">
        <v>75</v>
      </c>
      <c r="B61" s="71">
        <f>SUM(B11:B59)</f>
        <v>1057.05</v>
      </c>
      <c r="C61" s="71">
        <f>SUM(C11:C59)</f>
        <v>1061.45</v>
      </c>
      <c r="D61" s="71">
        <f>SUM(D11:D59)</f>
        <v>1061.45</v>
      </c>
      <c r="E61" s="71">
        <f t="shared" ref="E61:AG61" si="20">SUM(E11:E59)</f>
        <v>1047.45</v>
      </c>
      <c r="F61" s="71">
        <f t="shared" si="20"/>
        <v>1079.95</v>
      </c>
      <c r="G61" s="71">
        <f>SUM(G11:G59)</f>
        <v>1088.8499999999999</v>
      </c>
      <c r="H61" s="71">
        <f>SUM(H11:H59)</f>
        <v>1077.8499999999999</v>
      </c>
      <c r="I61" s="71">
        <f>SUM(I11:I59)</f>
        <v>1072.95</v>
      </c>
      <c r="J61" s="71">
        <f t="shared" si="20"/>
        <v>158.5</v>
      </c>
      <c r="K61" s="71">
        <v>1064.45</v>
      </c>
      <c r="L61" s="71">
        <v>1064.45</v>
      </c>
      <c r="M61" s="71">
        <f t="shared" si="20"/>
        <v>1078.95</v>
      </c>
      <c r="N61" s="71">
        <f t="shared" si="20"/>
        <v>1078.95</v>
      </c>
      <c r="O61" s="71">
        <f t="shared" si="20"/>
        <v>1078.95</v>
      </c>
      <c r="P61" s="71">
        <f>SUM(P11:P59)</f>
        <v>1048.3</v>
      </c>
      <c r="Q61" s="71">
        <f t="shared" si="20"/>
        <v>1048.3</v>
      </c>
      <c r="R61" s="71">
        <f t="shared" si="20"/>
        <v>1048.3</v>
      </c>
      <c r="S61" s="71">
        <f t="shared" ref="S61:AA61" si="21">SUM(S11:S59)</f>
        <v>1048.3</v>
      </c>
      <c r="T61" s="71">
        <f t="shared" si="21"/>
        <v>1052.5999999999999</v>
      </c>
      <c r="U61" s="71">
        <f t="shared" si="21"/>
        <v>1052.5999999999999</v>
      </c>
      <c r="V61" s="71">
        <f t="shared" si="21"/>
        <v>1052.5999999999999</v>
      </c>
      <c r="W61" s="71">
        <f t="shared" si="21"/>
        <v>1052.5999999999999</v>
      </c>
      <c r="X61" s="71">
        <f t="shared" si="21"/>
        <v>1052.5999999999999</v>
      </c>
      <c r="Y61" s="71">
        <f t="shared" si="21"/>
        <v>1052.5999999999999</v>
      </c>
      <c r="Z61" s="71">
        <f t="shared" si="21"/>
        <v>1052.5999999999999</v>
      </c>
      <c r="AA61" s="71">
        <f t="shared" si="21"/>
        <v>1052.5999999999999</v>
      </c>
      <c r="AB61" s="71">
        <f t="shared" si="20"/>
        <v>1119.9000000000001</v>
      </c>
      <c r="AC61" s="71">
        <f t="shared" si="20"/>
        <v>1089.9000000000001</v>
      </c>
      <c r="AD61" s="71">
        <f t="shared" si="20"/>
        <v>1127.5999999999999</v>
      </c>
      <c r="AE61" s="71">
        <f t="shared" si="20"/>
        <v>1127.5999999999999</v>
      </c>
      <c r="AF61" s="71">
        <f t="shared" si="20"/>
        <v>1127.5999999999999</v>
      </c>
      <c r="AG61" s="71">
        <f t="shared" si="20"/>
        <v>1466.0300000000002</v>
      </c>
      <c r="AH61" s="48">
        <f t="shared" si="2"/>
        <v>1127.5999999999999</v>
      </c>
      <c r="AI61" s="49">
        <f t="shared" si="3"/>
        <v>158.5</v>
      </c>
      <c r="AK61" s="51"/>
    </row>
    <row r="62" spans="1:88" x14ac:dyDescent="0.25">
      <c r="A62" s="73" t="s">
        <v>76</v>
      </c>
      <c r="B62" s="46">
        <v>459.9</v>
      </c>
      <c r="C62" s="46">
        <v>459.9</v>
      </c>
      <c r="D62" s="46">
        <v>459.9</v>
      </c>
      <c r="E62" s="46">
        <v>459.9</v>
      </c>
      <c r="F62" s="46">
        <v>459.9</v>
      </c>
      <c r="G62" s="46">
        <v>434</v>
      </c>
      <c r="H62" s="46">
        <v>456</v>
      </c>
      <c r="I62" s="46">
        <v>456</v>
      </c>
      <c r="J62" s="46"/>
      <c r="K62" s="46">
        <v>456</v>
      </c>
      <c r="L62" s="46">
        <v>456</v>
      </c>
      <c r="M62" s="46">
        <v>456</v>
      </c>
      <c r="N62" s="46">
        <v>456</v>
      </c>
      <c r="O62" s="46">
        <v>456</v>
      </c>
      <c r="P62" s="46">
        <v>456</v>
      </c>
      <c r="Q62" s="46">
        <v>456</v>
      </c>
      <c r="R62" s="46">
        <v>456</v>
      </c>
      <c r="S62" s="46">
        <v>456</v>
      </c>
      <c r="T62" s="46">
        <v>456</v>
      </c>
      <c r="U62" s="46">
        <v>456</v>
      </c>
      <c r="V62" s="46">
        <v>456</v>
      </c>
      <c r="W62" s="46">
        <v>456</v>
      </c>
      <c r="X62" s="46">
        <v>456</v>
      </c>
      <c r="Y62" s="46">
        <v>456</v>
      </c>
      <c r="Z62" s="46">
        <v>456</v>
      </c>
      <c r="AA62" s="46">
        <v>456</v>
      </c>
      <c r="AB62" s="46">
        <v>459.3</v>
      </c>
      <c r="AC62" s="46">
        <v>459.3</v>
      </c>
      <c r="AD62" s="46">
        <v>459.4</v>
      </c>
      <c r="AE62" s="46">
        <v>459.5</v>
      </c>
      <c r="AF62" s="46">
        <v>459.5</v>
      </c>
      <c r="AG62" s="61">
        <v>456</v>
      </c>
      <c r="AH62" s="48">
        <f t="shared" si="2"/>
        <v>459.9</v>
      </c>
      <c r="AI62" s="49">
        <f t="shared" si="3"/>
        <v>434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/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/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22.6</v>
      </c>
      <c r="AK64" s="51"/>
    </row>
    <row r="65" spans="1:75" ht="15.75" thickBot="1" x14ac:dyDescent="0.3">
      <c r="A65" s="80" t="s">
        <v>79</v>
      </c>
      <c r="B65" s="71">
        <f>SUM(B62:B64)</f>
        <v>542.5</v>
      </c>
      <c r="C65" s="71">
        <f>SUM(C62:C64)</f>
        <v>542.5</v>
      </c>
      <c r="D65" s="71">
        <f>SUM(D62:D64)</f>
        <v>542.5</v>
      </c>
      <c r="E65" s="71">
        <f t="shared" ref="E65:AG65" si="22">SUM(E62:E64)</f>
        <v>542.5</v>
      </c>
      <c r="F65" s="71">
        <f t="shared" si="22"/>
        <v>542.5</v>
      </c>
      <c r="G65" s="71">
        <f>SUM(G62:G64)</f>
        <v>516.6</v>
      </c>
      <c r="H65" s="71">
        <f>SUM(H62:H64)</f>
        <v>538.6</v>
      </c>
      <c r="I65" s="71">
        <f>SUM(I62:I64)</f>
        <v>538.6</v>
      </c>
      <c r="J65" s="71">
        <f t="shared" si="22"/>
        <v>0</v>
      </c>
      <c r="K65" s="71">
        <v>538.6</v>
      </c>
      <c r="L65" s="71">
        <v>538.6</v>
      </c>
      <c r="M65" s="71">
        <f t="shared" si="22"/>
        <v>538.6</v>
      </c>
      <c r="N65" s="71">
        <f t="shared" si="22"/>
        <v>538.6</v>
      </c>
      <c r="O65" s="71">
        <f t="shared" si="22"/>
        <v>538.6</v>
      </c>
      <c r="P65" s="71">
        <f>SUM(P62:P64)</f>
        <v>538.6</v>
      </c>
      <c r="Q65" s="71">
        <f t="shared" si="22"/>
        <v>538.6</v>
      </c>
      <c r="R65" s="71">
        <f t="shared" si="22"/>
        <v>538.6</v>
      </c>
      <c r="S65" s="71">
        <f t="shared" ref="S65:AA65" si="23">SUM(S62:S64)</f>
        <v>538.6</v>
      </c>
      <c r="T65" s="71">
        <f t="shared" si="23"/>
        <v>538.6</v>
      </c>
      <c r="U65" s="71">
        <f t="shared" si="23"/>
        <v>538.6</v>
      </c>
      <c r="V65" s="71">
        <f t="shared" si="23"/>
        <v>538.6</v>
      </c>
      <c r="W65" s="71">
        <f t="shared" si="23"/>
        <v>538.6</v>
      </c>
      <c r="X65" s="71">
        <f t="shared" si="23"/>
        <v>538.6</v>
      </c>
      <c r="Y65" s="71">
        <f t="shared" si="23"/>
        <v>538.6</v>
      </c>
      <c r="Z65" s="71">
        <f t="shared" si="23"/>
        <v>538.6</v>
      </c>
      <c r="AA65" s="71">
        <f t="shared" si="23"/>
        <v>538.6</v>
      </c>
      <c r="AB65" s="71">
        <f t="shared" si="22"/>
        <v>541.9</v>
      </c>
      <c r="AC65" s="71">
        <f t="shared" si="22"/>
        <v>541.9</v>
      </c>
      <c r="AD65" s="71">
        <f t="shared" si="22"/>
        <v>542</v>
      </c>
      <c r="AE65" s="71">
        <f t="shared" si="22"/>
        <v>542.1</v>
      </c>
      <c r="AF65" s="71">
        <f t="shared" si="22"/>
        <v>542.1</v>
      </c>
      <c r="AG65" s="72">
        <f t="shared" si="22"/>
        <v>538.1</v>
      </c>
      <c r="AH65" s="48">
        <f t="shared" si="2"/>
        <v>542.5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>
        <v>144</v>
      </c>
      <c r="D66" s="46">
        <v>144</v>
      </c>
      <c r="E66" s="46">
        <v>144</v>
      </c>
      <c r="F66" s="46">
        <v>144</v>
      </c>
      <c r="G66" s="46">
        <v>144</v>
      </c>
      <c r="H66" s="46">
        <v>144</v>
      </c>
      <c r="I66" s="46">
        <v>144</v>
      </c>
      <c r="J66" s="46"/>
      <c r="K66" s="46">
        <v>144</v>
      </c>
      <c r="L66" s="46">
        <v>144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144</v>
      </c>
      <c r="AB66" s="46">
        <v>144</v>
      </c>
      <c r="AC66" s="46">
        <v>144</v>
      </c>
      <c r="AD66" s="46">
        <v>144</v>
      </c>
      <c r="AE66" s="46">
        <v>144</v>
      </c>
      <c r="AF66" s="46">
        <v>94</v>
      </c>
      <c r="AG66" s="61">
        <v>144</v>
      </c>
      <c r="AH66" s="48">
        <f t="shared" si="2"/>
        <v>144</v>
      </c>
      <c r="AI66" s="49">
        <f t="shared" si="3"/>
        <v>94</v>
      </c>
      <c r="AK66" s="51"/>
      <c r="AY66" s="1" t="s">
        <v>86</v>
      </c>
      <c r="AZ66" s="82">
        <f>ROUND(C84,0)</f>
        <v>18</v>
      </c>
      <c r="BA66" s="81">
        <f t="shared" ref="BA66:BD70" si="24">D84</f>
        <v>18</v>
      </c>
      <c r="BB66" s="81">
        <f t="shared" si="24"/>
        <v>34.4</v>
      </c>
      <c r="BC66" s="81">
        <f t="shared" si="24"/>
        <v>4</v>
      </c>
      <c r="BD66" s="81">
        <f t="shared" si="24"/>
        <v>3</v>
      </c>
      <c r="BE66" s="82">
        <f>I84</f>
        <v>5.7</v>
      </c>
      <c r="BF66" s="82">
        <f>K84</f>
        <v>5.7</v>
      </c>
      <c r="BG66" s="82">
        <f t="shared" ref="BG66:BP70" si="25">M84</f>
        <v>59.6</v>
      </c>
      <c r="BH66" s="82">
        <f t="shared" si="25"/>
        <v>65</v>
      </c>
      <c r="BI66" s="82">
        <f t="shared" si="25"/>
        <v>68</v>
      </c>
      <c r="BJ66" s="82">
        <f t="shared" si="25"/>
        <v>62.5</v>
      </c>
      <c r="BK66" s="82">
        <f t="shared" si="25"/>
        <v>62.5</v>
      </c>
      <c r="BL66" s="82">
        <f t="shared" si="25"/>
        <v>72</v>
      </c>
      <c r="BM66" s="82">
        <f t="shared" si="25"/>
        <v>73</v>
      </c>
      <c r="BN66" s="82">
        <f t="shared" si="25"/>
        <v>62.4</v>
      </c>
      <c r="BO66" s="82">
        <f t="shared" si="25"/>
        <v>72.599999999999994</v>
      </c>
      <c r="BP66" s="82">
        <f t="shared" si="25"/>
        <v>62.8</v>
      </c>
      <c r="BQ66" s="82">
        <f>X84</f>
        <v>42.1</v>
      </c>
      <c r="BR66" s="82">
        <f>Z84</f>
        <v>0</v>
      </c>
      <c r="BS66" s="81">
        <f>AB84</f>
        <v>7.7</v>
      </c>
      <c r="BT66" s="81">
        <f t="shared" ref="BT66:BV70" si="26">AD84</f>
        <v>7.3</v>
      </c>
      <c r="BU66" s="81">
        <f t="shared" si="26"/>
        <v>9.1999999999999993</v>
      </c>
      <c r="BV66" s="81">
        <f t="shared" si="26"/>
        <v>4.5</v>
      </c>
      <c r="BW66" s="81">
        <f>B84</f>
        <v>35</v>
      </c>
    </row>
    <row r="67" spans="1:75" x14ac:dyDescent="0.25">
      <c r="A67" s="65" t="s">
        <v>81</v>
      </c>
      <c r="B67" s="76">
        <v>65</v>
      </c>
      <c r="C67" s="76">
        <v>65</v>
      </c>
      <c r="D67" s="76">
        <v>65</v>
      </c>
      <c r="E67" s="76">
        <v>65</v>
      </c>
      <c r="F67" s="76">
        <v>65</v>
      </c>
      <c r="G67" s="76">
        <v>65</v>
      </c>
      <c r="H67" s="76">
        <v>65</v>
      </c>
      <c r="I67" s="76">
        <v>65</v>
      </c>
      <c r="J67" s="76"/>
      <c r="K67" s="76">
        <v>65</v>
      </c>
      <c r="L67" s="76">
        <v>65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65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67.099999999999994</v>
      </c>
      <c r="C68" s="76">
        <v>67.099999999999994</v>
      </c>
      <c r="D68" s="76">
        <v>67.099999999999994</v>
      </c>
      <c r="E68" s="76">
        <v>67.099999999999994</v>
      </c>
      <c r="F68" s="76">
        <v>67.099999999999994</v>
      </c>
      <c r="G68" s="76">
        <v>67.099999999999994</v>
      </c>
      <c r="H68" s="76">
        <v>67.099999999999994</v>
      </c>
      <c r="I68" s="76">
        <v>67.099999999999994</v>
      </c>
      <c r="J68" s="76"/>
      <c r="K68" s="76">
        <v>67.099999999999994</v>
      </c>
      <c r="L68" s="76">
        <v>67.099999999999994</v>
      </c>
      <c r="M68" s="76">
        <v>70</v>
      </c>
      <c r="N68" s="76">
        <v>66</v>
      </c>
      <c r="O68" s="76">
        <v>66</v>
      </c>
      <c r="P68" s="76">
        <v>66</v>
      </c>
      <c r="Q68" s="76">
        <v>66</v>
      </c>
      <c r="R68" s="76">
        <v>66</v>
      </c>
      <c r="S68" s="76">
        <v>66</v>
      </c>
      <c r="T68" s="76">
        <v>66</v>
      </c>
      <c r="U68" s="76">
        <v>66</v>
      </c>
      <c r="V68" s="76">
        <v>66</v>
      </c>
      <c r="W68" s="76">
        <v>66</v>
      </c>
      <c r="X68" s="76">
        <v>66</v>
      </c>
      <c r="Y68" s="76">
        <v>66</v>
      </c>
      <c r="Z68" s="76">
        <v>66</v>
      </c>
      <c r="AA68" s="76">
        <v>66</v>
      </c>
      <c r="AB68" s="76">
        <v>66</v>
      </c>
      <c r="AC68" s="76">
        <v>66</v>
      </c>
      <c r="AD68" s="76">
        <v>66</v>
      </c>
      <c r="AE68" s="76">
        <v>66</v>
      </c>
      <c r="AF68" s="76">
        <v>66</v>
      </c>
      <c r="AG68" s="66">
        <v>69</v>
      </c>
      <c r="AH68" s="48">
        <f t="shared" si="2"/>
        <v>70</v>
      </c>
      <c r="AI68" s="49">
        <f t="shared" si="3"/>
        <v>66</v>
      </c>
      <c r="AK68" s="51"/>
      <c r="AL68" s="83"/>
      <c r="AO68" s="83"/>
      <c r="AY68" s="1" t="s">
        <v>90</v>
      </c>
      <c r="AZ68" s="82">
        <f>ROUND(C86,0)</f>
        <v>-520</v>
      </c>
      <c r="BA68" s="81">
        <f t="shared" si="24"/>
        <v>-504</v>
      </c>
      <c r="BB68" s="81">
        <f t="shared" si="24"/>
        <v>-510</v>
      </c>
      <c r="BC68" s="81">
        <f t="shared" si="24"/>
        <v>-532</v>
      </c>
      <c r="BD68" s="81">
        <f t="shared" si="24"/>
        <v>-560</v>
      </c>
      <c r="BE68" s="82">
        <f>I86</f>
        <v>-484</v>
      </c>
      <c r="BF68" s="82">
        <f>K86</f>
        <v>-484</v>
      </c>
      <c r="BG68" s="82">
        <f t="shared" si="25"/>
        <v>507</v>
      </c>
      <c r="BH68" s="82">
        <f t="shared" si="25"/>
        <v>-337</v>
      </c>
      <c r="BI68" s="82">
        <f t="shared" si="25"/>
        <v>-384</v>
      </c>
      <c r="BJ68" s="82">
        <f t="shared" si="25"/>
        <v>-435</v>
      </c>
      <c r="BK68" s="82">
        <f t="shared" si="25"/>
        <v>-435</v>
      </c>
      <c r="BL68" s="82">
        <f t="shared" si="25"/>
        <v>-390</v>
      </c>
      <c r="BM68" s="82">
        <f t="shared" si="25"/>
        <v>-433.3</v>
      </c>
      <c r="BN68" s="82">
        <f t="shared" si="25"/>
        <v>-433.9</v>
      </c>
      <c r="BO68" s="82">
        <f t="shared" si="25"/>
        <v>-418</v>
      </c>
      <c r="BP68" s="82">
        <f t="shared" si="25"/>
        <v>-422.4</v>
      </c>
      <c r="BQ68" s="82">
        <f>X86</f>
        <v>-491.6</v>
      </c>
      <c r="BR68" s="82">
        <f>Z86</f>
        <v>-450.4</v>
      </c>
      <c r="BS68" s="81">
        <f>AB86</f>
        <v>-373.4</v>
      </c>
      <c r="BT68" s="81">
        <f t="shared" si="26"/>
        <v>-388.5</v>
      </c>
      <c r="BU68" s="81">
        <f t="shared" si="26"/>
        <v>-462.6</v>
      </c>
      <c r="BV68" s="81">
        <f t="shared" si="26"/>
        <v>-437.9</v>
      </c>
      <c r="BW68" s="81">
        <f>B86</f>
        <v>-475</v>
      </c>
    </row>
    <row r="69" spans="1:75" s="83" customFormat="1" x14ac:dyDescent="0.25">
      <c r="A69" s="65" t="s">
        <v>83</v>
      </c>
      <c r="B69" s="76">
        <v>30.2</v>
      </c>
      <c r="C69" s="76">
        <v>30.2</v>
      </c>
      <c r="D69" s="76">
        <v>30.2</v>
      </c>
      <c r="E69" s="76">
        <v>30.2</v>
      </c>
      <c r="F69" s="76">
        <v>30.2</v>
      </c>
      <c r="G69" s="76">
        <v>30.2</v>
      </c>
      <c r="H69" s="76">
        <v>30.2</v>
      </c>
      <c r="I69" s="76">
        <v>30.2</v>
      </c>
      <c r="J69" s="76"/>
      <c r="K69" s="68">
        <v>30.2</v>
      </c>
      <c r="L69" s="68">
        <v>30.2</v>
      </c>
      <c r="M69" s="68">
        <v>30.2</v>
      </c>
      <c r="N69" s="68">
        <v>30.2</v>
      </c>
      <c r="O69" s="68">
        <v>30.2</v>
      </c>
      <c r="P69" s="68">
        <v>30.2</v>
      </c>
      <c r="Q69" s="68">
        <v>30.2</v>
      </c>
      <c r="R69" s="68">
        <v>30.2</v>
      </c>
      <c r="S69" s="68">
        <v>0</v>
      </c>
      <c r="T69" s="68">
        <v>58</v>
      </c>
      <c r="U69" s="68">
        <v>60.4</v>
      </c>
      <c r="V69" s="68">
        <v>60.4</v>
      </c>
      <c r="W69" s="68">
        <v>60.4</v>
      </c>
      <c r="X69" s="68">
        <v>60.4</v>
      </c>
      <c r="Y69" s="68">
        <v>60.4</v>
      </c>
      <c r="Z69" s="68">
        <v>60.4</v>
      </c>
      <c r="AA69" s="68">
        <v>60.4</v>
      </c>
      <c r="AB69" s="68">
        <v>60.4</v>
      </c>
      <c r="AC69" s="68">
        <v>60.4</v>
      </c>
      <c r="AD69" s="68">
        <v>60.4</v>
      </c>
      <c r="AE69" s="68">
        <v>60.4</v>
      </c>
      <c r="AF69" s="68">
        <v>60.4</v>
      </c>
      <c r="AG69" s="66">
        <v>60</v>
      </c>
      <c r="AH69" s="48">
        <f t="shared" si="2"/>
        <v>60.4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24</v>
      </c>
      <c r="C70" s="46">
        <v>24</v>
      </c>
      <c r="D70" s="46">
        <v>24</v>
      </c>
      <c r="E70" s="46">
        <v>24</v>
      </c>
      <c r="F70" s="46">
        <v>24</v>
      </c>
      <c r="G70" s="46">
        <v>24</v>
      </c>
      <c r="H70" s="46">
        <v>24</v>
      </c>
      <c r="I70" s="46">
        <v>24</v>
      </c>
      <c r="J70" s="76"/>
      <c r="K70" s="76">
        <v>24</v>
      </c>
      <c r="L70" s="76">
        <v>24</v>
      </c>
      <c r="M70" s="76">
        <v>24</v>
      </c>
      <c r="N70" s="76">
        <v>24</v>
      </c>
      <c r="O70" s="76">
        <v>24</v>
      </c>
      <c r="P70" s="76">
        <v>24</v>
      </c>
      <c r="Q70" s="76">
        <v>24</v>
      </c>
      <c r="R70" s="76">
        <v>24</v>
      </c>
      <c r="S70" s="76">
        <v>24</v>
      </c>
      <c r="T70" s="76">
        <v>28.1</v>
      </c>
      <c r="U70" s="76">
        <v>27.9</v>
      </c>
      <c r="V70" s="76">
        <v>27.9</v>
      </c>
      <c r="W70" s="76">
        <v>27.9</v>
      </c>
      <c r="X70" s="76">
        <v>14.2</v>
      </c>
      <c r="Y70" s="76">
        <v>14.2</v>
      </c>
      <c r="Z70" s="76">
        <v>0</v>
      </c>
      <c r="AA70" s="76">
        <v>0</v>
      </c>
      <c r="AB70" s="76">
        <v>23.3</v>
      </c>
      <c r="AC70" s="76">
        <v>23.3</v>
      </c>
      <c r="AD70" s="76">
        <v>28.6</v>
      </c>
      <c r="AE70" s="76">
        <v>28.6</v>
      </c>
      <c r="AF70" s="76">
        <v>28.6</v>
      </c>
      <c r="AG70" s="66">
        <v>30</v>
      </c>
      <c r="AH70" s="48">
        <f t="shared" si="2"/>
        <v>28.6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0.2</v>
      </c>
      <c r="I71" s="46">
        <v>0.6</v>
      </c>
      <c r="J71" s="46"/>
      <c r="K71" s="46">
        <v>1.7</v>
      </c>
      <c r="L71" s="46">
        <v>1.7</v>
      </c>
      <c r="M71" s="46">
        <v>1.7</v>
      </c>
      <c r="N71" s="46">
        <v>1.7</v>
      </c>
      <c r="O71" s="46">
        <v>1.7</v>
      </c>
      <c r="P71" s="46">
        <v>1.7</v>
      </c>
      <c r="Q71" s="46">
        <v>1.7</v>
      </c>
      <c r="R71" s="46">
        <v>1.7</v>
      </c>
      <c r="S71" s="46">
        <v>14.1</v>
      </c>
      <c r="T71" s="46">
        <v>11.1</v>
      </c>
      <c r="U71" s="46">
        <v>7</v>
      </c>
      <c r="V71" s="46">
        <v>3.8</v>
      </c>
      <c r="W71" s="46">
        <v>1.7</v>
      </c>
      <c r="X71" s="46">
        <v>0.9</v>
      </c>
      <c r="Y71" s="46">
        <v>0.9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9.9</v>
      </c>
      <c r="C72" s="76">
        <v>9.9</v>
      </c>
      <c r="D72" s="76">
        <v>9.9</v>
      </c>
      <c r="E72" s="76">
        <v>9.9</v>
      </c>
      <c r="F72" s="76">
        <v>9.9</v>
      </c>
      <c r="G72" s="76">
        <v>9.9</v>
      </c>
      <c r="H72" s="76">
        <v>9.9</v>
      </c>
      <c r="I72" s="76">
        <v>9.9</v>
      </c>
      <c r="J72" s="76"/>
      <c r="K72" s="76">
        <v>9.9</v>
      </c>
      <c r="L72" s="76">
        <v>9.9</v>
      </c>
      <c r="M72" s="76">
        <v>9.9</v>
      </c>
      <c r="N72" s="76">
        <v>9.9</v>
      </c>
      <c r="O72" s="76">
        <v>9.9</v>
      </c>
      <c r="P72" s="76">
        <v>9.9</v>
      </c>
      <c r="Q72" s="76">
        <v>9.9</v>
      </c>
      <c r="R72" s="76">
        <v>9.9</v>
      </c>
      <c r="S72" s="76">
        <v>9.9</v>
      </c>
      <c r="T72" s="76">
        <v>9.9</v>
      </c>
      <c r="U72" s="76">
        <v>9.9</v>
      </c>
      <c r="V72" s="76">
        <v>9.9</v>
      </c>
      <c r="W72" s="76">
        <v>9.9</v>
      </c>
      <c r="X72" s="76">
        <v>9.9</v>
      </c>
      <c r="Y72" s="76">
        <v>9.9</v>
      </c>
      <c r="Z72" s="76">
        <v>9.9</v>
      </c>
      <c r="AA72" s="76">
        <v>9.9</v>
      </c>
      <c r="AB72" s="76">
        <v>9.9</v>
      </c>
      <c r="AC72" s="76">
        <v>9.9</v>
      </c>
      <c r="AD72" s="76">
        <v>9.9</v>
      </c>
      <c r="AE72" s="76">
        <v>9.9</v>
      </c>
      <c r="AF72" s="76">
        <v>9.9</v>
      </c>
      <c r="AG72" s="66">
        <v>24</v>
      </c>
      <c r="AH72" s="48">
        <f t="shared" si="2"/>
        <v>9.9</v>
      </c>
      <c r="AI72" s="49">
        <f t="shared" si="3"/>
        <v>9.9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/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8">VALUE(AZ66)</f>
        <v>18</v>
      </c>
      <c r="BA73" s="82">
        <f t="shared" si="28"/>
        <v>18</v>
      </c>
      <c r="BB73" s="82">
        <f t="shared" si="28"/>
        <v>34.4</v>
      </c>
      <c r="BC73" s="82">
        <f t="shared" si="28"/>
        <v>4</v>
      </c>
      <c r="BD73" s="82">
        <f t="shared" si="28"/>
        <v>3</v>
      </c>
      <c r="BE73" s="82">
        <f t="shared" si="28"/>
        <v>5.7</v>
      </c>
      <c r="BF73" s="82">
        <f t="shared" si="28"/>
        <v>5.7</v>
      </c>
      <c r="BG73" s="82">
        <f t="shared" si="28"/>
        <v>59.6</v>
      </c>
      <c r="BH73" s="82">
        <f t="shared" si="28"/>
        <v>65</v>
      </c>
      <c r="BI73" s="82">
        <f t="shared" si="28"/>
        <v>68</v>
      </c>
      <c r="BJ73" s="82">
        <f t="shared" si="28"/>
        <v>62.5</v>
      </c>
      <c r="BK73" s="82">
        <f t="shared" si="28"/>
        <v>62.5</v>
      </c>
      <c r="BL73" s="82">
        <f t="shared" si="28"/>
        <v>72</v>
      </c>
      <c r="BM73" s="82">
        <f t="shared" si="28"/>
        <v>73</v>
      </c>
      <c r="BN73" s="82">
        <f t="shared" si="28"/>
        <v>62.4</v>
      </c>
      <c r="BO73" s="82">
        <f t="shared" si="28"/>
        <v>72.599999999999994</v>
      </c>
      <c r="BP73" s="82">
        <f t="shared" si="28"/>
        <v>62.8</v>
      </c>
      <c r="BQ73" s="82">
        <f t="shared" si="28"/>
        <v>42.1</v>
      </c>
      <c r="BR73" s="82">
        <f t="shared" si="28"/>
        <v>0</v>
      </c>
      <c r="BS73" s="82">
        <f t="shared" si="28"/>
        <v>7.7</v>
      </c>
      <c r="BT73" s="82">
        <f t="shared" si="28"/>
        <v>7.3</v>
      </c>
      <c r="BU73" s="82">
        <f t="shared" si="28"/>
        <v>9.1999999999999993</v>
      </c>
      <c r="BV73" s="82">
        <f t="shared" si="28"/>
        <v>4.5</v>
      </c>
      <c r="BW73" s="82">
        <f t="shared" si="28"/>
        <v>35</v>
      </c>
    </row>
    <row r="74" spans="1:75" x14ac:dyDescent="0.25">
      <c r="A74" s="65" t="s">
        <v>91</v>
      </c>
      <c r="B74" s="76">
        <v>8.9</v>
      </c>
      <c r="C74" s="76">
        <v>8.9</v>
      </c>
      <c r="D74" s="76">
        <v>8.9</v>
      </c>
      <c r="E74" s="76">
        <v>8.9</v>
      </c>
      <c r="F74" s="76">
        <v>8.9</v>
      </c>
      <c r="G74" s="76">
        <v>8.9</v>
      </c>
      <c r="H74" s="76">
        <v>8.9</v>
      </c>
      <c r="I74" s="76">
        <v>8.9</v>
      </c>
      <c r="J74" s="76"/>
      <c r="K74" s="76">
        <v>8.9</v>
      </c>
      <c r="L74" s="76">
        <v>8.9</v>
      </c>
      <c r="M74" s="76">
        <v>8.9</v>
      </c>
      <c r="N74" s="76">
        <v>8.9</v>
      </c>
      <c r="O74" s="76">
        <v>8.9</v>
      </c>
      <c r="P74" s="76">
        <v>8.9</v>
      </c>
      <c r="Q74" s="76">
        <v>8.9</v>
      </c>
      <c r="R74" s="76">
        <v>8.9</v>
      </c>
      <c r="S74" s="76">
        <v>8.9</v>
      </c>
      <c r="T74" s="76">
        <v>8.9</v>
      </c>
      <c r="U74" s="76">
        <v>8.9</v>
      </c>
      <c r="V74" s="76">
        <v>8.9</v>
      </c>
      <c r="W74" s="76">
        <v>8.9</v>
      </c>
      <c r="X74" s="76">
        <v>8.9</v>
      </c>
      <c r="Y74" s="76">
        <v>8.9</v>
      </c>
      <c r="Z74" s="76">
        <v>8.9</v>
      </c>
      <c r="AA74" s="76">
        <v>8.9</v>
      </c>
      <c r="AB74" s="76">
        <v>8.9</v>
      </c>
      <c r="AC74" s="76">
        <v>8.9</v>
      </c>
      <c r="AD74" s="76">
        <v>8.9</v>
      </c>
      <c r="AE74" s="76">
        <v>8.9</v>
      </c>
      <c r="AF74" s="76">
        <v>8.9</v>
      </c>
      <c r="AG74" s="66">
        <v>14.1</v>
      </c>
      <c r="AH74" s="48">
        <f t="shared" si="2"/>
        <v>8.9</v>
      </c>
      <c r="AI74" s="49">
        <f t="shared" si="3"/>
        <v>8.9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14.1</v>
      </c>
      <c r="C75" s="76">
        <v>14.1</v>
      </c>
      <c r="D75" s="76">
        <v>14.1</v>
      </c>
      <c r="E75" s="76">
        <v>14.1</v>
      </c>
      <c r="F75" s="76">
        <v>0</v>
      </c>
      <c r="G75" s="76">
        <v>0</v>
      </c>
      <c r="H75" s="76">
        <v>0</v>
      </c>
      <c r="I75" s="76">
        <v>3.3</v>
      </c>
      <c r="J75" s="76"/>
      <c r="K75" s="76">
        <v>3.3</v>
      </c>
      <c r="L75" s="76">
        <v>3.3</v>
      </c>
      <c r="M75" s="76">
        <v>3.3</v>
      </c>
      <c r="N75" s="76">
        <v>3.3</v>
      </c>
      <c r="O75" s="76">
        <v>3.3</v>
      </c>
      <c r="P75" s="76">
        <v>3.3</v>
      </c>
      <c r="Q75" s="76">
        <v>3.3</v>
      </c>
      <c r="R75" s="76">
        <v>3.3</v>
      </c>
      <c r="S75" s="76">
        <v>3.3</v>
      </c>
      <c r="T75" s="76">
        <v>3.3</v>
      </c>
      <c r="U75" s="76">
        <v>3.3</v>
      </c>
      <c r="V75" s="76">
        <v>3.3</v>
      </c>
      <c r="W75" s="76">
        <v>3.3</v>
      </c>
      <c r="X75" s="76">
        <v>3.3</v>
      </c>
      <c r="Y75" s="76">
        <v>3.3</v>
      </c>
      <c r="Z75" s="76">
        <v>3.3</v>
      </c>
      <c r="AA75" s="76">
        <v>3.3</v>
      </c>
      <c r="AB75" s="76">
        <v>3.3</v>
      </c>
      <c r="AC75" s="76">
        <v>3.3</v>
      </c>
      <c r="AD75" s="76">
        <v>3.3</v>
      </c>
      <c r="AE75" s="76">
        <v>3.3</v>
      </c>
      <c r="AF75" s="76">
        <v>3.3</v>
      </c>
      <c r="AG75" s="66">
        <v>14</v>
      </c>
      <c r="AH75" s="48">
        <f t="shared" ref="AH75:AH126" si="29">MAX(B75:AF75)</f>
        <v>14.1</v>
      </c>
      <c r="AI75" s="49">
        <f t="shared" ref="AI75:AI126" si="30">MIN(B75:AF75)</f>
        <v>0</v>
      </c>
      <c r="AK75" s="51"/>
      <c r="AZ75" s="82">
        <f t="shared" si="28"/>
        <v>-520</v>
      </c>
      <c r="BA75" s="82">
        <f t="shared" si="28"/>
        <v>-504</v>
      </c>
      <c r="BB75" s="82">
        <f t="shared" si="28"/>
        <v>-510</v>
      </c>
      <c r="BC75" s="82">
        <f t="shared" si="28"/>
        <v>-532</v>
      </c>
      <c r="BD75" s="82">
        <f t="shared" si="28"/>
        <v>-560</v>
      </c>
      <c r="BE75" s="82">
        <f t="shared" si="28"/>
        <v>-484</v>
      </c>
      <c r="BF75" s="82">
        <f t="shared" si="28"/>
        <v>-484</v>
      </c>
      <c r="BG75" s="82">
        <f t="shared" si="28"/>
        <v>507</v>
      </c>
      <c r="BH75" s="82">
        <f t="shared" si="28"/>
        <v>-337</v>
      </c>
      <c r="BI75" s="82">
        <f t="shared" si="28"/>
        <v>-384</v>
      </c>
      <c r="BJ75" s="82">
        <f t="shared" si="28"/>
        <v>-435</v>
      </c>
      <c r="BK75" s="82">
        <f t="shared" si="28"/>
        <v>-435</v>
      </c>
      <c r="BL75" s="82">
        <f t="shared" si="28"/>
        <v>-390</v>
      </c>
      <c r="BM75" s="82">
        <f t="shared" si="28"/>
        <v>-433.3</v>
      </c>
      <c r="BN75" s="82">
        <f t="shared" si="28"/>
        <v>-433.9</v>
      </c>
      <c r="BO75" s="82">
        <f t="shared" si="28"/>
        <v>-418</v>
      </c>
      <c r="BP75" s="82">
        <f t="shared" si="28"/>
        <v>-422.4</v>
      </c>
      <c r="BQ75" s="82">
        <f t="shared" si="28"/>
        <v>-491.6</v>
      </c>
      <c r="BR75" s="82">
        <f t="shared" si="28"/>
        <v>-450.4</v>
      </c>
      <c r="BS75" s="82">
        <f t="shared" si="28"/>
        <v>-373.4</v>
      </c>
      <c r="BT75" s="82">
        <f t="shared" si="28"/>
        <v>-388.5</v>
      </c>
      <c r="BU75" s="82">
        <f t="shared" si="28"/>
        <v>-462.6</v>
      </c>
      <c r="BV75" s="82">
        <f t="shared" si="28"/>
        <v>-437.9</v>
      </c>
      <c r="BW75" s="82">
        <f t="shared" si="28"/>
        <v>-475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/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9"/>
        <v>10</v>
      </c>
      <c r="AI76" s="49">
        <f t="shared" si="30"/>
        <v>10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/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9"/>
        <v>6</v>
      </c>
      <c r="AI77" s="49">
        <f t="shared" si="30"/>
        <v>6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9"/>
        <v>3.54</v>
      </c>
      <c r="AI78" s="49">
        <f t="shared" si="30"/>
        <v>3.54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f>SUM(B66:B78)</f>
        <v>386.54</v>
      </c>
      <c r="C79" s="71">
        <f>SUM(C66:C78)</f>
        <v>386.54</v>
      </c>
      <c r="D79" s="71">
        <f>SUM(D66:D78)</f>
        <v>386.54</v>
      </c>
      <c r="E79" s="71">
        <f t="shared" ref="E79:AG79" si="31">SUM(E66:E78)</f>
        <v>386.54</v>
      </c>
      <c r="F79" s="71">
        <f t="shared" si="31"/>
        <v>372.44</v>
      </c>
      <c r="G79" s="71">
        <f>SUM(G66:G78)</f>
        <v>372.44</v>
      </c>
      <c r="H79" s="71">
        <f>SUM(H66:H78)</f>
        <v>372.64</v>
      </c>
      <c r="I79" s="71">
        <f>SUM(I66:I78)</f>
        <v>376.34000000000003</v>
      </c>
      <c r="J79" s="71">
        <f t="shared" si="31"/>
        <v>3.54</v>
      </c>
      <c r="K79" s="71">
        <v>376.34000000000003</v>
      </c>
      <c r="L79" s="71">
        <v>376.34000000000003</v>
      </c>
      <c r="M79" s="71">
        <f t="shared" si="31"/>
        <v>385.34</v>
      </c>
      <c r="N79" s="71">
        <f t="shared" si="31"/>
        <v>381.34</v>
      </c>
      <c r="O79" s="71">
        <f t="shared" si="31"/>
        <v>381.34</v>
      </c>
      <c r="P79" s="71">
        <f t="shared" si="31"/>
        <v>381.34</v>
      </c>
      <c r="Q79" s="71">
        <f t="shared" si="31"/>
        <v>381.34</v>
      </c>
      <c r="R79" s="71">
        <f t="shared" si="31"/>
        <v>381.34</v>
      </c>
      <c r="S79" s="71">
        <f t="shared" ref="S79:AA79" si="32">SUM(S66:S78)</f>
        <v>363.54</v>
      </c>
      <c r="T79" s="71">
        <f t="shared" si="32"/>
        <v>422.64000000000004</v>
      </c>
      <c r="U79" s="71">
        <f t="shared" si="32"/>
        <v>420.73999999999995</v>
      </c>
      <c r="V79" s="71">
        <f t="shared" si="32"/>
        <v>417.53999999999996</v>
      </c>
      <c r="W79" s="71">
        <f t="shared" si="32"/>
        <v>415.43999999999994</v>
      </c>
      <c r="X79" s="71">
        <f t="shared" si="32"/>
        <v>400.93999999999994</v>
      </c>
      <c r="Y79" s="71">
        <f t="shared" si="32"/>
        <v>400.93999999999994</v>
      </c>
      <c r="Z79" s="71">
        <f t="shared" si="32"/>
        <v>385.84</v>
      </c>
      <c r="AA79" s="71">
        <f t="shared" si="32"/>
        <v>385.84</v>
      </c>
      <c r="AB79" s="71">
        <f t="shared" si="31"/>
        <v>409.14</v>
      </c>
      <c r="AC79" s="71">
        <f t="shared" si="31"/>
        <v>409.14</v>
      </c>
      <c r="AD79" s="71">
        <f t="shared" si="31"/>
        <v>414.44</v>
      </c>
      <c r="AE79" s="71">
        <f t="shared" si="31"/>
        <v>414.44</v>
      </c>
      <c r="AF79" s="71">
        <f t="shared" si="31"/>
        <v>364.44</v>
      </c>
      <c r="AG79" s="72">
        <f t="shared" si="31"/>
        <v>489.91</v>
      </c>
      <c r="AH79" s="48">
        <f t="shared" si="29"/>
        <v>422.64000000000004</v>
      </c>
      <c r="AI79" s="49">
        <f t="shared" si="30"/>
        <v>3.54</v>
      </c>
      <c r="AK79" s="51"/>
      <c r="AY79" s="82"/>
    </row>
    <row r="80" spans="1:75" x14ac:dyDescent="0.25">
      <c r="A80" s="45" t="s">
        <v>100</v>
      </c>
      <c r="B80" s="46">
        <v>14</v>
      </c>
      <c r="C80" s="46">
        <v>14</v>
      </c>
      <c r="D80" s="46">
        <v>14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/>
      <c r="K80" s="46">
        <v>0</v>
      </c>
      <c r="L80" s="46">
        <v>0</v>
      </c>
      <c r="M80" s="46">
        <v>14</v>
      </c>
      <c r="N80" s="46">
        <v>14</v>
      </c>
      <c r="O80" s="46">
        <v>14</v>
      </c>
      <c r="P80" s="46">
        <v>13.1</v>
      </c>
      <c r="Q80" s="46">
        <v>13.1</v>
      </c>
      <c r="R80" s="46">
        <v>13.1</v>
      </c>
      <c r="S80" s="46">
        <v>13.5</v>
      </c>
      <c r="T80" s="46">
        <v>13.5</v>
      </c>
      <c r="U80" s="46">
        <v>20.100000000000001</v>
      </c>
      <c r="V80" s="46">
        <v>20.100000000000001</v>
      </c>
      <c r="W80" s="46">
        <v>10</v>
      </c>
      <c r="X80" s="46">
        <v>10</v>
      </c>
      <c r="Y80" s="46">
        <v>10</v>
      </c>
      <c r="Z80" s="46">
        <v>19.600000000000001</v>
      </c>
      <c r="AA80" s="46">
        <v>20</v>
      </c>
      <c r="AB80" s="46">
        <v>20</v>
      </c>
      <c r="AC80" s="46">
        <v>20</v>
      </c>
      <c r="AD80" s="46">
        <v>19.899999999999999</v>
      </c>
      <c r="AE80" s="46">
        <v>20</v>
      </c>
      <c r="AF80" s="46">
        <v>10.4</v>
      </c>
      <c r="AG80" s="61">
        <v>60</v>
      </c>
      <c r="AH80" s="48">
        <f t="shared" si="29"/>
        <v>20.100000000000001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9</v>
      </c>
      <c r="C81" s="76">
        <v>9</v>
      </c>
      <c r="D81" s="76">
        <v>9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/>
      <c r="K81" s="76">
        <v>0</v>
      </c>
      <c r="L81" s="76">
        <v>0</v>
      </c>
      <c r="M81" s="76">
        <v>5</v>
      </c>
      <c r="N81" s="76">
        <v>5</v>
      </c>
      <c r="O81" s="76">
        <v>5</v>
      </c>
      <c r="P81" s="76">
        <v>3.5</v>
      </c>
      <c r="Q81" s="76">
        <v>3.5</v>
      </c>
      <c r="R81" s="76">
        <v>3.5</v>
      </c>
      <c r="S81" s="76">
        <v>3.2</v>
      </c>
      <c r="T81" s="76">
        <v>3.2</v>
      </c>
      <c r="U81" s="76">
        <v>7.4</v>
      </c>
      <c r="V81" s="76">
        <v>7.4</v>
      </c>
      <c r="W81" s="76">
        <v>4.9000000000000004</v>
      </c>
      <c r="X81" s="76">
        <v>4.9000000000000004</v>
      </c>
      <c r="Y81" s="76">
        <v>4.9000000000000004</v>
      </c>
      <c r="Z81" s="76">
        <v>3.7</v>
      </c>
      <c r="AA81" s="76">
        <v>3.7</v>
      </c>
      <c r="AB81" s="76">
        <v>9.1</v>
      </c>
      <c r="AC81" s="76">
        <v>10.6</v>
      </c>
      <c r="AD81" s="76">
        <v>6.9</v>
      </c>
      <c r="AE81" s="76">
        <v>9.3000000000000007</v>
      </c>
      <c r="AF81" s="76">
        <v>3.7</v>
      </c>
      <c r="AG81" s="66">
        <v>32</v>
      </c>
      <c r="AH81" s="48">
        <f t="shared" si="29"/>
        <v>10.6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3.3</v>
      </c>
      <c r="C82" s="78">
        <v>3.3</v>
      </c>
      <c r="D82" s="78">
        <v>3.3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/>
      <c r="K82" s="78">
        <v>0</v>
      </c>
      <c r="L82" s="78">
        <v>0</v>
      </c>
      <c r="M82" s="78">
        <v>1.9</v>
      </c>
      <c r="N82" s="78">
        <v>1.9</v>
      </c>
      <c r="O82" s="78">
        <v>1.9</v>
      </c>
      <c r="P82" s="78">
        <v>1.3</v>
      </c>
      <c r="Q82" s="78">
        <v>1.3</v>
      </c>
      <c r="R82" s="78">
        <v>1.3</v>
      </c>
      <c r="S82" s="78">
        <v>1.2</v>
      </c>
      <c r="T82" s="78">
        <v>1.2</v>
      </c>
      <c r="U82" s="78">
        <v>2.7</v>
      </c>
      <c r="V82" s="78">
        <v>2.7</v>
      </c>
      <c r="W82" s="78">
        <v>1.8</v>
      </c>
      <c r="X82" s="78">
        <v>1.8</v>
      </c>
      <c r="Y82" s="78">
        <v>1.8</v>
      </c>
      <c r="Z82" s="78">
        <v>1.3</v>
      </c>
      <c r="AA82" s="78">
        <v>1.3</v>
      </c>
      <c r="AB82" s="78">
        <v>3.3</v>
      </c>
      <c r="AC82" s="78">
        <v>3.9</v>
      </c>
      <c r="AD82" s="78">
        <v>2.5</v>
      </c>
      <c r="AE82" s="78">
        <v>3.4</v>
      </c>
      <c r="AF82" s="78">
        <v>1.3</v>
      </c>
      <c r="AG82" s="79">
        <v>14</v>
      </c>
      <c r="AH82" s="48">
        <f t="shared" si="29"/>
        <v>3.9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18</v>
      </c>
      <c r="BH82" s="82">
        <v>0</v>
      </c>
      <c r="BI82" s="82">
        <v>-520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26.3</v>
      </c>
      <c r="C83" s="71">
        <f>C80+C81+C82</f>
        <v>26.3</v>
      </c>
      <c r="D83" s="71">
        <f>D80+D81+D82</f>
        <v>26.3</v>
      </c>
      <c r="E83" s="71">
        <f t="shared" ref="E83:AF83" si="33">E80+E81+E82</f>
        <v>0</v>
      </c>
      <c r="F83" s="71">
        <f t="shared" si="33"/>
        <v>0</v>
      </c>
      <c r="G83" s="71">
        <f>G80+G81+G82</f>
        <v>0</v>
      </c>
      <c r="H83" s="71">
        <f>H80+H81+H82</f>
        <v>0</v>
      </c>
      <c r="I83" s="71">
        <f>I80+I81+I82</f>
        <v>0</v>
      </c>
      <c r="J83" s="71">
        <f t="shared" si="33"/>
        <v>0</v>
      </c>
      <c r="K83" s="71">
        <v>0</v>
      </c>
      <c r="L83" s="71">
        <v>0</v>
      </c>
      <c r="M83" s="71">
        <f t="shared" si="33"/>
        <v>20.9</v>
      </c>
      <c r="N83" s="71">
        <f t="shared" si="33"/>
        <v>20.9</v>
      </c>
      <c r="O83" s="71">
        <f t="shared" si="33"/>
        <v>20.9</v>
      </c>
      <c r="P83" s="71">
        <f t="shared" si="33"/>
        <v>17.900000000000002</v>
      </c>
      <c r="Q83" s="71">
        <f t="shared" si="33"/>
        <v>17.900000000000002</v>
      </c>
      <c r="R83" s="71">
        <f t="shared" si="33"/>
        <v>17.900000000000002</v>
      </c>
      <c r="S83" s="71">
        <f t="shared" ref="S83:AA83" si="34">S80+S81+S82</f>
        <v>17.899999999999999</v>
      </c>
      <c r="T83" s="71">
        <f t="shared" si="34"/>
        <v>17.899999999999999</v>
      </c>
      <c r="U83" s="71">
        <f t="shared" si="34"/>
        <v>30.2</v>
      </c>
      <c r="V83" s="71">
        <f t="shared" si="34"/>
        <v>30.2</v>
      </c>
      <c r="W83" s="71">
        <f t="shared" si="34"/>
        <v>16.7</v>
      </c>
      <c r="X83" s="71">
        <f t="shared" si="34"/>
        <v>16.7</v>
      </c>
      <c r="Y83" s="71">
        <f t="shared" si="34"/>
        <v>16.7</v>
      </c>
      <c r="Z83" s="71">
        <f t="shared" si="34"/>
        <v>24.6</v>
      </c>
      <c r="AA83" s="71">
        <f t="shared" si="34"/>
        <v>25</v>
      </c>
      <c r="AB83" s="71">
        <f t="shared" si="33"/>
        <v>32.4</v>
      </c>
      <c r="AC83" s="71">
        <f t="shared" si="33"/>
        <v>34.5</v>
      </c>
      <c r="AD83" s="71">
        <f t="shared" si="33"/>
        <v>29.299999999999997</v>
      </c>
      <c r="AE83" s="71">
        <f t="shared" si="33"/>
        <v>32.700000000000003</v>
      </c>
      <c r="AF83" s="71">
        <f t="shared" si="33"/>
        <v>15.400000000000002</v>
      </c>
      <c r="AG83" s="72">
        <f>SUM(AG80:AG82)</f>
        <v>106</v>
      </c>
      <c r="AH83" s="48">
        <f t="shared" si="29"/>
        <v>34.5</v>
      </c>
      <c r="AI83" s="49">
        <f t="shared" si="30"/>
        <v>0</v>
      </c>
      <c r="AK83" s="51"/>
      <c r="AY83" s="82"/>
      <c r="BF83" s="81"/>
      <c r="BG83" s="82">
        <v>18</v>
      </c>
      <c r="BH83" s="82">
        <v>0</v>
      </c>
      <c r="BI83" s="82">
        <v>-504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35</v>
      </c>
      <c r="C84" s="46">
        <v>18</v>
      </c>
      <c r="D84" s="46">
        <v>18</v>
      </c>
      <c r="E84" s="46">
        <v>34.4</v>
      </c>
      <c r="F84" s="46">
        <v>4</v>
      </c>
      <c r="G84" s="46">
        <v>3</v>
      </c>
      <c r="H84" s="46">
        <v>7.4</v>
      </c>
      <c r="I84" s="46">
        <v>5.7</v>
      </c>
      <c r="J84" s="46"/>
      <c r="K84" s="46">
        <v>5.7</v>
      </c>
      <c r="L84" s="46">
        <v>40.4</v>
      </c>
      <c r="M84" s="46">
        <v>59.6</v>
      </c>
      <c r="N84" s="46">
        <v>65</v>
      </c>
      <c r="O84" s="46">
        <v>68</v>
      </c>
      <c r="P84" s="46">
        <v>62.5</v>
      </c>
      <c r="Q84" s="46">
        <v>62.5</v>
      </c>
      <c r="R84" s="46">
        <v>72</v>
      </c>
      <c r="S84" s="46">
        <v>73</v>
      </c>
      <c r="T84" s="46">
        <v>62.4</v>
      </c>
      <c r="U84" s="46">
        <v>72.599999999999994</v>
      </c>
      <c r="V84" s="46">
        <v>62.8</v>
      </c>
      <c r="W84" s="46">
        <v>56.6</v>
      </c>
      <c r="X84" s="46">
        <v>42.1</v>
      </c>
      <c r="Y84" s="46">
        <v>13.5</v>
      </c>
      <c r="Z84" s="46">
        <v>0</v>
      </c>
      <c r="AA84" s="46">
        <v>7.3</v>
      </c>
      <c r="AB84" s="46">
        <v>7.7</v>
      </c>
      <c r="AC84" s="46">
        <v>37.1</v>
      </c>
      <c r="AD84" s="46">
        <v>7.3</v>
      </c>
      <c r="AE84" s="46">
        <v>9.1999999999999993</v>
      </c>
      <c r="AF84" s="46">
        <v>4.5</v>
      </c>
      <c r="AG84" s="61"/>
      <c r="AH84" s="48">
        <f t="shared" si="29"/>
        <v>73</v>
      </c>
      <c r="AI84" s="49">
        <f t="shared" si="30"/>
        <v>0</v>
      </c>
      <c r="AK84" s="51"/>
      <c r="AY84" s="82"/>
      <c r="BF84" s="81"/>
      <c r="BG84" s="82">
        <v>34.4</v>
      </c>
      <c r="BH84" s="82">
        <v>0</v>
      </c>
      <c r="BI84" s="82">
        <v>-510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4</v>
      </c>
      <c r="BH85" s="82">
        <v>0</v>
      </c>
      <c r="BI85" s="82">
        <v>-532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-475</v>
      </c>
      <c r="C86" s="76">
        <v>-520</v>
      </c>
      <c r="D86" s="76">
        <v>-504</v>
      </c>
      <c r="E86" s="76">
        <v>-510</v>
      </c>
      <c r="F86" s="76">
        <v>-532</v>
      </c>
      <c r="G86" s="76">
        <v>-560</v>
      </c>
      <c r="H86" s="76">
        <v>-584</v>
      </c>
      <c r="I86" s="76">
        <v>-484</v>
      </c>
      <c r="J86" s="76"/>
      <c r="K86" s="76">
        <v>-484</v>
      </c>
      <c r="L86" s="76">
        <v>-572</v>
      </c>
      <c r="M86" s="76">
        <v>507</v>
      </c>
      <c r="N86" s="76">
        <v>-337</v>
      </c>
      <c r="O86" s="76">
        <v>-384</v>
      </c>
      <c r="P86" s="76">
        <v>-435</v>
      </c>
      <c r="Q86" s="76">
        <v>-435</v>
      </c>
      <c r="R86" s="76">
        <v>-390</v>
      </c>
      <c r="S86" s="76">
        <v>-433.3</v>
      </c>
      <c r="T86" s="76">
        <v>-433.9</v>
      </c>
      <c r="U86" s="76">
        <v>-418</v>
      </c>
      <c r="V86" s="76">
        <v>-422.4</v>
      </c>
      <c r="W86" s="76">
        <v>-489.1</v>
      </c>
      <c r="X86" s="76">
        <v>-491.6</v>
      </c>
      <c r="Y86" s="76">
        <v>-497.7</v>
      </c>
      <c r="Z86" s="76">
        <v>-450.4</v>
      </c>
      <c r="AA86" s="76">
        <v>-347.8</v>
      </c>
      <c r="AB86" s="76">
        <v>-373.4</v>
      </c>
      <c r="AC86" s="76">
        <v>-372</v>
      </c>
      <c r="AD86" s="76">
        <v>-388.5</v>
      </c>
      <c r="AE86" s="76">
        <v>-462.6</v>
      </c>
      <c r="AF86" s="76">
        <v>-437.9</v>
      </c>
      <c r="AG86" s="88"/>
      <c r="AH86" s="48">
        <f t="shared" si="29"/>
        <v>507</v>
      </c>
      <c r="AI86" s="49">
        <f t="shared" si="30"/>
        <v>-584</v>
      </c>
      <c r="AK86" s="92"/>
      <c r="AL86" s="93"/>
      <c r="AM86" s="93"/>
      <c r="AN86" s="94"/>
      <c r="AY86" s="82"/>
      <c r="BF86" s="82"/>
      <c r="BG86" s="82">
        <v>3</v>
      </c>
      <c r="BH86" s="82">
        <v>0</v>
      </c>
      <c r="BI86" s="82">
        <v>-560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9"/>
        <v>0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5.7</v>
      </c>
      <c r="BH87" s="82">
        <v>0</v>
      </c>
      <c r="BI87" s="82">
        <v>-484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9"/>
        <v>0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5.7</v>
      </c>
      <c r="BH88" s="82">
        <v>0</v>
      </c>
      <c r="BI88" s="82">
        <v>-484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53</v>
      </c>
      <c r="C89" s="90">
        <v>49</v>
      </c>
      <c r="D89" s="90">
        <v>52</v>
      </c>
      <c r="E89" s="90">
        <v>48.7</v>
      </c>
      <c r="F89" s="90">
        <v>35</v>
      </c>
      <c r="G89" s="90">
        <v>35</v>
      </c>
      <c r="H89" s="90">
        <v>34.6</v>
      </c>
      <c r="I89" s="90">
        <v>31</v>
      </c>
      <c r="J89" s="90"/>
      <c r="K89" s="90">
        <v>31</v>
      </c>
      <c r="L89" s="90">
        <v>42.6</v>
      </c>
      <c r="M89" s="90">
        <v>36.1</v>
      </c>
      <c r="N89" s="90">
        <v>0</v>
      </c>
      <c r="O89" s="90">
        <v>0</v>
      </c>
      <c r="P89" s="90">
        <v>32.6</v>
      </c>
      <c r="Q89" s="90">
        <v>32.6</v>
      </c>
      <c r="R89" s="90">
        <v>38</v>
      </c>
      <c r="S89" s="90">
        <v>41.3</v>
      </c>
      <c r="T89" s="90">
        <v>42.7</v>
      </c>
      <c r="U89" s="90">
        <v>44.9</v>
      </c>
      <c r="V89" s="90">
        <v>43.3</v>
      </c>
      <c r="W89" s="90">
        <v>41.2</v>
      </c>
      <c r="X89" s="90">
        <v>51.4</v>
      </c>
      <c r="Y89" s="90">
        <v>38.799999999999997</v>
      </c>
      <c r="Z89" s="90">
        <v>44.1</v>
      </c>
      <c r="AA89" s="90">
        <v>45</v>
      </c>
      <c r="AB89" s="90">
        <v>50.8</v>
      </c>
      <c r="AC89" s="90">
        <v>54.5</v>
      </c>
      <c r="AD89" s="90">
        <v>49.2</v>
      </c>
      <c r="AE89" s="90">
        <v>47.7</v>
      </c>
      <c r="AF89" s="90">
        <v>52.6</v>
      </c>
      <c r="AG89" s="88"/>
      <c r="AH89" s="48">
        <f>MAX(B89:AF89)</f>
        <v>54.5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59.6</v>
      </c>
      <c r="BH89" s="82">
        <v>0</v>
      </c>
      <c r="BI89" s="82">
        <v>507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4"/>
      <c r="AY90" s="82"/>
      <c r="BF90" s="82"/>
      <c r="BG90" s="82">
        <v>65</v>
      </c>
      <c r="BH90" s="82">
        <v>0</v>
      </c>
      <c r="BI90" s="82">
        <v>-337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5"/>
      <c r="BF91" s="82"/>
      <c r="BG91" s="82">
        <v>68</v>
      </c>
      <c r="BH91" s="82">
        <v>0</v>
      </c>
      <c r="BI91" s="82">
        <v>-384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62.5</v>
      </c>
      <c r="BH92" s="82">
        <v>0</v>
      </c>
      <c r="BI92" s="82">
        <v>-435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62.5</v>
      </c>
      <c r="BH93" s="82">
        <v>0</v>
      </c>
      <c r="BI93" s="82">
        <v>-435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72</v>
      </c>
      <c r="BH94" s="82">
        <v>0</v>
      </c>
      <c r="BI94" s="82">
        <v>-390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88</v>
      </c>
      <c r="C95" s="71">
        <f>SUMIF(C84:C94,"&gt;0")</f>
        <v>67</v>
      </c>
      <c r="D95" s="71">
        <f>SUMIF(D84:D94,"&gt;0")</f>
        <v>70</v>
      </c>
      <c r="E95" s="71">
        <f t="shared" ref="E95:AF95" si="35">SUMIF(E84:E94,"&gt;0")</f>
        <v>83.1</v>
      </c>
      <c r="F95" s="71">
        <f t="shared" si="35"/>
        <v>39</v>
      </c>
      <c r="G95" s="71">
        <f t="shared" si="35"/>
        <v>38</v>
      </c>
      <c r="H95" s="71">
        <f t="shared" si="35"/>
        <v>42</v>
      </c>
      <c r="I95" s="71">
        <f t="shared" si="35"/>
        <v>36.700000000000003</v>
      </c>
      <c r="J95" s="71">
        <f t="shared" si="35"/>
        <v>0</v>
      </c>
      <c r="K95" s="71">
        <f t="shared" si="35"/>
        <v>36.700000000000003</v>
      </c>
      <c r="L95" s="71">
        <f t="shared" si="35"/>
        <v>83</v>
      </c>
      <c r="M95" s="71">
        <f t="shared" si="35"/>
        <v>602.70000000000005</v>
      </c>
      <c r="N95" s="71">
        <f t="shared" si="35"/>
        <v>65</v>
      </c>
      <c r="O95" s="71">
        <f t="shared" si="35"/>
        <v>68</v>
      </c>
      <c r="P95" s="71">
        <f t="shared" si="35"/>
        <v>95.1</v>
      </c>
      <c r="Q95" s="71">
        <f t="shared" si="35"/>
        <v>95.1</v>
      </c>
      <c r="R95" s="71">
        <f t="shared" si="35"/>
        <v>110</v>
      </c>
      <c r="S95" s="71">
        <f t="shared" ref="S95:AA95" si="36">SUMIF(S84:S94,"&gt;0")</f>
        <v>114.3</v>
      </c>
      <c r="T95" s="71">
        <f t="shared" si="36"/>
        <v>105.1</v>
      </c>
      <c r="U95" s="71">
        <f t="shared" si="36"/>
        <v>117.5</v>
      </c>
      <c r="V95" s="71">
        <f t="shared" si="36"/>
        <v>106.1</v>
      </c>
      <c r="W95" s="71">
        <f t="shared" si="36"/>
        <v>97.800000000000011</v>
      </c>
      <c r="X95" s="71">
        <f t="shared" si="36"/>
        <v>93.5</v>
      </c>
      <c r="Y95" s="71">
        <f t="shared" si="36"/>
        <v>52.3</v>
      </c>
      <c r="Z95" s="71">
        <f t="shared" si="36"/>
        <v>44.1</v>
      </c>
      <c r="AA95" s="71">
        <f t="shared" si="36"/>
        <v>52.3</v>
      </c>
      <c r="AB95" s="71">
        <f t="shared" si="35"/>
        <v>58.5</v>
      </c>
      <c r="AC95" s="71">
        <f t="shared" si="35"/>
        <v>91.6</v>
      </c>
      <c r="AD95" s="71">
        <f t="shared" si="35"/>
        <v>56.5</v>
      </c>
      <c r="AE95" s="71">
        <f t="shared" si="35"/>
        <v>56.900000000000006</v>
      </c>
      <c r="AF95" s="71">
        <f t="shared" si="35"/>
        <v>57.1</v>
      </c>
      <c r="AG95" s="101">
        <f>SUM(AG84:AG94)</f>
        <v>0</v>
      </c>
      <c r="AH95" s="48">
        <f t="shared" si="29"/>
        <v>602.70000000000005</v>
      </c>
      <c r="AI95" s="49">
        <f t="shared" si="30"/>
        <v>0</v>
      </c>
      <c r="BF95" s="82"/>
      <c r="BG95" s="82">
        <v>73</v>
      </c>
      <c r="BH95" s="82">
        <v>0</v>
      </c>
      <c r="BI95" s="82">
        <v>-433.3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62.4</v>
      </c>
      <c r="BH96" s="82">
        <v>0</v>
      </c>
      <c r="BI96" s="82">
        <v>-433.9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72.599999999999994</v>
      </c>
      <c r="BH97" s="82">
        <v>0</v>
      </c>
      <c r="BI97" s="82">
        <v>-418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62.8</v>
      </c>
      <c r="BH98" s="82">
        <v>0</v>
      </c>
      <c r="BI98" s="82">
        <v>-422.4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42.1</v>
      </c>
      <c r="BH99" s="82">
        <v>0</v>
      </c>
      <c r="BI99" s="82">
        <v>-491.6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2100.39</v>
      </c>
      <c r="C100" s="108">
        <f>C61+C65+C83+C79+C95+C99</f>
        <v>2083.79</v>
      </c>
      <c r="D100" s="108">
        <f>D61+D65+D83+D79+D95+D99</f>
        <v>2086.79</v>
      </c>
      <c r="E100" s="108">
        <f t="shared" ref="E100:AG100" si="37">E61+E65+E83+E79+E95+E99</f>
        <v>2059.59</v>
      </c>
      <c r="F100" s="108">
        <f t="shared" si="37"/>
        <v>2033.89</v>
      </c>
      <c r="G100" s="108">
        <f t="shared" si="37"/>
        <v>2015.8899999999999</v>
      </c>
      <c r="H100" s="108">
        <f t="shared" si="37"/>
        <v>2031.0899999999997</v>
      </c>
      <c r="I100" s="108">
        <f t="shared" si="37"/>
        <v>2024.5900000000004</v>
      </c>
      <c r="J100" s="108">
        <f t="shared" si="37"/>
        <v>162.04</v>
      </c>
      <c r="K100" s="108">
        <f t="shared" si="37"/>
        <v>2016.0900000000004</v>
      </c>
      <c r="L100" s="108">
        <f t="shared" si="37"/>
        <v>2062.3900000000003</v>
      </c>
      <c r="M100" s="108">
        <f t="shared" si="37"/>
        <v>2626.4900000000002</v>
      </c>
      <c r="N100" s="108">
        <f t="shared" si="37"/>
        <v>2084.79</v>
      </c>
      <c r="O100" s="108">
        <f t="shared" si="37"/>
        <v>2087.79</v>
      </c>
      <c r="P100" s="108">
        <f t="shared" si="37"/>
        <v>2081.2400000000002</v>
      </c>
      <c r="Q100" s="108">
        <f t="shared" si="37"/>
        <v>2081.2400000000002</v>
      </c>
      <c r="R100" s="108">
        <f t="shared" si="37"/>
        <v>2096.1400000000003</v>
      </c>
      <c r="S100" s="108">
        <f t="shared" ref="S100:AA100" si="38">S61+S65+S83+S79+S95+S99</f>
        <v>2082.6400000000003</v>
      </c>
      <c r="T100" s="108">
        <f t="shared" si="38"/>
        <v>2136.84</v>
      </c>
      <c r="U100" s="108">
        <f t="shared" si="38"/>
        <v>2159.64</v>
      </c>
      <c r="V100" s="108">
        <f t="shared" si="38"/>
        <v>2145.04</v>
      </c>
      <c r="W100" s="108">
        <f t="shared" si="38"/>
        <v>2121.14</v>
      </c>
      <c r="X100" s="108">
        <f t="shared" si="38"/>
        <v>2102.3399999999997</v>
      </c>
      <c r="Y100" s="108">
        <f t="shared" si="38"/>
        <v>2061.14</v>
      </c>
      <c r="Z100" s="108">
        <f t="shared" si="38"/>
        <v>2045.7399999999996</v>
      </c>
      <c r="AA100" s="108">
        <f t="shared" si="38"/>
        <v>2054.3399999999997</v>
      </c>
      <c r="AB100" s="108">
        <f t="shared" si="37"/>
        <v>2161.84</v>
      </c>
      <c r="AC100" s="108">
        <f t="shared" si="37"/>
        <v>2167.04</v>
      </c>
      <c r="AD100" s="108">
        <f t="shared" si="37"/>
        <v>2169.8399999999997</v>
      </c>
      <c r="AE100" s="108">
        <f t="shared" si="37"/>
        <v>2173.7399999999998</v>
      </c>
      <c r="AF100" s="108">
        <f t="shared" si="37"/>
        <v>2106.64</v>
      </c>
      <c r="AG100" s="72">
        <f t="shared" si="37"/>
        <v>2655.44</v>
      </c>
      <c r="AH100" s="48">
        <f t="shared" si="29"/>
        <v>2626.4900000000002</v>
      </c>
      <c r="AI100" s="49">
        <f t="shared" si="30"/>
        <v>162.04</v>
      </c>
      <c r="BF100" s="81"/>
      <c r="BG100" s="82">
        <v>0</v>
      </c>
      <c r="BH100" s="82">
        <v>0</v>
      </c>
      <c r="BI100" s="82">
        <v>-450.4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200</v>
      </c>
      <c r="C101" s="110">
        <v>200</v>
      </c>
      <c r="D101" s="110">
        <v>150</v>
      </c>
      <c r="E101" s="110">
        <v>150</v>
      </c>
      <c r="F101" s="110">
        <v>150</v>
      </c>
      <c r="G101" s="110">
        <v>150</v>
      </c>
      <c r="H101" s="110">
        <v>150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50</v>
      </c>
      <c r="Z101" s="110">
        <v>50</v>
      </c>
      <c r="AA101" s="110">
        <v>50</v>
      </c>
      <c r="AB101" s="110"/>
      <c r="AC101" s="110"/>
      <c r="AD101" s="110"/>
      <c r="AE101" s="110"/>
      <c r="AF101" s="110">
        <v>50</v>
      </c>
      <c r="AG101" s="101"/>
      <c r="AH101" s="48">
        <f t="shared" si="29"/>
        <v>200</v>
      </c>
      <c r="AI101" s="49">
        <f t="shared" si="30"/>
        <v>50</v>
      </c>
      <c r="BF101" s="81"/>
      <c r="BG101" s="82">
        <v>7.7</v>
      </c>
      <c r="BH101" s="82">
        <v>0</v>
      </c>
      <c r="BI101" s="82">
        <v>-373.4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2300.39</v>
      </c>
      <c r="C102" s="108">
        <f>C100+C101</f>
        <v>2283.79</v>
      </c>
      <c r="D102" s="108">
        <f>D100+D101</f>
        <v>2236.79</v>
      </c>
      <c r="E102" s="108">
        <f t="shared" ref="E102:AF102" si="39">E100+E101</f>
        <v>2209.59</v>
      </c>
      <c r="F102" s="108">
        <f t="shared" si="39"/>
        <v>2183.8900000000003</v>
      </c>
      <c r="G102" s="108">
        <f t="shared" si="39"/>
        <v>2165.89</v>
      </c>
      <c r="H102" s="108">
        <f t="shared" si="39"/>
        <v>2181.0899999999997</v>
      </c>
      <c r="I102" s="108">
        <f t="shared" si="39"/>
        <v>2024.5900000000004</v>
      </c>
      <c r="J102" s="108">
        <f t="shared" si="39"/>
        <v>162.04</v>
      </c>
      <c r="K102" s="108">
        <f t="shared" si="39"/>
        <v>2016.0900000000004</v>
      </c>
      <c r="L102" s="108">
        <f t="shared" si="39"/>
        <v>2062.3900000000003</v>
      </c>
      <c r="M102" s="108">
        <f t="shared" si="39"/>
        <v>2626.4900000000002</v>
      </c>
      <c r="N102" s="108">
        <f t="shared" si="39"/>
        <v>2084.79</v>
      </c>
      <c r="O102" s="108">
        <f t="shared" si="39"/>
        <v>2087.79</v>
      </c>
      <c r="P102" s="108">
        <f t="shared" si="39"/>
        <v>2081.2400000000002</v>
      </c>
      <c r="Q102" s="108">
        <f t="shared" si="39"/>
        <v>2081.2400000000002</v>
      </c>
      <c r="R102" s="108">
        <f t="shared" si="39"/>
        <v>2096.1400000000003</v>
      </c>
      <c r="S102" s="108">
        <f t="shared" ref="S102:AA102" si="40">S100+S101</f>
        <v>2082.6400000000003</v>
      </c>
      <c r="T102" s="108">
        <f t="shared" si="40"/>
        <v>2136.84</v>
      </c>
      <c r="U102" s="108">
        <f t="shared" si="40"/>
        <v>2159.64</v>
      </c>
      <c r="V102" s="108">
        <f t="shared" si="40"/>
        <v>2145.04</v>
      </c>
      <c r="W102" s="108">
        <f t="shared" si="40"/>
        <v>2121.14</v>
      </c>
      <c r="X102" s="108">
        <f t="shared" si="40"/>
        <v>2102.3399999999997</v>
      </c>
      <c r="Y102" s="108">
        <f t="shared" si="40"/>
        <v>2111.14</v>
      </c>
      <c r="Z102" s="108">
        <f t="shared" si="40"/>
        <v>2095.7399999999998</v>
      </c>
      <c r="AA102" s="108">
        <f t="shared" si="40"/>
        <v>2104.3399999999997</v>
      </c>
      <c r="AB102" s="108">
        <f t="shared" si="39"/>
        <v>2161.84</v>
      </c>
      <c r="AC102" s="108">
        <f t="shared" si="39"/>
        <v>2167.04</v>
      </c>
      <c r="AD102" s="108">
        <f t="shared" si="39"/>
        <v>2169.8399999999997</v>
      </c>
      <c r="AE102" s="108">
        <f t="shared" si="39"/>
        <v>2173.7399999999998</v>
      </c>
      <c r="AF102" s="108">
        <f t="shared" si="39"/>
        <v>2156.64</v>
      </c>
      <c r="AG102" s="101">
        <f>AG99+AG95+AG83+AG79+AG61+AG101</f>
        <v>2117.34</v>
      </c>
      <c r="AH102" s="48">
        <f t="shared" si="29"/>
        <v>2626.4900000000002</v>
      </c>
      <c r="AI102" s="49">
        <f t="shared" si="30"/>
        <v>162.04</v>
      </c>
      <c r="BF102" s="81"/>
      <c r="BG102" s="82">
        <v>7.3</v>
      </c>
      <c r="BH102" s="82">
        <v>0</v>
      </c>
      <c r="BI102" s="82">
        <v>-388.5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1825.3899999999999</v>
      </c>
      <c r="C103" s="108">
        <f>C102-(C110)</f>
        <v>1763.79</v>
      </c>
      <c r="D103" s="108">
        <f>D102-(D110)</f>
        <v>1732.79</v>
      </c>
      <c r="E103" s="108">
        <f t="shared" ref="E103:AF103" si="41">E102-(E110)</f>
        <v>1699.5900000000001</v>
      </c>
      <c r="F103" s="108">
        <f t="shared" si="41"/>
        <v>1651.8900000000003</v>
      </c>
      <c r="G103" s="108">
        <f t="shared" si="41"/>
        <v>1605.8899999999999</v>
      </c>
      <c r="H103" s="108">
        <f t="shared" si="41"/>
        <v>1597.0899999999997</v>
      </c>
      <c r="I103" s="108">
        <f t="shared" si="41"/>
        <v>1540.5900000000004</v>
      </c>
      <c r="J103" s="108">
        <f t="shared" si="41"/>
        <v>162.04</v>
      </c>
      <c r="K103" s="108">
        <f t="shared" si="41"/>
        <v>1532.0900000000004</v>
      </c>
      <c r="L103" s="108">
        <f t="shared" si="41"/>
        <v>1490.3900000000003</v>
      </c>
      <c r="M103" s="108">
        <f t="shared" si="41"/>
        <v>2626.4900000000002</v>
      </c>
      <c r="N103" s="108">
        <f t="shared" si="41"/>
        <v>1747.79</v>
      </c>
      <c r="O103" s="108">
        <f t="shared" si="41"/>
        <v>1703.79</v>
      </c>
      <c r="P103" s="108">
        <f t="shared" si="41"/>
        <v>1646.2400000000002</v>
      </c>
      <c r="Q103" s="108">
        <f t="shared" si="41"/>
        <v>1646.2400000000002</v>
      </c>
      <c r="R103" s="108">
        <f t="shared" si="41"/>
        <v>1706.1400000000003</v>
      </c>
      <c r="S103" s="108">
        <f t="shared" ref="S103:AA103" si="42">S102-(S110)</f>
        <v>1649.3400000000004</v>
      </c>
      <c r="T103" s="108">
        <f t="shared" si="42"/>
        <v>1702.94</v>
      </c>
      <c r="U103" s="108">
        <f t="shared" si="42"/>
        <v>1741.6399999999999</v>
      </c>
      <c r="V103" s="108">
        <f t="shared" si="42"/>
        <v>1722.6399999999999</v>
      </c>
      <c r="W103" s="108">
        <f t="shared" si="42"/>
        <v>1632.04</v>
      </c>
      <c r="X103" s="108">
        <f t="shared" si="42"/>
        <v>1610.7399999999998</v>
      </c>
      <c r="Y103" s="108">
        <f t="shared" si="42"/>
        <v>1613.4399999999998</v>
      </c>
      <c r="Z103" s="108">
        <f t="shared" si="42"/>
        <v>1645.3399999999997</v>
      </c>
      <c r="AA103" s="108">
        <f t="shared" si="42"/>
        <v>1756.5399999999997</v>
      </c>
      <c r="AB103" s="108">
        <f t="shared" si="41"/>
        <v>1788.44</v>
      </c>
      <c r="AC103" s="108">
        <f t="shared" si="41"/>
        <v>1795.04</v>
      </c>
      <c r="AD103" s="108">
        <f t="shared" si="41"/>
        <v>1781.3399999999997</v>
      </c>
      <c r="AE103" s="108">
        <f t="shared" si="41"/>
        <v>1711.1399999999999</v>
      </c>
      <c r="AF103" s="108">
        <f t="shared" si="41"/>
        <v>1718.7399999999998</v>
      </c>
      <c r="AG103" s="101"/>
      <c r="AH103" s="48">
        <f t="shared" si="29"/>
        <v>2626.4900000000002</v>
      </c>
      <c r="AI103" s="49">
        <f t="shared" si="30"/>
        <v>162.04</v>
      </c>
      <c r="BF103" s="81"/>
      <c r="BG103" s="82">
        <v>9.1999999999999993</v>
      </c>
      <c r="BH103" s="82">
        <v>0</v>
      </c>
      <c r="BI103" s="82">
        <v>-462.6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43">IF(B84&lt;0,B84*-1,0)</f>
        <v>0</v>
      </c>
      <c r="C104" s="89">
        <f t="shared" si="43"/>
        <v>0</v>
      </c>
      <c r="D104" s="89">
        <f t="shared" ref="D104:D109" si="44">IF(D84&lt;0,D84*-1,0)</f>
        <v>0</v>
      </c>
      <c r="E104" s="89">
        <f t="shared" ref="E104:AF109" si="45">IF(E84&lt;0,E84*-1,0)</f>
        <v>0</v>
      </c>
      <c r="F104" s="89">
        <f t="shared" si="45"/>
        <v>0</v>
      </c>
      <c r="G104" s="89">
        <f t="shared" si="45"/>
        <v>0</v>
      </c>
      <c r="H104" s="89">
        <f t="shared" si="45"/>
        <v>0</v>
      </c>
      <c r="I104" s="89">
        <f t="shared" si="45"/>
        <v>0</v>
      </c>
      <c r="J104" s="89">
        <f t="shared" si="45"/>
        <v>0</v>
      </c>
      <c r="K104" s="89">
        <f t="shared" si="45"/>
        <v>0</v>
      </c>
      <c r="L104" s="89">
        <f t="shared" si="45"/>
        <v>0</v>
      </c>
      <c r="M104" s="89">
        <f t="shared" si="45"/>
        <v>0</v>
      </c>
      <c r="N104" s="89">
        <f t="shared" si="45"/>
        <v>0</v>
      </c>
      <c r="O104" s="89">
        <f t="shared" si="45"/>
        <v>0</v>
      </c>
      <c r="P104" s="89">
        <f t="shared" si="45"/>
        <v>0</v>
      </c>
      <c r="Q104" s="89">
        <f t="shared" si="45"/>
        <v>0</v>
      </c>
      <c r="R104" s="89">
        <f t="shared" si="45"/>
        <v>0</v>
      </c>
      <c r="S104" s="89">
        <f t="shared" ref="S104:AA104" si="46">IF(S84&lt;0,S84*-1,0)</f>
        <v>0</v>
      </c>
      <c r="T104" s="89">
        <f t="shared" si="46"/>
        <v>0</v>
      </c>
      <c r="U104" s="89">
        <f t="shared" si="46"/>
        <v>0</v>
      </c>
      <c r="V104" s="89">
        <f t="shared" si="46"/>
        <v>0</v>
      </c>
      <c r="W104" s="89">
        <f t="shared" si="46"/>
        <v>0</v>
      </c>
      <c r="X104" s="89">
        <f t="shared" si="46"/>
        <v>0</v>
      </c>
      <c r="Y104" s="89">
        <f t="shared" si="46"/>
        <v>0</v>
      </c>
      <c r="Z104" s="89">
        <f t="shared" si="46"/>
        <v>0</v>
      </c>
      <c r="AA104" s="89">
        <f t="shared" si="46"/>
        <v>0</v>
      </c>
      <c r="AB104" s="89">
        <f t="shared" si="45"/>
        <v>0</v>
      </c>
      <c r="AC104" s="89">
        <f t="shared" si="45"/>
        <v>0</v>
      </c>
      <c r="AD104" s="89">
        <f t="shared" si="45"/>
        <v>0</v>
      </c>
      <c r="AE104" s="89">
        <f t="shared" si="45"/>
        <v>0</v>
      </c>
      <c r="AF104" s="89">
        <f t="shared" si="45"/>
        <v>0</v>
      </c>
      <c r="AG104" s="61"/>
      <c r="AH104" s="48">
        <f t="shared" si="29"/>
        <v>0</v>
      </c>
      <c r="AI104" s="49">
        <f t="shared" si="30"/>
        <v>0</v>
      </c>
      <c r="BG104" s="82">
        <v>4.5</v>
      </c>
      <c r="BH104" s="82">
        <v>0</v>
      </c>
      <c r="BI104" s="82">
        <v>-437.9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3"/>
        <v>0</v>
      </c>
      <c r="C105" s="89">
        <f t="shared" si="43"/>
        <v>0</v>
      </c>
      <c r="D105" s="89">
        <f t="shared" si="44"/>
        <v>0</v>
      </c>
      <c r="E105" s="89">
        <f t="shared" ref="E105:Q105" si="47">IF(E85&lt;0,E85*-1,0)</f>
        <v>0</v>
      </c>
      <c r="F105" s="89">
        <f t="shared" si="47"/>
        <v>0</v>
      </c>
      <c r="G105" s="89">
        <f t="shared" si="47"/>
        <v>0</v>
      </c>
      <c r="H105" s="89">
        <f t="shared" si="47"/>
        <v>0</v>
      </c>
      <c r="I105" s="89">
        <f t="shared" si="47"/>
        <v>0</v>
      </c>
      <c r="J105" s="89">
        <f t="shared" si="47"/>
        <v>0</v>
      </c>
      <c r="K105" s="89">
        <f t="shared" si="47"/>
        <v>0</v>
      </c>
      <c r="L105" s="89">
        <f t="shared" si="47"/>
        <v>0</v>
      </c>
      <c r="M105" s="89">
        <f t="shared" si="47"/>
        <v>0</v>
      </c>
      <c r="N105" s="89">
        <f t="shared" si="47"/>
        <v>0</v>
      </c>
      <c r="O105" s="89">
        <f t="shared" si="47"/>
        <v>0</v>
      </c>
      <c r="P105" s="89">
        <f t="shared" si="47"/>
        <v>0</v>
      </c>
      <c r="Q105" s="89">
        <f t="shared" si="47"/>
        <v>0</v>
      </c>
      <c r="R105" s="89">
        <f t="shared" si="45"/>
        <v>0</v>
      </c>
      <c r="S105" s="89">
        <f t="shared" si="45"/>
        <v>0</v>
      </c>
      <c r="T105" s="89">
        <f t="shared" si="45"/>
        <v>0</v>
      </c>
      <c r="U105" s="89">
        <f t="shared" si="45"/>
        <v>0</v>
      </c>
      <c r="V105" s="89">
        <f t="shared" si="45"/>
        <v>0</v>
      </c>
      <c r="W105" s="89">
        <f t="shared" si="45"/>
        <v>0</v>
      </c>
      <c r="X105" s="89">
        <f t="shared" si="45"/>
        <v>0</v>
      </c>
      <c r="Y105" s="89">
        <f t="shared" si="45"/>
        <v>0</v>
      </c>
      <c r="Z105" s="89">
        <f t="shared" si="45"/>
        <v>0</v>
      </c>
      <c r="AA105" s="89">
        <f t="shared" si="45"/>
        <v>0</v>
      </c>
      <c r="AB105" s="89">
        <f t="shared" si="45"/>
        <v>0</v>
      </c>
      <c r="AC105" s="89">
        <f t="shared" si="45"/>
        <v>0</v>
      </c>
      <c r="AD105" s="89">
        <f t="shared" si="45"/>
        <v>0</v>
      </c>
      <c r="AE105" s="89">
        <f t="shared" si="45"/>
        <v>0</v>
      </c>
      <c r="AF105" s="89">
        <f t="shared" si="45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35</v>
      </c>
      <c r="BH105" s="82">
        <v>0</v>
      </c>
      <c r="BI105" s="82">
        <v>-475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3"/>
        <v>475</v>
      </c>
      <c r="C106" s="89">
        <f t="shared" si="43"/>
        <v>520</v>
      </c>
      <c r="D106" s="89">
        <f t="shared" si="44"/>
        <v>504</v>
      </c>
      <c r="E106" s="89">
        <f t="shared" si="45"/>
        <v>510</v>
      </c>
      <c r="F106" s="89">
        <f t="shared" si="45"/>
        <v>532</v>
      </c>
      <c r="G106" s="89">
        <f t="shared" si="45"/>
        <v>560</v>
      </c>
      <c r="H106" s="89">
        <f t="shared" si="45"/>
        <v>584</v>
      </c>
      <c r="I106" s="89">
        <f t="shared" si="45"/>
        <v>484</v>
      </c>
      <c r="J106" s="89">
        <f t="shared" si="45"/>
        <v>0</v>
      </c>
      <c r="K106" s="89">
        <f t="shared" si="45"/>
        <v>484</v>
      </c>
      <c r="L106" s="89">
        <f t="shared" si="45"/>
        <v>572</v>
      </c>
      <c r="M106" s="89">
        <f t="shared" si="45"/>
        <v>0</v>
      </c>
      <c r="N106" s="89">
        <f t="shared" si="45"/>
        <v>337</v>
      </c>
      <c r="O106" s="89">
        <f t="shared" si="45"/>
        <v>384</v>
      </c>
      <c r="P106" s="89">
        <f t="shared" si="45"/>
        <v>435</v>
      </c>
      <c r="Q106" s="89">
        <f t="shared" si="45"/>
        <v>435</v>
      </c>
      <c r="R106" s="89">
        <f t="shared" si="45"/>
        <v>390</v>
      </c>
      <c r="S106" s="89">
        <f t="shared" si="45"/>
        <v>433.3</v>
      </c>
      <c r="T106" s="89">
        <f t="shared" si="45"/>
        <v>433.9</v>
      </c>
      <c r="U106" s="89">
        <f t="shared" si="45"/>
        <v>418</v>
      </c>
      <c r="V106" s="89">
        <f t="shared" si="45"/>
        <v>422.4</v>
      </c>
      <c r="W106" s="89">
        <f t="shared" si="45"/>
        <v>489.1</v>
      </c>
      <c r="X106" s="89">
        <f t="shared" si="45"/>
        <v>491.6</v>
      </c>
      <c r="Y106" s="89">
        <f t="shared" si="45"/>
        <v>497.7</v>
      </c>
      <c r="Z106" s="89">
        <f t="shared" si="45"/>
        <v>450.4</v>
      </c>
      <c r="AA106" s="89">
        <f t="shared" si="45"/>
        <v>347.8</v>
      </c>
      <c r="AB106" s="89">
        <f t="shared" si="45"/>
        <v>373.4</v>
      </c>
      <c r="AC106" s="89">
        <f t="shared" si="45"/>
        <v>372</v>
      </c>
      <c r="AD106" s="89">
        <f t="shared" si="45"/>
        <v>388.5</v>
      </c>
      <c r="AE106" s="89">
        <f t="shared" si="45"/>
        <v>462.6</v>
      </c>
      <c r="AF106" s="89">
        <f t="shared" si="45"/>
        <v>437.9</v>
      </c>
      <c r="AG106" s="111"/>
      <c r="AH106" s="48">
        <f t="shared" si="29"/>
        <v>584</v>
      </c>
      <c r="AI106" s="49">
        <f t="shared" si="30"/>
        <v>0</v>
      </c>
    </row>
    <row r="107" spans="1:64" x14ac:dyDescent="0.25">
      <c r="A107" s="97" t="s">
        <v>107</v>
      </c>
      <c r="B107" s="89">
        <f t="shared" si="43"/>
        <v>0</v>
      </c>
      <c r="C107" s="89">
        <f t="shared" si="43"/>
        <v>0</v>
      </c>
      <c r="D107" s="89">
        <f t="shared" si="44"/>
        <v>0</v>
      </c>
      <c r="E107" s="89">
        <f t="shared" si="45"/>
        <v>0</v>
      </c>
      <c r="F107" s="89">
        <f t="shared" si="45"/>
        <v>0</v>
      </c>
      <c r="G107" s="89">
        <f t="shared" si="45"/>
        <v>0</v>
      </c>
      <c r="H107" s="89">
        <f t="shared" si="45"/>
        <v>0</v>
      </c>
      <c r="I107" s="89">
        <f t="shared" si="45"/>
        <v>0</v>
      </c>
      <c r="J107" s="89">
        <f t="shared" si="45"/>
        <v>0</v>
      </c>
      <c r="K107" s="89">
        <f t="shared" si="45"/>
        <v>0</v>
      </c>
      <c r="L107" s="89">
        <f t="shared" si="45"/>
        <v>0</v>
      </c>
      <c r="M107" s="89">
        <f t="shared" si="45"/>
        <v>0</v>
      </c>
      <c r="N107" s="89">
        <f t="shared" si="45"/>
        <v>0</v>
      </c>
      <c r="O107" s="89">
        <f t="shared" si="45"/>
        <v>0</v>
      </c>
      <c r="P107" s="89">
        <f t="shared" si="45"/>
        <v>0</v>
      </c>
      <c r="Q107" s="89">
        <f t="shared" si="45"/>
        <v>0</v>
      </c>
      <c r="R107" s="89">
        <f t="shared" si="45"/>
        <v>0</v>
      </c>
      <c r="S107" s="89">
        <f t="shared" si="45"/>
        <v>0</v>
      </c>
      <c r="T107" s="89">
        <f t="shared" si="45"/>
        <v>0</v>
      </c>
      <c r="U107" s="89">
        <f t="shared" si="45"/>
        <v>0</v>
      </c>
      <c r="V107" s="89">
        <f t="shared" si="45"/>
        <v>0</v>
      </c>
      <c r="W107" s="89">
        <f t="shared" si="45"/>
        <v>0</v>
      </c>
      <c r="X107" s="89">
        <f t="shared" si="45"/>
        <v>0</v>
      </c>
      <c r="Y107" s="89">
        <f t="shared" si="45"/>
        <v>0</v>
      </c>
      <c r="Z107" s="89">
        <f t="shared" si="45"/>
        <v>0</v>
      </c>
      <c r="AA107" s="89">
        <f t="shared" si="45"/>
        <v>0</v>
      </c>
      <c r="AB107" s="89">
        <f t="shared" si="45"/>
        <v>0</v>
      </c>
      <c r="AC107" s="89">
        <f t="shared" si="45"/>
        <v>0</v>
      </c>
      <c r="AD107" s="89">
        <f t="shared" si="45"/>
        <v>0</v>
      </c>
      <c r="AE107" s="89">
        <f t="shared" si="45"/>
        <v>0</v>
      </c>
      <c r="AF107" s="89">
        <f t="shared" si="45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43"/>
        <v>0</v>
      </c>
      <c r="C108" s="89">
        <f t="shared" si="43"/>
        <v>0</v>
      </c>
      <c r="D108" s="89">
        <f t="shared" si="44"/>
        <v>0</v>
      </c>
      <c r="E108" s="89">
        <f t="shared" si="45"/>
        <v>0</v>
      </c>
      <c r="F108" s="89">
        <f t="shared" si="45"/>
        <v>0</v>
      </c>
      <c r="G108" s="89">
        <f t="shared" si="45"/>
        <v>0</v>
      </c>
      <c r="H108" s="89">
        <f t="shared" si="45"/>
        <v>0</v>
      </c>
      <c r="I108" s="89">
        <f t="shared" si="45"/>
        <v>0</v>
      </c>
      <c r="J108" s="89">
        <f t="shared" si="45"/>
        <v>0</v>
      </c>
      <c r="K108" s="89">
        <f t="shared" si="45"/>
        <v>0</v>
      </c>
      <c r="L108" s="89">
        <f t="shared" si="45"/>
        <v>0</v>
      </c>
      <c r="M108" s="89">
        <f t="shared" si="45"/>
        <v>0</v>
      </c>
      <c r="N108" s="89">
        <f t="shared" si="45"/>
        <v>0</v>
      </c>
      <c r="O108" s="89">
        <f t="shared" si="45"/>
        <v>0</v>
      </c>
      <c r="P108" s="89">
        <f t="shared" si="45"/>
        <v>0</v>
      </c>
      <c r="Q108" s="89">
        <f t="shared" si="45"/>
        <v>0</v>
      </c>
      <c r="R108" s="89">
        <f t="shared" si="45"/>
        <v>0</v>
      </c>
      <c r="S108" s="89">
        <f t="shared" si="45"/>
        <v>0</v>
      </c>
      <c r="T108" s="89">
        <f t="shared" si="45"/>
        <v>0</v>
      </c>
      <c r="U108" s="89">
        <f t="shared" si="45"/>
        <v>0</v>
      </c>
      <c r="V108" s="89">
        <f t="shared" si="45"/>
        <v>0</v>
      </c>
      <c r="W108" s="89">
        <f t="shared" si="45"/>
        <v>0</v>
      </c>
      <c r="X108" s="89">
        <f t="shared" si="45"/>
        <v>0</v>
      </c>
      <c r="Y108" s="89">
        <f t="shared" si="45"/>
        <v>0</v>
      </c>
      <c r="Z108" s="89">
        <f t="shared" si="45"/>
        <v>0</v>
      </c>
      <c r="AA108" s="89">
        <f t="shared" si="45"/>
        <v>0</v>
      </c>
      <c r="AB108" s="89">
        <f t="shared" si="45"/>
        <v>0</v>
      </c>
      <c r="AC108" s="89">
        <f t="shared" si="45"/>
        <v>0</v>
      </c>
      <c r="AD108" s="89">
        <f t="shared" si="45"/>
        <v>0</v>
      </c>
      <c r="AE108" s="89">
        <f t="shared" si="45"/>
        <v>0</v>
      </c>
      <c r="AF108" s="89">
        <f t="shared" si="45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43"/>
        <v>0</v>
      </c>
      <c r="C109" s="89">
        <f t="shared" si="43"/>
        <v>0</v>
      </c>
      <c r="D109" s="89">
        <f t="shared" si="44"/>
        <v>0</v>
      </c>
      <c r="E109" s="89">
        <f t="shared" si="45"/>
        <v>0</v>
      </c>
      <c r="F109" s="89">
        <f t="shared" si="45"/>
        <v>0</v>
      </c>
      <c r="G109" s="89">
        <f t="shared" si="45"/>
        <v>0</v>
      </c>
      <c r="H109" s="89">
        <f t="shared" si="45"/>
        <v>0</v>
      </c>
      <c r="I109" s="89">
        <f t="shared" si="45"/>
        <v>0</v>
      </c>
      <c r="J109" s="89">
        <f t="shared" si="45"/>
        <v>0</v>
      </c>
      <c r="K109" s="89">
        <f t="shared" si="45"/>
        <v>0</v>
      </c>
      <c r="L109" s="89">
        <f t="shared" si="45"/>
        <v>0</v>
      </c>
      <c r="M109" s="89">
        <f t="shared" si="45"/>
        <v>0</v>
      </c>
      <c r="N109" s="89">
        <f t="shared" si="45"/>
        <v>0</v>
      </c>
      <c r="O109" s="89">
        <f t="shared" si="45"/>
        <v>0</v>
      </c>
      <c r="P109" s="89">
        <f t="shared" si="45"/>
        <v>0</v>
      </c>
      <c r="Q109" s="89">
        <f t="shared" si="45"/>
        <v>0</v>
      </c>
      <c r="R109" s="89">
        <f t="shared" si="45"/>
        <v>0</v>
      </c>
      <c r="S109" s="89">
        <f t="shared" si="45"/>
        <v>0</v>
      </c>
      <c r="T109" s="89">
        <f t="shared" si="45"/>
        <v>0</v>
      </c>
      <c r="U109" s="89">
        <f t="shared" si="45"/>
        <v>0</v>
      </c>
      <c r="V109" s="89">
        <f t="shared" si="45"/>
        <v>0</v>
      </c>
      <c r="W109" s="89">
        <f t="shared" si="45"/>
        <v>0</v>
      </c>
      <c r="X109" s="89">
        <f t="shared" si="45"/>
        <v>0</v>
      </c>
      <c r="Y109" s="89">
        <f t="shared" si="45"/>
        <v>0</v>
      </c>
      <c r="Z109" s="89">
        <f t="shared" si="45"/>
        <v>0</v>
      </c>
      <c r="AA109" s="89">
        <f t="shared" si="45"/>
        <v>0</v>
      </c>
      <c r="AB109" s="89">
        <f t="shared" si="45"/>
        <v>0</v>
      </c>
      <c r="AC109" s="89">
        <f t="shared" si="45"/>
        <v>0</v>
      </c>
      <c r="AD109" s="89">
        <f t="shared" si="45"/>
        <v>0</v>
      </c>
      <c r="AE109" s="89">
        <f t="shared" si="45"/>
        <v>0</v>
      </c>
      <c r="AF109" s="89">
        <f t="shared" si="45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475</v>
      </c>
      <c r="C110" s="71">
        <f>SUM(C104:C109)</f>
        <v>520</v>
      </c>
      <c r="D110" s="71">
        <f>SUM(D104:D109)</f>
        <v>504</v>
      </c>
      <c r="E110" s="71">
        <f t="shared" ref="E110:AF110" si="48">SUM(E104:E109)</f>
        <v>510</v>
      </c>
      <c r="F110" s="71">
        <f t="shared" si="48"/>
        <v>532</v>
      </c>
      <c r="G110" s="71">
        <f t="shared" si="48"/>
        <v>560</v>
      </c>
      <c r="H110" s="71">
        <f t="shared" si="48"/>
        <v>584</v>
      </c>
      <c r="I110" s="71">
        <f t="shared" si="48"/>
        <v>484</v>
      </c>
      <c r="J110" s="71">
        <f t="shared" si="48"/>
        <v>0</v>
      </c>
      <c r="K110" s="71">
        <f t="shared" si="48"/>
        <v>484</v>
      </c>
      <c r="L110" s="71">
        <f t="shared" si="48"/>
        <v>572</v>
      </c>
      <c r="M110" s="71">
        <f t="shared" si="48"/>
        <v>0</v>
      </c>
      <c r="N110" s="71">
        <f t="shared" si="48"/>
        <v>337</v>
      </c>
      <c r="O110" s="71">
        <f t="shared" si="48"/>
        <v>384</v>
      </c>
      <c r="P110" s="71">
        <f t="shared" si="48"/>
        <v>435</v>
      </c>
      <c r="Q110" s="71">
        <f t="shared" si="48"/>
        <v>435</v>
      </c>
      <c r="R110" s="71">
        <f t="shared" si="48"/>
        <v>390</v>
      </c>
      <c r="S110" s="71">
        <f t="shared" ref="S110:AA110" si="49">SUM(S104:S109)</f>
        <v>433.3</v>
      </c>
      <c r="T110" s="71">
        <f t="shared" si="49"/>
        <v>433.9</v>
      </c>
      <c r="U110" s="71">
        <f t="shared" si="49"/>
        <v>418</v>
      </c>
      <c r="V110" s="71">
        <f t="shared" si="49"/>
        <v>422.4</v>
      </c>
      <c r="W110" s="71">
        <f t="shared" si="49"/>
        <v>489.1</v>
      </c>
      <c r="X110" s="71">
        <f t="shared" si="49"/>
        <v>491.6</v>
      </c>
      <c r="Y110" s="71">
        <f t="shared" si="49"/>
        <v>497.7</v>
      </c>
      <c r="Z110" s="71">
        <f t="shared" si="49"/>
        <v>450.4</v>
      </c>
      <c r="AA110" s="71">
        <f t="shared" si="49"/>
        <v>347.8</v>
      </c>
      <c r="AB110" s="71">
        <f t="shared" si="48"/>
        <v>373.4</v>
      </c>
      <c r="AC110" s="71">
        <f t="shared" si="48"/>
        <v>372</v>
      </c>
      <c r="AD110" s="71">
        <f t="shared" si="48"/>
        <v>388.5</v>
      </c>
      <c r="AE110" s="71">
        <f t="shared" si="48"/>
        <v>462.6</v>
      </c>
      <c r="AF110" s="71">
        <f t="shared" si="48"/>
        <v>437.9</v>
      </c>
      <c r="AG110" s="101"/>
      <c r="AH110" s="48">
        <f t="shared" si="29"/>
        <v>584</v>
      </c>
      <c r="AI110" s="49">
        <f t="shared" si="30"/>
        <v>0</v>
      </c>
    </row>
    <row r="111" spans="1:64" ht="15.75" thickBot="1" x14ac:dyDescent="0.3">
      <c r="A111" s="87" t="s">
        <v>131</v>
      </c>
      <c r="B111" s="71">
        <f>B95-B110</f>
        <v>-387</v>
      </c>
      <c r="C111" s="71">
        <f>C95-C110</f>
        <v>-453</v>
      </c>
      <c r="D111" s="71">
        <f>D95-D110</f>
        <v>-434</v>
      </c>
      <c r="E111" s="71">
        <f t="shared" ref="E111:AF111" si="50">E95-E110</f>
        <v>-426.9</v>
      </c>
      <c r="F111" s="71">
        <f t="shared" si="50"/>
        <v>-493</v>
      </c>
      <c r="G111" s="71">
        <f t="shared" si="50"/>
        <v>-522</v>
      </c>
      <c r="H111" s="71">
        <f t="shared" si="50"/>
        <v>-542</v>
      </c>
      <c r="I111" s="71">
        <f t="shared" si="50"/>
        <v>-447.3</v>
      </c>
      <c r="J111" s="71">
        <f t="shared" si="50"/>
        <v>0</v>
      </c>
      <c r="K111" s="71">
        <f t="shared" si="50"/>
        <v>-447.3</v>
      </c>
      <c r="L111" s="71">
        <f t="shared" si="50"/>
        <v>-489</v>
      </c>
      <c r="M111" s="71">
        <f t="shared" si="50"/>
        <v>602.70000000000005</v>
      </c>
      <c r="N111" s="71">
        <f t="shared" si="50"/>
        <v>-272</v>
      </c>
      <c r="O111" s="71">
        <f t="shared" si="50"/>
        <v>-316</v>
      </c>
      <c r="P111" s="71">
        <f t="shared" si="50"/>
        <v>-339.9</v>
      </c>
      <c r="Q111" s="71">
        <f t="shared" si="50"/>
        <v>-339.9</v>
      </c>
      <c r="R111" s="71">
        <f t="shared" si="50"/>
        <v>-280</v>
      </c>
      <c r="S111" s="71">
        <f t="shared" ref="S111:AA111" si="51">S95-S110</f>
        <v>-319</v>
      </c>
      <c r="T111" s="71">
        <f t="shared" si="51"/>
        <v>-328.79999999999995</v>
      </c>
      <c r="U111" s="71">
        <f t="shared" si="51"/>
        <v>-300.5</v>
      </c>
      <c r="V111" s="71">
        <f t="shared" si="51"/>
        <v>-316.29999999999995</v>
      </c>
      <c r="W111" s="71">
        <f t="shared" si="51"/>
        <v>-391.3</v>
      </c>
      <c r="X111" s="71">
        <f t="shared" si="51"/>
        <v>-398.1</v>
      </c>
      <c r="Y111" s="71">
        <f t="shared" si="51"/>
        <v>-445.4</v>
      </c>
      <c r="Z111" s="71">
        <f t="shared" si="51"/>
        <v>-406.29999999999995</v>
      </c>
      <c r="AA111" s="71">
        <f t="shared" si="51"/>
        <v>-295.5</v>
      </c>
      <c r="AB111" s="71">
        <f t="shared" si="50"/>
        <v>-314.89999999999998</v>
      </c>
      <c r="AC111" s="71">
        <f t="shared" si="50"/>
        <v>-280.39999999999998</v>
      </c>
      <c r="AD111" s="71">
        <f t="shared" si="50"/>
        <v>-332</v>
      </c>
      <c r="AE111" s="71">
        <f t="shared" si="50"/>
        <v>-405.70000000000005</v>
      </c>
      <c r="AF111" s="71">
        <f t="shared" si="50"/>
        <v>-380.79999999999995</v>
      </c>
      <c r="AG111" s="101"/>
      <c r="AH111" s="48">
        <f t="shared" si="29"/>
        <v>602.70000000000005</v>
      </c>
      <c r="AI111" s="49">
        <f t="shared" si="30"/>
        <v>-542</v>
      </c>
    </row>
    <row r="112" spans="1:64" x14ac:dyDescent="0.25">
      <c r="A112" s="113" t="s">
        <v>132</v>
      </c>
      <c r="B112" s="114">
        <v>50.03</v>
      </c>
      <c r="C112" s="114">
        <v>49.99</v>
      </c>
      <c r="D112" s="114">
        <v>50</v>
      </c>
      <c r="E112" s="114">
        <v>50</v>
      </c>
      <c r="F112" s="114">
        <v>50.048000000000002</v>
      </c>
      <c r="G112" s="114">
        <v>49.978000000000002</v>
      </c>
      <c r="H112" s="114">
        <v>49.945</v>
      </c>
      <c r="I112" s="114">
        <v>50.045000000000002</v>
      </c>
      <c r="J112" s="114"/>
      <c r="K112" s="114"/>
      <c r="L112" s="114"/>
      <c r="M112" s="114">
        <v>49.970999999999997</v>
      </c>
      <c r="N112" s="114">
        <v>50.045999999999999</v>
      </c>
      <c r="O112" s="114">
        <v>50</v>
      </c>
      <c r="P112" s="114">
        <v>50.036000000000001</v>
      </c>
      <c r="Q112" s="114">
        <v>50.036000000000001</v>
      </c>
      <c r="R112" s="114">
        <v>49.85</v>
      </c>
      <c r="S112" s="114">
        <v>49.89</v>
      </c>
      <c r="T112" s="114">
        <v>50.01</v>
      </c>
      <c r="U112" s="114">
        <v>50.04</v>
      </c>
      <c r="V112" s="114">
        <v>49.96</v>
      </c>
      <c r="W112" s="114">
        <v>50.04</v>
      </c>
      <c r="X112" s="114">
        <v>50.014000000000003</v>
      </c>
      <c r="Y112" s="114">
        <v>50.01</v>
      </c>
      <c r="Z112" s="114">
        <v>50.03</v>
      </c>
      <c r="AA112" s="114">
        <v>50.04</v>
      </c>
      <c r="AB112" s="114">
        <v>50.048000000000002</v>
      </c>
      <c r="AC112" s="114">
        <v>50.000999999999998</v>
      </c>
      <c r="AD112" s="114">
        <v>49.976999999999997</v>
      </c>
      <c r="AE112" s="114">
        <v>49.93</v>
      </c>
      <c r="AF112" s="114">
        <v>49.927</v>
      </c>
      <c r="AG112" s="115"/>
      <c r="AH112" s="48">
        <f t="shared" si="29"/>
        <v>50.048000000000002</v>
      </c>
      <c r="AI112" s="49">
        <f t="shared" si="30"/>
        <v>49.85</v>
      </c>
    </row>
    <row r="113" spans="1:35" x14ac:dyDescent="0.25">
      <c r="A113" s="116" t="s">
        <v>133</v>
      </c>
      <c r="B113" s="76">
        <v>118</v>
      </c>
      <c r="C113" s="76">
        <v>119</v>
      </c>
      <c r="D113" s="76">
        <v>118</v>
      </c>
      <c r="E113" s="76">
        <v>121.4</v>
      </c>
      <c r="F113" s="76">
        <v>122.3</v>
      </c>
      <c r="G113" s="76">
        <v>122.2</v>
      </c>
      <c r="H113" s="76">
        <v>122.4</v>
      </c>
      <c r="I113" s="76">
        <v>119.5</v>
      </c>
      <c r="J113" s="76"/>
      <c r="K113" s="76"/>
      <c r="L113" s="76"/>
      <c r="M113" s="76">
        <v>117</v>
      </c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29"/>
        <v>122.4</v>
      </c>
      <c r="AI113" s="49">
        <f t="shared" si="30"/>
        <v>117</v>
      </c>
    </row>
    <row r="114" spans="1:35" x14ac:dyDescent="0.25">
      <c r="A114" s="116" t="s">
        <v>134</v>
      </c>
      <c r="B114" s="76">
        <v>125</v>
      </c>
      <c r="C114" s="76">
        <v>125</v>
      </c>
      <c r="D114" s="76">
        <v>125</v>
      </c>
      <c r="E114" s="76">
        <v>127</v>
      </c>
      <c r="F114" s="76">
        <v>127.3</v>
      </c>
      <c r="G114" s="76">
        <v>127</v>
      </c>
      <c r="H114" s="76">
        <v>126</v>
      </c>
      <c r="I114" s="76">
        <v>123.8</v>
      </c>
      <c r="J114" s="76"/>
      <c r="K114" s="76"/>
      <c r="L114" s="76"/>
      <c r="M114" s="76">
        <v>121</v>
      </c>
      <c r="N114" s="76">
        <v>118</v>
      </c>
      <c r="O114" s="76">
        <v>118.7</v>
      </c>
      <c r="P114" s="76">
        <v>118.2</v>
      </c>
      <c r="Q114" s="76">
        <v>118.2</v>
      </c>
      <c r="R114" s="76">
        <v>118.6</v>
      </c>
      <c r="S114" s="76">
        <v>117.3</v>
      </c>
      <c r="T114" s="76">
        <v>117.8</v>
      </c>
      <c r="U114" s="76">
        <v>119.8</v>
      </c>
      <c r="V114" s="76">
        <v>124.7</v>
      </c>
      <c r="W114" s="76">
        <v>124</v>
      </c>
      <c r="X114" s="76">
        <v>123.6</v>
      </c>
      <c r="Y114" s="76">
        <v>123.6</v>
      </c>
      <c r="Z114" s="76">
        <v>124.1</v>
      </c>
      <c r="AA114" s="76">
        <v>123.2</v>
      </c>
      <c r="AB114" s="76">
        <v>124.2</v>
      </c>
      <c r="AC114" s="76">
        <v>124.9</v>
      </c>
      <c r="AD114" s="76">
        <v>125.6</v>
      </c>
      <c r="AE114" s="76">
        <v>126.3</v>
      </c>
      <c r="AF114" s="76">
        <v>124.9</v>
      </c>
      <c r="AG114" s="117"/>
      <c r="AH114" s="48">
        <f t="shared" si="29"/>
        <v>127.3</v>
      </c>
      <c r="AI114" s="49">
        <f t="shared" si="30"/>
        <v>117.3</v>
      </c>
    </row>
    <row r="115" spans="1:35" x14ac:dyDescent="0.25">
      <c r="A115" s="116" t="s">
        <v>135</v>
      </c>
      <c r="B115" s="76">
        <v>126</v>
      </c>
      <c r="C115" s="76">
        <v>132</v>
      </c>
      <c r="D115" s="76">
        <v>132</v>
      </c>
      <c r="E115" s="76">
        <v>131.19999999999999</v>
      </c>
      <c r="F115" s="76">
        <v>132.1</v>
      </c>
      <c r="G115" s="76">
        <v>130.69999999999999</v>
      </c>
      <c r="H115" s="76">
        <v>131.19999999999999</v>
      </c>
      <c r="I115" s="76">
        <v>130.4</v>
      </c>
      <c r="J115" s="76"/>
      <c r="K115" s="76"/>
      <c r="L115" s="76"/>
      <c r="M115" s="76">
        <v>129.69999999999999</v>
      </c>
      <c r="N115" s="76">
        <v>132.1</v>
      </c>
      <c r="O115" s="76">
        <v>132.9</v>
      </c>
      <c r="P115" s="76">
        <v>130.4</v>
      </c>
      <c r="Q115" s="76">
        <v>130.4</v>
      </c>
      <c r="R115" s="76">
        <v>129.4</v>
      </c>
      <c r="S115" s="76">
        <v>130.1</v>
      </c>
      <c r="T115" s="76">
        <v>130.4</v>
      </c>
      <c r="U115" s="76">
        <v>129.4</v>
      </c>
      <c r="V115" s="76">
        <v>128.30000000000001</v>
      </c>
      <c r="W115" s="76">
        <v>129.4</v>
      </c>
      <c r="X115" s="76">
        <v>131.4</v>
      </c>
      <c r="Y115" s="76">
        <v>129.4</v>
      </c>
      <c r="Z115" s="76">
        <v>129.4</v>
      </c>
      <c r="AA115" s="76">
        <v>128</v>
      </c>
      <c r="AB115" s="76">
        <v>128.6</v>
      </c>
      <c r="AC115" s="76">
        <v>125.9</v>
      </c>
      <c r="AD115" s="76">
        <v>128.6</v>
      </c>
      <c r="AE115" s="76">
        <v>129.19999999999999</v>
      </c>
      <c r="AF115" s="76">
        <v>129.19999999999999</v>
      </c>
      <c r="AG115" s="117"/>
      <c r="AH115" s="48">
        <f t="shared" si="29"/>
        <v>132.9</v>
      </c>
      <c r="AI115" s="49">
        <f t="shared" si="30"/>
        <v>125.9</v>
      </c>
    </row>
    <row r="116" spans="1:35" x14ac:dyDescent="0.25">
      <c r="A116" s="118" t="s">
        <v>136</v>
      </c>
      <c r="B116" s="76">
        <v>128</v>
      </c>
      <c r="C116" s="76">
        <v>132</v>
      </c>
      <c r="D116" s="76">
        <v>132</v>
      </c>
      <c r="E116" s="76">
        <v>134</v>
      </c>
      <c r="F116" s="76">
        <v>134.6</v>
      </c>
      <c r="G116" s="76">
        <v>134</v>
      </c>
      <c r="H116" s="76">
        <v>134.30000000000001</v>
      </c>
      <c r="I116" s="76">
        <v>132.5</v>
      </c>
      <c r="J116" s="76"/>
      <c r="K116" s="76"/>
      <c r="L116" s="76"/>
      <c r="M116" s="76">
        <v>131.30000000000001</v>
      </c>
      <c r="N116" s="76">
        <v>131.6</v>
      </c>
      <c r="O116" s="76">
        <v>130.69999999999999</v>
      </c>
      <c r="P116" s="76">
        <v>130.4</v>
      </c>
      <c r="Q116" s="76">
        <v>130.4</v>
      </c>
      <c r="R116" s="76">
        <v>128.80000000000001</v>
      </c>
      <c r="S116" s="76">
        <v>129.19999999999999</v>
      </c>
      <c r="T116" s="76">
        <v>131.19999999999999</v>
      </c>
      <c r="U116" s="76">
        <v>130.4</v>
      </c>
      <c r="V116" s="76">
        <v>128.9</v>
      </c>
      <c r="W116" s="76">
        <v>130.1</v>
      </c>
      <c r="X116" s="76">
        <v>131.6</v>
      </c>
      <c r="Y116" s="76">
        <v>129.4</v>
      </c>
      <c r="Z116" s="76">
        <v>129.30000000000001</v>
      </c>
      <c r="AA116" s="76">
        <v>127.5</v>
      </c>
      <c r="AB116" s="76">
        <v>128.5</v>
      </c>
      <c r="AC116" s="76">
        <v>127.6</v>
      </c>
      <c r="AD116" s="76">
        <v>128.9</v>
      </c>
      <c r="AE116" s="76">
        <v>129.69999999999999</v>
      </c>
      <c r="AF116" s="76">
        <v>130.4</v>
      </c>
      <c r="AG116" s="117"/>
      <c r="AH116" s="48">
        <f t="shared" si="29"/>
        <v>134.6</v>
      </c>
      <c r="AI116" s="49">
        <f t="shared" si="30"/>
        <v>127.5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9"/>
        <v>0</v>
      </c>
      <c r="AI117" s="49">
        <f t="shared" si="30"/>
        <v>0</v>
      </c>
    </row>
    <row r="118" spans="1:35" x14ac:dyDescent="0.25">
      <c r="A118" s="116" t="s">
        <v>138</v>
      </c>
      <c r="B118" s="76">
        <v>125</v>
      </c>
      <c r="C118" s="76">
        <v>125</v>
      </c>
      <c r="D118" s="76">
        <v>124</v>
      </c>
      <c r="E118" s="76">
        <v>129</v>
      </c>
      <c r="F118" s="76">
        <v>125.6</v>
      </c>
      <c r="G118" s="76">
        <v>117</v>
      </c>
      <c r="H118" s="76">
        <v>120.9</v>
      </c>
      <c r="I118" s="76">
        <v>121.9</v>
      </c>
      <c r="J118" s="76"/>
      <c r="K118" s="76"/>
      <c r="L118" s="76"/>
      <c r="M118" s="76">
        <v>125</v>
      </c>
      <c r="N118" s="76">
        <v>122.7</v>
      </c>
      <c r="O118" s="76">
        <v>124.1</v>
      </c>
      <c r="P118" s="76">
        <v>123</v>
      </c>
      <c r="Q118" s="76">
        <v>123</v>
      </c>
      <c r="R118" s="76">
        <v>124</v>
      </c>
      <c r="S118" s="76">
        <v>124.7</v>
      </c>
      <c r="T118" s="76">
        <v>127.2</v>
      </c>
      <c r="U118" s="76">
        <v>127.7</v>
      </c>
      <c r="V118" s="76">
        <v>126</v>
      </c>
      <c r="W118" s="76">
        <v>127.5</v>
      </c>
      <c r="X118" s="76">
        <v>130.9</v>
      </c>
      <c r="Y118" s="76">
        <v>123.6</v>
      </c>
      <c r="Z118" s="76">
        <v>131.6</v>
      </c>
      <c r="AA118" s="76">
        <v>124.5</v>
      </c>
      <c r="AB118" s="76">
        <v>121</v>
      </c>
      <c r="AC118" s="76">
        <v>121.6</v>
      </c>
      <c r="AD118" s="76">
        <v>129.30000000000001</v>
      </c>
      <c r="AE118" s="76">
        <v>127.4</v>
      </c>
      <c r="AF118" s="76">
        <v>118.2</v>
      </c>
      <c r="AG118" s="117"/>
      <c r="AH118" s="48">
        <f t="shared" si="29"/>
        <v>131.6</v>
      </c>
      <c r="AI118" s="49">
        <f t="shared" si="30"/>
        <v>117</v>
      </c>
    </row>
    <row r="119" spans="1:35" ht="15.75" thickBot="1" x14ac:dyDescent="0.3">
      <c r="A119" s="116" t="s">
        <v>139</v>
      </c>
      <c r="B119" s="105">
        <v>63</v>
      </c>
      <c r="C119" s="105">
        <v>63</v>
      </c>
      <c r="D119" s="105">
        <v>63</v>
      </c>
      <c r="E119" s="105">
        <v>64</v>
      </c>
      <c r="F119" s="105">
        <v>64.2</v>
      </c>
      <c r="G119" s="105">
        <v>64</v>
      </c>
      <c r="H119" s="105">
        <v>63.4</v>
      </c>
      <c r="I119" s="105">
        <v>62.1</v>
      </c>
      <c r="J119" s="105"/>
      <c r="K119" s="105"/>
      <c r="L119" s="105"/>
      <c r="M119" s="105">
        <v>61</v>
      </c>
      <c r="N119" s="105">
        <v>58.5</v>
      </c>
      <c r="O119" s="105">
        <v>59.1</v>
      </c>
      <c r="P119" s="105">
        <v>59</v>
      </c>
      <c r="Q119" s="105">
        <v>59</v>
      </c>
      <c r="R119" s="105">
        <v>59</v>
      </c>
      <c r="S119" s="105">
        <v>58.9</v>
      </c>
      <c r="T119" s="105">
        <v>58.9</v>
      </c>
      <c r="U119" s="105">
        <v>59.9</v>
      </c>
      <c r="V119" s="105">
        <v>62.2</v>
      </c>
      <c r="W119" s="105">
        <v>62.2</v>
      </c>
      <c r="X119" s="105">
        <v>62.2</v>
      </c>
      <c r="Y119" s="105">
        <v>62.4</v>
      </c>
      <c r="Z119" s="105">
        <v>62.7</v>
      </c>
      <c r="AA119" s="105">
        <v>62</v>
      </c>
      <c r="AB119" s="105">
        <v>62.8</v>
      </c>
      <c r="AC119" s="105">
        <v>63</v>
      </c>
      <c r="AD119" s="105">
        <v>63.5</v>
      </c>
      <c r="AE119" s="105">
        <v>63.7</v>
      </c>
      <c r="AF119" s="105">
        <v>62.9</v>
      </c>
      <c r="AG119" s="121"/>
      <c r="AH119" s="48">
        <f t="shared" si="29"/>
        <v>64.2</v>
      </c>
      <c r="AI119" s="49">
        <f t="shared" si="30"/>
        <v>58.5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80.94</v>
      </c>
      <c r="C121" s="124">
        <f>SUM(C25,C31,C34:C35,C69,C71:C72,C74,C76,C122:C126,C158,C164,C170,C179,C181,C193,C200,C203:C204,C211,C213,C215,C219:C221,C223:C225,C230,C236:C237,C239:C241,C249,C254)</f>
        <v>82.94</v>
      </c>
      <c r="D121" s="124">
        <f>SUM(D25,D31,D34:D35,D69,D71:D72,D74,D76,D122:D126,D158,D164,D170,D179,D181,D193,D200,D203:D204,D211,D213,D215,D219:D221,D223:D225,D230,D236:D237,D239:D241,D249,D254)</f>
        <v>86.94</v>
      </c>
      <c r="E121" s="124">
        <f t="shared" ref="E121:O121" si="52">SUM(E25,E31,E34:E35,E69,E71:E72,E74,E76,E122:E126,E158,E164,E170,E179,E181,E193,E200,E203:E204,E211,E213,E215,E219:E221,E223:E225,E230,E236:E237,E239:E241,E249,E254)</f>
        <v>79.739999999999995</v>
      </c>
      <c r="F121" s="124">
        <f t="shared" si="52"/>
        <v>67.039999999999992</v>
      </c>
      <c r="G121" s="124">
        <f t="shared" si="52"/>
        <v>221.94</v>
      </c>
      <c r="H121" s="124">
        <f t="shared" si="52"/>
        <v>143.84000000000003</v>
      </c>
      <c r="I121" s="124">
        <f t="shared" si="52"/>
        <v>135.74</v>
      </c>
      <c r="J121" s="124">
        <f t="shared" si="52"/>
        <v>0.94</v>
      </c>
      <c r="K121" s="124">
        <f t="shared" si="52"/>
        <v>119.74000000000001</v>
      </c>
      <c r="L121" s="124">
        <f t="shared" si="52"/>
        <v>119.74000000000001</v>
      </c>
      <c r="M121" s="124">
        <f t="shared" si="52"/>
        <v>188.34</v>
      </c>
      <c r="N121" s="124">
        <f t="shared" si="52"/>
        <v>177.94</v>
      </c>
      <c r="O121" s="124">
        <f t="shared" si="52"/>
        <v>166.03999999999996</v>
      </c>
      <c r="P121" s="124">
        <v>42</v>
      </c>
      <c r="Q121" s="124">
        <f t="shared" ref="Q121:AF121" si="53">SUM(Q25,Q31,Q34:Q35,Q69,Q71:Q72,Q74,Q76,Q122:Q126,Q158,Q164,Q170,Q179,Q181,Q193,Q200,Q203:Q204,Q211,Q213,Q215,Q219:Q221,Q223:Q225,Q230,Q236:Q237,Q239:Q241,Q249,Q254)</f>
        <v>167.44</v>
      </c>
      <c r="R121" s="124">
        <f t="shared" si="53"/>
        <v>159.34000000000003</v>
      </c>
      <c r="S121" s="124">
        <f t="shared" si="53"/>
        <v>303.74</v>
      </c>
      <c r="T121" s="124">
        <f t="shared" si="53"/>
        <v>296.14</v>
      </c>
      <c r="U121" s="124">
        <f t="shared" si="53"/>
        <v>297.74</v>
      </c>
      <c r="V121" s="124">
        <f t="shared" si="53"/>
        <v>273.44000000000011</v>
      </c>
      <c r="W121" s="124">
        <f t="shared" si="53"/>
        <v>203.13999999999996</v>
      </c>
      <c r="X121" s="124">
        <f t="shared" si="53"/>
        <v>216.34000000000003</v>
      </c>
      <c r="Y121" s="124">
        <f t="shared" si="53"/>
        <v>262.64000000000004</v>
      </c>
      <c r="Z121" s="124">
        <f t="shared" si="53"/>
        <v>294.94</v>
      </c>
      <c r="AA121" s="124">
        <f t="shared" si="53"/>
        <v>339.04</v>
      </c>
      <c r="AB121" s="124">
        <f t="shared" si="53"/>
        <v>197.74000000000004</v>
      </c>
      <c r="AC121" s="124">
        <f t="shared" si="53"/>
        <v>187.24</v>
      </c>
      <c r="AD121" s="124">
        <f t="shared" si="53"/>
        <v>166.44</v>
      </c>
      <c r="AE121" s="124">
        <f t="shared" si="53"/>
        <v>129.64000000000001</v>
      </c>
      <c r="AF121" s="124">
        <f t="shared" si="53"/>
        <v>88.339999999999975</v>
      </c>
      <c r="AG121" s="125"/>
      <c r="AH121" s="48">
        <f t="shared" si="29"/>
        <v>339.04</v>
      </c>
      <c r="AI121" s="49">
        <f t="shared" si="30"/>
        <v>0.94</v>
      </c>
    </row>
    <row r="122" spans="1:35" x14ac:dyDescent="0.25">
      <c r="A122" s="126" t="s">
        <v>142</v>
      </c>
      <c r="B122" s="127">
        <v>90</v>
      </c>
      <c r="C122" s="127">
        <v>100</v>
      </c>
      <c r="D122" s="127">
        <v>93</v>
      </c>
      <c r="E122" s="127">
        <v>58</v>
      </c>
      <c r="F122" s="127">
        <v>44.5</v>
      </c>
      <c r="G122" s="127">
        <v>67</v>
      </c>
      <c r="H122" s="127">
        <v>80.7</v>
      </c>
      <c r="I122" s="127">
        <v>64.099999999999994</v>
      </c>
      <c r="J122" s="127"/>
      <c r="K122" s="127"/>
      <c r="L122" s="127"/>
      <c r="M122" s="127">
        <v>78</v>
      </c>
      <c r="N122" s="127">
        <v>81</v>
      </c>
      <c r="O122" s="127">
        <v>54.6</v>
      </c>
      <c r="P122" s="127">
        <v>54.2</v>
      </c>
      <c r="Q122" s="127">
        <v>54.2</v>
      </c>
      <c r="R122" s="127">
        <v>68</v>
      </c>
      <c r="S122" s="127">
        <v>65.900000000000006</v>
      </c>
      <c r="T122" s="127">
        <v>58.3</v>
      </c>
      <c r="U122" s="127">
        <v>64.5</v>
      </c>
      <c r="V122" s="127">
        <v>65.2</v>
      </c>
      <c r="W122" s="127">
        <v>73.8</v>
      </c>
      <c r="X122" s="127">
        <v>88.6</v>
      </c>
      <c r="Y122" s="127">
        <v>84.3</v>
      </c>
      <c r="Z122" s="127">
        <v>89.9</v>
      </c>
      <c r="AA122" s="127">
        <v>70</v>
      </c>
      <c r="AB122" s="127">
        <v>63.4</v>
      </c>
      <c r="AC122" s="127">
        <v>63.6</v>
      </c>
      <c r="AD122" s="127">
        <v>53.7</v>
      </c>
      <c r="AE122" s="127">
        <v>63.7</v>
      </c>
      <c r="AF122" s="127">
        <v>52.5</v>
      </c>
      <c r="AG122" s="128">
        <v>75</v>
      </c>
      <c r="AH122" s="48">
        <f t="shared" si="29"/>
        <v>100</v>
      </c>
      <c r="AI122" s="49">
        <f t="shared" si="30"/>
        <v>44.5</v>
      </c>
    </row>
    <row r="123" spans="1:35" x14ac:dyDescent="0.25">
      <c r="A123" s="129" t="s">
        <v>143</v>
      </c>
      <c r="B123" s="130">
        <v>61</v>
      </c>
      <c r="C123" s="130">
        <v>67</v>
      </c>
      <c r="D123" s="130">
        <v>63</v>
      </c>
      <c r="E123" s="130">
        <v>88</v>
      </c>
      <c r="F123" s="130">
        <v>70.599999999999994</v>
      </c>
      <c r="G123" s="130">
        <v>99</v>
      </c>
      <c r="H123" s="130">
        <v>116</v>
      </c>
      <c r="I123" s="130">
        <v>93</v>
      </c>
      <c r="J123" s="130"/>
      <c r="K123" s="130"/>
      <c r="L123" s="130"/>
      <c r="M123" s="130">
        <v>107</v>
      </c>
      <c r="N123" s="130">
        <v>55</v>
      </c>
      <c r="O123" s="130">
        <v>81</v>
      </c>
      <c r="P123" s="130">
        <v>82.4</v>
      </c>
      <c r="Q123" s="130">
        <v>82.4</v>
      </c>
      <c r="R123" s="130">
        <v>98</v>
      </c>
      <c r="S123" s="130">
        <v>95.5</v>
      </c>
      <c r="T123" s="130">
        <v>86.1</v>
      </c>
      <c r="U123" s="130">
        <v>95.6</v>
      </c>
      <c r="V123" s="130">
        <v>92.9</v>
      </c>
      <c r="W123" s="130">
        <v>108.7</v>
      </c>
      <c r="X123" s="130">
        <v>127.4</v>
      </c>
      <c r="Y123" s="130">
        <v>123.8</v>
      </c>
      <c r="Z123" s="130">
        <v>128.1</v>
      </c>
      <c r="AA123" s="130">
        <v>100.3</v>
      </c>
      <c r="AB123" s="130">
        <v>94.4</v>
      </c>
      <c r="AC123" s="130">
        <v>95.1</v>
      </c>
      <c r="AD123" s="130">
        <v>82.2</v>
      </c>
      <c r="AE123" s="130">
        <v>97.7</v>
      </c>
      <c r="AF123" s="130">
        <v>79.5</v>
      </c>
      <c r="AG123" s="128">
        <v>240</v>
      </c>
      <c r="AH123" s="48">
        <f t="shared" si="29"/>
        <v>128.1</v>
      </c>
      <c r="AI123" s="49">
        <f t="shared" si="30"/>
        <v>55</v>
      </c>
    </row>
    <row r="124" spans="1:35" x14ac:dyDescent="0.25">
      <c r="A124" s="129" t="s">
        <v>144</v>
      </c>
      <c r="B124" s="130">
        <v>-170</v>
      </c>
      <c r="C124" s="130">
        <v>-184</v>
      </c>
      <c r="D124" s="130">
        <v>-165</v>
      </c>
      <c r="E124" s="130">
        <v>-164</v>
      </c>
      <c r="F124" s="130">
        <v>-151</v>
      </c>
      <c r="G124" s="130">
        <v>-77</v>
      </c>
      <c r="H124" s="130">
        <v>-176</v>
      </c>
      <c r="I124" s="130">
        <v>-140</v>
      </c>
      <c r="J124" s="130"/>
      <c r="K124" s="130"/>
      <c r="L124" s="130"/>
      <c r="M124" s="130">
        <v>-127</v>
      </c>
      <c r="N124" s="130">
        <v>-86</v>
      </c>
      <c r="O124" s="130">
        <v>-99</v>
      </c>
      <c r="P124" s="130">
        <v>-98</v>
      </c>
      <c r="Q124" s="130">
        <v>-98</v>
      </c>
      <c r="R124" s="130">
        <v>-130</v>
      </c>
      <c r="S124" s="130">
        <v>-93.1</v>
      </c>
      <c r="T124" s="130">
        <v>-117.9</v>
      </c>
      <c r="U124" s="130">
        <v>-119.9</v>
      </c>
      <c r="V124" s="130">
        <v>-52.9</v>
      </c>
      <c r="W124" s="130">
        <v>-133.80000000000001</v>
      </c>
      <c r="X124" s="130">
        <v>-151.19999999999999</v>
      </c>
      <c r="Y124" s="130">
        <v>-153.6</v>
      </c>
      <c r="Z124" s="130">
        <v>-149.1</v>
      </c>
      <c r="AA124" s="130">
        <v>-113</v>
      </c>
      <c r="AB124" s="130">
        <v>-120</v>
      </c>
      <c r="AC124" s="130">
        <v>-130</v>
      </c>
      <c r="AD124" s="130">
        <v>-126</v>
      </c>
      <c r="AE124" s="130">
        <v>-180</v>
      </c>
      <c r="AF124" s="130">
        <v>-180</v>
      </c>
      <c r="AG124" s="128">
        <v>240</v>
      </c>
      <c r="AH124" s="48">
        <f t="shared" si="29"/>
        <v>-52.9</v>
      </c>
      <c r="AI124" s="49">
        <f t="shared" si="30"/>
        <v>-184</v>
      </c>
    </row>
    <row r="125" spans="1:35" ht="15.75" thickBot="1" x14ac:dyDescent="0.3">
      <c r="A125" s="129" t="s">
        <v>145</v>
      </c>
      <c r="B125" s="130">
        <v>-13</v>
      </c>
      <c r="C125" s="130">
        <v>-13</v>
      </c>
      <c r="D125" s="130">
        <v>-17</v>
      </c>
      <c r="E125" s="130">
        <v>-15.2</v>
      </c>
      <c r="F125" s="130">
        <v>-12</v>
      </c>
      <c r="G125" s="130">
        <v>24</v>
      </c>
      <c r="H125" s="130">
        <v>0</v>
      </c>
      <c r="I125" s="130">
        <v>0</v>
      </c>
      <c r="J125" s="130"/>
      <c r="K125" s="130"/>
      <c r="L125" s="130"/>
      <c r="M125" s="130">
        <v>4.5999999999999996</v>
      </c>
      <c r="N125" s="130">
        <v>2.2000000000000002</v>
      </c>
      <c r="O125" s="130">
        <v>3.7</v>
      </c>
      <c r="P125" s="130">
        <v>0</v>
      </c>
      <c r="Q125" s="130">
        <v>0</v>
      </c>
      <c r="R125" s="130">
        <v>-5.5</v>
      </c>
      <c r="S125" s="130">
        <v>12.7</v>
      </c>
      <c r="T125" s="130">
        <v>0</v>
      </c>
      <c r="U125" s="130">
        <v>2.9</v>
      </c>
      <c r="V125" s="130">
        <v>6.8</v>
      </c>
      <c r="W125" s="130">
        <v>-4.9000000000000004</v>
      </c>
      <c r="X125" s="130">
        <v>-7</v>
      </c>
      <c r="Y125" s="130">
        <v>-3.9</v>
      </c>
      <c r="Z125" s="130">
        <v>3.3</v>
      </c>
      <c r="AA125" s="130">
        <v>8.4</v>
      </c>
      <c r="AB125" s="130">
        <v>2.6</v>
      </c>
      <c r="AC125" s="130">
        <v>1.2</v>
      </c>
      <c r="AD125" s="130">
        <v>-0.8</v>
      </c>
      <c r="AE125" s="130">
        <v>-9.1</v>
      </c>
      <c r="AF125" s="130">
        <v>-21</v>
      </c>
      <c r="AG125" s="128">
        <v>60</v>
      </c>
      <c r="AH125" s="48">
        <f t="shared" si="29"/>
        <v>24</v>
      </c>
      <c r="AI125" s="49">
        <f t="shared" si="30"/>
        <v>-21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>
        <v>111.7</v>
      </c>
      <c r="T126" s="131">
        <v>103.6</v>
      </c>
      <c r="U126" s="131">
        <v>90.3</v>
      </c>
      <c r="V126" s="131">
        <v>0.3</v>
      </c>
      <c r="W126" s="131">
        <v>0.3</v>
      </c>
      <c r="X126" s="131">
        <v>0.3</v>
      </c>
      <c r="Y126" s="131">
        <v>53.8</v>
      </c>
      <c r="Z126" s="131">
        <v>65.400000000000006</v>
      </c>
      <c r="AA126" s="131">
        <v>116</v>
      </c>
      <c r="AB126" s="131"/>
      <c r="AC126" s="131"/>
      <c r="AD126" s="131"/>
      <c r="AE126" s="131"/>
      <c r="AF126" s="131"/>
      <c r="AG126" s="132">
        <v>120</v>
      </c>
      <c r="AH126" s="48">
        <f t="shared" si="29"/>
        <v>116</v>
      </c>
      <c r="AI126" s="49">
        <f t="shared" si="30"/>
        <v>0.3</v>
      </c>
    </row>
    <row r="127" spans="1:35" x14ac:dyDescent="0.25">
      <c r="A127" s="129" t="s">
        <v>147</v>
      </c>
      <c r="B127" s="131">
        <v>82</v>
      </c>
      <c r="C127" s="131">
        <v>82</v>
      </c>
      <c r="D127" s="131">
        <v>62</v>
      </c>
      <c r="E127" s="131">
        <v>69</v>
      </c>
      <c r="F127" s="131">
        <v>73</v>
      </c>
      <c r="G127" s="131">
        <v>64</v>
      </c>
      <c r="H127" s="131">
        <v>64</v>
      </c>
      <c r="I127" s="131">
        <v>77.2</v>
      </c>
      <c r="J127" s="131"/>
      <c r="K127" s="131"/>
      <c r="L127" s="131"/>
      <c r="M127" s="131">
        <v>92.9</v>
      </c>
      <c r="N127" s="131">
        <v>101</v>
      </c>
      <c r="O127" s="131">
        <v>113</v>
      </c>
      <c r="P127" s="131">
        <v>114.5</v>
      </c>
      <c r="Q127" s="131">
        <v>114.5</v>
      </c>
      <c r="R127" s="131">
        <v>94</v>
      </c>
      <c r="S127" s="131">
        <v>101.9</v>
      </c>
      <c r="T127" s="131">
        <v>100.9</v>
      </c>
      <c r="U127" s="131">
        <v>92.6</v>
      </c>
      <c r="V127" s="131">
        <v>53.9</v>
      </c>
      <c r="W127" s="131">
        <v>87.5</v>
      </c>
      <c r="X127" s="131">
        <v>81.900000000000006</v>
      </c>
      <c r="Y127" s="131">
        <v>79.099999999999994</v>
      </c>
      <c r="Z127" s="131">
        <v>83.7</v>
      </c>
      <c r="AA127" s="131">
        <v>106.3</v>
      </c>
      <c r="AB127" s="131">
        <v>109.4</v>
      </c>
      <c r="AC127" s="131">
        <v>104.8</v>
      </c>
      <c r="AD127" s="131">
        <v>103.8</v>
      </c>
      <c r="AE127" s="131">
        <v>86.1</v>
      </c>
      <c r="AF127" s="131">
        <v>95.6</v>
      </c>
      <c r="AG127" s="132"/>
      <c r="AH127" s="48"/>
      <c r="AI127" s="49"/>
    </row>
    <row r="128" spans="1:35" x14ac:dyDescent="0.25">
      <c r="A128" s="129" t="s">
        <v>148</v>
      </c>
      <c r="B128" s="131">
        <v>49</v>
      </c>
      <c r="C128" s="131">
        <v>43</v>
      </c>
      <c r="D128" s="131">
        <v>43</v>
      </c>
      <c r="E128" s="131">
        <v>43</v>
      </c>
      <c r="F128" s="131">
        <v>57</v>
      </c>
      <c r="G128" s="131">
        <v>3</v>
      </c>
      <c r="H128" s="131">
        <v>3</v>
      </c>
      <c r="I128" s="131">
        <v>13</v>
      </c>
      <c r="J128" s="131"/>
      <c r="K128" s="131"/>
      <c r="L128" s="131"/>
      <c r="M128" s="131">
        <v>5.8</v>
      </c>
      <c r="N128" s="131">
        <v>14.8</v>
      </c>
      <c r="O128" s="131">
        <v>25</v>
      </c>
      <c r="P128" s="131">
        <v>47.5</v>
      </c>
      <c r="Q128" s="131">
        <v>47.5</v>
      </c>
      <c r="R128" s="131">
        <v>17</v>
      </c>
      <c r="S128" s="131">
        <v>47.2</v>
      </c>
      <c r="T128" s="131">
        <v>35.799999999999997</v>
      </c>
      <c r="U128" s="131">
        <v>13.2</v>
      </c>
      <c r="V128" s="131">
        <v>-56.5</v>
      </c>
      <c r="W128" s="131">
        <v>5.5</v>
      </c>
      <c r="X128" s="131">
        <v>-13</v>
      </c>
      <c r="Y128" s="131">
        <v>-11</v>
      </c>
      <c r="Z128" s="131">
        <v>-14.36</v>
      </c>
      <c r="AA128" s="131">
        <v>5.4</v>
      </c>
      <c r="AB128" s="131">
        <v>9.1999999999999993</v>
      </c>
      <c r="AC128" s="131">
        <v>13</v>
      </c>
      <c r="AD128" s="131">
        <v>24.1</v>
      </c>
      <c r="AE128" s="131">
        <v>31.1</v>
      </c>
      <c r="AF128" s="131">
        <v>61.7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60</v>
      </c>
      <c r="C129" s="131">
        <v>54</v>
      </c>
      <c r="D129" s="131">
        <v>54</v>
      </c>
      <c r="E129" s="131">
        <v>62</v>
      </c>
      <c r="F129" s="131">
        <v>60</v>
      </c>
      <c r="G129" s="131">
        <v>37</v>
      </c>
      <c r="H129" s="131">
        <v>37</v>
      </c>
      <c r="I129" s="131">
        <v>63</v>
      </c>
      <c r="J129" s="131"/>
      <c r="K129" s="131"/>
      <c r="L129" s="131"/>
      <c r="M129" s="131">
        <v>68</v>
      </c>
      <c r="N129" s="131">
        <v>102</v>
      </c>
      <c r="O129" s="131">
        <v>105</v>
      </c>
      <c r="P129" s="131">
        <v>97.5</v>
      </c>
      <c r="Q129" s="131">
        <v>97.5</v>
      </c>
      <c r="R129" s="131">
        <v>91</v>
      </c>
      <c r="S129" s="131">
        <v>92.5</v>
      </c>
      <c r="T129" s="131">
        <v>88.7</v>
      </c>
      <c r="U129" s="131">
        <v>76.900000000000006</v>
      </c>
      <c r="V129" s="131">
        <v>87.3</v>
      </c>
      <c r="W129" s="131">
        <v>49.7</v>
      </c>
      <c r="X129" s="131">
        <v>49.89</v>
      </c>
      <c r="Y129" s="131">
        <v>50.8</v>
      </c>
      <c r="Z129" s="131">
        <v>55.6</v>
      </c>
      <c r="AA129" s="131">
        <v>88.9</v>
      </c>
      <c r="AB129" s="131">
        <v>84.2</v>
      </c>
      <c r="AC129" s="131">
        <v>76.900000000000006</v>
      </c>
      <c r="AD129" s="131">
        <v>76.599999999999994</v>
      </c>
      <c r="AE129" s="131">
        <v>48.6</v>
      </c>
      <c r="AF129" s="131">
        <v>68.3</v>
      </c>
      <c r="AG129" s="128"/>
      <c r="AH129" s="48">
        <f>MAX(B129:AF129)</f>
        <v>105</v>
      </c>
      <c r="AI129" s="49">
        <f>MIN(B129:AF129)</f>
        <v>37</v>
      </c>
    </row>
    <row r="130" spans="1:37" x14ac:dyDescent="0.25">
      <c r="A130" s="126" t="s">
        <v>150</v>
      </c>
      <c r="B130" s="131">
        <v>-377</v>
      </c>
      <c r="C130" s="131">
        <v>-378</v>
      </c>
      <c r="D130" s="131">
        <v>-378</v>
      </c>
      <c r="E130" s="131">
        <v>-378</v>
      </c>
      <c r="F130" s="131">
        <v>-363</v>
      </c>
      <c r="G130" s="131">
        <v>-350</v>
      </c>
      <c r="H130" s="131">
        <v>-350</v>
      </c>
      <c r="I130" s="131">
        <v>-295</v>
      </c>
      <c r="J130" s="131"/>
      <c r="K130" s="131"/>
      <c r="L130" s="131"/>
      <c r="M130" s="131">
        <v>-330</v>
      </c>
      <c r="N130" s="131">
        <v>-285</v>
      </c>
      <c r="O130" s="131">
        <v>-290</v>
      </c>
      <c r="P130" s="131">
        <v>-311.8</v>
      </c>
      <c r="Q130" s="131">
        <v>-311.8</v>
      </c>
      <c r="R130" s="131">
        <v>-312</v>
      </c>
      <c r="S130" s="131">
        <v>-325.10000000000002</v>
      </c>
      <c r="T130" s="131">
        <v>47.6</v>
      </c>
      <c r="U130" s="131">
        <v>-336.7</v>
      </c>
      <c r="V130" s="131">
        <v>-357.9</v>
      </c>
      <c r="W130" s="131">
        <v>-346.9</v>
      </c>
      <c r="X130" s="131">
        <v>-354.1</v>
      </c>
      <c r="Y130" s="131">
        <v>-356</v>
      </c>
      <c r="Z130" s="131">
        <v>-351.2</v>
      </c>
      <c r="AA130" s="131">
        <v>-326.60000000000002</v>
      </c>
      <c r="AB130" s="131">
        <v>-331.3</v>
      </c>
      <c r="AC130" s="131">
        <v>-335.3</v>
      </c>
      <c r="AD130" s="131">
        <v>-335.1</v>
      </c>
      <c r="AE130" s="131">
        <v>-354.4</v>
      </c>
      <c r="AF130" s="131">
        <v>-347.5</v>
      </c>
      <c r="AG130" s="128"/>
      <c r="AH130" s="48">
        <f>MAX(B130:AF130)</f>
        <v>47.6</v>
      </c>
      <c r="AI130" s="49">
        <f>MIN(B130:AF130)</f>
        <v>-378</v>
      </c>
    </row>
    <row r="131" spans="1:37" x14ac:dyDescent="0.25">
      <c r="A131" s="129" t="s">
        <v>151</v>
      </c>
      <c r="B131" s="119">
        <v>34</v>
      </c>
      <c r="C131" s="119">
        <v>42</v>
      </c>
      <c r="D131" s="119">
        <v>45</v>
      </c>
      <c r="E131" s="119">
        <v>59</v>
      </c>
      <c r="F131" s="119">
        <v>63</v>
      </c>
      <c r="G131" s="119"/>
      <c r="H131" s="119"/>
      <c r="I131" s="119"/>
      <c r="J131" s="119"/>
      <c r="K131" s="119"/>
      <c r="L131" s="119"/>
      <c r="M131" s="119">
        <v>66</v>
      </c>
      <c r="N131" s="119">
        <v>65.8</v>
      </c>
      <c r="O131" s="119">
        <v>59</v>
      </c>
      <c r="P131" s="119">
        <v>55.2</v>
      </c>
      <c r="Q131" s="119">
        <v>55.2</v>
      </c>
      <c r="R131" s="119">
        <v>42</v>
      </c>
      <c r="S131" s="119">
        <v>45.1</v>
      </c>
      <c r="T131" s="119">
        <v>-332.3</v>
      </c>
      <c r="U131" s="119">
        <v>46</v>
      </c>
      <c r="V131" s="119">
        <v>37.6</v>
      </c>
      <c r="W131" s="119">
        <v>29.2</v>
      </c>
      <c r="X131" s="119">
        <v>33.299999999999997</v>
      </c>
      <c r="Y131" s="119">
        <v>37.799999999999997</v>
      </c>
      <c r="Z131" s="119">
        <v>26.7</v>
      </c>
      <c r="AA131" s="119">
        <v>18.600000000000001</v>
      </c>
      <c r="AB131" s="119">
        <v>18.7</v>
      </c>
      <c r="AC131" s="119">
        <v>22.1</v>
      </c>
      <c r="AD131" s="119">
        <v>23</v>
      </c>
      <c r="AE131" s="119">
        <v>29.6</v>
      </c>
      <c r="AF131" s="119">
        <v>34.9</v>
      </c>
      <c r="AG131" s="128"/>
      <c r="AH131" s="48">
        <f>MAX(B131:AF131)</f>
        <v>66</v>
      </c>
      <c r="AI131" s="49">
        <f>MIN(B131:AF131)</f>
        <v>-332.3</v>
      </c>
    </row>
    <row r="132" spans="1:37" x14ac:dyDescent="0.25">
      <c r="A132" s="129" t="s">
        <v>152</v>
      </c>
      <c r="B132" s="119">
        <v>31</v>
      </c>
      <c r="C132" s="119">
        <v>8</v>
      </c>
      <c r="D132" s="119">
        <v>14</v>
      </c>
      <c r="E132" s="119">
        <v>17</v>
      </c>
      <c r="F132" s="119">
        <v>3</v>
      </c>
      <c r="G132" s="119">
        <v>-18</v>
      </c>
      <c r="H132" s="119">
        <v>-18</v>
      </c>
      <c r="I132" s="119">
        <v>-33</v>
      </c>
      <c r="J132" s="119"/>
      <c r="K132" s="119"/>
      <c r="L132" s="119"/>
      <c r="M132" s="119">
        <v>-25</v>
      </c>
      <c r="N132" s="119">
        <v>-22</v>
      </c>
      <c r="O132" s="119">
        <v>-41</v>
      </c>
      <c r="P132" s="119">
        <v>-34.299999999999997</v>
      </c>
      <c r="Q132" s="119">
        <v>-34.299999999999997</v>
      </c>
      <c r="R132" s="119">
        <v>-13.9</v>
      </c>
      <c r="S132" s="119">
        <v>-17.100000000000001</v>
      </c>
      <c r="T132" s="119">
        <v>-0.9</v>
      </c>
      <c r="U132" s="119">
        <v>17.100000000000001</v>
      </c>
      <c r="V132" s="119">
        <v>22.8</v>
      </c>
      <c r="W132" s="119">
        <v>26.1</v>
      </c>
      <c r="X132" s="119">
        <v>24.4</v>
      </c>
      <c r="Y132" s="119">
        <v>20.3</v>
      </c>
      <c r="Z132" s="119">
        <v>36.1</v>
      </c>
      <c r="AA132" s="119">
        <v>29.3</v>
      </c>
      <c r="AB132" s="119">
        <v>19.7</v>
      </c>
      <c r="AC132" s="119">
        <v>21.2</v>
      </c>
      <c r="AD132" s="119">
        <v>21.1</v>
      </c>
      <c r="AE132" s="119">
        <v>26.2</v>
      </c>
      <c r="AF132" s="119">
        <v>20.5</v>
      </c>
      <c r="AG132" s="128"/>
      <c r="AH132" s="48">
        <f>MAX(B132:AF132)</f>
        <v>36.1</v>
      </c>
      <c r="AI132" s="49">
        <f>MIN(B132:AF132)</f>
        <v>-41</v>
      </c>
    </row>
    <row r="133" spans="1:37" ht="15.75" thickBot="1" x14ac:dyDescent="0.3">
      <c r="A133" s="129" t="s">
        <v>153</v>
      </c>
      <c r="B133" s="119">
        <v>67</v>
      </c>
      <c r="C133" s="119">
        <v>70</v>
      </c>
      <c r="D133" s="119">
        <v>57</v>
      </c>
      <c r="E133" s="119">
        <v>47</v>
      </c>
      <c r="F133" s="119">
        <v>48</v>
      </c>
      <c r="G133" s="119">
        <v>20</v>
      </c>
      <c r="H133" s="119">
        <v>20</v>
      </c>
      <c r="I133" s="119">
        <v>14</v>
      </c>
      <c r="J133" s="119"/>
      <c r="K133" s="119"/>
      <c r="L133" s="119"/>
      <c r="M133" s="119">
        <v>12</v>
      </c>
      <c r="N133" s="119">
        <v>14</v>
      </c>
      <c r="O133" s="119">
        <v>-7.4</v>
      </c>
      <c r="P133" s="119">
        <v>2</v>
      </c>
      <c r="Q133" s="119">
        <v>2</v>
      </c>
      <c r="R133" s="119">
        <v>21</v>
      </c>
      <c r="S133" s="119">
        <v>17.8</v>
      </c>
      <c r="T133" s="119">
        <v>28.9</v>
      </c>
      <c r="U133" s="119">
        <v>59.7</v>
      </c>
      <c r="V133" s="119">
        <v>67.8</v>
      </c>
      <c r="W133" s="119">
        <v>71.099999999999994</v>
      </c>
      <c r="X133" s="119">
        <v>70.2</v>
      </c>
      <c r="Y133" s="119">
        <v>66.5</v>
      </c>
      <c r="Z133" s="119">
        <v>74.400000000000006</v>
      </c>
      <c r="AA133" s="119">
        <v>75.2</v>
      </c>
      <c r="AB133" s="119">
        <v>64.900000000000006</v>
      </c>
      <c r="AC133" s="119">
        <v>61.5</v>
      </c>
      <c r="AD133" s="119">
        <v>54.5</v>
      </c>
      <c r="AE133" s="119">
        <v>61.6</v>
      </c>
      <c r="AF133" s="119">
        <v>55.1</v>
      </c>
      <c r="AG133" s="128"/>
      <c r="AH133" s="48">
        <f>MAX(B133:AF133)</f>
        <v>75.2</v>
      </c>
      <c r="AI133" s="49">
        <f>MIN(B133:AF133)</f>
        <v>-7.4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>
        <v>1984.28</v>
      </c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>
        <v>883.3</v>
      </c>
      <c r="C139" s="140"/>
      <c r="D139" s="140">
        <v>883.4</v>
      </c>
      <c r="E139" s="140">
        <v>883.4</v>
      </c>
      <c r="F139" s="140"/>
      <c r="G139" s="140"/>
      <c r="H139" s="140">
        <v>882.5</v>
      </c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>
        <v>883.5</v>
      </c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1484.42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4">SUM(B142:B246)</f>
        <v>0</v>
      </c>
      <c r="C247" s="161">
        <f t="shared" si="54"/>
        <v>0</v>
      </c>
      <c r="D247" s="161">
        <f t="shared" si="54"/>
        <v>0</v>
      </c>
      <c r="E247" s="161">
        <f t="shared" si="54"/>
        <v>0</v>
      </c>
      <c r="F247" s="161">
        <f t="shared" si="54"/>
        <v>0</v>
      </c>
      <c r="G247" s="161">
        <f t="shared" si="54"/>
        <v>0</v>
      </c>
      <c r="H247" s="161">
        <f t="shared" si="54"/>
        <v>0</v>
      </c>
      <c r="I247" s="161">
        <f t="shared" si="54"/>
        <v>0</v>
      </c>
      <c r="J247" s="161">
        <f t="shared" si="54"/>
        <v>0</v>
      </c>
      <c r="K247" s="161">
        <f t="shared" si="54"/>
        <v>0</v>
      </c>
      <c r="L247" s="161">
        <f t="shared" si="54"/>
        <v>0</v>
      </c>
      <c r="M247" s="161">
        <f t="shared" si="54"/>
        <v>0</v>
      </c>
      <c r="N247" s="161">
        <f t="shared" si="54"/>
        <v>0</v>
      </c>
      <c r="O247" s="161">
        <f t="shared" si="54"/>
        <v>0</v>
      </c>
      <c r="P247" s="161">
        <f t="shared" si="54"/>
        <v>0</v>
      </c>
      <c r="Q247" s="161">
        <f t="shared" si="54"/>
        <v>0</v>
      </c>
      <c r="R247" s="161">
        <f t="shared" si="54"/>
        <v>0</v>
      </c>
      <c r="S247" s="161">
        <f t="shared" si="54"/>
        <v>0</v>
      </c>
      <c r="T247" s="161">
        <f t="shared" si="54"/>
        <v>0</v>
      </c>
      <c r="U247" s="161">
        <f t="shared" si="54"/>
        <v>0</v>
      </c>
      <c r="V247" s="161">
        <f t="shared" si="54"/>
        <v>0</v>
      </c>
      <c r="W247" s="161">
        <f t="shared" si="54"/>
        <v>0</v>
      </c>
      <c r="X247" s="161">
        <f t="shared" si="54"/>
        <v>0</v>
      </c>
      <c r="Y247" s="161">
        <f t="shared" si="54"/>
        <v>0</v>
      </c>
      <c r="Z247" s="161">
        <f t="shared" si="54"/>
        <v>0</v>
      </c>
      <c r="AA247" s="161">
        <f t="shared" si="54"/>
        <v>0</v>
      </c>
      <c r="AB247" s="161">
        <f t="shared" si="54"/>
        <v>0</v>
      </c>
      <c r="AC247" s="161">
        <f t="shared" si="54"/>
        <v>0</v>
      </c>
      <c r="AD247" s="161">
        <f t="shared" si="54"/>
        <v>0</v>
      </c>
      <c r="AE247" s="161">
        <f t="shared" si="54"/>
        <v>0</v>
      </c>
      <c r="AF247" s="162">
        <f t="shared" si="54"/>
        <v>0</v>
      </c>
      <c r="AG247" s="163">
        <f t="shared" si="5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5">AF249</f>
        <v>0.3</v>
      </c>
      <c r="C249" s="166">
        <v>0.3</v>
      </c>
      <c r="D249" s="166">
        <f t="shared" ref="D249:S254" si="56">C249</f>
        <v>0.3</v>
      </c>
      <c r="E249" s="166">
        <f t="shared" si="56"/>
        <v>0.3</v>
      </c>
      <c r="F249" s="166">
        <f t="shared" si="56"/>
        <v>0.3</v>
      </c>
      <c r="G249" s="166">
        <f t="shared" si="56"/>
        <v>0.3</v>
      </c>
      <c r="H249" s="166">
        <f t="shared" si="56"/>
        <v>0.3</v>
      </c>
      <c r="I249" s="166">
        <f t="shared" si="56"/>
        <v>0.3</v>
      </c>
      <c r="J249" s="166">
        <f t="shared" si="56"/>
        <v>0.3</v>
      </c>
      <c r="K249" s="166">
        <f t="shared" si="56"/>
        <v>0.3</v>
      </c>
      <c r="L249" s="166">
        <f t="shared" si="56"/>
        <v>0.3</v>
      </c>
      <c r="M249" s="166">
        <f t="shared" si="56"/>
        <v>0.3</v>
      </c>
      <c r="N249" s="166">
        <f t="shared" si="56"/>
        <v>0.3</v>
      </c>
      <c r="O249" s="166">
        <f t="shared" si="56"/>
        <v>0.3</v>
      </c>
      <c r="P249" s="166">
        <f t="shared" si="56"/>
        <v>0.3</v>
      </c>
      <c r="Q249" s="166">
        <f t="shared" si="56"/>
        <v>0.3</v>
      </c>
      <c r="R249" s="166">
        <f t="shared" si="56"/>
        <v>0.3</v>
      </c>
      <c r="S249" s="166">
        <f t="shared" si="56"/>
        <v>0.3</v>
      </c>
      <c r="T249" s="166">
        <f t="shared" ref="T249:AF254" si="57">S249</f>
        <v>0.3</v>
      </c>
      <c r="U249" s="166">
        <f t="shared" si="57"/>
        <v>0.3</v>
      </c>
      <c r="V249" s="166">
        <f t="shared" si="57"/>
        <v>0.3</v>
      </c>
      <c r="W249" s="166">
        <f t="shared" si="57"/>
        <v>0.3</v>
      </c>
      <c r="X249" s="166">
        <f t="shared" si="57"/>
        <v>0.3</v>
      </c>
      <c r="Y249" s="166">
        <f t="shared" si="57"/>
        <v>0.3</v>
      </c>
      <c r="Z249" s="166">
        <f t="shared" si="57"/>
        <v>0.3</v>
      </c>
      <c r="AA249" s="166">
        <f t="shared" si="57"/>
        <v>0.3</v>
      </c>
      <c r="AB249" s="166">
        <f t="shared" si="57"/>
        <v>0.3</v>
      </c>
      <c r="AC249" s="166">
        <f t="shared" si="57"/>
        <v>0.3</v>
      </c>
      <c r="AD249" s="166">
        <f t="shared" si="57"/>
        <v>0.3</v>
      </c>
      <c r="AE249" s="166">
        <f t="shared" si="57"/>
        <v>0.3</v>
      </c>
      <c r="AF249" s="166">
        <f t="shared" si="5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5"/>
        <v>0.4</v>
      </c>
      <c r="C250" s="152">
        <v>0.4</v>
      </c>
      <c r="D250" s="152">
        <f t="shared" si="56"/>
        <v>0.4</v>
      </c>
      <c r="E250" s="152">
        <f t="shared" si="56"/>
        <v>0.4</v>
      </c>
      <c r="F250" s="152">
        <f t="shared" si="56"/>
        <v>0.4</v>
      </c>
      <c r="G250" s="152">
        <f t="shared" si="56"/>
        <v>0.4</v>
      </c>
      <c r="H250" s="152">
        <f t="shared" si="56"/>
        <v>0.4</v>
      </c>
      <c r="I250" s="152">
        <f t="shared" si="56"/>
        <v>0.4</v>
      </c>
      <c r="J250" s="152">
        <f t="shared" si="56"/>
        <v>0.4</v>
      </c>
      <c r="K250" s="152">
        <f t="shared" si="56"/>
        <v>0.4</v>
      </c>
      <c r="L250" s="152">
        <f t="shared" si="56"/>
        <v>0.4</v>
      </c>
      <c r="M250" s="152">
        <f t="shared" si="56"/>
        <v>0.4</v>
      </c>
      <c r="N250" s="152">
        <f t="shared" si="56"/>
        <v>0.4</v>
      </c>
      <c r="O250" s="152">
        <f t="shared" si="56"/>
        <v>0.4</v>
      </c>
      <c r="P250" s="152">
        <f t="shared" si="56"/>
        <v>0.4</v>
      </c>
      <c r="Q250" s="152">
        <f t="shared" si="56"/>
        <v>0.4</v>
      </c>
      <c r="R250" s="152">
        <f t="shared" si="56"/>
        <v>0.4</v>
      </c>
      <c r="S250" s="152">
        <f t="shared" si="56"/>
        <v>0.4</v>
      </c>
      <c r="T250" s="152">
        <f t="shared" si="57"/>
        <v>0.4</v>
      </c>
      <c r="U250" s="152">
        <f t="shared" si="57"/>
        <v>0.4</v>
      </c>
      <c r="V250" s="152">
        <f t="shared" si="57"/>
        <v>0.4</v>
      </c>
      <c r="W250" s="152">
        <f t="shared" si="57"/>
        <v>0.4</v>
      </c>
      <c r="X250" s="152">
        <f t="shared" si="57"/>
        <v>0.4</v>
      </c>
      <c r="Y250" s="152">
        <f t="shared" si="57"/>
        <v>0.4</v>
      </c>
      <c r="Z250" s="152">
        <f t="shared" si="57"/>
        <v>0.4</v>
      </c>
      <c r="AA250" s="152">
        <f t="shared" si="57"/>
        <v>0.4</v>
      </c>
      <c r="AB250" s="152">
        <f t="shared" si="57"/>
        <v>0.4</v>
      </c>
      <c r="AC250" s="152">
        <f t="shared" si="57"/>
        <v>0.4</v>
      </c>
      <c r="AD250" s="152">
        <f t="shared" si="57"/>
        <v>0.4</v>
      </c>
      <c r="AE250" s="152">
        <f t="shared" si="57"/>
        <v>0.4</v>
      </c>
      <c r="AF250" s="152">
        <f t="shared" si="5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5"/>
        <v>1.5</v>
      </c>
      <c r="C251" s="152">
        <v>1.5</v>
      </c>
      <c r="D251" s="152">
        <f t="shared" si="56"/>
        <v>1.5</v>
      </c>
      <c r="E251" s="152">
        <f t="shared" si="56"/>
        <v>1.5</v>
      </c>
      <c r="F251" s="152">
        <f t="shared" si="56"/>
        <v>1.5</v>
      </c>
      <c r="G251" s="152">
        <f t="shared" si="56"/>
        <v>1.5</v>
      </c>
      <c r="H251" s="152">
        <f t="shared" si="56"/>
        <v>1.5</v>
      </c>
      <c r="I251" s="152">
        <f t="shared" si="56"/>
        <v>1.5</v>
      </c>
      <c r="J251" s="152">
        <f t="shared" si="56"/>
        <v>1.5</v>
      </c>
      <c r="K251" s="152">
        <f t="shared" si="56"/>
        <v>1.5</v>
      </c>
      <c r="L251" s="152">
        <f t="shared" si="56"/>
        <v>1.5</v>
      </c>
      <c r="M251" s="152">
        <f t="shared" si="56"/>
        <v>1.5</v>
      </c>
      <c r="N251" s="152">
        <f t="shared" si="56"/>
        <v>1.5</v>
      </c>
      <c r="O251" s="152">
        <f t="shared" si="56"/>
        <v>1.5</v>
      </c>
      <c r="P251" s="152">
        <f t="shared" si="56"/>
        <v>1.5</v>
      </c>
      <c r="Q251" s="152">
        <f t="shared" si="56"/>
        <v>1.5</v>
      </c>
      <c r="R251" s="152">
        <f t="shared" si="56"/>
        <v>1.5</v>
      </c>
      <c r="S251" s="152">
        <f t="shared" si="56"/>
        <v>1.5</v>
      </c>
      <c r="T251" s="152">
        <f t="shared" si="57"/>
        <v>1.5</v>
      </c>
      <c r="U251" s="152">
        <f t="shared" si="57"/>
        <v>1.5</v>
      </c>
      <c r="V251" s="152">
        <f t="shared" si="57"/>
        <v>1.5</v>
      </c>
      <c r="W251" s="152">
        <f t="shared" si="57"/>
        <v>1.5</v>
      </c>
      <c r="X251" s="152">
        <f t="shared" si="57"/>
        <v>1.5</v>
      </c>
      <c r="Y251" s="152">
        <f t="shared" si="57"/>
        <v>1.5</v>
      </c>
      <c r="Z251" s="152">
        <f t="shared" si="57"/>
        <v>1.5</v>
      </c>
      <c r="AA251" s="152">
        <f t="shared" si="57"/>
        <v>1.5</v>
      </c>
      <c r="AB251" s="152">
        <f t="shared" si="57"/>
        <v>1.5</v>
      </c>
      <c r="AC251" s="152">
        <f t="shared" si="57"/>
        <v>1.5</v>
      </c>
      <c r="AD251" s="152">
        <f t="shared" si="57"/>
        <v>1.5</v>
      </c>
      <c r="AE251" s="152">
        <f t="shared" si="57"/>
        <v>1.5</v>
      </c>
      <c r="AF251" s="152">
        <f t="shared" si="5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5"/>
        <v>0.3</v>
      </c>
      <c r="C252" s="152">
        <v>0.3</v>
      </c>
      <c r="D252" s="152">
        <f t="shared" si="56"/>
        <v>0.3</v>
      </c>
      <c r="E252" s="152">
        <f t="shared" si="56"/>
        <v>0.3</v>
      </c>
      <c r="F252" s="152">
        <f t="shared" si="56"/>
        <v>0.3</v>
      </c>
      <c r="G252" s="152">
        <f t="shared" si="56"/>
        <v>0.3</v>
      </c>
      <c r="H252" s="152">
        <f t="shared" si="56"/>
        <v>0.3</v>
      </c>
      <c r="I252" s="152">
        <f t="shared" si="56"/>
        <v>0.3</v>
      </c>
      <c r="J252" s="152">
        <f t="shared" si="56"/>
        <v>0.3</v>
      </c>
      <c r="K252" s="152">
        <f t="shared" si="56"/>
        <v>0.3</v>
      </c>
      <c r="L252" s="152">
        <f t="shared" si="56"/>
        <v>0.3</v>
      </c>
      <c r="M252" s="152">
        <f t="shared" si="56"/>
        <v>0.3</v>
      </c>
      <c r="N252" s="152">
        <f t="shared" si="56"/>
        <v>0.3</v>
      </c>
      <c r="O252" s="152">
        <f t="shared" si="56"/>
        <v>0.3</v>
      </c>
      <c r="P252" s="152">
        <f t="shared" si="56"/>
        <v>0.3</v>
      </c>
      <c r="Q252" s="152">
        <f t="shared" si="56"/>
        <v>0.3</v>
      </c>
      <c r="R252" s="152">
        <f t="shared" si="56"/>
        <v>0.3</v>
      </c>
      <c r="S252" s="152">
        <f t="shared" si="56"/>
        <v>0.3</v>
      </c>
      <c r="T252" s="152">
        <f t="shared" si="57"/>
        <v>0.3</v>
      </c>
      <c r="U252" s="152">
        <f t="shared" si="57"/>
        <v>0.3</v>
      </c>
      <c r="V252" s="152">
        <f t="shared" si="57"/>
        <v>0.3</v>
      </c>
      <c r="W252" s="152">
        <f t="shared" si="57"/>
        <v>0.3</v>
      </c>
      <c r="X252" s="152">
        <f t="shared" si="57"/>
        <v>0.3</v>
      </c>
      <c r="Y252" s="152">
        <f t="shared" si="57"/>
        <v>0.3</v>
      </c>
      <c r="Z252" s="152">
        <f t="shared" si="57"/>
        <v>0.3</v>
      </c>
      <c r="AA252" s="152">
        <f t="shared" si="57"/>
        <v>0.3</v>
      </c>
      <c r="AB252" s="152">
        <f t="shared" si="57"/>
        <v>0.3</v>
      </c>
      <c r="AC252" s="152">
        <f t="shared" si="57"/>
        <v>0.3</v>
      </c>
      <c r="AD252" s="152">
        <f t="shared" si="57"/>
        <v>0.3</v>
      </c>
      <c r="AE252" s="152">
        <f t="shared" si="57"/>
        <v>0.3</v>
      </c>
      <c r="AF252" s="152">
        <f t="shared" si="5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5"/>
        <v>0.4</v>
      </c>
      <c r="C253" s="152">
        <v>0.4</v>
      </c>
      <c r="D253" s="152">
        <f t="shared" si="56"/>
        <v>0.4</v>
      </c>
      <c r="E253" s="152">
        <f t="shared" si="56"/>
        <v>0.4</v>
      </c>
      <c r="F253" s="152">
        <f t="shared" si="56"/>
        <v>0.4</v>
      </c>
      <c r="G253" s="152">
        <f t="shared" si="56"/>
        <v>0.4</v>
      </c>
      <c r="H253" s="152">
        <f t="shared" si="56"/>
        <v>0.4</v>
      </c>
      <c r="I253" s="152">
        <f t="shared" si="56"/>
        <v>0.4</v>
      </c>
      <c r="J253" s="152">
        <f t="shared" si="56"/>
        <v>0.4</v>
      </c>
      <c r="K253" s="152">
        <f t="shared" si="56"/>
        <v>0.4</v>
      </c>
      <c r="L253" s="152">
        <f t="shared" si="56"/>
        <v>0.4</v>
      </c>
      <c r="M253" s="152">
        <f t="shared" si="56"/>
        <v>0.4</v>
      </c>
      <c r="N253" s="152">
        <f t="shared" si="56"/>
        <v>0.4</v>
      </c>
      <c r="O253" s="152">
        <f t="shared" si="56"/>
        <v>0.4</v>
      </c>
      <c r="P253" s="152">
        <f t="shared" si="56"/>
        <v>0.4</v>
      </c>
      <c r="Q253" s="152">
        <f t="shared" si="56"/>
        <v>0.4</v>
      </c>
      <c r="R253" s="152">
        <f t="shared" si="56"/>
        <v>0.4</v>
      </c>
      <c r="S253" s="152">
        <f t="shared" si="56"/>
        <v>0.4</v>
      </c>
      <c r="T253" s="152">
        <f t="shared" si="57"/>
        <v>0.4</v>
      </c>
      <c r="U253" s="152">
        <f t="shared" si="57"/>
        <v>0.4</v>
      </c>
      <c r="V253" s="152">
        <f t="shared" si="57"/>
        <v>0.4</v>
      </c>
      <c r="W253" s="152">
        <f t="shared" si="57"/>
        <v>0.4</v>
      </c>
      <c r="X253" s="152">
        <f t="shared" si="57"/>
        <v>0.4</v>
      </c>
      <c r="Y253" s="152">
        <f t="shared" si="57"/>
        <v>0.4</v>
      </c>
      <c r="Z253" s="152">
        <f t="shared" si="57"/>
        <v>0.4</v>
      </c>
      <c r="AA253" s="152">
        <f t="shared" si="57"/>
        <v>0.4</v>
      </c>
      <c r="AB253" s="152">
        <f t="shared" si="57"/>
        <v>0.4</v>
      </c>
      <c r="AC253" s="152">
        <f t="shared" si="57"/>
        <v>0.4</v>
      </c>
      <c r="AD253" s="152">
        <f t="shared" si="57"/>
        <v>0.4</v>
      </c>
      <c r="AE253" s="152">
        <f t="shared" si="57"/>
        <v>0.4</v>
      </c>
      <c r="AF253" s="152">
        <f t="shared" si="5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5"/>
        <v>0.64</v>
      </c>
      <c r="C254" s="157">
        <v>0.64</v>
      </c>
      <c r="D254" s="157">
        <f t="shared" si="56"/>
        <v>0.64</v>
      </c>
      <c r="E254" s="157">
        <f t="shared" si="56"/>
        <v>0.64</v>
      </c>
      <c r="F254" s="157">
        <f t="shared" si="56"/>
        <v>0.64</v>
      </c>
      <c r="G254" s="157">
        <f t="shared" si="56"/>
        <v>0.64</v>
      </c>
      <c r="H254" s="157">
        <f t="shared" si="56"/>
        <v>0.64</v>
      </c>
      <c r="I254" s="157">
        <f t="shared" si="56"/>
        <v>0.64</v>
      </c>
      <c r="J254" s="157">
        <f t="shared" si="56"/>
        <v>0.64</v>
      </c>
      <c r="K254" s="157">
        <f t="shared" si="56"/>
        <v>0.64</v>
      </c>
      <c r="L254" s="157">
        <f t="shared" si="56"/>
        <v>0.64</v>
      </c>
      <c r="M254" s="157">
        <f t="shared" si="56"/>
        <v>0.64</v>
      </c>
      <c r="N254" s="157">
        <f t="shared" si="56"/>
        <v>0.64</v>
      </c>
      <c r="O254" s="157">
        <f t="shared" si="56"/>
        <v>0.64</v>
      </c>
      <c r="P254" s="157">
        <f t="shared" si="56"/>
        <v>0.64</v>
      </c>
      <c r="Q254" s="157">
        <f t="shared" si="56"/>
        <v>0.64</v>
      </c>
      <c r="R254" s="157">
        <f t="shared" si="56"/>
        <v>0.64</v>
      </c>
      <c r="S254" s="157">
        <f t="shared" si="56"/>
        <v>0.64</v>
      </c>
      <c r="T254" s="157">
        <f t="shared" si="57"/>
        <v>0.64</v>
      </c>
      <c r="U254" s="157">
        <f t="shared" si="57"/>
        <v>0.64</v>
      </c>
      <c r="V254" s="157">
        <f t="shared" si="57"/>
        <v>0.64</v>
      </c>
      <c r="W254" s="157">
        <f t="shared" si="57"/>
        <v>0.64</v>
      </c>
      <c r="X254" s="157">
        <f t="shared" si="57"/>
        <v>0.64</v>
      </c>
      <c r="Y254" s="157">
        <f t="shared" si="57"/>
        <v>0.64</v>
      </c>
      <c r="Z254" s="157">
        <f t="shared" si="57"/>
        <v>0.64</v>
      </c>
      <c r="AA254" s="157">
        <f t="shared" si="57"/>
        <v>0.64</v>
      </c>
      <c r="AB254" s="157">
        <f t="shared" si="57"/>
        <v>0.64</v>
      </c>
      <c r="AC254" s="157">
        <f t="shared" si="57"/>
        <v>0.64</v>
      </c>
      <c r="AD254" s="157">
        <f t="shared" si="57"/>
        <v>0.64</v>
      </c>
      <c r="AE254" s="157">
        <f t="shared" si="57"/>
        <v>0.64</v>
      </c>
      <c r="AF254" s="157">
        <f t="shared" si="5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8">SUM(B249:B254)</f>
        <v>3.54</v>
      </c>
      <c r="C255" s="161">
        <f t="shared" si="58"/>
        <v>3.54</v>
      </c>
      <c r="D255" s="161">
        <f t="shared" si="58"/>
        <v>3.54</v>
      </c>
      <c r="E255" s="161">
        <f t="shared" si="58"/>
        <v>3.54</v>
      </c>
      <c r="F255" s="161">
        <f t="shared" si="58"/>
        <v>3.54</v>
      </c>
      <c r="G255" s="161">
        <f t="shared" si="58"/>
        <v>3.54</v>
      </c>
      <c r="H255" s="161">
        <f t="shared" si="58"/>
        <v>3.54</v>
      </c>
      <c r="I255" s="161">
        <f t="shared" si="58"/>
        <v>3.54</v>
      </c>
      <c r="J255" s="161">
        <f t="shared" si="58"/>
        <v>3.54</v>
      </c>
      <c r="K255" s="161">
        <f t="shared" si="58"/>
        <v>3.54</v>
      </c>
      <c r="L255" s="161">
        <f t="shared" si="58"/>
        <v>3.54</v>
      </c>
      <c r="M255" s="161">
        <f t="shared" si="58"/>
        <v>3.54</v>
      </c>
      <c r="N255" s="161">
        <f t="shared" si="58"/>
        <v>3.54</v>
      </c>
      <c r="O255" s="161">
        <f t="shared" si="58"/>
        <v>3.54</v>
      </c>
      <c r="P255" s="161">
        <f t="shared" si="58"/>
        <v>3.54</v>
      </c>
      <c r="Q255" s="161">
        <f t="shared" si="58"/>
        <v>3.54</v>
      </c>
      <c r="R255" s="161">
        <f t="shared" si="58"/>
        <v>3.54</v>
      </c>
      <c r="S255" s="161">
        <f t="shared" si="58"/>
        <v>3.54</v>
      </c>
      <c r="T255" s="161">
        <f t="shared" si="58"/>
        <v>3.54</v>
      </c>
      <c r="U255" s="161">
        <f t="shared" si="58"/>
        <v>3.54</v>
      </c>
      <c r="V255" s="161">
        <f t="shared" si="58"/>
        <v>3.54</v>
      </c>
      <c r="W255" s="161">
        <f t="shared" si="58"/>
        <v>3.54</v>
      </c>
      <c r="X255" s="161">
        <f t="shared" si="58"/>
        <v>3.54</v>
      </c>
      <c r="Y255" s="161">
        <f t="shared" si="58"/>
        <v>3.54</v>
      </c>
      <c r="Z255" s="161">
        <f t="shared" si="58"/>
        <v>3.54</v>
      </c>
      <c r="AA255" s="161">
        <f t="shared" si="58"/>
        <v>3.54</v>
      </c>
      <c r="AB255" s="161">
        <f t="shared" si="58"/>
        <v>3.54</v>
      </c>
      <c r="AC255" s="161">
        <f t="shared" si="58"/>
        <v>3.54</v>
      </c>
      <c r="AD255" s="161">
        <f t="shared" si="58"/>
        <v>3.54</v>
      </c>
      <c r="AE255" s="161">
        <f t="shared" si="58"/>
        <v>3.54</v>
      </c>
      <c r="AF255" s="161">
        <f t="shared" si="58"/>
        <v>3.54</v>
      </c>
      <c r="AG255" s="171">
        <f t="shared" si="5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2626.4900000000002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2080/10/11)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2972" priority="80">
      <formula>$AH11=0</formula>
    </cfRule>
  </conditionalFormatting>
  <conditionalFormatting sqref="A89">
    <cfRule type="expression" dxfId="2971" priority="138">
      <formula>$AH94=0</formula>
    </cfRule>
  </conditionalFormatting>
  <conditionalFormatting sqref="A90:A94">
    <cfRule type="expression" dxfId="2970" priority="81">
      <formula>$AH89=0</formula>
    </cfRule>
  </conditionalFormatting>
  <conditionalFormatting sqref="B8">
    <cfRule type="expression" dxfId="2969" priority="134">
      <formula>AND(C$9&gt;=14/24,C$9&lt;20/24)</formula>
    </cfRule>
    <cfRule type="expression" dxfId="2968" priority="135">
      <formula>AND(C$9&gt;=8/24,C$9&lt;14/24)</formula>
    </cfRule>
    <cfRule type="expression" dxfId="2967" priority="136">
      <formula>C$9&lt;8/24</formula>
    </cfRule>
    <cfRule type="expression" dxfId="2966" priority="137">
      <formula>C$9&gt;=20/24</formula>
    </cfRule>
  </conditionalFormatting>
  <conditionalFormatting sqref="B11:I40 J12:J40 K15:AD40 AE15:AF57 B41:AD57 E62:I64 B62:D77 E66:I77 J72:AF77 B80:AF102 B9:AF10 B104:AF120 B122:AF140 B247:AF247 B249:B255">
    <cfRule type="expression" dxfId="2965" priority="41">
      <formula>B$9&gt;=20/24</formula>
    </cfRule>
  </conditionalFormatting>
  <conditionalFormatting sqref="B9:AF10 B11:I40 J12:J40 K15:AD40 AE15:AF57 B41:AD57 E62:I64 B62:D77 E66:I77 J72:AF77 B80:AF102 B104:AF120 B122:AF140 B247:AF247 B249:B255">
    <cfRule type="expression" dxfId="2964" priority="42">
      <formula>AND(B$9&gt;=14/24,B$9&lt;20/24)</formula>
    </cfRule>
    <cfRule type="expression" dxfId="2963" priority="43">
      <formula>AND(B$9&gt;=8/24,B$9&lt;14/24)</formula>
    </cfRule>
    <cfRule type="expression" dxfId="2962" priority="44">
      <formula>B$9&lt;8/24</formula>
    </cfRule>
  </conditionalFormatting>
  <conditionalFormatting sqref="B58:AF60">
    <cfRule type="expression" dxfId="2961" priority="37">
      <formula>B$9&gt;=20/24</formula>
    </cfRule>
    <cfRule type="expression" dxfId="2960" priority="38">
      <formula>AND(B$9&gt;=14/24,B$9&lt;20/24)</formula>
    </cfRule>
    <cfRule type="expression" dxfId="2959" priority="39">
      <formula>AND(B$9&gt;=8/24,B$9&lt;14/24)</formula>
    </cfRule>
    <cfRule type="expression" dxfId="2958" priority="49">
      <formula>B$9&lt;8/24</formula>
    </cfRule>
  </conditionalFormatting>
  <conditionalFormatting sqref="D249:AF255">
    <cfRule type="expression" dxfId="2957" priority="119">
      <formula>D$9&gt;=20/24</formula>
    </cfRule>
    <cfRule type="expression" dxfId="2956" priority="120">
      <formula>AND(D$9&gt;=14/24,D$9&lt;20/24)</formula>
    </cfRule>
    <cfRule type="expression" dxfId="2955" priority="121">
      <formula>AND(D$9&gt;=8/24,D$9&lt;14/24)</formula>
    </cfRule>
    <cfRule type="expression" dxfId="2954" priority="122">
      <formula>D$9&lt;8/24</formula>
    </cfRule>
  </conditionalFormatting>
  <conditionalFormatting sqref="E66:I70 J67:J70 K70:AF70">
    <cfRule type="expression" dxfId="2953" priority="50">
      <formula>E$9&gt;=20/24</formula>
    </cfRule>
    <cfRule type="expression" dxfId="2952" priority="51">
      <formula>AND(E$9&gt;=14/24,E$9&lt;20/24)</formula>
    </cfRule>
    <cfRule type="expression" dxfId="2951" priority="52">
      <formula>AND(E$9&gt;=8/24,E$9&lt;14/24)</formula>
    </cfRule>
    <cfRule type="expression" dxfId="2950" priority="53">
      <formula>E$9&lt;8/24</formula>
    </cfRule>
  </conditionalFormatting>
  <conditionalFormatting sqref="E62:AF65">
    <cfRule type="expression" dxfId="2949" priority="60">
      <formula>E$9&gt;=20/24</formula>
    </cfRule>
    <cfRule type="expression" dxfId="2948" priority="61">
      <formula>AND(E$9&gt;=14/24,E$9&lt;20/24)</formula>
    </cfRule>
    <cfRule type="expression" dxfId="2947" priority="62">
      <formula>AND(E$9&gt;=8/24,E$9&lt;14/24)</formula>
    </cfRule>
    <cfRule type="expression" dxfId="2946" priority="63">
      <formula>E$9&lt;8/24</formula>
    </cfRule>
  </conditionalFormatting>
  <conditionalFormatting sqref="E71:AF71">
    <cfRule type="expression" dxfId="2945" priority="45">
      <formula>E$9&gt;=20/24</formula>
    </cfRule>
    <cfRule type="expression" dxfId="2944" priority="46">
      <formula>AND(E$9&gt;=14/24,E$9&lt;20/24)</formula>
    </cfRule>
    <cfRule type="expression" dxfId="2943" priority="47">
      <formula>AND(E$9&gt;=8/24,E$9&lt;14/24)</formula>
    </cfRule>
    <cfRule type="expression" dxfId="2942" priority="48">
      <formula>E$9&lt;8/24</formula>
    </cfRule>
  </conditionalFormatting>
  <conditionalFormatting sqref="F66:AF68">
    <cfRule type="expression" dxfId="2941" priority="72">
      <formula>F$9&gt;=20/24</formula>
    </cfRule>
    <cfRule type="expression" dxfId="2940" priority="73">
      <formula>AND(F$9&gt;=14/24,F$9&lt;20/24)</formula>
    </cfRule>
    <cfRule type="expression" dxfId="2939" priority="74">
      <formula>AND(F$9&gt;=8/24,F$9&lt;14/24)</formula>
    </cfRule>
    <cfRule type="expression" dxfId="2938" priority="75">
      <formula>F$9&lt;8/24</formula>
    </cfRule>
  </conditionalFormatting>
  <conditionalFormatting sqref="J11:K11 L11:AF14 K12:K14">
    <cfRule type="expression" dxfId="2937" priority="56">
      <formula>AND(J$9&gt;=14/24,J$9&lt;20/24)</formula>
    </cfRule>
    <cfRule type="expression" dxfId="2936" priority="57">
      <formula>AND(J$9&gt;=8/24,J$9&lt;14/24)</formula>
    </cfRule>
    <cfRule type="expression" dxfId="2935" priority="58">
      <formula>J$9&lt;8/24</formula>
    </cfRule>
  </conditionalFormatting>
  <conditionalFormatting sqref="L11:AF14 J11:K11 K12:K14">
    <cfRule type="expression" dxfId="2934" priority="55">
      <formula>J$9&gt;=20/24</formula>
    </cfRule>
  </conditionalFormatting>
  <conditionalFormatting sqref="L11:AF14">
    <cfRule type="expression" dxfId="2933" priority="54">
      <formula>L11&gt;$AG11</formula>
    </cfRule>
  </conditionalFormatting>
  <conditionalFormatting sqref="M8 S8 AB8">
    <cfRule type="expression" dxfId="2932" priority="126">
      <formula>AND(N$9&gt;=14/24,N$9&lt;20/24)</formula>
    </cfRule>
    <cfRule type="expression" dxfId="2931" priority="127">
      <formula>AND(N$9&gt;=8/24,N$9&lt;14/24)</formula>
    </cfRule>
    <cfRule type="expression" dxfId="2930" priority="128">
      <formula>N$9&lt;8/24</formula>
    </cfRule>
  </conditionalFormatting>
  <conditionalFormatting sqref="M66:AF70">
    <cfRule type="expression" dxfId="2929" priority="76">
      <formula>M$9&gt;=20/24</formula>
    </cfRule>
    <cfRule type="expression" dxfId="2928" priority="77">
      <formula>AND(M$9&gt;=14/24,M$9&lt;20/24)</formula>
    </cfRule>
    <cfRule type="expression" dxfId="2927" priority="78">
      <formula>AND(M$9&gt;=8/24,M$9&lt;14/24)</formula>
    </cfRule>
    <cfRule type="expression" dxfId="2926" priority="79">
      <formula>M$9&lt;8/24</formula>
    </cfRule>
  </conditionalFormatting>
  <conditionalFormatting sqref="M71:AF71">
    <cfRule type="expression" dxfId="2925" priority="68">
      <formula>M$9&gt;=20/24</formula>
    </cfRule>
    <cfRule type="expression" dxfId="2924" priority="69">
      <formula>AND(M$9&gt;=14/24,M$9&lt;20/24)</formula>
    </cfRule>
    <cfRule type="expression" dxfId="2923" priority="70">
      <formula>AND(M$9&gt;=8/24,M$9&lt;14/24)</formula>
    </cfRule>
    <cfRule type="expression" dxfId="2922" priority="71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921" priority="125">
      <formula>N$9&gt;=20/24</formula>
    </cfRule>
  </conditionalFormatting>
  <conditionalFormatting sqref="S8">
    <cfRule type="expression" dxfId="2920" priority="112">
      <formula>U$9&gt;=20/24</formula>
    </cfRule>
    <cfRule type="expression" dxfId="2919" priority="113">
      <formula>AND(U$9&gt;=14/24,U$9&lt;20/24)</formula>
    </cfRule>
    <cfRule type="expression" dxfId="2918" priority="114">
      <formula>AND(U$9&gt;=8/24,U$9&lt;14/24)</formula>
    </cfRule>
    <cfRule type="expression" dxfId="2917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916" priority="108">
      <formula>AD$9&gt;=20/24</formula>
    </cfRule>
    <cfRule type="expression" dxfId="2915" priority="109">
      <formula>AND(AD$9&gt;=14/24,AD$9&lt;20/24)</formula>
    </cfRule>
    <cfRule type="expression" dxfId="2914" priority="110">
      <formula>AND(AD$9&gt;=8/24,AD$9&lt;14/24)</formula>
    </cfRule>
    <cfRule type="expression" dxfId="2913" priority="111">
      <formula>AD$9&lt;8/24</formula>
    </cfRule>
  </conditionalFormatting>
  <conditionalFormatting sqref="AB15:AF60 B41:AA83 B11:K40 L15:AA40 AB61:AG61 AB62:AF64 AB65:AG65 AB66:AF83 AG83">
    <cfRule type="expression" dxfId="2912" priority="40">
      <formula>B11&gt;$AG11</formula>
    </cfRule>
  </conditionalFormatting>
  <conditionalFormatting sqref="AB66:AF71">
    <cfRule type="expression" dxfId="2911" priority="64">
      <formula>AB$9&gt;=20/24</formula>
    </cfRule>
    <cfRule type="expression" dxfId="2910" priority="65">
      <formula>AND(AB$9&gt;=14/24,AB$9&lt;20/24)</formula>
    </cfRule>
    <cfRule type="expression" dxfId="2909" priority="66">
      <formula>AND(AB$9&gt;=8/24,AB$9&lt;14/24)</formula>
    </cfRule>
    <cfRule type="expression" dxfId="2908" priority="67">
      <formula>AB$9&lt;8/24</formula>
    </cfRule>
  </conditionalFormatting>
  <conditionalFormatting sqref="AG65">
    <cfRule type="expression" dxfId="2907" priority="87">
      <formula>AG$9&gt;=20/24</formula>
    </cfRule>
    <cfRule type="expression" dxfId="2906" priority="88">
      <formula>AND(AG$9&gt;=14/24,AG$9&lt;20/24)</formula>
    </cfRule>
    <cfRule type="expression" dxfId="2905" priority="89">
      <formula>AND(AG$9&gt;=8/24,AG$9&lt;14/24)</formula>
    </cfRule>
    <cfRule type="expression" dxfId="2904" priority="90">
      <formula>AG$9&lt;8/24</formula>
    </cfRule>
  </conditionalFormatting>
  <conditionalFormatting sqref="AG78:AG79">
    <cfRule type="expression" dxfId="2903" priority="82">
      <formula>AG78&gt;$AG78</formula>
    </cfRule>
  </conditionalFormatting>
  <conditionalFormatting sqref="AG83">
    <cfRule type="expression" dxfId="2902" priority="83">
      <formula>AG$9&gt;=20/24</formula>
    </cfRule>
    <cfRule type="expression" dxfId="2901" priority="84">
      <formula>AND(AG$9&gt;=14/24,AG$9&lt;20/24)</formula>
    </cfRule>
    <cfRule type="expression" dxfId="2900" priority="85">
      <formula>AND(AG$9&gt;=8/24,AG$9&lt;14/24)</formula>
    </cfRule>
    <cfRule type="expression" dxfId="2899" priority="86">
      <formula>AG$9&lt;8/24</formula>
    </cfRule>
  </conditionalFormatting>
  <conditionalFormatting sqref="AG100">
    <cfRule type="expression" dxfId="2898" priority="104">
      <formula>AG$9&gt;=20/24</formula>
    </cfRule>
    <cfRule type="expression" dxfId="2897" priority="105">
      <formula>AND(AG$9&gt;=14/24,AG$9&lt;20/24)</formula>
    </cfRule>
    <cfRule type="expression" dxfId="2896" priority="106">
      <formula>AND(AG$9&gt;=8/24,AG$9&lt;14/24)</formula>
    </cfRule>
    <cfRule type="expression" dxfId="2895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894" priority="129">
      <formula>AJ$9&gt;=20/24</formula>
    </cfRule>
    <cfRule type="expression" dxfId="2893" priority="130">
      <formula>AND(AJ$9&gt;=14/24,AJ$9&lt;20/24)</formula>
    </cfRule>
    <cfRule type="expression" dxfId="2892" priority="131">
      <formula>AND(AJ$9&gt;=8/24,AJ$9&lt;14/24)</formula>
    </cfRule>
    <cfRule type="expression" dxfId="2891" priority="132">
      <formula>AJ$9&lt;8/24</formula>
    </cfRule>
  </conditionalFormatting>
  <conditionalFormatting sqref="AL86:AN86 AL92:AN92">
    <cfRule type="expression" dxfId="2890" priority="97">
      <formula>AL$9&gt;=20/24</formula>
    </cfRule>
    <cfRule type="expression" dxfId="2889" priority="98">
      <formula>AND(AL$9&gt;=14/24,AL$9&lt;20/24)</formula>
    </cfRule>
    <cfRule type="expression" dxfId="2888" priority="99">
      <formula>AND(AL$9&gt;=8/24,AL$9&lt;14/24)</formula>
    </cfRule>
    <cfRule type="expression" dxfId="2887" priority="100">
      <formula>AL$9&lt;8/24</formula>
    </cfRule>
  </conditionalFormatting>
  <conditionalFormatting sqref="AM15:AM21 AN16:AR21">
    <cfRule type="expression" dxfId="2886" priority="13">
      <formula>AX$9&gt;=20/24</formula>
    </cfRule>
    <cfRule type="expression" dxfId="2885" priority="14">
      <formula>AND(AX$9&gt;=14/24,AX$9&lt;20/24)</formula>
    </cfRule>
    <cfRule type="expression" dxfId="2884" priority="15">
      <formula>AND(AX$9&gt;=8/24,AX$9&lt;14/24)</formula>
    </cfRule>
    <cfRule type="expression" dxfId="2883" priority="16">
      <formula>AX$9&lt;8/24</formula>
    </cfRule>
  </conditionalFormatting>
  <conditionalFormatting sqref="AN87:AN90">
    <cfRule type="expression" dxfId="2882" priority="93">
      <formula>AN$9&gt;=20/24</formula>
    </cfRule>
    <cfRule type="expression" dxfId="2881" priority="94">
      <formula>AND(AN$9&gt;=14/24,AN$9&lt;20/24)</formula>
    </cfRule>
    <cfRule type="expression" dxfId="2880" priority="95">
      <formula>AND(AN$9&gt;=8/24,AN$9&lt;14/24)</formula>
    </cfRule>
    <cfRule type="expression" dxfId="2879" priority="96">
      <formula>AN$9&lt;8/24</formula>
    </cfRule>
  </conditionalFormatting>
  <conditionalFormatting sqref="AN15:AR15">
    <cfRule type="expression" dxfId="2878" priority="1">
      <formula>U$9&gt;=20/24</formula>
    </cfRule>
    <cfRule type="expression" dxfId="2877" priority="2">
      <formula>AND(U$9&gt;=14/24,U$9&lt;20/24)</formula>
    </cfRule>
    <cfRule type="expression" dxfId="2876" priority="3">
      <formula>AND(U$9&gt;=8/24,U$9&lt;14/24)</formula>
    </cfRule>
    <cfRule type="expression" dxfId="2875" priority="4">
      <formula>U$9&lt;8/24</formula>
    </cfRule>
  </conditionalFormatting>
  <conditionalFormatting sqref="AS15">
    <cfRule type="expression" dxfId="2874" priority="9">
      <formula>AA$9&gt;=20/24</formula>
    </cfRule>
    <cfRule type="expression" dxfId="2873" priority="10">
      <formula>AND(AA$9&gt;=14/24,AA$9&lt;20/24)</formula>
    </cfRule>
    <cfRule type="expression" dxfId="2872" priority="11">
      <formula>AND(AA$9&gt;=8/24,AA$9&lt;14/24)</formula>
    </cfRule>
    <cfRule type="expression" dxfId="2871" priority="12">
      <formula>AA$9&lt;8/24</formula>
    </cfRule>
  </conditionalFormatting>
  <conditionalFormatting sqref="AS16:AS21">
    <cfRule type="expression" dxfId="2870" priority="17">
      <formula>BE$9&gt;=20/24</formula>
    </cfRule>
    <cfRule type="expression" dxfId="2869" priority="18">
      <formula>AND(BE$9&gt;=14/24,BE$9&lt;20/24)</formula>
    </cfRule>
    <cfRule type="expression" dxfId="2868" priority="19">
      <formula>AND(BE$9&gt;=8/24,BE$9&lt;14/24)</formula>
    </cfRule>
    <cfRule type="expression" dxfId="2867" priority="20">
      <formula>BE$9&lt;8/24</formula>
    </cfRule>
  </conditionalFormatting>
  <conditionalFormatting sqref="AT15 AX15:BJ15">
    <cfRule type="expression" dxfId="2866" priority="21">
      <formula>AC$9&gt;=20/24</formula>
    </cfRule>
    <cfRule type="expression" dxfId="2865" priority="22">
      <formula>AND(AC$9&gt;=14/24,AC$9&lt;20/24)</formula>
    </cfRule>
    <cfRule type="expression" dxfId="2864" priority="23">
      <formula>AND(AC$9&gt;=8/24,AC$9&lt;14/24)</formula>
    </cfRule>
    <cfRule type="expression" dxfId="2863" priority="24">
      <formula>AC$9&lt;8/24</formula>
    </cfRule>
  </conditionalFormatting>
  <conditionalFormatting sqref="AT16:AT21">
    <cfRule type="expression" dxfId="2862" priority="25">
      <formula>BG$9&gt;=20/24</formula>
    </cfRule>
    <cfRule type="expression" dxfId="2861" priority="26">
      <formula>AND(BG$9&gt;=14/24,BG$9&lt;20/24)</formula>
    </cfRule>
    <cfRule type="expression" dxfId="2860" priority="27">
      <formula>AND(BG$9&gt;=8/24,BG$9&lt;14/24)</formula>
    </cfRule>
    <cfRule type="expression" dxfId="2859" priority="28">
      <formula>BG$9&lt;8/24</formula>
    </cfRule>
  </conditionalFormatting>
  <conditionalFormatting sqref="AU15:AV15">
    <cfRule type="expression" dxfId="2858" priority="29">
      <formula>AE$9&gt;=20/24</formula>
    </cfRule>
    <cfRule type="expression" dxfId="2857" priority="30">
      <formula>AND(AE$9&gt;=14/24,AE$9&lt;20/24)</formula>
    </cfRule>
    <cfRule type="expression" dxfId="2856" priority="31">
      <formula>AND(AE$9&gt;=8/24,AE$9&lt;14/24)</formula>
    </cfRule>
    <cfRule type="expression" dxfId="2855" priority="32">
      <formula>AE$9&lt;8/24</formula>
    </cfRule>
  </conditionalFormatting>
  <conditionalFormatting sqref="AU16:BJ21">
    <cfRule type="expression" dxfId="2854" priority="33">
      <formula>BI$9&gt;=20/24</formula>
    </cfRule>
    <cfRule type="expression" dxfId="2853" priority="34">
      <formula>AND(BI$9&gt;=14/24,BI$9&lt;20/24)</formula>
    </cfRule>
    <cfRule type="expression" dxfId="2852" priority="35">
      <formula>AND(BI$9&gt;=8/24,BI$9&lt;14/24)</formula>
    </cfRule>
    <cfRule type="expression" dxfId="2851" priority="36">
      <formula>BI$9&lt;8/24</formula>
    </cfRule>
  </conditionalFormatting>
  <conditionalFormatting sqref="AW15">
    <cfRule type="expression" dxfId="2850" priority="5">
      <formula>B$9&gt;=20/24</formula>
    </cfRule>
    <cfRule type="expression" dxfId="2849" priority="6">
      <formula>AND(B$9&gt;=14/24,B$9&lt;20/24)</formula>
    </cfRule>
    <cfRule type="expression" dxfId="2848" priority="7">
      <formula>AND(B$9&gt;=8/24,B$9&lt;14/24)</formula>
    </cfRule>
    <cfRule type="expression" dxfId="284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80A0-0548-4A12-992A-250364684897}">
  <dimension ref="A1:CJ297"/>
  <sheetViews>
    <sheetView zoomScale="106" workbookViewId="0">
      <pane xSplit="1" ySplit="10" topLeftCell="B67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Q92" sqref="Q9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2080/10/12</v>
      </c>
      <c r="C4" s="189"/>
      <c r="D4" s="189"/>
      <c r="E4" s="190" t="str">
        <f ca="1">"2080/"&amp;"10/"&amp;INT(MID(CELL("filename",G6),FIND("]",CELL("filename",G6))+1,200))</f>
        <v>2080/10/12</v>
      </c>
      <c r="F4" s="190"/>
      <c r="G4" s="190"/>
      <c r="H4" s="190" t="str">
        <f ca="1">TEXT(E4,"dddd")</f>
        <v>Saturday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91.2</v>
      </c>
      <c r="D5" s="30">
        <f t="shared" si="0"/>
        <v>98</v>
      </c>
      <c r="E5" s="30">
        <f t="shared" si="0"/>
        <v>75.599999999999994</v>
      </c>
      <c r="F5" s="30">
        <f t="shared" si="0"/>
        <v>47</v>
      </c>
      <c r="G5" s="30">
        <f t="shared" si="0"/>
        <v>73.099999999999994</v>
      </c>
      <c r="H5" s="30">
        <f t="shared" si="0"/>
        <v>59</v>
      </c>
      <c r="I5" s="30">
        <f t="shared" si="0"/>
        <v>83.6</v>
      </c>
      <c r="J5" s="30">
        <f t="shared" si="0"/>
        <v>108.1</v>
      </c>
      <c r="K5" s="30">
        <f t="shared" si="0"/>
        <v>102.3</v>
      </c>
      <c r="L5" s="30">
        <f t="shared" si="0"/>
        <v>31.3</v>
      </c>
      <c r="M5" s="30">
        <f t="shared" si="0"/>
        <v>40.4</v>
      </c>
      <c r="N5" s="30">
        <f t="shared" si="0"/>
        <v>40</v>
      </c>
      <c r="O5" s="30">
        <f t="shared" si="0"/>
        <v>35</v>
      </c>
      <c r="P5" s="30">
        <f t="shared" si="0"/>
        <v>42.1</v>
      </c>
      <c r="Q5" s="30">
        <f t="shared" si="0"/>
        <v>45.8</v>
      </c>
      <c r="R5" s="30">
        <f t="shared" si="0"/>
        <v>46.7</v>
      </c>
      <c r="S5" s="30">
        <f t="shared" si="0"/>
        <v>50.2</v>
      </c>
      <c r="T5" s="30">
        <f t="shared" si="0"/>
        <v>38.9</v>
      </c>
      <c r="U5" s="30">
        <f t="shared" si="0"/>
        <v>28.6</v>
      </c>
      <c r="V5" s="30">
        <f t="shared" si="0"/>
        <v>43</v>
      </c>
      <c r="W5" s="30">
        <f t="shared" si="0"/>
        <v>35</v>
      </c>
      <c r="X5" s="30">
        <f t="shared" si="0"/>
        <v>0</v>
      </c>
      <c r="Y5" s="30">
        <f t="shared" si="0"/>
        <v>8.3000000000000007</v>
      </c>
      <c r="Z5" s="30">
        <f t="shared" si="0"/>
        <v>0</v>
      </c>
      <c r="AA5" s="30">
        <f t="shared" si="0"/>
        <v>12.5</v>
      </c>
      <c r="AB5" s="30">
        <f t="shared" si="0"/>
        <v>12.7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92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1738MW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1345.9999999999998</v>
      </c>
      <c r="C7" s="35">
        <f t="shared" si="1"/>
        <v>153.54</v>
      </c>
      <c r="D7" s="35">
        <f t="shared" si="1"/>
        <v>1626.24</v>
      </c>
      <c r="E7" s="35">
        <f t="shared" si="1"/>
        <v>1559.04</v>
      </c>
      <c r="F7" s="35">
        <f t="shared" si="1"/>
        <v>1307.74</v>
      </c>
      <c r="G7" s="35">
        <f t="shared" si="1"/>
        <v>1356.79</v>
      </c>
      <c r="H7" s="35">
        <f t="shared" si="1"/>
        <v>1414.6899999999998</v>
      </c>
      <c r="I7" s="35">
        <f t="shared" si="1"/>
        <v>1388.3400000000001</v>
      </c>
      <c r="J7" s="35">
        <f t="shared" si="1"/>
        <v>1302.4399999999998</v>
      </c>
      <c r="K7" s="35">
        <f t="shared" si="1"/>
        <v>1339.7399999999998</v>
      </c>
      <c r="L7" s="35">
        <f t="shared" si="1"/>
        <v>1309.54</v>
      </c>
      <c r="M7" s="35">
        <f t="shared" si="1"/>
        <v>1222.74</v>
      </c>
      <c r="N7" s="35">
        <f t="shared" si="1"/>
        <v>1267.44</v>
      </c>
      <c r="O7" s="35">
        <f t="shared" si="1"/>
        <v>1323.2399999999998</v>
      </c>
      <c r="P7" s="35">
        <f t="shared" si="1"/>
        <v>1318.04</v>
      </c>
      <c r="Q7" s="35">
        <f t="shared" si="1"/>
        <v>1343.9399999999998</v>
      </c>
      <c r="R7" s="35">
        <f t="shared" si="1"/>
        <v>1338.24</v>
      </c>
      <c r="S7" s="35">
        <f t="shared" si="1"/>
        <v>1436.64</v>
      </c>
      <c r="T7" s="35">
        <f t="shared" si="1"/>
        <v>1463.54</v>
      </c>
      <c r="U7" s="35">
        <f t="shared" si="1"/>
        <v>1325.04</v>
      </c>
      <c r="V7" s="35">
        <f t="shared" si="1"/>
        <v>1384.04</v>
      </c>
      <c r="W7" s="35">
        <f t="shared" si="1"/>
        <v>1374.6400000000003</v>
      </c>
      <c r="X7" s="35">
        <f t="shared" si="1"/>
        <v>1346.3400000000001</v>
      </c>
      <c r="Y7" s="35">
        <f t="shared" si="1"/>
        <v>1347.0400000000002</v>
      </c>
      <c r="Z7" s="35">
        <f t="shared" si="1"/>
        <v>1398.5400000000004</v>
      </c>
      <c r="AA7" s="35">
        <f t="shared" si="1"/>
        <v>1565.94</v>
      </c>
      <c r="AB7" s="35">
        <f t="shared" si="1"/>
        <v>1542.94</v>
      </c>
      <c r="AC7" s="35">
        <f t="shared" si="1"/>
        <v>1541.14</v>
      </c>
      <c r="AD7" s="35">
        <f t="shared" si="1"/>
        <v>1458.6399999999999</v>
      </c>
      <c r="AE7" s="35">
        <f t="shared" si="1"/>
        <v>1503.34</v>
      </c>
      <c r="AF7" s="35">
        <f t="shared" si="1"/>
        <v>1420.6399999999999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2087.04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1626.24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0</v>
      </c>
      <c r="C11" s="46" t="s">
        <v>304</v>
      </c>
      <c r="D11" s="46">
        <v>57.3</v>
      </c>
      <c r="E11" s="46">
        <v>58.2</v>
      </c>
      <c r="F11" s="46">
        <v>57</v>
      </c>
      <c r="G11" s="46">
        <v>50.7</v>
      </c>
      <c r="H11" s="46">
        <v>21.1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60.3</v>
      </c>
      <c r="Q11" s="46">
        <v>84</v>
      </c>
      <c r="R11" s="46">
        <v>86</v>
      </c>
      <c r="S11" s="46">
        <v>86</v>
      </c>
      <c r="T11" s="46">
        <v>86</v>
      </c>
      <c r="U11" s="46">
        <v>86</v>
      </c>
      <c r="V11" s="46">
        <v>77.2</v>
      </c>
      <c r="W11" s="46">
        <v>77.2</v>
      </c>
      <c r="X11" s="46">
        <v>77.2</v>
      </c>
      <c r="Y11" s="46">
        <v>77.2</v>
      </c>
      <c r="Z11" s="46">
        <v>77.2</v>
      </c>
      <c r="AA11" s="46">
        <v>87.1</v>
      </c>
      <c r="AB11" s="46">
        <v>87.1</v>
      </c>
      <c r="AC11" s="46">
        <v>87.1</v>
      </c>
      <c r="AD11" s="46">
        <v>76</v>
      </c>
      <c r="AE11" s="46">
        <v>76</v>
      </c>
      <c r="AF11" s="46">
        <v>76</v>
      </c>
      <c r="AG11" s="47">
        <v>86</v>
      </c>
      <c r="AH11" s="48">
        <f t="shared" ref="AH11:AH74" si="2">MAX(B11:AF11)</f>
        <v>87.1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84</v>
      </c>
      <c r="C12" s="46" t="s">
        <v>310</v>
      </c>
      <c r="D12" s="46">
        <v>84</v>
      </c>
      <c r="E12" s="46">
        <v>84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47</v>
      </c>
      <c r="W12" s="46">
        <v>84.1</v>
      </c>
      <c r="X12" s="46">
        <v>84.1</v>
      </c>
      <c r="Y12" s="46">
        <v>84.1</v>
      </c>
      <c r="Z12" s="46">
        <v>84.1</v>
      </c>
      <c r="AA12" s="46">
        <v>84.1</v>
      </c>
      <c r="AB12" s="46">
        <v>84.1</v>
      </c>
      <c r="AC12" s="46">
        <v>84.1</v>
      </c>
      <c r="AD12" s="46">
        <v>84.1</v>
      </c>
      <c r="AE12" s="46">
        <v>84.1</v>
      </c>
      <c r="AF12" s="46">
        <v>84.1</v>
      </c>
      <c r="AG12" s="50">
        <v>77</v>
      </c>
      <c r="AH12" s="48">
        <f t="shared" si="2"/>
        <v>84.1</v>
      </c>
      <c r="AI12" s="49">
        <f t="shared" si="3"/>
        <v>0</v>
      </c>
      <c r="AK12" s="51"/>
      <c r="AL12" s="52" t="str">
        <f ca="1">MID(CELL("filename",C7),FIND("]",CELL("filename",C7))+1,600)</f>
        <v>12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74</v>
      </c>
      <c r="C13" s="46" t="s">
        <v>291</v>
      </c>
      <c r="D13" s="46">
        <v>74</v>
      </c>
      <c r="E13" s="46">
        <v>75.5</v>
      </c>
      <c r="F13" s="46">
        <v>74.400000000000006</v>
      </c>
      <c r="G13" s="46">
        <v>77.5</v>
      </c>
      <c r="H13" s="46">
        <v>35</v>
      </c>
      <c r="I13" s="46">
        <v>77.7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77.7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40.700000000000003</v>
      </c>
      <c r="C14" s="46" t="s">
        <v>308</v>
      </c>
      <c r="D14" s="46">
        <v>40.700000000000003</v>
      </c>
      <c r="E14" s="46">
        <v>40.700000000000003</v>
      </c>
      <c r="F14" s="46">
        <v>40</v>
      </c>
      <c r="G14" s="46">
        <v>40.4</v>
      </c>
      <c r="H14" s="46">
        <v>40.4</v>
      </c>
      <c r="I14" s="46">
        <v>40.299999999999997</v>
      </c>
      <c r="J14" s="46">
        <v>40.299999999999997</v>
      </c>
      <c r="K14" s="46">
        <v>40.5</v>
      </c>
      <c r="L14" s="46">
        <v>40.5</v>
      </c>
      <c r="M14" s="46">
        <v>40.5</v>
      </c>
      <c r="N14" s="46">
        <v>40.799999999999997</v>
      </c>
      <c r="O14" s="46">
        <v>40.799999999999997</v>
      </c>
      <c r="P14" s="46">
        <v>40.799999999999997</v>
      </c>
      <c r="Q14" s="46">
        <v>40.799999999999997</v>
      </c>
      <c r="R14" s="46">
        <v>40.799999999999997</v>
      </c>
      <c r="S14" s="46">
        <v>40.799999999999997</v>
      </c>
      <c r="T14" s="46">
        <v>40.799999999999997</v>
      </c>
      <c r="U14" s="46">
        <v>40.799999999999997</v>
      </c>
      <c r="V14" s="46">
        <v>43.5</v>
      </c>
      <c r="W14" s="46">
        <v>43.5</v>
      </c>
      <c r="X14" s="46">
        <v>43.5</v>
      </c>
      <c r="Y14" s="46">
        <v>43.5</v>
      </c>
      <c r="Z14" s="46">
        <v>43.5</v>
      </c>
      <c r="AA14" s="46">
        <v>40.299999999999997</v>
      </c>
      <c r="AB14" s="46">
        <v>40.299999999999997</v>
      </c>
      <c r="AC14" s="46">
        <v>40.299999999999997</v>
      </c>
      <c r="AD14" s="46">
        <v>40.299999999999997</v>
      </c>
      <c r="AE14" s="46">
        <v>40.299999999999997</v>
      </c>
      <c r="AF14" s="46">
        <v>40.299999999999997</v>
      </c>
      <c r="AG14" s="50">
        <v>71</v>
      </c>
      <c r="AH14" s="48">
        <f t="shared" si="2"/>
        <v>43.5</v>
      </c>
      <c r="AI14" s="49">
        <f t="shared" si="3"/>
        <v>40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32.1</v>
      </c>
      <c r="C15" s="46" t="s">
        <v>311</v>
      </c>
      <c r="D15" s="46">
        <v>32.1</v>
      </c>
      <c r="E15" s="46">
        <v>32.1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35.799999999999997</v>
      </c>
      <c r="R15" s="46">
        <v>35.799999999999997</v>
      </c>
      <c r="S15" s="46">
        <v>35.799999999999997</v>
      </c>
      <c r="T15" s="46">
        <v>35.799999999999997</v>
      </c>
      <c r="U15" s="46">
        <v>35.799999999999997</v>
      </c>
      <c r="V15" s="46">
        <v>33.799999999999997</v>
      </c>
      <c r="W15" s="46">
        <v>60.5</v>
      </c>
      <c r="X15" s="46">
        <v>60.5</v>
      </c>
      <c r="Y15" s="46">
        <v>57.4</v>
      </c>
      <c r="Z15" s="46">
        <v>57.4</v>
      </c>
      <c r="AA15" s="46">
        <v>57.4</v>
      </c>
      <c r="AB15" s="46">
        <v>57.4</v>
      </c>
      <c r="AC15" s="46">
        <v>57.4</v>
      </c>
      <c r="AD15" s="46">
        <v>57.4</v>
      </c>
      <c r="AE15" s="46">
        <v>57.4</v>
      </c>
      <c r="AF15" s="46">
        <v>57.4</v>
      </c>
      <c r="AG15" s="50">
        <v>54</v>
      </c>
      <c r="AH15" s="48">
        <f t="shared" si="2"/>
        <v>60.5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25.7</v>
      </c>
      <c r="C16" s="46" t="s">
        <v>305</v>
      </c>
      <c r="D16" s="46">
        <v>25.7</v>
      </c>
      <c r="E16" s="46">
        <v>27</v>
      </c>
      <c r="F16" s="46">
        <v>0</v>
      </c>
      <c r="G16" s="46">
        <v>27.1</v>
      </c>
      <c r="H16" s="46">
        <v>27.1</v>
      </c>
      <c r="I16" s="46">
        <v>27.1</v>
      </c>
      <c r="J16" s="46">
        <v>27.1</v>
      </c>
      <c r="K16" s="46">
        <v>18.8</v>
      </c>
      <c r="L16" s="46">
        <v>18.8</v>
      </c>
      <c r="M16" s="46">
        <v>18.8</v>
      </c>
      <c r="N16" s="46">
        <v>27.1</v>
      </c>
      <c r="O16" s="46">
        <v>27.1</v>
      </c>
      <c r="P16" s="46">
        <v>27.1</v>
      </c>
      <c r="Q16" s="46">
        <v>27.1</v>
      </c>
      <c r="R16" s="46">
        <v>27.1</v>
      </c>
      <c r="S16" s="46">
        <v>27.1</v>
      </c>
      <c r="T16" s="46">
        <v>27.1</v>
      </c>
      <c r="U16" s="46">
        <v>27.1</v>
      </c>
      <c r="V16" s="46">
        <v>27.1</v>
      </c>
      <c r="W16" s="46">
        <v>27.1</v>
      </c>
      <c r="X16" s="46">
        <v>27.1</v>
      </c>
      <c r="Y16" s="46">
        <v>27.1</v>
      </c>
      <c r="Z16" s="46">
        <v>27.1</v>
      </c>
      <c r="AA16" s="46">
        <v>27.1</v>
      </c>
      <c r="AB16" s="46">
        <v>27.1</v>
      </c>
      <c r="AC16" s="46">
        <v>27.1</v>
      </c>
      <c r="AD16" s="46">
        <v>27.1</v>
      </c>
      <c r="AE16" s="46">
        <v>27.1</v>
      </c>
      <c r="AF16" s="46">
        <v>27.1</v>
      </c>
      <c r="AG16" s="50">
        <v>54</v>
      </c>
      <c r="AH16" s="48">
        <f t="shared" si="2"/>
        <v>27.1</v>
      </c>
      <c r="AI16" s="49">
        <f t="shared" si="3"/>
        <v>0</v>
      </c>
      <c r="AK16" s="51"/>
      <c r="AL16" s="54" t="s">
        <v>7</v>
      </c>
      <c r="AM16" s="59">
        <f t="shared" ref="AM16:AR16" si="4">B61</f>
        <v>1031.6999999999998</v>
      </c>
      <c r="AN16" s="59">
        <f t="shared" si="4"/>
        <v>150</v>
      </c>
      <c r="AO16" s="59">
        <f t="shared" si="4"/>
        <v>1068.5999999999999</v>
      </c>
      <c r="AP16" s="59">
        <f t="shared" si="4"/>
        <v>1037.0999999999999</v>
      </c>
      <c r="AQ16" s="59">
        <f t="shared" si="4"/>
        <v>885.99999999999989</v>
      </c>
      <c r="AR16" s="59">
        <f t="shared" si="4"/>
        <v>803.44999999999993</v>
      </c>
      <c r="AS16" s="59">
        <f>I61</f>
        <v>744</v>
      </c>
      <c r="AT16" s="59">
        <f>K61</f>
        <v>614.09999999999991</v>
      </c>
      <c r="AU16" s="59">
        <f t="shared" ref="AU16:BD16" si="5">M61</f>
        <v>638.20000000000005</v>
      </c>
      <c r="AV16" s="59">
        <f t="shared" si="5"/>
        <v>706.6</v>
      </c>
      <c r="AW16" s="59">
        <f t="shared" si="5"/>
        <v>734.69999999999993</v>
      </c>
      <c r="AX16" s="59">
        <f t="shared" si="5"/>
        <v>839.00000000000011</v>
      </c>
      <c r="AY16" s="59">
        <f t="shared" si="5"/>
        <v>926.1</v>
      </c>
      <c r="AZ16" s="59">
        <f t="shared" si="5"/>
        <v>899.2</v>
      </c>
      <c r="BA16" s="59">
        <f t="shared" si="5"/>
        <v>899.2</v>
      </c>
      <c r="BB16" s="59">
        <f t="shared" si="5"/>
        <v>899.2</v>
      </c>
      <c r="BC16" s="59">
        <f t="shared" si="5"/>
        <v>899.2</v>
      </c>
      <c r="BD16" s="59">
        <f t="shared" si="5"/>
        <v>938.10000000000014</v>
      </c>
      <c r="BE16" s="60">
        <f>X61</f>
        <v>1013.8000000000002</v>
      </c>
      <c r="BF16" s="60">
        <f>Z61</f>
        <v>1010.7000000000002</v>
      </c>
      <c r="BG16" s="60">
        <f>AB61</f>
        <v>1055.2</v>
      </c>
      <c r="BH16" s="60">
        <f>AD61</f>
        <v>1084.0999999999999</v>
      </c>
      <c r="BI16" s="60">
        <f>AE61</f>
        <v>1084.0999999999999</v>
      </c>
      <c r="BJ16" s="60">
        <f>AF61</f>
        <v>1084.0999999999999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55.4</v>
      </c>
      <c r="C17" s="46"/>
      <c r="D17" s="46">
        <v>55.4</v>
      </c>
      <c r="E17" s="46">
        <v>55.4</v>
      </c>
      <c r="F17" s="46">
        <v>54.9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24.1</v>
      </c>
      <c r="N17" s="46">
        <v>56</v>
      </c>
      <c r="O17" s="46">
        <v>56</v>
      </c>
      <c r="P17" s="46">
        <v>56</v>
      </c>
      <c r="Q17" s="46">
        <v>56</v>
      </c>
      <c r="R17" s="46">
        <v>56</v>
      </c>
      <c r="S17" s="46">
        <v>56</v>
      </c>
      <c r="T17" s="46">
        <v>56</v>
      </c>
      <c r="U17" s="46">
        <v>56</v>
      </c>
      <c r="V17" s="46">
        <v>56</v>
      </c>
      <c r="W17" s="46">
        <v>56</v>
      </c>
      <c r="X17" s="46">
        <v>56</v>
      </c>
      <c r="Y17" s="46">
        <v>56</v>
      </c>
      <c r="Z17" s="46">
        <v>56</v>
      </c>
      <c r="AA17" s="46">
        <v>56</v>
      </c>
      <c r="AB17" s="46">
        <v>56</v>
      </c>
      <c r="AC17" s="46">
        <v>56</v>
      </c>
      <c r="AD17" s="46">
        <v>56</v>
      </c>
      <c r="AE17" s="46">
        <v>56</v>
      </c>
      <c r="AF17" s="46">
        <v>56</v>
      </c>
      <c r="AG17" s="47">
        <v>52.4</v>
      </c>
      <c r="AH17" s="48">
        <f t="shared" si="2"/>
        <v>56</v>
      </c>
      <c r="AI17" s="49">
        <f t="shared" si="3"/>
        <v>0</v>
      </c>
      <c r="AK17" s="51"/>
      <c r="AL17" s="54" t="s">
        <v>27</v>
      </c>
      <c r="AM17" s="59">
        <f t="shared" ref="AM17:AR17" si="6">B65</f>
        <v>538.6</v>
      </c>
      <c r="AN17" s="59">
        <f t="shared" si="6"/>
        <v>0</v>
      </c>
      <c r="AO17" s="59">
        <f t="shared" si="6"/>
        <v>538.6</v>
      </c>
      <c r="AP17" s="59">
        <f t="shared" si="6"/>
        <v>538.5</v>
      </c>
      <c r="AQ17" s="59">
        <f t="shared" si="6"/>
        <v>522.5</v>
      </c>
      <c r="AR17" s="59">
        <f t="shared" si="6"/>
        <v>533.1</v>
      </c>
      <c r="AS17" s="59">
        <f>I65</f>
        <v>541.5</v>
      </c>
      <c r="AT17" s="59">
        <f>K65</f>
        <v>541.5</v>
      </c>
      <c r="AU17" s="59">
        <f t="shared" ref="AU17:BD17" si="7">M65</f>
        <v>541.5</v>
      </c>
      <c r="AV17" s="59">
        <f t="shared" si="7"/>
        <v>541.5</v>
      </c>
      <c r="AW17" s="59">
        <f t="shared" si="7"/>
        <v>541.5</v>
      </c>
      <c r="AX17" s="59">
        <f t="shared" si="7"/>
        <v>541.5</v>
      </c>
      <c r="AY17" s="59">
        <f t="shared" si="7"/>
        <v>541.5</v>
      </c>
      <c r="AZ17" s="59">
        <f t="shared" si="7"/>
        <v>541.5</v>
      </c>
      <c r="BA17" s="59">
        <f t="shared" si="7"/>
        <v>541.5</v>
      </c>
      <c r="BB17" s="59">
        <f t="shared" si="7"/>
        <v>541.5</v>
      </c>
      <c r="BC17" s="59">
        <f t="shared" si="7"/>
        <v>541.5</v>
      </c>
      <c r="BD17" s="59">
        <f t="shared" si="7"/>
        <v>541.5</v>
      </c>
      <c r="BE17" s="60">
        <f>X65</f>
        <v>541.5</v>
      </c>
      <c r="BF17" s="60">
        <f>Z65</f>
        <v>541.5</v>
      </c>
      <c r="BG17" s="60">
        <f>AB65</f>
        <v>541.5</v>
      </c>
      <c r="BH17" s="60">
        <f>AD65</f>
        <v>541.5</v>
      </c>
      <c r="BI17" s="60">
        <f>AE65</f>
        <v>541.5</v>
      </c>
      <c r="BJ17" s="60">
        <f>AF65</f>
        <v>541.5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 t="s">
        <v>307</v>
      </c>
      <c r="D18" s="46">
        <v>50.5</v>
      </c>
      <c r="E18" s="46">
        <v>50.5</v>
      </c>
      <c r="F18" s="46">
        <v>50.2</v>
      </c>
      <c r="G18" s="46">
        <v>50.5</v>
      </c>
      <c r="H18" s="46">
        <v>50.5</v>
      </c>
      <c r="I18" s="46">
        <v>50.5</v>
      </c>
      <c r="J18" s="46">
        <v>50.5</v>
      </c>
      <c r="K18" s="46">
        <v>50.4</v>
      </c>
      <c r="L18" s="46">
        <v>50.4</v>
      </c>
      <c r="M18" s="46">
        <v>50.4</v>
      </c>
      <c r="N18" s="46">
        <v>50.2</v>
      </c>
      <c r="O18" s="46">
        <v>50.2</v>
      </c>
      <c r="P18" s="46">
        <v>50.2</v>
      </c>
      <c r="Q18" s="46">
        <v>50.2</v>
      </c>
      <c r="R18" s="46">
        <v>50.2</v>
      </c>
      <c r="S18" s="46">
        <v>50.2</v>
      </c>
      <c r="T18" s="46">
        <v>50.2</v>
      </c>
      <c r="U18" s="46">
        <v>50.2</v>
      </c>
      <c r="V18" s="46">
        <v>50.2</v>
      </c>
      <c r="W18" s="46">
        <v>50.2</v>
      </c>
      <c r="X18" s="46">
        <v>50.2</v>
      </c>
      <c r="Y18" s="46">
        <v>50.2</v>
      </c>
      <c r="Z18" s="46">
        <v>50.2</v>
      </c>
      <c r="AA18" s="46">
        <v>50.2</v>
      </c>
      <c r="AB18" s="46">
        <v>50.2</v>
      </c>
      <c r="AC18" s="46">
        <v>50.2</v>
      </c>
      <c r="AD18" s="46">
        <v>50.2</v>
      </c>
      <c r="AE18" s="46">
        <v>50.2</v>
      </c>
      <c r="AF18" s="46">
        <v>50.2</v>
      </c>
      <c r="AG18" s="50">
        <v>50</v>
      </c>
      <c r="AH18" s="48">
        <f t="shared" si="2"/>
        <v>50.5</v>
      </c>
      <c r="AI18" s="49">
        <f t="shared" si="3"/>
        <v>50.2</v>
      </c>
      <c r="AK18" s="51"/>
      <c r="AL18" s="54" t="s">
        <v>29</v>
      </c>
      <c r="AM18" s="59">
        <f t="shared" ref="AM18:AR18" si="8">B79</f>
        <v>3.3</v>
      </c>
      <c r="AN18" s="59">
        <f t="shared" si="8"/>
        <v>3.54</v>
      </c>
      <c r="AO18" s="59">
        <f t="shared" si="8"/>
        <v>305.53999999999996</v>
      </c>
      <c r="AP18" s="59">
        <f t="shared" si="8"/>
        <v>338.64</v>
      </c>
      <c r="AQ18" s="59">
        <f t="shared" si="8"/>
        <v>295.44</v>
      </c>
      <c r="AR18" s="59">
        <f t="shared" si="8"/>
        <v>333.74</v>
      </c>
      <c r="AS18" s="59">
        <f>I79</f>
        <v>334.64</v>
      </c>
      <c r="AT18" s="59">
        <f>K79</f>
        <v>336.44</v>
      </c>
      <c r="AU18" s="59">
        <f t="shared" ref="AU18:BD18" si="9">M79</f>
        <v>336.44</v>
      </c>
      <c r="AV18" s="59">
        <f t="shared" si="9"/>
        <v>331.44</v>
      </c>
      <c r="AW18" s="59">
        <f t="shared" si="9"/>
        <v>335.74</v>
      </c>
      <c r="AX18" s="59">
        <f t="shared" si="9"/>
        <v>340.34</v>
      </c>
      <c r="AY18" s="59">
        <f t="shared" si="9"/>
        <v>334.24</v>
      </c>
      <c r="AZ18" s="59">
        <f t="shared" si="9"/>
        <v>338.74</v>
      </c>
      <c r="BA18" s="59">
        <f t="shared" si="9"/>
        <v>367.74000000000007</v>
      </c>
      <c r="BB18" s="59">
        <f t="shared" si="9"/>
        <v>368.84000000000003</v>
      </c>
      <c r="BC18" s="59">
        <f t="shared" si="9"/>
        <v>403.34000000000003</v>
      </c>
      <c r="BD18" s="59">
        <f t="shared" si="9"/>
        <v>403.54</v>
      </c>
      <c r="BE18" s="60">
        <f>X79</f>
        <v>387.94</v>
      </c>
      <c r="BF18" s="60">
        <f>Z79</f>
        <v>386.94</v>
      </c>
      <c r="BG18" s="60">
        <f>AB79</f>
        <v>351.74</v>
      </c>
      <c r="BH18" s="60">
        <f>AD79</f>
        <v>311.04000000000002</v>
      </c>
      <c r="BI18" s="60">
        <f>AE79</f>
        <v>376.74</v>
      </c>
      <c r="BJ18" s="60">
        <f>AF79</f>
        <v>312.04000000000002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 t="s">
        <v>313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92</v>
      </c>
      <c r="AN19" s="59">
        <f t="shared" si="10"/>
        <v>0</v>
      </c>
      <c r="AO19" s="59">
        <f t="shared" si="10"/>
        <v>91.2</v>
      </c>
      <c r="AP19" s="59">
        <f t="shared" si="10"/>
        <v>98</v>
      </c>
      <c r="AQ19" s="59">
        <f t="shared" si="10"/>
        <v>75.599999999999994</v>
      </c>
      <c r="AR19" s="59">
        <f t="shared" si="10"/>
        <v>47</v>
      </c>
      <c r="AS19" s="59">
        <f>I95</f>
        <v>59</v>
      </c>
      <c r="AT19" s="59">
        <f>K95</f>
        <v>108.1</v>
      </c>
      <c r="AU19" s="59">
        <f t="shared" ref="AU19:BD19" si="11">M95</f>
        <v>31.3</v>
      </c>
      <c r="AV19" s="59">
        <f t="shared" si="11"/>
        <v>40.4</v>
      </c>
      <c r="AW19" s="59">
        <f t="shared" si="11"/>
        <v>40</v>
      </c>
      <c r="AX19" s="59">
        <f t="shared" si="11"/>
        <v>35</v>
      </c>
      <c r="AY19" s="59">
        <f t="shared" si="11"/>
        <v>42.1</v>
      </c>
      <c r="AZ19" s="59">
        <f t="shared" si="11"/>
        <v>45.8</v>
      </c>
      <c r="BA19" s="59">
        <f t="shared" si="11"/>
        <v>46.7</v>
      </c>
      <c r="BB19" s="59">
        <f t="shared" si="11"/>
        <v>50.2</v>
      </c>
      <c r="BC19" s="59">
        <f t="shared" si="11"/>
        <v>38.9</v>
      </c>
      <c r="BD19" s="59">
        <f t="shared" si="11"/>
        <v>28.6</v>
      </c>
      <c r="BE19" s="60">
        <f>X95</f>
        <v>35</v>
      </c>
      <c r="BF19" s="60">
        <f>Z95</f>
        <v>8.3000000000000007</v>
      </c>
      <c r="BG19" s="60">
        <f>AB95</f>
        <v>12.5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44.9</v>
      </c>
      <c r="C20" s="46" t="s">
        <v>304</v>
      </c>
      <c r="D20" s="46">
        <v>44.9</v>
      </c>
      <c r="E20" s="46">
        <v>44.9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44.9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15.400000000000002</v>
      </c>
      <c r="AN20" s="59">
        <f t="shared" si="12"/>
        <v>0</v>
      </c>
      <c r="AO20" s="59">
        <f t="shared" si="12"/>
        <v>33.1</v>
      </c>
      <c r="AP20" s="59">
        <f t="shared" si="12"/>
        <v>22.8</v>
      </c>
      <c r="AQ20" s="59">
        <f t="shared" si="12"/>
        <v>21.2</v>
      </c>
      <c r="AR20" s="59">
        <f t="shared" si="12"/>
        <v>21.2</v>
      </c>
      <c r="AS20" s="59">
        <f>I83</f>
        <v>21.2</v>
      </c>
      <c r="AT20" s="59">
        <f>K83</f>
        <v>21.2</v>
      </c>
      <c r="AU20" s="59">
        <f t="shared" ref="AU20:BD20" si="13">M83</f>
        <v>14</v>
      </c>
      <c r="AV20" s="59">
        <f t="shared" si="13"/>
        <v>17.500000000000004</v>
      </c>
      <c r="AW20" s="59">
        <f t="shared" si="13"/>
        <v>21.3</v>
      </c>
      <c r="AX20" s="59">
        <f t="shared" si="13"/>
        <v>21.200000000000003</v>
      </c>
      <c r="AY20" s="59">
        <f t="shared" si="13"/>
        <v>20</v>
      </c>
      <c r="AZ20" s="59">
        <f t="shared" si="13"/>
        <v>20</v>
      </c>
      <c r="BA20" s="59">
        <f t="shared" si="13"/>
        <v>20</v>
      </c>
      <c r="BB20" s="59">
        <f t="shared" si="13"/>
        <v>20</v>
      </c>
      <c r="BC20" s="59">
        <f t="shared" si="13"/>
        <v>20</v>
      </c>
      <c r="BD20" s="59">
        <f t="shared" si="13"/>
        <v>20</v>
      </c>
      <c r="BE20" s="60">
        <f>X83</f>
        <v>20</v>
      </c>
      <c r="BF20" s="60">
        <f>Z83</f>
        <v>20</v>
      </c>
      <c r="BG20" s="60">
        <f>AB83</f>
        <v>20</v>
      </c>
      <c r="BH20" s="60">
        <f>AD83</f>
        <v>20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 t="s">
        <v>308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100</v>
      </c>
      <c r="AN21" s="59">
        <f t="shared" si="14"/>
        <v>0</v>
      </c>
      <c r="AO21" s="59">
        <f t="shared" si="14"/>
        <v>50</v>
      </c>
      <c r="AP21" s="59">
        <f t="shared" si="14"/>
        <v>50</v>
      </c>
      <c r="AQ21" s="59">
        <f t="shared" si="14"/>
        <v>50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37.700000000000003</v>
      </c>
      <c r="C22" s="46" t="s">
        <v>306</v>
      </c>
      <c r="D22" s="46">
        <v>0</v>
      </c>
      <c r="E22" s="46">
        <v>0</v>
      </c>
      <c r="F22" s="46">
        <v>40</v>
      </c>
      <c r="G22" s="46">
        <v>39.85</v>
      </c>
      <c r="H22" s="46">
        <v>39.85</v>
      </c>
      <c r="I22" s="46">
        <v>38</v>
      </c>
      <c r="J22" s="46">
        <v>38</v>
      </c>
      <c r="K22" s="46">
        <v>38</v>
      </c>
      <c r="L22" s="46">
        <v>38</v>
      </c>
      <c r="M22" s="46">
        <v>38</v>
      </c>
      <c r="N22" s="46">
        <v>39.4</v>
      </c>
      <c r="O22" s="46">
        <v>39.4</v>
      </c>
      <c r="P22" s="46">
        <v>39.4</v>
      </c>
      <c r="Q22" s="46">
        <v>39.4</v>
      </c>
      <c r="R22" s="46">
        <v>39.4</v>
      </c>
      <c r="S22" s="46">
        <v>39.4</v>
      </c>
      <c r="T22" s="46">
        <v>39.4</v>
      </c>
      <c r="U22" s="46">
        <v>39.4</v>
      </c>
      <c r="V22" s="46">
        <v>39.4</v>
      </c>
      <c r="W22" s="46">
        <v>39.4</v>
      </c>
      <c r="X22" s="46">
        <v>39.4</v>
      </c>
      <c r="Y22" s="46">
        <v>39.4</v>
      </c>
      <c r="Z22" s="46">
        <v>39.4</v>
      </c>
      <c r="AA22" s="46">
        <v>39.4</v>
      </c>
      <c r="AB22" s="46">
        <v>39.4</v>
      </c>
      <c r="AC22" s="46">
        <v>39.4</v>
      </c>
      <c r="AD22" s="46">
        <v>39.4</v>
      </c>
      <c r="AE22" s="46">
        <v>39.4</v>
      </c>
      <c r="AF22" s="46">
        <v>39.4</v>
      </c>
      <c r="AG22" s="50">
        <v>38.46</v>
      </c>
      <c r="AH22" s="48">
        <f t="shared" si="2"/>
        <v>40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1780.9999999999998</v>
      </c>
      <c r="AN22" s="63">
        <f t="shared" si="16"/>
        <v>153.54</v>
      </c>
      <c r="AO22" s="63">
        <f t="shared" si="16"/>
        <v>2087.04</v>
      </c>
      <c r="AP22" s="63">
        <f t="shared" si="16"/>
        <v>2085.04</v>
      </c>
      <c r="AQ22" s="63">
        <f t="shared" si="16"/>
        <v>1850.74</v>
      </c>
      <c r="AR22" s="63">
        <f t="shared" si="16"/>
        <v>1738.49</v>
      </c>
      <c r="AS22" s="63">
        <f t="shared" si="16"/>
        <v>1700.34</v>
      </c>
      <c r="AT22" s="63">
        <f t="shared" si="16"/>
        <v>1621.34</v>
      </c>
      <c r="AU22" s="63">
        <f t="shared" si="16"/>
        <v>1561.44</v>
      </c>
      <c r="AV22" s="63">
        <f t="shared" si="16"/>
        <v>1637.44</v>
      </c>
      <c r="AW22" s="63">
        <f t="shared" si="16"/>
        <v>1673.2399999999998</v>
      </c>
      <c r="AX22" s="63">
        <f t="shared" si="16"/>
        <v>1777.04</v>
      </c>
      <c r="AY22" s="63">
        <f t="shared" si="16"/>
        <v>1863.9399999999998</v>
      </c>
      <c r="AZ22" s="63">
        <f t="shared" si="16"/>
        <v>1845.24</v>
      </c>
      <c r="BA22" s="63">
        <f t="shared" si="16"/>
        <v>1875.14</v>
      </c>
      <c r="BB22" s="63">
        <f t="shared" si="16"/>
        <v>1879.74</v>
      </c>
      <c r="BC22" s="63">
        <f t="shared" si="16"/>
        <v>1902.94</v>
      </c>
      <c r="BD22" s="63">
        <f t="shared" si="16"/>
        <v>1931.74</v>
      </c>
      <c r="BE22" s="63">
        <f t="shared" si="16"/>
        <v>1998.2400000000002</v>
      </c>
      <c r="BF22" s="63">
        <f t="shared" si="16"/>
        <v>1967.4400000000003</v>
      </c>
      <c r="BG22" s="63">
        <f t="shared" si="16"/>
        <v>1980.94</v>
      </c>
      <c r="BH22" s="63">
        <f t="shared" si="16"/>
        <v>1956.6399999999999</v>
      </c>
      <c r="BI22" s="63">
        <f t="shared" si="16"/>
        <v>2002.34</v>
      </c>
      <c r="BJ22" s="63">
        <f t="shared" si="16"/>
        <v>1937.6399999999999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20</v>
      </c>
      <c r="C23" s="46" t="s">
        <v>312</v>
      </c>
      <c r="D23" s="46">
        <v>20</v>
      </c>
      <c r="E23" s="46">
        <v>20</v>
      </c>
      <c r="F23" s="46">
        <v>20</v>
      </c>
      <c r="G23" s="46">
        <v>20</v>
      </c>
      <c r="H23" s="46">
        <v>20</v>
      </c>
      <c r="I23" s="46">
        <v>20</v>
      </c>
      <c r="J23" s="46">
        <v>20</v>
      </c>
      <c r="K23" s="46">
        <v>20</v>
      </c>
      <c r="L23" s="46">
        <v>20</v>
      </c>
      <c r="M23" s="46">
        <v>20</v>
      </c>
      <c r="N23" s="46">
        <v>20</v>
      </c>
      <c r="O23" s="46">
        <v>20</v>
      </c>
      <c r="P23" s="46">
        <v>20</v>
      </c>
      <c r="Q23" s="46">
        <v>20</v>
      </c>
      <c r="R23" s="46">
        <v>20</v>
      </c>
      <c r="S23" s="46">
        <v>20</v>
      </c>
      <c r="T23" s="46">
        <v>20</v>
      </c>
      <c r="U23" s="46">
        <v>20</v>
      </c>
      <c r="V23" s="46">
        <v>20</v>
      </c>
      <c r="W23" s="46">
        <v>20</v>
      </c>
      <c r="X23" s="46">
        <v>20</v>
      </c>
      <c r="Y23" s="46">
        <v>20</v>
      </c>
      <c r="Z23" s="46">
        <v>20</v>
      </c>
      <c r="AA23" s="46">
        <v>0</v>
      </c>
      <c r="AB23" s="46">
        <v>0</v>
      </c>
      <c r="AC23" s="46">
        <v>0</v>
      </c>
      <c r="AD23" s="46">
        <v>40</v>
      </c>
      <c r="AE23" s="46">
        <v>40</v>
      </c>
      <c r="AF23" s="46">
        <v>40</v>
      </c>
      <c r="AG23" s="50">
        <v>38.46</v>
      </c>
      <c r="AH23" s="48">
        <f t="shared" si="2"/>
        <v>40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-435</v>
      </c>
      <c r="AN23" s="63">
        <f t="shared" si="17"/>
        <v>0</v>
      </c>
      <c r="AO23" s="63">
        <f t="shared" si="17"/>
        <v>-460.8</v>
      </c>
      <c r="AP23" s="63">
        <f t="shared" si="17"/>
        <v>-526</v>
      </c>
      <c r="AQ23" s="63">
        <f t="shared" si="17"/>
        <v>-543</v>
      </c>
      <c r="AR23" s="63">
        <f t="shared" si="17"/>
        <v>-381.7</v>
      </c>
      <c r="AS23" s="63">
        <f>I110*-1</f>
        <v>-312</v>
      </c>
      <c r="AT23" s="63">
        <f>K110*-1</f>
        <v>-281.60000000000002</v>
      </c>
      <c r="AU23" s="63">
        <f t="shared" ref="AU23:BD23" si="18">M110*-1</f>
        <v>-338.7</v>
      </c>
      <c r="AV23" s="63">
        <f t="shared" si="18"/>
        <v>-370</v>
      </c>
      <c r="AW23" s="63">
        <f t="shared" si="18"/>
        <v>-350</v>
      </c>
      <c r="AX23" s="63">
        <f t="shared" si="18"/>
        <v>-459</v>
      </c>
      <c r="AY23" s="63">
        <f t="shared" si="18"/>
        <v>-520</v>
      </c>
      <c r="AZ23" s="63">
        <f t="shared" si="18"/>
        <v>-507</v>
      </c>
      <c r="BA23" s="63">
        <f t="shared" si="18"/>
        <v>-438.5</v>
      </c>
      <c r="BB23" s="63">
        <f t="shared" si="18"/>
        <v>-416.2</v>
      </c>
      <c r="BC23" s="63">
        <f t="shared" si="18"/>
        <v>-577.9</v>
      </c>
      <c r="BD23" s="63">
        <f t="shared" si="18"/>
        <v>-547.70000000000005</v>
      </c>
      <c r="BE23" s="63">
        <f>X110*-1</f>
        <v>-651.9</v>
      </c>
      <c r="BF23" s="63">
        <f>Z110*-1</f>
        <v>-568.9</v>
      </c>
      <c r="BG23" s="63">
        <f>AB110*-1</f>
        <v>-438</v>
      </c>
      <c r="BH23" s="63">
        <f>AD110*-1</f>
        <v>-498</v>
      </c>
      <c r="BI23" s="63">
        <f>AE110*-1</f>
        <v>-499</v>
      </c>
      <c r="BJ23" s="63">
        <f>AF110*-1</f>
        <v>-517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0</v>
      </c>
      <c r="C24" s="46" t="s">
        <v>309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50">
        <v>36</v>
      </c>
      <c r="AH24" s="48">
        <f t="shared" si="2"/>
        <v>0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1345.9999999999998</v>
      </c>
      <c r="AN24" s="63">
        <f t="shared" si="19"/>
        <v>153.54</v>
      </c>
      <c r="AO24" s="63">
        <f t="shared" si="19"/>
        <v>1626.24</v>
      </c>
      <c r="AP24" s="63">
        <f t="shared" si="19"/>
        <v>1559.04</v>
      </c>
      <c r="AQ24" s="63">
        <f t="shared" si="19"/>
        <v>1307.74</v>
      </c>
      <c r="AR24" s="63">
        <f t="shared" si="19"/>
        <v>1356.79</v>
      </c>
      <c r="AS24" s="63">
        <f t="shared" si="19"/>
        <v>1388.34</v>
      </c>
      <c r="AT24" s="63">
        <f t="shared" si="19"/>
        <v>1339.7399999999998</v>
      </c>
      <c r="AU24" s="63">
        <f t="shared" si="19"/>
        <v>1222.74</v>
      </c>
      <c r="AV24" s="63">
        <f t="shared" si="19"/>
        <v>1267.44</v>
      </c>
      <c r="AW24" s="63">
        <f t="shared" si="19"/>
        <v>1323.2399999999998</v>
      </c>
      <c r="AX24" s="63">
        <f t="shared" si="19"/>
        <v>1318.04</v>
      </c>
      <c r="AY24" s="63">
        <f t="shared" si="19"/>
        <v>1343.9399999999998</v>
      </c>
      <c r="AZ24" s="63">
        <f t="shared" si="19"/>
        <v>1338.24</v>
      </c>
      <c r="BA24" s="63">
        <f t="shared" si="19"/>
        <v>1436.64</v>
      </c>
      <c r="BB24" s="63">
        <f t="shared" si="19"/>
        <v>1463.54</v>
      </c>
      <c r="BC24" s="63">
        <f t="shared" si="19"/>
        <v>1325.04</v>
      </c>
      <c r="BD24" s="63">
        <f t="shared" si="19"/>
        <v>1384.04</v>
      </c>
      <c r="BE24" s="63">
        <f t="shared" si="19"/>
        <v>1346.3400000000001</v>
      </c>
      <c r="BF24" s="63">
        <f t="shared" si="19"/>
        <v>1398.5400000000004</v>
      </c>
      <c r="BG24" s="63">
        <f t="shared" si="19"/>
        <v>1542.94</v>
      </c>
      <c r="BH24" s="63">
        <f t="shared" si="19"/>
        <v>1458.6399999999999</v>
      </c>
      <c r="BI24" s="63">
        <f t="shared" si="19"/>
        <v>1503.34</v>
      </c>
      <c r="BJ24" s="63">
        <f t="shared" si="19"/>
        <v>1420.6399999999999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27.2</v>
      </c>
      <c r="C25" s="46"/>
      <c r="D25" s="46">
        <v>27.2</v>
      </c>
      <c r="E25" s="46">
        <v>24.8</v>
      </c>
      <c r="F25" s="46">
        <v>14.8</v>
      </c>
      <c r="G25" s="46">
        <v>24.7</v>
      </c>
      <c r="H25" s="46">
        <v>24.7</v>
      </c>
      <c r="I25" s="46">
        <v>20.7</v>
      </c>
      <c r="J25" s="46">
        <v>20.7</v>
      </c>
      <c r="K25" s="46">
        <v>20.7</v>
      </c>
      <c r="L25" s="46">
        <v>20.7</v>
      </c>
      <c r="M25" s="46">
        <v>20.7</v>
      </c>
      <c r="N25" s="46">
        <v>29</v>
      </c>
      <c r="O25" s="46">
        <v>29</v>
      </c>
      <c r="P25" s="46">
        <v>29</v>
      </c>
      <c r="Q25" s="46">
        <v>29</v>
      </c>
      <c r="R25" s="46">
        <v>18</v>
      </c>
      <c r="S25" s="46">
        <v>18</v>
      </c>
      <c r="T25" s="46">
        <v>18</v>
      </c>
      <c r="U25" s="46">
        <v>18</v>
      </c>
      <c r="V25" s="46">
        <v>18</v>
      </c>
      <c r="W25" s="46">
        <v>18</v>
      </c>
      <c r="X25" s="46">
        <v>18</v>
      </c>
      <c r="Y25" s="46">
        <v>18</v>
      </c>
      <c r="Z25" s="46">
        <v>18</v>
      </c>
      <c r="AA25" s="46">
        <v>30.1</v>
      </c>
      <c r="AB25" s="46">
        <v>30.1</v>
      </c>
      <c r="AC25" s="46">
        <v>30.1</v>
      </c>
      <c r="AD25" s="46">
        <v>30.1</v>
      </c>
      <c r="AE25" s="46">
        <v>30.1</v>
      </c>
      <c r="AF25" s="46">
        <v>30.1</v>
      </c>
      <c r="AG25" s="61">
        <v>30</v>
      </c>
      <c r="AH25" s="48">
        <f t="shared" si="2"/>
        <v>30.1</v>
      </c>
      <c r="AI25" s="49">
        <f t="shared" si="3"/>
        <v>14.8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/>
      <c r="D26" s="46">
        <v>33</v>
      </c>
      <c r="E26" s="46">
        <v>33</v>
      </c>
      <c r="F26" s="46">
        <v>24.3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21.2</v>
      </c>
      <c r="R26" s="46">
        <v>21.2</v>
      </c>
      <c r="S26" s="46">
        <v>21.2</v>
      </c>
      <c r="T26" s="46">
        <v>21.2</v>
      </c>
      <c r="U26" s="46">
        <v>21.2</v>
      </c>
      <c r="V26" s="46">
        <v>21.2</v>
      </c>
      <c r="W26" s="46">
        <v>33.1</v>
      </c>
      <c r="X26" s="46">
        <v>33.1</v>
      </c>
      <c r="Y26" s="46">
        <v>33.1</v>
      </c>
      <c r="Z26" s="46">
        <v>33.1</v>
      </c>
      <c r="AA26" s="46">
        <v>33.1</v>
      </c>
      <c r="AB26" s="46">
        <v>33.1</v>
      </c>
      <c r="AC26" s="46">
        <v>33.1</v>
      </c>
      <c r="AD26" s="46">
        <v>33.1</v>
      </c>
      <c r="AE26" s="46">
        <v>33.1</v>
      </c>
      <c r="AF26" s="46">
        <v>33.1</v>
      </c>
      <c r="AG26" s="50">
        <v>24.2</v>
      </c>
      <c r="AH26" s="48">
        <f t="shared" si="2"/>
        <v>33.1</v>
      </c>
      <c r="AI26" s="49">
        <f t="shared" si="3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27.5</v>
      </c>
      <c r="C27" s="46"/>
      <c r="D27" s="46">
        <v>27.5</v>
      </c>
      <c r="E27" s="46">
        <v>28.7</v>
      </c>
      <c r="F27" s="46">
        <v>28.7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28.1</v>
      </c>
      <c r="P27" s="46">
        <v>28.1</v>
      </c>
      <c r="Q27" s="46">
        <v>28.1</v>
      </c>
      <c r="R27" s="46">
        <v>28.1</v>
      </c>
      <c r="S27" s="46">
        <v>28.1</v>
      </c>
      <c r="T27" s="46">
        <v>28.1</v>
      </c>
      <c r="U27" s="46">
        <v>28.1</v>
      </c>
      <c r="V27" s="46">
        <v>28.1</v>
      </c>
      <c r="W27" s="46">
        <v>28.1</v>
      </c>
      <c r="X27" s="46">
        <v>28.1</v>
      </c>
      <c r="Y27" s="46">
        <v>28.1</v>
      </c>
      <c r="Z27" s="46">
        <v>28.1</v>
      </c>
      <c r="AA27" s="46">
        <v>28.1</v>
      </c>
      <c r="AB27" s="46">
        <v>28.1</v>
      </c>
      <c r="AC27" s="46">
        <v>28.1</v>
      </c>
      <c r="AD27" s="46">
        <v>28.1</v>
      </c>
      <c r="AE27" s="46">
        <v>28.1</v>
      </c>
      <c r="AF27" s="46">
        <v>28.1</v>
      </c>
      <c r="AG27" s="50">
        <v>28</v>
      </c>
      <c r="AH27" s="48">
        <f t="shared" si="2"/>
        <v>28.7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27.8</v>
      </c>
      <c r="C28" s="46"/>
      <c r="D28" s="46">
        <v>27.8</v>
      </c>
      <c r="E28" s="46">
        <v>27.8</v>
      </c>
      <c r="F28" s="46">
        <v>26.6</v>
      </c>
      <c r="G28" s="46">
        <v>26.4</v>
      </c>
      <c r="H28" s="46">
        <v>26.4</v>
      </c>
      <c r="I28" s="46">
        <v>26.6</v>
      </c>
      <c r="J28" s="46">
        <v>26.6</v>
      </c>
      <c r="K28" s="46">
        <v>26.6</v>
      </c>
      <c r="L28" s="46">
        <v>26.6</v>
      </c>
      <c r="M28" s="46">
        <v>26.6</v>
      </c>
      <c r="N28" s="46">
        <v>27.9</v>
      </c>
      <c r="O28" s="46">
        <v>27.9</v>
      </c>
      <c r="P28" s="46">
        <v>27.9</v>
      </c>
      <c r="Q28" s="46">
        <v>27.9</v>
      </c>
      <c r="R28" s="46">
        <f t="shared" ref="R28:Z28" si="20">0.6*27</f>
        <v>16.2</v>
      </c>
      <c r="S28" s="46">
        <f t="shared" si="20"/>
        <v>16.2</v>
      </c>
      <c r="T28" s="46">
        <f t="shared" si="20"/>
        <v>16.2</v>
      </c>
      <c r="U28" s="46">
        <f t="shared" si="20"/>
        <v>16.2</v>
      </c>
      <c r="V28" s="46">
        <f t="shared" si="20"/>
        <v>16.2</v>
      </c>
      <c r="W28" s="46">
        <f t="shared" si="20"/>
        <v>16.2</v>
      </c>
      <c r="X28" s="46">
        <f t="shared" si="20"/>
        <v>16.2</v>
      </c>
      <c r="Y28" s="46">
        <f t="shared" si="20"/>
        <v>16.2</v>
      </c>
      <c r="Z28" s="46">
        <f t="shared" si="20"/>
        <v>16.2</v>
      </c>
      <c r="AA28" s="46">
        <v>26.5</v>
      </c>
      <c r="AB28" s="46">
        <v>26.5</v>
      </c>
      <c r="AC28" s="46">
        <v>26.5</v>
      </c>
      <c r="AD28" s="46">
        <v>26.5</v>
      </c>
      <c r="AE28" s="46">
        <v>26.5</v>
      </c>
      <c r="AF28" s="46">
        <v>26.5</v>
      </c>
      <c r="AG28" s="61">
        <v>30</v>
      </c>
      <c r="AH28" s="48">
        <f t="shared" si="2"/>
        <v>27.9</v>
      </c>
      <c r="AI28" s="49">
        <f t="shared" si="3"/>
        <v>16.2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/>
      <c r="D29" s="46">
        <v>26</v>
      </c>
      <c r="E29" s="46">
        <v>26</v>
      </c>
      <c r="F29" s="46">
        <v>24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2"/>
        <v>26</v>
      </c>
      <c r="AI29" s="49">
        <f t="shared" si="3"/>
        <v>24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/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25</v>
      </c>
      <c r="C31" s="46"/>
      <c r="D31" s="46">
        <v>25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18</v>
      </c>
      <c r="AB31" s="46">
        <v>18</v>
      </c>
      <c r="AC31" s="46">
        <v>18</v>
      </c>
      <c r="AD31" s="46">
        <v>18</v>
      </c>
      <c r="AE31" s="46">
        <v>18</v>
      </c>
      <c r="AF31" s="46">
        <v>18</v>
      </c>
      <c r="AG31" s="50">
        <v>25</v>
      </c>
      <c r="AH31" s="48">
        <f t="shared" si="2"/>
        <v>25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25.5</v>
      </c>
      <c r="C32" s="46"/>
      <c r="D32" s="46">
        <v>25.5</v>
      </c>
      <c r="E32" s="46">
        <v>25.5</v>
      </c>
      <c r="F32" s="46">
        <v>25.9</v>
      </c>
      <c r="G32" s="46">
        <v>25.9</v>
      </c>
      <c r="H32" s="46">
        <v>25.9</v>
      </c>
      <c r="I32" s="46">
        <v>22.7</v>
      </c>
      <c r="J32" s="46">
        <v>22.7</v>
      </c>
      <c r="K32" s="46">
        <v>22.7</v>
      </c>
      <c r="L32" s="46">
        <v>22.7</v>
      </c>
      <c r="M32" s="46">
        <v>22.7</v>
      </c>
      <c r="N32" s="46">
        <v>24.2</v>
      </c>
      <c r="O32" s="46">
        <v>24.2</v>
      </c>
      <c r="P32" s="46">
        <v>24.2</v>
      </c>
      <c r="Q32" s="46">
        <v>24.2</v>
      </c>
      <c r="R32" s="46">
        <f t="shared" ref="R32:Z32" si="21">0.6*25</f>
        <v>15</v>
      </c>
      <c r="S32" s="46">
        <f t="shared" si="21"/>
        <v>15</v>
      </c>
      <c r="T32" s="46">
        <f t="shared" si="21"/>
        <v>15</v>
      </c>
      <c r="U32" s="46">
        <f t="shared" si="21"/>
        <v>15</v>
      </c>
      <c r="V32" s="46">
        <f t="shared" si="21"/>
        <v>15</v>
      </c>
      <c r="W32" s="46">
        <f t="shared" si="21"/>
        <v>15</v>
      </c>
      <c r="X32" s="46">
        <f t="shared" si="21"/>
        <v>15</v>
      </c>
      <c r="Y32" s="46">
        <f t="shared" si="21"/>
        <v>15</v>
      </c>
      <c r="Z32" s="46">
        <f t="shared" si="21"/>
        <v>15</v>
      </c>
      <c r="AA32" s="46">
        <v>25.8</v>
      </c>
      <c r="AB32" s="46">
        <v>25.8</v>
      </c>
      <c r="AC32" s="46">
        <v>25.8</v>
      </c>
      <c r="AD32" s="46">
        <v>25.8</v>
      </c>
      <c r="AE32" s="46">
        <v>25.8</v>
      </c>
      <c r="AF32" s="46">
        <v>25.8</v>
      </c>
      <c r="AG32" s="50">
        <v>25</v>
      </c>
      <c r="AH32" s="48">
        <f t="shared" si="2"/>
        <v>25.9</v>
      </c>
      <c r="AI32" s="49">
        <f t="shared" si="3"/>
        <v>15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0</v>
      </c>
      <c r="C33" s="46"/>
      <c r="D33" s="46">
        <v>22.3</v>
      </c>
      <c r="E33" s="46">
        <v>22.3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12.2</v>
      </c>
      <c r="O33" s="46">
        <v>12.2</v>
      </c>
      <c r="P33" s="46">
        <v>12.2</v>
      </c>
      <c r="Q33" s="46">
        <v>12.2</v>
      </c>
      <c r="R33" s="46">
        <v>12.2</v>
      </c>
      <c r="S33" s="46">
        <v>12.2</v>
      </c>
      <c r="T33" s="46">
        <v>12.2</v>
      </c>
      <c r="U33" s="46">
        <v>12.2</v>
      </c>
      <c r="V33" s="46">
        <v>12.2</v>
      </c>
      <c r="W33" s="46">
        <v>12.2</v>
      </c>
      <c r="X33" s="46">
        <v>12.2</v>
      </c>
      <c r="Y33" s="46">
        <v>12.2</v>
      </c>
      <c r="Z33" s="46">
        <v>12.2</v>
      </c>
      <c r="AA33" s="46">
        <v>12.2</v>
      </c>
      <c r="AB33" s="46">
        <v>12.2</v>
      </c>
      <c r="AC33" s="46">
        <v>12.2</v>
      </c>
      <c r="AD33" s="46">
        <v>12.2</v>
      </c>
      <c r="AE33" s="46">
        <v>12.2</v>
      </c>
      <c r="AF33" s="46">
        <v>12.2</v>
      </c>
      <c r="AG33" s="50">
        <v>23.5</v>
      </c>
      <c r="AH33" s="48">
        <f t="shared" si="2"/>
        <v>22.3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/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/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/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15.2</v>
      </c>
      <c r="C37" s="46"/>
      <c r="D37" s="46">
        <v>15.2</v>
      </c>
      <c r="E37" s="46">
        <v>15.2</v>
      </c>
      <c r="F37" s="46">
        <v>10.9</v>
      </c>
      <c r="G37" s="46">
        <v>10.9</v>
      </c>
      <c r="H37" s="46">
        <v>10.9</v>
      </c>
      <c r="I37" s="46">
        <v>10.9</v>
      </c>
      <c r="J37" s="46">
        <v>10.9</v>
      </c>
      <c r="K37" s="46">
        <v>10.9</v>
      </c>
      <c r="L37" s="46">
        <v>10.9</v>
      </c>
      <c r="M37" s="46">
        <v>10.9</v>
      </c>
      <c r="N37" s="46">
        <v>17.2</v>
      </c>
      <c r="O37" s="46">
        <v>17.2</v>
      </c>
      <c r="P37" s="46">
        <v>17.2</v>
      </c>
      <c r="Q37" s="46">
        <v>17.2</v>
      </c>
      <c r="R37" s="46">
        <v>17.2</v>
      </c>
      <c r="S37" s="46">
        <v>17.2</v>
      </c>
      <c r="T37" s="46">
        <v>17.2</v>
      </c>
      <c r="U37" s="46">
        <v>17.2</v>
      </c>
      <c r="V37" s="46">
        <v>17.2</v>
      </c>
      <c r="W37" s="46">
        <v>17.2</v>
      </c>
      <c r="X37" s="46">
        <v>17.2</v>
      </c>
      <c r="Y37" s="46">
        <v>17.2</v>
      </c>
      <c r="Z37" s="46">
        <v>17.2</v>
      </c>
      <c r="AA37" s="46">
        <v>15.8</v>
      </c>
      <c r="AB37" s="46">
        <v>15.8</v>
      </c>
      <c r="AC37" s="46">
        <v>15.8</v>
      </c>
      <c r="AD37" s="46">
        <v>15.8</v>
      </c>
      <c r="AE37" s="46">
        <v>15.8</v>
      </c>
      <c r="AF37" s="46">
        <v>15.8</v>
      </c>
      <c r="AG37" s="50">
        <v>22</v>
      </c>
      <c r="AH37" s="48">
        <f t="shared" si="2"/>
        <v>17.2</v>
      </c>
      <c r="AI37" s="49">
        <f t="shared" si="3"/>
        <v>10.9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/>
      <c r="D38" s="46">
        <v>20</v>
      </c>
      <c r="E38" s="46">
        <v>20</v>
      </c>
      <c r="F38" s="46">
        <v>19.899999999999999</v>
      </c>
      <c r="G38" s="46">
        <v>10</v>
      </c>
      <c r="H38" s="46">
        <v>10</v>
      </c>
      <c r="I38" s="46">
        <v>10</v>
      </c>
      <c r="J38" s="46">
        <v>10</v>
      </c>
      <c r="K38" s="46">
        <v>10</v>
      </c>
      <c r="L38" s="46">
        <v>10</v>
      </c>
      <c r="M38" s="46">
        <v>10</v>
      </c>
      <c r="N38" s="46">
        <v>0</v>
      </c>
      <c r="O38" s="46">
        <v>0</v>
      </c>
      <c r="P38" s="46">
        <v>0</v>
      </c>
      <c r="Q38" s="46">
        <v>6.4</v>
      </c>
      <c r="R38" s="46">
        <v>6.4</v>
      </c>
      <c r="S38" s="46">
        <v>6.4</v>
      </c>
      <c r="T38" s="46">
        <v>6.4</v>
      </c>
      <c r="U38" s="46">
        <v>6.4</v>
      </c>
      <c r="V38" s="46">
        <v>6.4</v>
      </c>
      <c r="W38" s="46">
        <v>6.4</v>
      </c>
      <c r="X38" s="46">
        <v>6.4</v>
      </c>
      <c r="Y38" s="46">
        <v>6.4</v>
      </c>
      <c r="Z38" s="46">
        <v>6.4</v>
      </c>
      <c r="AA38" s="46">
        <v>20.399999999999999</v>
      </c>
      <c r="AB38" s="46">
        <v>20.399999999999999</v>
      </c>
      <c r="AC38" s="46">
        <v>20.399999999999999</v>
      </c>
      <c r="AD38" s="46">
        <v>20.399999999999999</v>
      </c>
      <c r="AE38" s="46">
        <v>20.399999999999999</v>
      </c>
      <c r="AF38" s="46">
        <v>20.399999999999999</v>
      </c>
      <c r="AG38" s="50">
        <v>20</v>
      </c>
      <c r="AH38" s="48">
        <f t="shared" si="2"/>
        <v>20.399999999999999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/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7</v>
      </c>
      <c r="C40" s="46"/>
      <c r="D40" s="46">
        <v>7</v>
      </c>
      <c r="E40" s="46">
        <v>7</v>
      </c>
      <c r="F40" s="46">
        <v>6.9</v>
      </c>
      <c r="G40" s="46">
        <v>6.9</v>
      </c>
      <c r="H40" s="46">
        <v>6.9</v>
      </c>
      <c r="I40" s="46">
        <v>6.9</v>
      </c>
      <c r="J40" s="46">
        <v>6.9</v>
      </c>
      <c r="K40" s="46">
        <v>6.9</v>
      </c>
      <c r="L40" s="46">
        <v>6.9</v>
      </c>
      <c r="M40" s="46">
        <v>6.9</v>
      </c>
      <c r="N40" s="46">
        <v>0</v>
      </c>
      <c r="O40" s="46">
        <v>0</v>
      </c>
      <c r="P40" s="46">
        <v>0</v>
      </c>
      <c r="Q40" s="46">
        <v>0</v>
      </c>
      <c r="R40" s="46">
        <v>6</v>
      </c>
      <c r="S40" s="46">
        <v>6</v>
      </c>
      <c r="T40" s="46">
        <v>6</v>
      </c>
      <c r="U40" s="46">
        <v>6</v>
      </c>
      <c r="V40" s="46">
        <v>6</v>
      </c>
      <c r="W40" s="46">
        <v>6</v>
      </c>
      <c r="X40" s="46">
        <v>6</v>
      </c>
      <c r="Y40" s="46">
        <v>6</v>
      </c>
      <c r="Z40" s="46">
        <v>6</v>
      </c>
      <c r="AA40" s="46">
        <v>6</v>
      </c>
      <c r="AB40" s="46">
        <v>6</v>
      </c>
      <c r="AC40" s="46">
        <v>6</v>
      </c>
      <c r="AD40" s="46">
        <v>6</v>
      </c>
      <c r="AE40" s="46">
        <v>6</v>
      </c>
      <c r="AF40" s="46">
        <v>6</v>
      </c>
      <c r="AG40" s="50">
        <v>18</v>
      </c>
      <c r="AH40" s="48">
        <f t="shared" si="2"/>
        <v>7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8.5</v>
      </c>
      <c r="C41" s="46"/>
      <c r="D41" s="46">
        <v>8.5</v>
      </c>
      <c r="E41" s="46">
        <v>8.5</v>
      </c>
      <c r="F41" s="46">
        <v>8.5</v>
      </c>
      <c r="G41" s="46">
        <v>8.5</v>
      </c>
      <c r="H41" s="46">
        <v>8.5</v>
      </c>
      <c r="I41" s="46">
        <v>8.5</v>
      </c>
      <c r="J41" s="46">
        <v>8.5</v>
      </c>
      <c r="K41" s="46">
        <v>8.5</v>
      </c>
      <c r="L41" s="46">
        <v>8.5</v>
      </c>
      <c r="M41" s="46">
        <v>8.5</v>
      </c>
      <c r="N41" s="46">
        <v>8.5</v>
      </c>
      <c r="O41" s="46">
        <v>8.5</v>
      </c>
      <c r="P41" s="46">
        <v>8.5</v>
      </c>
      <c r="Q41" s="46">
        <v>8.5</v>
      </c>
      <c r="R41" s="46">
        <v>8.5</v>
      </c>
      <c r="S41" s="46">
        <v>8.5</v>
      </c>
      <c r="T41" s="46">
        <v>8.5</v>
      </c>
      <c r="U41" s="46">
        <v>8.5</v>
      </c>
      <c r="V41" s="46">
        <v>8.5</v>
      </c>
      <c r="W41" s="46">
        <v>8.5</v>
      </c>
      <c r="X41" s="46">
        <v>8.5</v>
      </c>
      <c r="Y41" s="46">
        <v>8.5</v>
      </c>
      <c r="Z41" s="46">
        <v>8.5</v>
      </c>
      <c r="AA41" s="46">
        <v>8.5</v>
      </c>
      <c r="AB41" s="46">
        <v>8.5</v>
      </c>
      <c r="AC41" s="46">
        <v>8.5</v>
      </c>
      <c r="AD41" s="46">
        <v>8.5</v>
      </c>
      <c r="AE41" s="46">
        <v>8.5</v>
      </c>
      <c r="AF41" s="46">
        <v>8.5</v>
      </c>
      <c r="AG41" s="50">
        <v>15.33</v>
      </c>
      <c r="AH41" s="48">
        <f t="shared" si="2"/>
        <v>8.5</v>
      </c>
      <c r="AI41" s="49">
        <f t="shared" si="3"/>
        <v>8.5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/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/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/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>
        <v>7</v>
      </c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>
        <v>7</v>
      </c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0</v>
      </c>
      <c r="C45" s="46"/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8</v>
      </c>
      <c r="AB45" s="46">
        <v>8</v>
      </c>
      <c r="AC45" s="46">
        <v>8</v>
      </c>
      <c r="AD45" s="46">
        <v>8</v>
      </c>
      <c r="AE45" s="46">
        <v>8</v>
      </c>
      <c r="AF45" s="46">
        <v>8</v>
      </c>
      <c r="AG45" s="50">
        <v>14.3</v>
      </c>
      <c r="AH45" s="48">
        <f t="shared" si="2"/>
        <v>14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0</v>
      </c>
      <c r="C46" s="46"/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50">
        <v>14</v>
      </c>
      <c r="AH46" s="48">
        <f t="shared" si="2"/>
        <v>0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/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/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10</v>
      </c>
      <c r="C49" s="46"/>
      <c r="D49" s="46">
        <v>10</v>
      </c>
      <c r="E49" s="46">
        <v>10</v>
      </c>
      <c r="F49" s="46">
        <v>10</v>
      </c>
      <c r="G49" s="46">
        <v>10</v>
      </c>
      <c r="H49" s="46">
        <v>10</v>
      </c>
      <c r="I49" s="46">
        <v>10</v>
      </c>
      <c r="J49" s="46">
        <v>10</v>
      </c>
      <c r="K49" s="46">
        <v>10</v>
      </c>
      <c r="L49" s="46">
        <v>10</v>
      </c>
      <c r="M49" s="46">
        <v>10</v>
      </c>
      <c r="N49" s="46">
        <v>10</v>
      </c>
      <c r="O49" s="46">
        <v>10</v>
      </c>
      <c r="P49" s="46">
        <v>10</v>
      </c>
      <c r="Q49" s="46">
        <v>10</v>
      </c>
      <c r="R49" s="46">
        <v>7</v>
      </c>
      <c r="S49" s="46">
        <v>7</v>
      </c>
      <c r="T49" s="46">
        <v>7</v>
      </c>
      <c r="U49" s="46">
        <v>7</v>
      </c>
      <c r="V49" s="46">
        <v>7</v>
      </c>
      <c r="W49" s="46">
        <v>7</v>
      </c>
      <c r="X49" s="46">
        <v>7</v>
      </c>
      <c r="Y49" s="46">
        <v>7</v>
      </c>
      <c r="Z49" s="46">
        <v>7</v>
      </c>
      <c r="AA49" s="46">
        <v>7</v>
      </c>
      <c r="AB49" s="46">
        <v>7</v>
      </c>
      <c r="AC49" s="46">
        <v>7</v>
      </c>
      <c r="AD49" s="46">
        <v>7</v>
      </c>
      <c r="AE49" s="46">
        <v>7</v>
      </c>
      <c r="AF49" s="46">
        <v>7</v>
      </c>
      <c r="AG49" s="50">
        <v>12</v>
      </c>
      <c r="AH49" s="48">
        <f t="shared" si="2"/>
        <v>10</v>
      </c>
      <c r="AI49" s="49">
        <f t="shared" si="3"/>
        <v>7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</v>
      </c>
      <c r="C50" s="46"/>
      <c r="D50" s="46">
        <v>0</v>
      </c>
      <c r="E50" s="46">
        <v>0</v>
      </c>
      <c r="F50" s="46">
        <v>5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>
        <v>5.0999999999999996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/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/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/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/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/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/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9</v>
      </c>
      <c r="C57" s="46"/>
      <c r="D57" s="46">
        <v>9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9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5</v>
      </c>
      <c r="C58" s="46"/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112.4</v>
      </c>
      <c r="C60" s="68"/>
      <c r="D60" s="68">
        <v>112.4</v>
      </c>
      <c r="E60" s="68">
        <v>112.4</v>
      </c>
      <c r="F60" s="68">
        <v>126</v>
      </c>
      <c r="G60" s="68">
        <v>113</v>
      </c>
      <c r="H60" s="68">
        <v>82</v>
      </c>
      <c r="I60" s="68">
        <v>125</v>
      </c>
      <c r="J60" s="68">
        <v>131</v>
      </c>
      <c r="K60" s="68">
        <v>133</v>
      </c>
      <c r="L60" s="68">
        <v>129</v>
      </c>
      <c r="M60" s="68">
        <v>129</v>
      </c>
      <c r="N60" s="53">
        <f>87.4</f>
        <v>87.4</v>
      </c>
      <c r="O60" s="53">
        <f>94.9+43.6</f>
        <v>138.5</v>
      </c>
      <c r="P60" s="53">
        <f>94.6+42.9</f>
        <v>137.5</v>
      </c>
      <c r="Q60" s="53">
        <f>94.6+42.9</f>
        <v>137.5</v>
      </c>
      <c r="R60" s="53">
        <f>94.1+42.5</f>
        <v>136.6</v>
      </c>
      <c r="S60" s="53">
        <v>136.5</v>
      </c>
      <c r="T60" s="53">
        <v>136.5</v>
      </c>
      <c r="U60" s="53">
        <v>130.69999999999999</v>
      </c>
      <c r="V60" s="53">
        <v>130.69999999999999</v>
      </c>
      <c r="W60" s="53">
        <v>135.19999999999999</v>
      </c>
      <c r="X60" s="53">
        <v>135.19999999999999</v>
      </c>
      <c r="Y60" s="53">
        <v>135.19999999999999</v>
      </c>
      <c r="Z60" s="53">
        <v>135.19999999999999</v>
      </c>
      <c r="AA60" s="53">
        <v>128.1</v>
      </c>
      <c r="AB60" s="53">
        <v>128.1</v>
      </c>
      <c r="AC60" s="53">
        <v>128.1</v>
      </c>
      <c r="AD60" s="53">
        <v>128.1</v>
      </c>
      <c r="AE60" s="53">
        <v>128.1</v>
      </c>
      <c r="AF60" s="53">
        <v>128.1</v>
      </c>
      <c r="AG60" s="66">
        <v>240</v>
      </c>
      <c r="AH60" s="48">
        <f t="shared" si="2"/>
        <v>138.5</v>
      </c>
      <c r="AI60" s="49">
        <f t="shared" si="3"/>
        <v>82</v>
      </c>
      <c r="AK60" s="51"/>
    </row>
    <row r="61" spans="1:88" ht="15.75" thickBot="1" x14ac:dyDescent="0.3">
      <c r="A61" s="70" t="s">
        <v>75</v>
      </c>
      <c r="B61" s="71">
        <f>SUM(B11:B59)</f>
        <v>1031.6999999999998</v>
      </c>
      <c r="C61" s="71">
        <f t="shared" ref="C61:AG61" si="22">SUM(C11:C59)</f>
        <v>150</v>
      </c>
      <c r="D61" s="71">
        <f t="shared" si="22"/>
        <v>1068.5999999999999</v>
      </c>
      <c r="E61" s="71">
        <f t="shared" si="22"/>
        <v>1037.0999999999999</v>
      </c>
      <c r="F61" s="71">
        <f t="shared" si="22"/>
        <v>885.99999999999989</v>
      </c>
      <c r="G61" s="71">
        <f t="shared" si="22"/>
        <v>803.44999999999993</v>
      </c>
      <c r="H61" s="71">
        <f t="shared" si="22"/>
        <v>731.35</v>
      </c>
      <c r="I61" s="71">
        <f t="shared" si="22"/>
        <v>744</v>
      </c>
      <c r="J61" s="71">
        <f t="shared" si="22"/>
        <v>666.3</v>
      </c>
      <c r="K61" s="71">
        <f t="shared" si="22"/>
        <v>614.09999999999991</v>
      </c>
      <c r="L61" s="71">
        <f t="shared" si="22"/>
        <v>614.09999999999991</v>
      </c>
      <c r="M61" s="71">
        <f t="shared" si="22"/>
        <v>638.20000000000005</v>
      </c>
      <c r="N61" s="71">
        <f t="shared" si="22"/>
        <v>706.6</v>
      </c>
      <c r="O61" s="71">
        <f t="shared" si="22"/>
        <v>734.69999999999993</v>
      </c>
      <c r="P61" s="71">
        <f t="shared" si="22"/>
        <v>839.00000000000011</v>
      </c>
      <c r="Q61" s="71">
        <f>SUM(Q11:Q59)</f>
        <v>926.1</v>
      </c>
      <c r="R61" s="71">
        <f t="shared" si="22"/>
        <v>899.2</v>
      </c>
      <c r="S61" s="71">
        <f t="shared" ref="S61:AA61" si="23">SUM(S11:S59)</f>
        <v>899.2</v>
      </c>
      <c r="T61" s="71">
        <f t="shared" si="23"/>
        <v>899.2</v>
      </c>
      <c r="U61" s="71">
        <f t="shared" si="23"/>
        <v>899.2</v>
      </c>
      <c r="V61" s="71">
        <f t="shared" si="23"/>
        <v>938.10000000000014</v>
      </c>
      <c r="W61" s="71">
        <f t="shared" si="23"/>
        <v>1013.8000000000002</v>
      </c>
      <c r="X61" s="71">
        <f t="shared" si="23"/>
        <v>1013.8000000000002</v>
      </c>
      <c r="Y61" s="71">
        <f t="shared" si="23"/>
        <v>1010.7000000000002</v>
      </c>
      <c r="Z61" s="71">
        <f t="shared" si="23"/>
        <v>1010.7000000000002</v>
      </c>
      <c r="AA61" s="71">
        <f t="shared" si="23"/>
        <v>1055.2</v>
      </c>
      <c r="AB61" s="71">
        <f t="shared" si="22"/>
        <v>1055.2</v>
      </c>
      <c r="AC61" s="71">
        <f t="shared" si="22"/>
        <v>1055.2</v>
      </c>
      <c r="AD61" s="71">
        <f t="shared" si="22"/>
        <v>1084.0999999999999</v>
      </c>
      <c r="AE61" s="71">
        <f t="shared" si="22"/>
        <v>1084.0999999999999</v>
      </c>
      <c r="AF61" s="71">
        <f t="shared" si="22"/>
        <v>1084.0999999999999</v>
      </c>
      <c r="AG61" s="71">
        <f t="shared" si="22"/>
        <v>1466.0300000000002</v>
      </c>
      <c r="AH61" s="48">
        <f t="shared" si="2"/>
        <v>1084.0999999999999</v>
      </c>
      <c r="AI61" s="49">
        <f t="shared" si="3"/>
        <v>150</v>
      </c>
      <c r="AK61" s="51"/>
    </row>
    <row r="62" spans="1:88" x14ac:dyDescent="0.25">
      <c r="A62" s="73" t="s">
        <v>76</v>
      </c>
      <c r="B62" s="46">
        <v>456</v>
      </c>
      <c r="C62" s="46"/>
      <c r="D62" s="46">
        <v>456</v>
      </c>
      <c r="E62" s="46">
        <v>456</v>
      </c>
      <c r="F62" s="46">
        <v>459</v>
      </c>
      <c r="G62" s="46">
        <v>459.6</v>
      </c>
      <c r="H62" s="46">
        <v>459</v>
      </c>
      <c r="I62" s="46">
        <v>459</v>
      </c>
      <c r="J62" s="46">
        <v>459</v>
      </c>
      <c r="K62" s="46">
        <v>459</v>
      </c>
      <c r="L62" s="46">
        <v>459</v>
      </c>
      <c r="M62" s="46">
        <v>459</v>
      </c>
      <c r="N62" s="74">
        <v>459</v>
      </c>
      <c r="O62" s="74">
        <v>459</v>
      </c>
      <c r="P62" s="74">
        <v>459</v>
      </c>
      <c r="Q62" s="74">
        <v>459</v>
      </c>
      <c r="R62" s="74">
        <v>459</v>
      </c>
      <c r="S62" s="74">
        <v>459</v>
      </c>
      <c r="T62" s="74">
        <v>459</v>
      </c>
      <c r="U62" s="74">
        <v>459</v>
      </c>
      <c r="V62" s="74">
        <v>459</v>
      </c>
      <c r="W62" s="74">
        <v>459</v>
      </c>
      <c r="X62" s="74">
        <v>459</v>
      </c>
      <c r="Y62" s="74">
        <v>459</v>
      </c>
      <c r="Z62" s="74">
        <v>459</v>
      </c>
      <c r="AA62" s="74">
        <v>459</v>
      </c>
      <c r="AB62" s="74">
        <v>459</v>
      </c>
      <c r="AC62" s="74">
        <v>459</v>
      </c>
      <c r="AD62" s="74">
        <v>459</v>
      </c>
      <c r="AE62" s="74">
        <v>459</v>
      </c>
      <c r="AF62" s="74">
        <v>459</v>
      </c>
      <c r="AG62" s="61">
        <v>456</v>
      </c>
      <c r="AH62" s="48">
        <f t="shared" si="2"/>
        <v>459.6</v>
      </c>
      <c r="AI62" s="49">
        <f t="shared" si="3"/>
        <v>456</v>
      </c>
      <c r="AK62" s="51"/>
    </row>
    <row r="63" spans="1:88" x14ac:dyDescent="0.25">
      <c r="A63" s="75" t="s">
        <v>77</v>
      </c>
      <c r="B63" s="76">
        <v>60</v>
      </c>
      <c r="C63" s="76"/>
      <c r="D63" s="76">
        <v>60</v>
      </c>
      <c r="E63" s="76">
        <v>60</v>
      </c>
      <c r="F63" s="76">
        <v>41</v>
      </c>
      <c r="G63" s="76">
        <v>51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41</v>
      </c>
      <c r="AK63" s="51"/>
    </row>
    <row r="64" spans="1:88" ht="15.75" thickBot="1" x14ac:dyDescent="0.3">
      <c r="A64" s="77" t="s">
        <v>78</v>
      </c>
      <c r="B64" s="78">
        <v>22.6</v>
      </c>
      <c r="C64" s="78"/>
      <c r="D64" s="78">
        <v>22.6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4">SUM(B62:B64)</f>
        <v>538.6</v>
      </c>
      <c r="C65" s="71">
        <f t="shared" si="24"/>
        <v>0</v>
      </c>
      <c r="D65" s="71">
        <f t="shared" si="24"/>
        <v>538.6</v>
      </c>
      <c r="E65" s="71">
        <f t="shared" si="24"/>
        <v>538.5</v>
      </c>
      <c r="F65" s="71">
        <f t="shared" si="24"/>
        <v>522.5</v>
      </c>
      <c r="G65" s="71">
        <f t="shared" si="24"/>
        <v>533.1</v>
      </c>
      <c r="H65" s="71">
        <f t="shared" si="24"/>
        <v>541.5</v>
      </c>
      <c r="I65" s="71">
        <f t="shared" si="24"/>
        <v>541.5</v>
      </c>
      <c r="J65" s="71">
        <f t="shared" si="24"/>
        <v>541.5</v>
      </c>
      <c r="K65" s="71">
        <f t="shared" si="24"/>
        <v>541.5</v>
      </c>
      <c r="L65" s="71">
        <f t="shared" si="24"/>
        <v>541.5</v>
      </c>
      <c r="M65" s="71">
        <f t="shared" si="24"/>
        <v>541.5</v>
      </c>
      <c r="N65" s="71">
        <f t="shared" si="24"/>
        <v>541.5</v>
      </c>
      <c r="O65" s="71">
        <f t="shared" si="24"/>
        <v>541.5</v>
      </c>
      <c r="P65" s="71">
        <f t="shared" si="24"/>
        <v>541.5</v>
      </c>
      <c r="Q65" s="71">
        <f>SUM(Q62:Q64)</f>
        <v>541.5</v>
      </c>
      <c r="R65" s="71">
        <f t="shared" si="24"/>
        <v>541.5</v>
      </c>
      <c r="S65" s="71">
        <f t="shared" ref="S65:AA65" si="25">SUM(S62:S64)</f>
        <v>541.5</v>
      </c>
      <c r="T65" s="71">
        <f t="shared" si="25"/>
        <v>541.5</v>
      </c>
      <c r="U65" s="71">
        <f t="shared" si="25"/>
        <v>541.5</v>
      </c>
      <c r="V65" s="71">
        <f t="shared" si="25"/>
        <v>541.5</v>
      </c>
      <c r="W65" s="71">
        <f t="shared" si="25"/>
        <v>541.5</v>
      </c>
      <c r="X65" s="71">
        <f t="shared" si="25"/>
        <v>541.5</v>
      </c>
      <c r="Y65" s="71">
        <f t="shared" si="25"/>
        <v>541.5</v>
      </c>
      <c r="Z65" s="71">
        <f t="shared" si="25"/>
        <v>541.5</v>
      </c>
      <c r="AA65" s="71">
        <f t="shared" si="25"/>
        <v>541.5</v>
      </c>
      <c r="AB65" s="71">
        <f t="shared" si="24"/>
        <v>541.5</v>
      </c>
      <c r="AC65" s="71">
        <f t="shared" si="24"/>
        <v>541.5</v>
      </c>
      <c r="AD65" s="71">
        <f t="shared" si="24"/>
        <v>541.5</v>
      </c>
      <c r="AE65" s="71">
        <f t="shared" si="24"/>
        <v>541.5</v>
      </c>
      <c r="AF65" s="71">
        <f t="shared" si="24"/>
        <v>541.5</v>
      </c>
      <c r="AG65" s="72">
        <f t="shared" si="24"/>
        <v>538.1</v>
      </c>
      <c r="AH65" s="48">
        <f t="shared" si="2"/>
        <v>541.5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0</v>
      </c>
      <c r="C66" s="46"/>
      <c r="D66" s="46">
        <v>72</v>
      </c>
      <c r="E66" s="46">
        <v>72</v>
      </c>
      <c r="F66" s="46">
        <v>96</v>
      </c>
      <c r="G66" s="46">
        <v>144</v>
      </c>
      <c r="H66" s="46">
        <v>144</v>
      </c>
      <c r="I66" s="46">
        <v>144</v>
      </c>
      <c r="J66" s="46">
        <v>144</v>
      </c>
      <c r="K66" s="46">
        <v>144</v>
      </c>
      <c r="L66" s="46">
        <v>144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144</v>
      </c>
      <c r="AB66" s="46">
        <v>100</v>
      </c>
      <c r="AC66" s="46">
        <v>110</v>
      </c>
      <c r="AD66" s="46">
        <v>120</v>
      </c>
      <c r="AE66" s="46">
        <v>125</v>
      </c>
      <c r="AF66" s="46">
        <v>125</v>
      </c>
      <c r="AG66" s="61">
        <v>144</v>
      </c>
      <c r="AH66" s="48">
        <f t="shared" si="2"/>
        <v>144</v>
      </c>
      <c r="AI66" s="49">
        <f t="shared" si="3"/>
        <v>0</v>
      </c>
      <c r="AK66" s="51"/>
      <c r="AY66" s="1" t="s">
        <v>86</v>
      </c>
      <c r="AZ66" s="82">
        <f>ROUND(C84,0)</f>
        <v>0</v>
      </c>
      <c r="BA66" s="81">
        <f t="shared" ref="BA66:BD70" si="26">D84</f>
        <v>38.1</v>
      </c>
      <c r="BB66" s="81">
        <f t="shared" si="26"/>
        <v>42.2</v>
      </c>
      <c r="BC66" s="81">
        <f t="shared" si="26"/>
        <v>24</v>
      </c>
      <c r="BD66" s="81">
        <f t="shared" si="26"/>
        <v>-9.6999999999999993</v>
      </c>
      <c r="BE66" s="82">
        <f>I84</f>
        <v>5.0999999999999996</v>
      </c>
      <c r="BF66" s="82">
        <f>K84</f>
        <v>61</v>
      </c>
      <c r="BG66" s="82">
        <f t="shared" ref="BG66:BP70" si="27">M84</f>
        <v>31.3</v>
      </c>
      <c r="BH66" s="82">
        <f t="shared" si="27"/>
        <v>40.4</v>
      </c>
      <c r="BI66" s="82">
        <f t="shared" si="27"/>
        <v>40</v>
      </c>
      <c r="BJ66" s="82">
        <f t="shared" si="27"/>
        <v>35</v>
      </c>
      <c r="BK66" s="82">
        <f t="shared" si="27"/>
        <v>42.1</v>
      </c>
      <c r="BL66" s="82">
        <f t="shared" si="27"/>
        <v>45.8</v>
      </c>
      <c r="BM66" s="82">
        <f t="shared" si="27"/>
        <v>46.7</v>
      </c>
      <c r="BN66" s="82">
        <f t="shared" si="27"/>
        <v>50.2</v>
      </c>
      <c r="BO66" s="82">
        <f t="shared" si="27"/>
        <v>38.9</v>
      </c>
      <c r="BP66" s="82">
        <f t="shared" si="27"/>
        <v>28.6</v>
      </c>
      <c r="BQ66" s="82">
        <f>X84</f>
        <v>35</v>
      </c>
      <c r="BR66" s="82">
        <f>Z84</f>
        <v>8.3000000000000007</v>
      </c>
      <c r="BS66" s="81">
        <f>AB84</f>
        <v>12.5</v>
      </c>
      <c r="BT66" s="81">
        <f t="shared" ref="BT66:BV70" si="28">AD84</f>
        <v>-35</v>
      </c>
      <c r="BU66" s="81">
        <f t="shared" si="28"/>
        <v>-35</v>
      </c>
      <c r="BV66" s="81">
        <f t="shared" si="28"/>
        <v>-34</v>
      </c>
      <c r="BW66" s="81">
        <f>B84</f>
        <v>40</v>
      </c>
    </row>
    <row r="67" spans="1:75" x14ac:dyDescent="0.25">
      <c r="A67" s="65" t="s">
        <v>81</v>
      </c>
      <c r="B67" s="76">
        <v>70</v>
      </c>
      <c r="C67" s="76"/>
      <c r="D67" s="76">
        <v>35.299999999999997</v>
      </c>
      <c r="E67" s="76">
        <v>68.599999999999994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35.299999999999997</v>
      </c>
      <c r="T67" s="76">
        <v>35.299999999999997</v>
      </c>
      <c r="U67" s="76">
        <v>68.900000000000006</v>
      </c>
      <c r="V67" s="76">
        <v>68.900000000000006</v>
      </c>
      <c r="W67" s="76">
        <v>68.900000000000006</v>
      </c>
      <c r="X67" s="76">
        <v>68.900000000000006</v>
      </c>
      <c r="Y67" s="76">
        <v>68.900000000000006</v>
      </c>
      <c r="Z67" s="76">
        <v>68.900000000000006</v>
      </c>
      <c r="AA67" s="76">
        <v>68.900000000000006</v>
      </c>
      <c r="AB67" s="76">
        <v>68.900000000000006</v>
      </c>
      <c r="AC67" s="76">
        <v>68.900000000000006</v>
      </c>
      <c r="AD67" s="76">
        <v>68.900000000000006</v>
      </c>
      <c r="AE67" s="76">
        <v>68.900000000000006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26"/>
        <v>0</v>
      </c>
      <c r="BB67" s="81">
        <f t="shared" si="26"/>
        <v>0</v>
      </c>
      <c r="BC67" s="81">
        <f t="shared" si="26"/>
        <v>0</v>
      </c>
      <c r="BD67" s="81">
        <f t="shared" si="26"/>
        <v>0</v>
      </c>
      <c r="BE67" s="82">
        <f>I85</f>
        <v>0</v>
      </c>
      <c r="BF67" s="82">
        <f>K85</f>
        <v>0</v>
      </c>
      <c r="BG67" s="82">
        <f t="shared" si="27"/>
        <v>0</v>
      </c>
      <c r="BH67" s="82">
        <f t="shared" si="27"/>
        <v>0</v>
      </c>
      <c r="BI67" s="82">
        <f t="shared" si="27"/>
        <v>0</v>
      </c>
      <c r="BJ67" s="82">
        <f t="shared" si="27"/>
        <v>0</v>
      </c>
      <c r="BK67" s="82">
        <f t="shared" si="27"/>
        <v>0</v>
      </c>
      <c r="BL67" s="82">
        <f t="shared" si="27"/>
        <v>0</v>
      </c>
      <c r="BM67" s="82">
        <f t="shared" si="27"/>
        <v>0</v>
      </c>
      <c r="BN67" s="82">
        <f t="shared" si="27"/>
        <v>0</v>
      </c>
      <c r="BO67" s="82">
        <f t="shared" si="27"/>
        <v>0</v>
      </c>
      <c r="BP67" s="82">
        <f t="shared" si="27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8"/>
        <v>0</v>
      </c>
      <c r="BU67" s="81">
        <f t="shared" si="28"/>
        <v>0</v>
      </c>
      <c r="BV67" s="81">
        <f t="shared" si="28"/>
        <v>0</v>
      </c>
      <c r="BW67" s="81">
        <f>B85</f>
        <v>0</v>
      </c>
    </row>
    <row r="68" spans="1:75" x14ac:dyDescent="0.25">
      <c r="A68" s="65" t="s">
        <v>82</v>
      </c>
      <c r="B68" s="76">
        <v>66</v>
      </c>
      <c r="C68" s="76"/>
      <c r="D68" s="76">
        <v>66.599999999999994</v>
      </c>
      <c r="E68" s="76">
        <v>66.599999999999994</v>
      </c>
      <c r="F68" s="76">
        <v>68.5</v>
      </c>
      <c r="G68" s="76">
        <v>67.5</v>
      </c>
      <c r="H68" s="76">
        <v>67.5</v>
      </c>
      <c r="I68" s="76">
        <v>67.5</v>
      </c>
      <c r="J68" s="76">
        <v>67.5</v>
      </c>
      <c r="K68" s="76">
        <v>67.5</v>
      </c>
      <c r="L68" s="76">
        <v>67.5</v>
      </c>
      <c r="M68" s="76">
        <v>67.5</v>
      </c>
      <c r="N68" s="76">
        <v>67.5</v>
      </c>
      <c r="O68" s="76">
        <v>67.5</v>
      </c>
      <c r="P68" s="76">
        <v>67.5</v>
      </c>
      <c r="Q68" s="76">
        <v>67.5</v>
      </c>
      <c r="R68" s="76">
        <v>67.5</v>
      </c>
      <c r="S68" s="76">
        <v>65.8</v>
      </c>
      <c r="T68" s="76">
        <v>65.8</v>
      </c>
      <c r="U68" s="76">
        <v>65.8</v>
      </c>
      <c r="V68" s="76">
        <v>65.8</v>
      </c>
      <c r="W68" s="76">
        <v>65.8</v>
      </c>
      <c r="X68" s="76">
        <v>65.8</v>
      </c>
      <c r="Y68" s="76">
        <v>65.8</v>
      </c>
      <c r="Z68" s="76">
        <v>65.8</v>
      </c>
      <c r="AA68" s="76">
        <v>65.8</v>
      </c>
      <c r="AB68" s="76">
        <v>65.8</v>
      </c>
      <c r="AC68" s="76">
        <v>65.8</v>
      </c>
      <c r="AD68" s="76">
        <v>65.8</v>
      </c>
      <c r="AE68" s="76">
        <v>65.8</v>
      </c>
      <c r="AF68" s="76">
        <v>0</v>
      </c>
      <c r="AG68" s="66">
        <v>69</v>
      </c>
      <c r="AH68" s="48">
        <f t="shared" si="2"/>
        <v>68.5</v>
      </c>
      <c r="AI68" s="49">
        <f t="shared" si="3"/>
        <v>0</v>
      </c>
      <c r="AK68" s="51"/>
      <c r="AL68" s="83"/>
      <c r="AO68" s="83"/>
      <c r="AY68" s="1" t="s">
        <v>90</v>
      </c>
      <c r="AZ68" s="82">
        <f>ROUND(C86,0)</f>
        <v>0</v>
      </c>
      <c r="BA68" s="81">
        <f t="shared" si="26"/>
        <v>-460.8</v>
      </c>
      <c r="BB68" s="81">
        <f t="shared" si="26"/>
        <v>-526</v>
      </c>
      <c r="BC68" s="81">
        <f t="shared" si="26"/>
        <v>-543</v>
      </c>
      <c r="BD68" s="81">
        <f t="shared" si="26"/>
        <v>-372</v>
      </c>
      <c r="BE68" s="82">
        <f>I86</f>
        <v>-312</v>
      </c>
      <c r="BF68" s="82">
        <f>K86</f>
        <v>-281.60000000000002</v>
      </c>
      <c r="BG68" s="82">
        <f t="shared" si="27"/>
        <v>-338.7</v>
      </c>
      <c r="BH68" s="82">
        <f t="shared" si="27"/>
        <v>-370</v>
      </c>
      <c r="BI68" s="82">
        <f t="shared" si="27"/>
        <v>-350</v>
      </c>
      <c r="BJ68" s="82">
        <f t="shared" si="27"/>
        <v>-459</v>
      </c>
      <c r="BK68" s="82">
        <f t="shared" si="27"/>
        <v>-520</v>
      </c>
      <c r="BL68" s="82">
        <f t="shared" si="27"/>
        <v>-507</v>
      </c>
      <c r="BM68" s="82">
        <f t="shared" si="27"/>
        <v>-438.5</v>
      </c>
      <c r="BN68" s="82">
        <f t="shared" si="27"/>
        <v>-416.2</v>
      </c>
      <c r="BO68" s="82">
        <f t="shared" si="27"/>
        <v>-577.9</v>
      </c>
      <c r="BP68" s="82">
        <f t="shared" si="27"/>
        <v>-547.70000000000005</v>
      </c>
      <c r="BQ68" s="82">
        <f>X86</f>
        <v>-651.9</v>
      </c>
      <c r="BR68" s="82">
        <f>Z86</f>
        <v>-568.9</v>
      </c>
      <c r="BS68" s="81">
        <f>AB86</f>
        <v>-438</v>
      </c>
      <c r="BT68" s="81">
        <f t="shared" si="28"/>
        <v>-463</v>
      </c>
      <c r="BU68" s="81">
        <f t="shared" si="28"/>
        <v>-464</v>
      </c>
      <c r="BV68" s="81">
        <f t="shared" si="28"/>
        <v>-483</v>
      </c>
      <c r="BW68" s="81">
        <f>B86</f>
        <v>-435</v>
      </c>
    </row>
    <row r="69" spans="1:75" s="83" customFormat="1" x14ac:dyDescent="0.25">
      <c r="A69" s="65" t="s">
        <v>83</v>
      </c>
      <c r="B69" s="76">
        <v>60.4</v>
      </c>
      <c r="C69" s="76"/>
      <c r="D69" s="76">
        <v>60.2</v>
      </c>
      <c r="E69" s="76">
        <v>60.2</v>
      </c>
      <c r="F69" s="76">
        <v>60</v>
      </c>
      <c r="G69" s="76">
        <v>60.7</v>
      </c>
      <c r="H69" s="76">
        <v>60.7</v>
      </c>
      <c r="I69" s="76">
        <v>60.7</v>
      </c>
      <c r="J69" s="76">
        <v>60.7</v>
      </c>
      <c r="K69" s="76">
        <v>60.7</v>
      </c>
      <c r="L69" s="76">
        <v>60.7</v>
      </c>
      <c r="M69" s="76">
        <v>60.7</v>
      </c>
      <c r="N69" s="76">
        <v>60.7</v>
      </c>
      <c r="O69" s="76">
        <v>60.7</v>
      </c>
      <c r="P69" s="76">
        <v>60.7</v>
      </c>
      <c r="Q69" s="76">
        <v>60.7</v>
      </c>
      <c r="R69" s="76">
        <v>60.7</v>
      </c>
      <c r="S69" s="76">
        <v>60.7</v>
      </c>
      <c r="T69" s="76">
        <v>60.7</v>
      </c>
      <c r="U69" s="76">
        <v>60.7</v>
      </c>
      <c r="V69" s="76">
        <v>60.7</v>
      </c>
      <c r="W69" s="76">
        <v>60.7</v>
      </c>
      <c r="X69" s="76">
        <v>60.7</v>
      </c>
      <c r="Y69" s="76">
        <v>60.7</v>
      </c>
      <c r="Z69" s="76">
        <v>60.7</v>
      </c>
      <c r="AA69" s="76">
        <v>60.7</v>
      </c>
      <c r="AB69" s="76">
        <v>60.7</v>
      </c>
      <c r="AC69" s="76">
        <v>60.7</v>
      </c>
      <c r="AD69" s="76">
        <v>0</v>
      </c>
      <c r="AE69" s="76">
        <v>60.7</v>
      </c>
      <c r="AF69" s="76">
        <v>60.7</v>
      </c>
      <c r="AG69" s="66">
        <v>60</v>
      </c>
      <c r="AH69" s="48">
        <f t="shared" si="2"/>
        <v>60.7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6"/>
        <v>0</v>
      </c>
      <c r="BB69" s="81">
        <f t="shared" si="26"/>
        <v>0</v>
      </c>
      <c r="BC69" s="81">
        <f t="shared" si="26"/>
        <v>0</v>
      </c>
      <c r="BD69" s="81">
        <f t="shared" si="26"/>
        <v>0</v>
      </c>
      <c r="BE69" s="82">
        <f>I87</f>
        <v>0</v>
      </c>
      <c r="BF69" s="82">
        <f>K87</f>
        <v>0</v>
      </c>
      <c r="BG69" s="82">
        <f t="shared" si="27"/>
        <v>0</v>
      </c>
      <c r="BH69" s="82">
        <f t="shared" si="27"/>
        <v>0</v>
      </c>
      <c r="BI69" s="82">
        <f t="shared" si="27"/>
        <v>0</v>
      </c>
      <c r="BJ69" s="82">
        <f t="shared" si="27"/>
        <v>0</v>
      </c>
      <c r="BK69" s="82">
        <f t="shared" si="27"/>
        <v>0</v>
      </c>
      <c r="BL69" s="82">
        <f t="shared" si="27"/>
        <v>0</v>
      </c>
      <c r="BM69" s="82">
        <f t="shared" si="27"/>
        <v>0</v>
      </c>
      <c r="BN69" s="82">
        <f t="shared" si="27"/>
        <v>0</v>
      </c>
      <c r="BO69" s="82">
        <f t="shared" si="27"/>
        <v>0</v>
      </c>
      <c r="BP69" s="82">
        <f t="shared" si="27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8"/>
        <v>0</v>
      </c>
      <c r="BU69" s="81">
        <f t="shared" si="28"/>
        <v>0</v>
      </c>
      <c r="BV69" s="81">
        <f t="shared" si="28"/>
        <v>0</v>
      </c>
      <c r="BW69" s="81">
        <f>B87</f>
        <v>0</v>
      </c>
    </row>
    <row r="70" spans="1:75" x14ac:dyDescent="0.25">
      <c r="A70" s="65" t="s">
        <v>84</v>
      </c>
      <c r="B70" s="46">
        <v>28.6</v>
      </c>
      <c r="C70" s="46"/>
      <c r="D70" s="46">
        <v>28.9</v>
      </c>
      <c r="E70" s="46">
        <v>28.7</v>
      </c>
      <c r="F70" s="76">
        <v>28.4</v>
      </c>
      <c r="G70" s="76">
        <v>28.5</v>
      </c>
      <c r="H70" s="76">
        <v>28.5</v>
      </c>
      <c r="I70" s="76">
        <v>28.5</v>
      </c>
      <c r="J70" s="76">
        <v>28.5</v>
      </c>
      <c r="K70" s="76">
        <v>28.5</v>
      </c>
      <c r="L70" s="76">
        <v>28.5</v>
      </c>
      <c r="M70" s="76">
        <v>28.5</v>
      </c>
      <c r="N70" s="76">
        <v>23.2</v>
      </c>
      <c r="O70" s="76">
        <v>23.2</v>
      </c>
      <c r="P70" s="76">
        <v>23.2</v>
      </c>
      <c r="Q70" s="76">
        <v>23.2</v>
      </c>
      <c r="R70" s="76">
        <v>28.6</v>
      </c>
      <c r="S70" s="76">
        <v>28.6</v>
      </c>
      <c r="T70" s="76">
        <v>28.6</v>
      </c>
      <c r="U70" s="76">
        <v>28.6</v>
      </c>
      <c r="V70" s="76">
        <v>28.6</v>
      </c>
      <c r="W70" s="76">
        <v>14.5</v>
      </c>
      <c r="X70" s="76">
        <v>14.5</v>
      </c>
      <c r="Y70" s="76">
        <v>14.5</v>
      </c>
      <c r="Z70" s="76">
        <v>14.5</v>
      </c>
      <c r="AA70" s="76">
        <v>23.3</v>
      </c>
      <c r="AB70" s="76">
        <v>23.3</v>
      </c>
      <c r="AC70" s="76">
        <v>23.3</v>
      </c>
      <c r="AD70" s="76">
        <v>23.3</v>
      </c>
      <c r="AE70" s="76">
        <v>23.3</v>
      </c>
      <c r="AF70" s="76">
        <v>23.3</v>
      </c>
      <c r="AG70" s="66">
        <v>30</v>
      </c>
      <c r="AH70" s="48">
        <f t="shared" si="2"/>
        <v>28.9</v>
      </c>
      <c r="AI70" s="49">
        <f t="shared" si="3"/>
        <v>14.5</v>
      </c>
      <c r="AK70" s="51"/>
      <c r="AY70" s="1" t="s">
        <v>94</v>
      </c>
      <c r="AZ70" s="82">
        <f>ROUND(C88,0)</f>
        <v>0</v>
      </c>
      <c r="BA70" s="81">
        <f t="shared" si="26"/>
        <v>0</v>
      </c>
      <c r="BB70" s="81">
        <f t="shared" si="26"/>
        <v>0</v>
      </c>
      <c r="BC70" s="81">
        <f t="shared" si="26"/>
        <v>0</v>
      </c>
      <c r="BD70" s="81">
        <f t="shared" si="26"/>
        <v>0</v>
      </c>
      <c r="BE70" s="82">
        <f>I88</f>
        <v>0</v>
      </c>
      <c r="BF70" s="82">
        <f>K88</f>
        <v>0</v>
      </c>
      <c r="BG70" s="82">
        <f t="shared" si="27"/>
        <v>0</v>
      </c>
      <c r="BH70" s="82">
        <f t="shared" si="27"/>
        <v>0</v>
      </c>
      <c r="BI70" s="82">
        <f t="shared" si="27"/>
        <v>0</v>
      </c>
      <c r="BJ70" s="82">
        <f t="shared" si="27"/>
        <v>0</v>
      </c>
      <c r="BK70" s="82">
        <f t="shared" si="27"/>
        <v>0</v>
      </c>
      <c r="BL70" s="82">
        <f t="shared" si="27"/>
        <v>0</v>
      </c>
      <c r="BM70" s="82">
        <f t="shared" si="27"/>
        <v>0</v>
      </c>
      <c r="BN70" s="82">
        <f t="shared" si="27"/>
        <v>0</v>
      </c>
      <c r="BO70" s="82">
        <f t="shared" si="27"/>
        <v>0</v>
      </c>
      <c r="BP70" s="82">
        <f t="shared" si="27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8"/>
        <v>0</v>
      </c>
      <c r="BU70" s="81">
        <f t="shared" si="28"/>
        <v>0</v>
      </c>
      <c r="BV70" s="81">
        <f t="shared" si="28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/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0.9</v>
      </c>
      <c r="J71" s="46">
        <v>0.9</v>
      </c>
      <c r="K71" s="46">
        <v>2.7</v>
      </c>
      <c r="L71" s="46">
        <v>2.7</v>
      </c>
      <c r="M71" s="46">
        <v>2.7</v>
      </c>
      <c r="N71" s="46">
        <v>3</v>
      </c>
      <c r="O71" s="46">
        <v>7.3</v>
      </c>
      <c r="P71" s="46">
        <v>11.9</v>
      </c>
      <c r="Q71" s="46">
        <v>5.8</v>
      </c>
      <c r="R71" s="46">
        <v>4.9000000000000004</v>
      </c>
      <c r="S71" s="46">
        <v>0.3</v>
      </c>
      <c r="T71" s="46">
        <v>1.4</v>
      </c>
      <c r="U71" s="46">
        <v>2.2999999999999998</v>
      </c>
      <c r="V71" s="46">
        <v>2.5</v>
      </c>
      <c r="W71" s="46">
        <v>1.8</v>
      </c>
      <c r="X71" s="46">
        <v>1</v>
      </c>
      <c r="Y71" s="46">
        <v>0.4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11.9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9">M94</f>
        <v>0</v>
      </c>
      <c r="BH71" s="82">
        <f t="shared" si="29"/>
        <v>0</v>
      </c>
      <c r="BI71" s="82">
        <f t="shared" si="29"/>
        <v>0</v>
      </c>
      <c r="BJ71" s="82">
        <f t="shared" si="29"/>
        <v>0</v>
      </c>
      <c r="BK71" s="82">
        <f t="shared" si="29"/>
        <v>0</v>
      </c>
      <c r="BL71" s="82">
        <f t="shared" si="29"/>
        <v>0</v>
      </c>
      <c r="BM71" s="82">
        <f t="shared" si="29"/>
        <v>0</v>
      </c>
      <c r="BN71" s="82">
        <f t="shared" si="29"/>
        <v>0</v>
      </c>
      <c r="BO71" s="82">
        <f t="shared" si="29"/>
        <v>0</v>
      </c>
      <c r="BP71" s="82">
        <f t="shared" si="2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9.9</v>
      </c>
      <c r="C72" s="76"/>
      <c r="D72" s="76">
        <v>11</v>
      </c>
      <c r="E72" s="76">
        <v>11</v>
      </c>
      <c r="F72" s="76">
        <v>11</v>
      </c>
      <c r="G72" s="76">
        <v>11</v>
      </c>
      <c r="H72" s="76">
        <v>11</v>
      </c>
      <c r="I72" s="76">
        <v>11</v>
      </c>
      <c r="J72" s="76">
        <v>11</v>
      </c>
      <c r="K72" s="76">
        <v>11</v>
      </c>
      <c r="L72" s="76">
        <v>11</v>
      </c>
      <c r="M72" s="76">
        <v>11</v>
      </c>
      <c r="N72" s="76">
        <v>11</v>
      </c>
      <c r="O72" s="76">
        <v>11</v>
      </c>
      <c r="P72" s="76">
        <v>11</v>
      </c>
      <c r="Q72" s="76">
        <v>11</v>
      </c>
      <c r="R72" s="76">
        <v>11</v>
      </c>
      <c r="S72" s="76">
        <v>11</v>
      </c>
      <c r="T72" s="76">
        <v>11</v>
      </c>
      <c r="U72" s="76">
        <v>11</v>
      </c>
      <c r="V72" s="76">
        <v>11</v>
      </c>
      <c r="W72" s="76">
        <v>11</v>
      </c>
      <c r="X72" s="76">
        <v>11</v>
      </c>
      <c r="Y72" s="76">
        <v>11</v>
      </c>
      <c r="Z72" s="76">
        <v>11</v>
      </c>
      <c r="AA72" s="76">
        <v>11</v>
      </c>
      <c r="AB72" s="76">
        <v>11</v>
      </c>
      <c r="AC72" s="76">
        <v>11</v>
      </c>
      <c r="AD72" s="76">
        <v>11</v>
      </c>
      <c r="AE72" s="76">
        <v>11</v>
      </c>
      <c r="AF72" s="76">
        <v>11</v>
      </c>
      <c r="AG72" s="66">
        <v>24</v>
      </c>
      <c r="AH72" s="48">
        <f t="shared" si="2"/>
        <v>11</v>
      </c>
      <c r="AI72" s="49">
        <f t="shared" si="3"/>
        <v>9.9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/>
      <c r="D73" s="76">
        <v>2.1</v>
      </c>
      <c r="E73" s="76">
        <v>2.1</v>
      </c>
      <c r="F73" s="76">
        <v>2.1</v>
      </c>
      <c r="G73" s="76">
        <v>2.1</v>
      </c>
      <c r="H73" s="76">
        <v>2.1</v>
      </c>
      <c r="I73" s="76">
        <v>2.1</v>
      </c>
      <c r="J73" s="76">
        <v>2.1</v>
      </c>
      <c r="K73" s="76">
        <v>2.1</v>
      </c>
      <c r="L73" s="76">
        <v>2.1</v>
      </c>
      <c r="M73" s="76">
        <v>2.1</v>
      </c>
      <c r="N73" s="76">
        <v>2.1</v>
      </c>
      <c r="O73" s="76">
        <v>2.1</v>
      </c>
      <c r="P73" s="76">
        <v>2.1</v>
      </c>
      <c r="Q73" s="76">
        <v>2.1</v>
      </c>
      <c r="R73" s="76">
        <v>2.1</v>
      </c>
      <c r="S73" s="76">
        <v>2.1</v>
      </c>
      <c r="T73" s="76">
        <v>2.1</v>
      </c>
      <c r="U73" s="76">
        <v>2.1</v>
      </c>
      <c r="V73" s="76">
        <v>2.1</v>
      </c>
      <c r="W73" s="76">
        <v>2.1</v>
      </c>
      <c r="X73" s="76">
        <v>2.1</v>
      </c>
      <c r="Y73" s="76">
        <v>2.1</v>
      </c>
      <c r="Z73" s="76">
        <v>2.1</v>
      </c>
      <c r="AA73" s="76">
        <v>2.1</v>
      </c>
      <c r="AB73" s="76">
        <v>2.1</v>
      </c>
      <c r="AC73" s="76">
        <v>2.1</v>
      </c>
      <c r="AD73" s="76">
        <v>2.1</v>
      </c>
      <c r="AE73" s="76">
        <v>2.1</v>
      </c>
      <c r="AF73" s="76">
        <v>2.1</v>
      </c>
      <c r="AG73" s="66">
        <v>15</v>
      </c>
      <c r="AH73" s="48">
        <f t="shared" si="2"/>
        <v>3.8</v>
      </c>
      <c r="AI73" s="49">
        <f t="shared" si="3"/>
        <v>2.1</v>
      </c>
      <c r="AK73" s="51"/>
      <c r="AZ73" s="82">
        <f t="shared" ref="AZ73:BW78" si="30">VALUE(AZ66)</f>
        <v>0</v>
      </c>
      <c r="BA73" s="82">
        <f t="shared" si="30"/>
        <v>38.1</v>
      </c>
      <c r="BB73" s="82">
        <f t="shared" si="30"/>
        <v>42.2</v>
      </c>
      <c r="BC73" s="82">
        <f t="shared" si="30"/>
        <v>24</v>
      </c>
      <c r="BD73" s="82">
        <f t="shared" si="30"/>
        <v>-9.6999999999999993</v>
      </c>
      <c r="BE73" s="82">
        <f t="shared" si="30"/>
        <v>5.0999999999999996</v>
      </c>
      <c r="BF73" s="82">
        <f t="shared" si="30"/>
        <v>61</v>
      </c>
      <c r="BG73" s="82">
        <f t="shared" si="30"/>
        <v>31.3</v>
      </c>
      <c r="BH73" s="82">
        <f t="shared" si="30"/>
        <v>40.4</v>
      </c>
      <c r="BI73" s="82">
        <f t="shared" si="30"/>
        <v>40</v>
      </c>
      <c r="BJ73" s="82">
        <f t="shared" si="30"/>
        <v>35</v>
      </c>
      <c r="BK73" s="82">
        <f t="shared" si="30"/>
        <v>42.1</v>
      </c>
      <c r="BL73" s="82">
        <f t="shared" si="30"/>
        <v>45.8</v>
      </c>
      <c r="BM73" s="82">
        <f t="shared" si="30"/>
        <v>46.7</v>
      </c>
      <c r="BN73" s="82">
        <f t="shared" si="30"/>
        <v>50.2</v>
      </c>
      <c r="BO73" s="82">
        <f t="shared" si="30"/>
        <v>38.9</v>
      </c>
      <c r="BP73" s="82">
        <f t="shared" si="30"/>
        <v>28.6</v>
      </c>
      <c r="BQ73" s="82">
        <f t="shared" si="30"/>
        <v>35</v>
      </c>
      <c r="BR73" s="82">
        <f t="shared" si="30"/>
        <v>8.3000000000000007</v>
      </c>
      <c r="BS73" s="82">
        <f t="shared" si="30"/>
        <v>12.5</v>
      </c>
      <c r="BT73" s="82">
        <f t="shared" si="30"/>
        <v>-35</v>
      </c>
      <c r="BU73" s="82">
        <f t="shared" si="30"/>
        <v>-35</v>
      </c>
      <c r="BV73" s="82">
        <f t="shared" si="30"/>
        <v>-34</v>
      </c>
      <c r="BW73" s="82">
        <f t="shared" si="30"/>
        <v>40</v>
      </c>
    </row>
    <row r="74" spans="1:75" x14ac:dyDescent="0.25">
      <c r="A74" s="65" t="s">
        <v>91</v>
      </c>
      <c r="B74" s="76">
        <v>8.9</v>
      </c>
      <c r="C74" s="76"/>
      <c r="D74" s="76">
        <v>9.9</v>
      </c>
      <c r="E74" s="76">
        <v>9.9</v>
      </c>
      <c r="F74" s="76">
        <v>9.9</v>
      </c>
      <c r="G74" s="76">
        <v>10.4</v>
      </c>
      <c r="H74" s="76">
        <v>10.4</v>
      </c>
      <c r="I74" s="76">
        <v>10.4</v>
      </c>
      <c r="J74" s="76">
        <v>10.4</v>
      </c>
      <c r="K74" s="76">
        <v>10.4</v>
      </c>
      <c r="L74" s="76">
        <v>10.4</v>
      </c>
      <c r="M74" s="76">
        <v>10.4</v>
      </c>
      <c r="N74" s="76">
        <v>10.4</v>
      </c>
      <c r="O74" s="76">
        <v>10.4</v>
      </c>
      <c r="P74" s="76">
        <v>10.4</v>
      </c>
      <c r="Q74" s="76">
        <v>10.4</v>
      </c>
      <c r="R74" s="76">
        <v>10.4</v>
      </c>
      <c r="S74" s="76">
        <v>10.4</v>
      </c>
      <c r="T74" s="76">
        <v>10.4</v>
      </c>
      <c r="U74" s="76">
        <v>10.4</v>
      </c>
      <c r="V74" s="76">
        <v>10.4</v>
      </c>
      <c r="W74" s="76">
        <v>10.4</v>
      </c>
      <c r="X74" s="76">
        <v>10.4</v>
      </c>
      <c r="Y74" s="76">
        <v>10.4</v>
      </c>
      <c r="Z74" s="76">
        <v>10.4</v>
      </c>
      <c r="AA74" s="76">
        <v>10.4</v>
      </c>
      <c r="AB74" s="76">
        <v>10.4</v>
      </c>
      <c r="AC74" s="76">
        <v>10.4</v>
      </c>
      <c r="AD74" s="76">
        <v>10.4</v>
      </c>
      <c r="AE74" s="76">
        <v>10.4</v>
      </c>
      <c r="AF74" s="76">
        <v>10.4</v>
      </c>
      <c r="AG74" s="66">
        <v>14.1</v>
      </c>
      <c r="AH74" s="48">
        <f t="shared" si="2"/>
        <v>10.4</v>
      </c>
      <c r="AI74" s="49">
        <f t="shared" si="3"/>
        <v>8.9</v>
      </c>
      <c r="AK74" s="51"/>
      <c r="AZ74" s="82">
        <f t="shared" si="30"/>
        <v>0</v>
      </c>
      <c r="BA74" s="82">
        <f t="shared" si="30"/>
        <v>0</v>
      </c>
      <c r="BB74" s="82">
        <f t="shared" si="30"/>
        <v>0</v>
      </c>
      <c r="BC74" s="82">
        <f t="shared" si="30"/>
        <v>0</v>
      </c>
      <c r="BD74" s="82">
        <f t="shared" si="30"/>
        <v>0</v>
      </c>
      <c r="BE74" s="82">
        <f t="shared" si="30"/>
        <v>0</v>
      </c>
      <c r="BF74" s="82">
        <f t="shared" si="30"/>
        <v>0</v>
      </c>
      <c r="BG74" s="82">
        <f t="shared" si="30"/>
        <v>0</v>
      </c>
      <c r="BH74" s="82">
        <f t="shared" si="30"/>
        <v>0</v>
      </c>
      <c r="BI74" s="82">
        <f t="shared" si="30"/>
        <v>0</v>
      </c>
      <c r="BJ74" s="82">
        <f t="shared" si="30"/>
        <v>0</v>
      </c>
      <c r="BK74" s="82">
        <f t="shared" si="30"/>
        <v>0</v>
      </c>
      <c r="BL74" s="82">
        <f t="shared" si="30"/>
        <v>0</v>
      </c>
      <c r="BM74" s="82">
        <f t="shared" si="30"/>
        <v>0</v>
      </c>
      <c r="BN74" s="82">
        <f t="shared" si="30"/>
        <v>0</v>
      </c>
      <c r="BO74" s="82">
        <f t="shared" si="30"/>
        <v>0</v>
      </c>
      <c r="BP74" s="82">
        <f t="shared" si="30"/>
        <v>0</v>
      </c>
      <c r="BQ74" s="82">
        <f t="shared" si="30"/>
        <v>0</v>
      </c>
      <c r="BR74" s="82">
        <f t="shared" si="30"/>
        <v>0</v>
      </c>
      <c r="BS74" s="82">
        <f t="shared" si="30"/>
        <v>0</v>
      </c>
      <c r="BT74" s="82">
        <f t="shared" si="30"/>
        <v>0</v>
      </c>
      <c r="BU74" s="82">
        <f t="shared" si="30"/>
        <v>0</v>
      </c>
      <c r="BV74" s="82">
        <f t="shared" si="30"/>
        <v>0</v>
      </c>
      <c r="BW74" s="82">
        <f t="shared" si="30"/>
        <v>0</v>
      </c>
    </row>
    <row r="75" spans="1:75" x14ac:dyDescent="0.25">
      <c r="A75" s="84" t="s">
        <v>93</v>
      </c>
      <c r="B75" s="76">
        <v>12</v>
      </c>
      <c r="C75" s="76"/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66">
        <v>14</v>
      </c>
      <c r="AH75" s="48">
        <f t="shared" ref="AH75:AH126" si="31">MAX(B75:AF75)</f>
        <v>12</v>
      </c>
      <c r="AI75" s="49">
        <f t="shared" ref="AI75:AI126" si="32">MIN(B75:AF75)</f>
        <v>0</v>
      </c>
      <c r="AK75" s="51"/>
      <c r="AZ75" s="82">
        <f t="shared" si="30"/>
        <v>0</v>
      </c>
      <c r="BA75" s="82">
        <f t="shared" si="30"/>
        <v>-460.8</v>
      </c>
      <c r="BB75" s="82">
        <f t="shared" si="30"/>
        <v>-526</v>
      </c>
      <c r="BC75" s="82">
        <f t="shared" si="30"/>
        <v>-543</v>
      </c>
      <c r="BD75" s="82">
        <f t="shared" si="30"/>
        <v>-372</v>
      </c>
      <c r="BE75" s="82">
        <f t="shared" si="30"/>
        <v>-312</v>
      </c>
      <c r="BF75" s="82">
        <f t="shared" si="30"/>
        <v>-281.60000000000002</v>
      </c>
      <c r="BG75" s="82">
        <f t="shared" si="30"/>
        <v>-338.7</v>
      </c>
      <c r="BH75" s="82">
        <f t="shared" si="30"/>
        <v>-370</v>
      </c>
      <c r="BI75" s="82">
        <f t="shared" si="30"/>
        <v>-350</v>
      </c>
      <c r="BJ75" s="82">
        <f t="shared" si="30"/>
        <v>-459</v>
      </c>
      <c r="BK75" s="82">
        <f t="shared" si="30"/>
        <v>-520</v>
      </c>
      <c r="BL75" s="82">
        <f t="shared" si="30"/>
        <v>-507</v>
      </c>
      <c r="BM75" s="82">
        <f t="shared" si="30"/>
        <v>-438.5</v>
      </c>
      <c r="BN75" s="82">
        <f t="shared" si="30"/>
        <v>-416.2</v>
      </c>
      <c r="BO75" s="82">
        <f t="shared" si="30"/>
        <v>-577.9</v>
      </c>
      <c r="BP75" s="82">
        <f t="shared" si="30"/>
        <v>-547.70000000000005</v>
      </c>
      <c r="BQ75" s="82">
        <f t="shared" si="30"/>
        <v>-651.9</v>
      </c>
      <c r="BR75" s="82">
        <f t="shared" si="30"/>
        <v>-568.9</v>
      </c>
      <c r="BS75" s="82">
        <f t="shared" si="30"/>
        <v>-438</v>
      </c>
      <c r="BT75" s="82">
        <f t="shared" si="30"/>
        <v>-463</v>
      </c>
      <c r="BU75" s="82">
        <f t="shared" si="30"/>
        <v>-464</v>
      </c>
      <c r="BV75" s="82">
        <f t="shared" si="30"/>
        <v>-483</v>
      </c>
      <c r="BW75" s="82">
        <f t="shared" si="30"/>
        <v>-435</v>
      </c>
    </row>
    <row r="76" spans="1:75" x14ac:dyDescent="0.25">
      <c r="A76" s="65" t="s">
        <v>95</v>
      </c>
      <c r="B76" s="76">
        <v>10</v>
      </c>
      <c r="C76" s="76"/>
      <c r="D76" s="76">
        <v>10</v>
      </c>
      <c r="E76" s="76">
        <v>10</v>
      </c>
      <c r="F76" s="76">
        <v>10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66">
        <v>10.050000000000001</v>
      </c>
      <c r="AH76" s="48">
        <f t="shared" si="31"/>
        <v>10</v>
      </c>
      <c r="AI76" s="49">
        <f t="shared" si="32"/>
        <v>0</v>
      </c>
      <c r="AK76" s="51"/>
      <c r="AZ76" s="82">
        <f t="shared" si="30"/>
        <v>0</v>
      </c>
      <c r="BA76" s="82">
        <f t="shared" si="30"/>
        <v>0</v>
      </c>
      <c r="BB76" s="82">
        <f t="shared" si="30"/>
        <v>0</v>
      </c>
      <c r="BC76" s="82">
        <f t="shared" si="30"/>
        <v>0</v>
      </c>
      <c r="BD76" s="82">
        <f t="shared" si="30"/>
        <v>0</v>
      </c>
      <c r="BE76" s="82">
        <f t="shared" si="30"/>
        <v>0</v>
      </c>
      <c r="BF76" s="82">
        <f t="shared" si="30"/>
        <v>0</v>
      </c>
      <c r="BG76" s="82">
        <f t="shared" si="30"/>
        <v>0</v>
      </c>
      <c r="BH76" s="82">
        <f t="shared" si="30"/>
        <v>0</v>
      </c>
      <c r="BI76" s="82">
        <f t="shared" si="30"/>
        <v>0</v>
      </c>
      <c r="BJ76" s="82">
        <f t="shared" si="30"/>
        <v>0</v>
      </c>
      <c r="BK76" s="82">
        <f t="shared" si="30"/>
        <v>0</v>
      </c>
      <c r="BL76" s="82">
        <f t="shared" si="30"/>
        <v>0</v>
      </c>
      <c r="BM76" s="82">
        <f t="shared" si="30"/>
        <v>0</v>
      </c>
      <c r="BN76" s="82">
        <f t="shared" si="30"/>
        <v>0</v>
      </c>
      <c r="BO76" s="82">
        <f t="shared" si="30"/>
        <v>0</v>
      </c>
      <c r="BP76" s="82">
        <f t="shared" si="30"/>
        <v>0</v>
      </c>
      <c r="BQ76" s="82">
        <f t="shared" si="30"/>
        <v>0</v>
      </c>
      <c r="BR76" s="82">
        <f t="shared" si="30"/>
        <v>0</v>
      </c>
      <c r="BS76" s="82">
        <f t="shared" si="30"/>
        <v>0</v>
      </c>
      <c r="BT76" s="82">
        <f t="shared" si="30"/>
        <v>0</v>
      </c>
      <c r="BU76" s="82">
        <f t="shared" si="30"/>
        <v>0</v>
      </c>
      <c r="BV76" s="82">
        <f t="shared" si="30"/>
        <v>0</v>
      </c>
      <c r="BW76" s="82">
        <f t="shared" si="30"/>
        <v>0</v>
      </c>
    </row>
    <row r="77" spans="1:75" x14ac:dyDescent="0.25">
      <c r="A77" s="65" t="s">
        <v>97</v>
      </c>
      <c r="B77" s="76">
        <v>6</v>
      </c>
      <c r="C77" s="76"/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31"/>
        <v>6</v>
      </c>
      <c r="AI77" s="49">
        <f t="shared" si="32"/>
        <v>6</v>
      </c>
      <c r="AK77" s="51"/>
      <c r="AZ77" s="82">
        <f t="shared" si="30"/>
        <v>0</v>
      </c>
      <c r="BA77" s="82">
        <f t="shared" si="30"/>
        <v>0</v>
      </c>
      <c r="BB77" s="82">
        <f t="shared" si="30"/>
        <v>0</v>
      </c>
      <c r="BC77" s="82">
        <f t="shared" si="30"/>
        <v>0</v>
      </c>
      <c r="BD77" s="82">
        <f t="shared" si="30"/>
        <v>0</v>
      </c>
      <c r="BE77" s="82">
        <f t="shared" si="30"/>
        <v>0</v>
      </c>
      <c r="BF77" s="82">
        <f t="shared" si="30"/>
        <v>0</v>
      </c>
      <c r="BG77" s="82">
        <f t="shared" si="30"/>
        <v>0</v>
      </c>
      <c r="BH77" s="82">
        <f t="shared" si="30"/>
        <v>0</v>
      </c>
      <c r="BI77" s="82">
        <f t="shared" si="30"/>
        <v>0</v>
      </c>
      <c r="BJ77" s="82">
        <f t="shared" si="30"/>
        <v>0</v>
      </c>
      <c r="BK77" s="82">
        <f t="shared" si="30"/>
        <v>0</v>
      </c>
      <c r="BL77" s="82">
        <f t="shared" si="30"/>
        <v>0</v>
      </c>
      <c r="BM77" s="82">
        <f t="shared" si="30"/>
        <v>0</v>
      </c>
      <c r="BN77" s="82">
        <f t="shared" si="30"/>
        <v>0</v>
      </c>
      <c r="BO77" s="82">
        <f t="shared" si="30"/>
        <v>0</v>
      </c>
      <c r="BP77" s="82">
        <f t="shared" si="30"/>
        <v>0</v>
      </c>
      <c r="BQ77" s="82">
        <f t="shared" si="30"/>
        <v>0</v>
      </c>
      <c r="BR77" s="82">
        <f t="shared" si="30"/>
        <v>0</v>
      </c>
      <c r="BS77" s="82">
        <f t="shared" si="30"/>
        <v>0</v>
      </c>
      <c r="BT77" s="82">
        <f t="shared" si="30"/>
        <v>0</v>
      </c>
      <c r="BU77" s="82">
        <f t="shared" si="30"/>
        <v>0</v>
      </c>
      <c r="BV77" s="82">
        <f t="shared" si="30"/>
        <v>0</v>
      </c>
      <c r="BW77" s="82">
        <f t="shared" si="3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1"/>
        <v>3.54</v>
      </c>
      <c r="AI78" s="49">
        <f t="shared" si="32"/>
        <v>3.54</v>
      </c>
      <c r="AK78" s="51"/>
      <c r="AZ78" s="82">
        <f t="shared" si="30"/>
        <v>0</v>
      </c>
      <c r="BA78" s="82">
        <f t="shared" si="30"/>
        <v>0</v>
      </c>
      <c r="BB78" s="82">
        <f t="shared" si="30"/>
        <v>0</v>
      </c>
      <c r="BC78" s="82">
        <f t="shared" si="30"/>
        <v>0</v>
      </c>
      <c r="BD78" s="82">
        <f t="shared" si="30"/>
        <v>0</v>
      </c>
      <c r="BE78" s="82">
        <f t="shared" si="30"/>
        <v>0</v>
      </c>
      <c r="BF78" s="82">
        <f t="shared" si="30"/>
        <v>0</v>
      </c>
      <c r="BG78" s="82">
        <f t="shared" si="30"/>
        <v>0</v>
      </c>
      <c r="BH78" s="82">
        <f t="shared" si="30"/>
        <v>0</v>
      </c>
      <c r="BI78" s="82">
        <f t="shared" si="30"/>
        <v>0</v>
      </c>
      <c r="BJ78" s="82">
        <f t="shared" si="30"/>
        <v>0</v>
      </c>
      <c r="BK78" s="82">
        <f t="shared" si="30"/>
        <v>0</v>
      </c>
      <c r="BL78" s="82">
        <f t="shared" si="30"/>
        <v>0</v>
      </c>
      <c r="BM78" s="82">
        <f t="shared" si="30"/>
        <v>0</v>
      </c>
      <c r="BN78" s="82">
        <f t="shared" si="30"/>
        <v>0</v>
      </c>
      <c r="BO78" s="82">
        <f t="shared" si="30"/>
        <v>0</v>
      </c>
      <c r="BP78" s="82">
        <f t="shared" si="30"/>
        <v>0</v>
      </c>
      <c r="BQ78" s="82">
        <f t="shared" si="30"/>
        <v>0</v>
      </c>
      <c r="BR78" s="82">
        <f t="shared" si="30"/>
        <v>0</v>
      </c>
      <c r="BS78" s="82">
        <f t="shared" si="30"/>
        <v>0</v>
      </c>
      <c r="BT78" s="82">
        <f t="shared" si="30"/>
        <v>0</v>
      </c>
      <c r="BU78" s="82">
        <f t="shared" si="30"/>
        <v>0</v>
      </c>
      <c r="BV78" s="82">
        <f t="shared" si="30"/>
        <v>0</v>
      </c>
      <c r="BW78" s="82">
        <f t="shared" si="30"/>
        <v>0</v>
      </c>
    </row>
    <row r="79" spans="1:75" ht="15.75" thickBot="1" x14ac:dyDescent="0.3">
      <c r="A79" s="87" t="s">
        <v>99</v>
      </c>
      <c r="B79" s="71">
        <v>3.3</v>
      </c>
      <c r="C79" s="71">
        <f t="shared" ref="C79:AG79" si="33">SUM(C66:C78)</f>
        <v>3.54</v>
      </c>
      <c r="D79" s="71">
        <f t="shared" si="33"/>
        <v>305.53999999999996</v>
      </c>
      <c r="E79" s="71">
        <f t="shared" si="33"/>
        <v>338.64</v>
      </c>
      <c r="F79" s="71">
        <f t="shared" si="33"/>
        <v>295.44</v>
      </c>
      <c r="G79" s="71">
        <f t="shared" si="33"/>
        <v>333.74</v>
      </c>
      <c r="H79" s="71">
        <f t="shared" si="33"/>
        <v>333.74</v>
      </c>
      <c r="I79" s="71">
        <f t="shared" si="33"/>
        <v>334.64</v>
      </c>
      <c r="J79" s="71">
        <f t="shared" si="33"/>
        <v>334.64</v>
      </c>
      <c r="K79" s="71">
        <f t="shared" si="33"/>
        <v>336.44</v>
      </c>
      <c r="L79" s="71">
        <f t="shared" si="33"/>
        <v>336.44</v>
      </c>
      <c r="M79" s="71">
        <f t="shared" si="33"/>
        <v>336.44</v>
      </c>
      <c r="N79" s="71">
        <f t="shared" si="33"/>
        <v>331.44</v>
      </c>
      <c r="O79" s="71">
        <f t="shared" si="33"/>
        <v>335.74</v>
      </c>
      <c r="P79" s="71">
        <f t="shared" si="33"/>
        <v>340.34</v>
      </c>
      <c r="Q79" s="71">
        <f t="shared" si="33"/>
        <v>334.24</v>
      </c>
      <c r="R79" s="71">
        <f t="shared" si="33"/>
        <v>338.74</v>
      </c>
      <c r="S79" s="71">
        <f t="shared" ref="S79:AA79" si="34">SUM(S66:S78)</f>
        <v>367.74000000000007</v>
      </c>
      <c r="T79" s="71">
        <f t="shared" si="34"/>
        <v>368.84000000000003</v>
      </c>
      <c r="U79" s="71">
        <f t="shared" si="34"/>
        <v>403.34000000000003</v>
      </c>
      <c r="V79" s="71">
        <f t="shared" si="34"/>
        <v>403.54</v>
      </c>
      <c r="W79" s="71">
        <f t="shared" si="34"/>
        <v>388.74</v>
      </c>
      <c r="X79" s="71">
        <f t="shared" si="34"/>
        <v>387.94</v>
      </c>
      <c r="Y79" s="71">
        <f t="shared" si="34"/>
        <v>387.34</v>
      </c>
      <c r="Z79" s="71">
        <f t="shared" si="34"/>
        <v>386.94</v>
      </c>
      <c r="AA79" s="71">
        <f t="shared" si="34"/>
        <v>395.74</v>
      </c>
      <c r="AB79" s="71">
        <f t="shared" si="33"/>
        <v>351.74</v>
      </c>
      <c r="AC79" s="71">
        <f t="shared" si="33"/>
        <v>361.74</v>
      </c>
      <c r="AD79" s="71">
        <f t="shared" si="33"/>
        <v>311.04000000000002</v>
      </c>
      <c r="AE79" s="71">
        <f t="shared" si="33"/>
        <v>376.74</v>
      </c>
      <c r="AF79" s="71">
        <f t="shared" si="33"/>
        <v>312.04000000000002</v>
      </c>
      <c r="AG79" s="72">
        <f t="shared" si="33"/>
        <v>489.91</v>
      </c>
      <c r="AH79" s="48">
        <f t="shared" si="31"/>
        <v>403.54</v>
      </c>
      <c r="AI79" s="49">
        <f t="shared" si="32"/>
        <v>3.3</v>
      </c>
      <c r="AK79" s="51"/>
      <c r="AY79" s="82"/>
    </row>
    <row r="80" spans="1:75" x14ac:dyDescent="0.25">
      <c r="A80" s="45" t="s">
        <v>100</v>
      </c>
      <c r="B80" s="46">
        <v>10.4</v>
      </c>
      <c r="C80" s="46"/>
      <c r="D80" s="46">
        <v>19.399999999999999</v>
      </c>
      <c r="E80" s="46">
        <v>10.5</v>
      </c>
      <c r="F80" s="46">
        <v>10</v>
      </c>
      <c r="G80" s="46">
        <v>10</v>
      </c>
      <c r="H80" s="46">
        <v>10</v>
      </c>
      <c r="I80" s="46">
        <v>10</v>
      </c>
      <c r="J80" s="46">
        <v>10</v>
      </c>
      <c r="K80" s="46">
        <v>10</v>
      </c>
      <c r="L80" s="46">
        <v>10</v>
      </c>
      <c r="M80" s="46">
        <v>10</v>
      </c>
      <c r="N80" s="46">
        <v>13.3</v>
      </c>
      <c r="O80" s="46">
        <v>13.5</v>
      </c>
      <c r="P80" s="46">
        <v>13.4</v>
      </c>
      <c r="Q80" s="46">
        <v>13.4</v>
      </c>
      <c r="R80" s="46">
        <v>13.4</v>
      </c>
      <c r="S80" s="46">
        <v>13.4</v>
      </c>
      <c r="T80" s="46">
        <v>13.4</v>
      </c>
      <c r="U80" s="46">
        <v>13.4</v>
      </c>
      <c r="V80" s="46">
        <v>13.4</v>
      </c>
      <c r="W80" s="46">
        <v>13.4</v>
      </c>
      <c r="X80" s="46">
        <v>13.4</v>
      </c>
      <c r="Y80" s="46">
        <v>13.4</v>
      </c>
      <c r="Z80" s="46">
        <v>13.4</v>
      </c>
      <c r="AA80" s="46">
        <v>13.4</v>
      </c>
      <c r="AB80" s="46">
        <v>13.4</v>
      </c>
      <c r="AC80" s="46">
        <v>13.4</v>
      </c>
      <c r="AD80" s="46">
        <v>13.4</v>
      </c>
      <c r="AE80" s="46">
        <v>0</v>
      </c>
      <c r="AF80" s="46">
        <v>0</v>
      </c>
      <c r="AG80" s="61">
        <v>60</v>
      </c>
      <c r="AH80" s="48">
        <f t="shared" si="31"/>
        <v>19.399999999999999</v>
      </c>
      <c r="AI80" s="49">
        <f t="shared" si="32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3.7</v>
      </c>
      <c r="C81" s="76"/>
      <c r="D81" s="76">
        <v>10</v>
      </c>
      <c r="E81" s="76">
        <v>9</v>
      </c>
      <c r="F81" s="76">
        <v>8</v>
      </c>
      <c r="G81" s="76">
        <v>8</v>
      </c>
      <c r="H81" s="76">
        <v>8</v>
      </c>
      <c r="I81" s="76">
        <v>8</v>
      </c>
      <c r="J81" s="76">
        <v>8</v>
      </c>
      <c r="K81" s="76">
        <v>8</v>
      </c>
      <c r="L81" s="76">
        <v>8</v>
      </c>
      <c r="M81" s="76">
        <v>2.9</v>
      </c>
      <c r="N81" s="76">
        <v>3.1</v>
      </c>
      <c r="O81" s="76">
        <v>5.7</v>
      </c>
      <c r="P81" s="76">
        <v>5.7</v>
      </c>
      <c r="Q81" s="76">
        <v>4.8</v>
      </c>
      <c r="R81" s="76">
        <v>4.8</v>
      </c>
      <c r="S81" s="76">
        <v>4.8</v>
      </c>
      <c r="T81" s="76">
        <v>4.8</v>
      </c>
      <c r="U81" s="76">
        <v>4.8</v>
      </c>
      <c r="V81" s="76">
        <v>4.8</v>
      </c>
      <c r="W81" s="76">
        <v>4.8</v>
      </c>
      <c r="X81" s="76">
        <v>4.8</v>
      </c>
      <c r="Y81" s="76">
        <v>4.8</v>
      </c>
      <c r="Z81" s="76">
        <v>4.8</v>
      </c>
      <c r="AA81" s="76">
        <v>4.8</v>
      </c>
      <c r="AB81" s="76">
        <v>4.8</v>
      </c>
      <c r="AC81" s="76">
        <v>4.8</v>
      </c>
      <c r="AD81" s="76">
        <v>4.8</v>
      </c>
      <c r="AE81" s="76">
        <v>0</v>
      </c>
      <c r="AF81" s="76">
        <v>0</v>
      </c>
      <c r="AG81" s="66">
        <v>32</v>
      </c>
      <c r="AH81" s="48">
        <f t="shared" si="31"/>
        <v>10</v>
      </c>
      <c r="AI81" s="49">
        <f t="shared" si="32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1.3</v>
      </c>
      <c r="C82" s="78"/>
      <c r="D82" s="78">
        <v>3.7</v>
      </c>
      <c r="E82" s="78">
        <v>3.3</v>
      </c>
      <c r="F82" s="78">
        <v>3.2</v>
      </c>
      <c r="G82" s="78">
        <v>3.2</v>
      </c>
      <c r="H82" s="78">
        <v>3.2</v>
      </c>
      <c r="I82" s="78">
        <v>3.2</v>
      </c>
      <c r="J82" s="78">
        <v>3.2</v>
      </c>
      <c r="K82" s="78">
        <v>3.2</v>
      </c>
      <c r="L82" s="78">
        <v>3.2</v>
      </c>
      <c r="M82" s="78">
        <v>1.1000000000000001</v>
      </c>
      <c r="N82" s="78">
        <v>1.1000000000000001</v>
      </c>
      <c r="O82" s="78">
        <v>2.1</v>
      </c>
      <c r="P82" s="78">
        <v>2.1</v>
      </c>
      <c r="Q82" s="78">
        <v>1.8</v>
      </c>
      <c r="R82" s="78">
        <v>1.8</v>
      </c>
      <c r="S82" s="78">
        <v>1.8</v>
      </c>
      <c r="T82" s="78">
        <v>1.8</v>
      </c>
      <c r="U82" s="78">
        <v>1.8</v>
      </c>
      <c r="V82" s="78">
        <v>1.8</v>
      </c>
      <c r="W82" s="78">
        <v>1.8</v>
      </c>
      <c r="X82" s="78">
        <v>1.8</v>
      </c>
      <c r="Y82" s="78">
        <v>1.8</v>
      </c>
      <c r="Z82" s="78">
        <v>1.8</v>
      </c>
      <c r="AA82" s="78">
        <v>1.8</v>
      </c>
      <c r="AB82" s="78">
        <v>1.8</v>
      </c>
      <c r="AC82" s="78">
        <v>1.8</v>
      </c>
      <c r="AD82" s="78">
        <v>1.8</v>
      </c>
      <c r="AE82" s="78">
        <v>0</v>
      </c>
      <c r="AF82" s="78">
        <v>0</v>
      </c>
      <c r="AG82" s="79">
        <v>14</v>
      </c>
      <c r="AH82" s="48">
        <f t="shared" si="31"/>
        <v>3.7</v>
      </c>
      <c r="AI82" s="49">
        <f t="shared" si="32"/>
        <v>0</v>
      </c>
      <c r="AK82" s="51"/>
      <c r="AY82" s="82"/>
      <c r="BF82" s="81"/>
      <c r="BG82" s="82">
        <f t="array" ref="BG82:BL105">TRANSPOSE(AZ66:BW71)</f>
        <v>0</v>
      </c>
      <c r="BH82" s="82">
        <v>0</v>
      </c>
      <c r="BI82" s="82">
        <v>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5">B80+B81+B82</f>
        <v>15.400000000000002</v>
      </c>
      <c r="C83" s="71">
        <f t="shared" si="35"/>
        <v>0</v>
      </c>
      <c r="D83" s="71">
        <f t="shared" si="35"/>
        <v>33.1</v>
      </c>
      <c r="E83" s="71">
        <f t="shared" si="35"/>
        <v>22.8</v>
      </c>
      <c r="F83" s="71">
        <f t="shared" si="35"/>
        <v>21.2</v>
      </c>
      <c r="G83" s="71">
        <f t="shared" si="35"/>
        <v>21.2</v>
      </c>
      <c r="H83" s="71">
        <f t="shared" si="35"/>
        <v>21.2</v>
      </c>
      <c r="I83" s="71">
        <f t="shared" si="35"/>
        <v>21.2</v>
      </c>
      <c r="J83" s="71">
        <f t="shared" si="35"/>
        <v>21.2</v>
      </c>
      <c r="K83" s="71">
        <f t="shared" si="35"/>
        <v>21.2</v>
      </c>
      <c r="L83" s="71">
        <f t="shared" si="35"/>
        <v>21.2</v>
      </c>
      <c r="M83" s="71">
        <f t="shared" si="35"/>
        <v>14</v>
      </c>
      <c r="N83" s="71">
        <f t="shared" si="35"/>
        <v>17.500000000000004</v>
      </c>
      <c r="O83" s="71">
        <f t="shared" si="35"/>
        <v>21.3</v>
      </c>
      <c r="P83" s="71">
        <f t="shared" si="35"/>
        <v>21.200000000000003</v>
      </c>
      <c r="Q83" s="71">
        <f t="shared" si="35"/>
        <v>20</v>
      </c>
      <c r="R83" s="71">
        <f t="shared" si="35"/>
        <v>20</v>
      </c>
      <c r="S83" s="71">
        <f t="shared" ref="S83:AA83" si="36">S80+S81+S82</f>
        <v>20</v>
      </c>
      <c r="T83" s="71">
        <f t="shared" si="36"/>
        <v>20</v>
      </c>
      <c r="U83" s="71">
        <f t="shared" si="36"/>
        <v>20</v>
      </c>
      <c r="V83" s="71">
        <f t="shared" si="36"/>
        <v>20</v>
      </c>
      <c r="W83" s="71">
        <f t="shared" si="36"/>
        <v>20</v>
      </c>
      <c r="X83" s="71">
        <f t="shared" si="36"/>
        <v>20</v>
      </c>
      <c r="Y83" s="71">
        <f t="shared" si="36"/>
        <v>20</v>
      </c>
      <c r="Z83" s="71">
        <f t="shared" si="36"/>
        <v>20</v>
      </c>
      <c r="AA83" s="71">
        <f t="shared" si="36"/>
        <v>20</v>
      </c>
      <c r="AB83" s="71">
        <f t="shared" si="35"/>
        <v>20</v>
      </c>
      <c r="AC83" s="71">
        <f t="shared" si="35"/>
        <v>20</v>
      </c>
      <c r="AD83" s="71">
        <f t="shared" si="35"/>
        <v>20</v>
      </c>
      <c r="AE83" s="71">
        <f t="shared" si="35"/>
        <v>0</v>
      </c>
      <c r="AF83" s="71">
        <f t="shared" si="35"/>
        <v>0</v>
      </c>
      <c r="AG83" s="72">
        <f>SUM(AG80:AG82)</f>
        <v>106</v>
      </c>
      <c r="AH83" s="48">
        <f t="shared" si="31"/>
        <v>33.1</v>
      </c>
      <c r="AI83" s="49">
        <f t="shared" si="32"/>
        <v>0</v>
      </c>
      <c r="AK83" s="51"/>
      <c r="AY83" s="82"/>
      <c r="BF83" s="81"/>
      <c r="BG83" s="82">
        <v>38.1</v>
      </c>
      <c r="BH83" s="82">
        <v>0</v>
      </c>
      <c r="BI83" s="82">
        <v>-460.8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40</v>
      </c>
      <c r="C84" s="46"/>
      <c r="D84" s="46">
        <v>38.1</v>
      </c>
      <c r="E84" s="46">
        <v>42.2</v>
      </c>
      <c r="F84" s="46">
        <v>24</v>
      </c>
      <c r="G84" s="46">
        <v>-9.6999999999999993</v>
      </c>
      <c r="H84" s="46">
        <v>23.4</v>
      </c>
      <c r="I84" s="46">
        <v>5.0999999999999996</v>
      </c>
      <c r="J84" s="46">
        <v>35</v>
      </c>
      <c r="K84" s="46">
        <v>61</v>
      </c>
      <c r="L84" s="46">
        <v>58</v>
      </c>
      <c r="M84" s="46">
        <v>31.3</v>
      </c>
      <c r="N84" s="46">
        <v>40.4</v>
      </c>
      <c r="O84" s="46">
        <v>40</v>
      </c>
      <c r="P84" s="46">
        <v>35</v>
      </c>
      <c r="Q84" s="46">
        <v>42.1</v>
      </c>
      <c r="R84" s="46">
        <v>45.8</v>
      </c>
      <c r="S84" s="46">
        <v>46.7</v>
      </c>
      <c r="T84" s="46">
        <v>50.2</v>
      </c>
      <c r="U84" s="46">
        <v>38.9</v>
      </c>
      <c r="V84" s="46">
        <v>28.6</v>
      </c>
      <c r="W84" s="46">
        <v>43</v>
      </c>
      <c r="X84" s="46">
        <v>35</v>
      </c>
      <c r="Y84" s="46">
        <v>-24.4</v>
      </c>
      <c r="Z84" s="46">
        <v>8.3000000000000007</v>
      </c>
      <c r="AA84" s="46">
        <v>-6.3</v>
      </c>
      <c r="AB84" s="46">
        <v>12.5</v>
      </c>
      <c r="AC84" s="46">
        <v>12.7</v>
      </c>
      <c r="AD84" s="46">
        <v>-35</v>
      </c>
      <c r="AE84" s="46">
        <v>-35</v>
      </c>
      <c r="AF84" s="46">
        <v>-34</v>
      </c>
      <c r="AG84" s="61"/>
      <c r="AH84" s="48">
        <f t="shared" si="31"/>
        <v>61</v>
      </c>
      <c r="AI84" s="49">
        <f t="shared" si="32"/>
        <v>-35</v>
      </c>
      <c r="AK84" s="51"/>
      <c r="AY84" s="82"/>
      <c r="BF84" s="81"/>
      <c r="BG84" s="82">
        <v>42.2</v>
      </c>
      <c r="BH84" s="82">
        <v>0</v>
      </c>
      <c r="BI84" s="82">
        <v>-526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1"/>
        <v>0</v>
      </c>
      <c r="AI85" s="49">
        <f t="shared" si="32"/>
        <v>0</v>
      </c>
      <c r="AK85" s="51"/>
      <c r="AL85" s="91" t="s">
        <v>111</v>
      </c>
      <c r="AM85" s="91"/>
      <c r="AY85" s="82"/>
      <c r="BF85" s="82"/>
      <c r="BG85" s="82">
        <v>24</v>
      </c>
      <c r="BH85" s="82">
        <v>0</v>
      </c>
      <c r="BI85" s="82">
        <v>-543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-435</v>
      </c>
      <c r="C86" s="76"/>
      <c r="D86" s="76">
        <v>-460.8</v>
      </c>
      <c r="E86" s="76">
        <v>-526</v>
      </c>
      <c r="F86" s="76">
        <v>-543</v>
      </c>
      <c r="G86" s="76">
        <v>-372</v>
      </c>
      <c r="H86" s="76">
        <v>-286.2</v>
      </c>
      <c r="I86" s="76">
        <v>-312</v>
      </c>
      <c r="J86" s="76">
        <v>-344.8</v>
      </c>
      <c r="K86" s="76">
        <v>-281.60000000000002</v>
      </c>
      <c r="L86" s="76">
        <v>-306</v>
      </c>
      <c r="M86" s="76">
        <v>-338.7</v>
      </c>
      <c r="N86" s="76">
        <v>-370</v>
      </c>
      <c r="O86" s="76">
        <v>-350</v>
      </c>
      <c r="P86" s="76">
        <v>-459</v>
      </c>
      <c r="Q86" s="76">
        <v>-520</v>
      </c>
      <c r="R86" s="76">
        <v>-507</v>
      </c>
      <c r="S86" s="76">
        <v>-438.5</v>
      </c>
      <c r="T86" s="76">
        <v>-416.2</v>
      </c>
      <c r="U86" s="76">
        <v>-577.9</v>
      </c>
      <c r="V86" s="76">
        <v>-547.70000000000005</v>
      </c>
      <c r="W86" s="76">
        <v>-632.4</v>
      </c>
      <c r="X86" s="76">
        <v>-651.9</v>
      </c>
      <c r="Y86" s="76">
        <v>-588.1</v>
      </c>
      <c r="Z86" s="76">
        <v>-568.9</v>
      </c>
      <c r="AA86" s="76">
        <v>-440.2</v>
      </c>
      <c r="AB86" s="76">
        <v>-438</v>
      </c>
      <c r="AC86" s="76">
        <v>-450</v>
      </c>
      <c r="AD86" s="76">
        <v>-463</v>
      </c>
      <c r="AE86" s="76">
        <v>-464</v>
      </c>
      <c r="AF86" s="76">
        <v>-483</v>
      </c>
      <c r="AG86" s="88"/>
      <c r="AH86" s="48">
        <f t="shared" si="31"/>
        <v>-281.60000000000002</v>
      </c>
      <c r="AI86" s="49">
        <f t="shared" si="32"/>
        <v>-651.9</v>
      </c>
      <c r="AK86" s="92"/>
      <c r="AL86" s="93"/>
      <c r="AM86" s="93"/>
      <c r="AN86" s="94"/>
      <c r="AY86" s="82"/>
      <c r="BF86" s="82"/>
      <c r="BG86" s="82">
        <v>-9.6999999999999993</v>
      </c>
      <c r="BH86" s="82">
        <v>0</v>
      </c>
      <c r="BI86" s="82">
        <v>-372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31"/>
        <v>0</v>
      </c>
      <c r="AI87" s="49">
        <f t="shared" si="32"/>
        <v>0</v>
      </c>
      <c r="AK87" s="95" t="s">
        <v>114</v>
      </c>
      <c r="AL87" s="76"/>
      <c r="AM87" s="89"/>
      <c r="AN87" s="96"/>
      <c r="AY87" s="82"/>
      <c r="BF87" s="82"/>
      <c r="BG87" s="82">
        <v>5.0999999999999996</v>
      </c>
      <c r="BH87" s="82">
        <v>0</v>
      </c>
      <c r="BI87" s="82">
        <v>-312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31"/>
        <v>0</v>
      </c>
      <c r="AI88" s="49">
        <f t="shared" si="32"/>
        <v>0</v>
      </c>
      <c r="AK88" s="95" t="s">
        <v>116</v>
      </c>
      <c r="AL88" s="89"/>
      <c r="AM88" s="89"/>
      <c r="AN88" s="96"/>
      <c r="AY88" s="82"/>
      <c r="BF88" s="82"/>
      <c r="BG88" s="82">
        <v>61</v>
      </c>
      <c r="BH88" s="82">
        <v>0</v>
      </c>
      <c r="BI88" s="82">
        <v>-281.60000000000002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52</v>
      </c>
      <c r="C89" s="90"/>
      <c r="D89" s="90">
        <v>53.1</v>
      </c>
      <c r="E89" s="90">
        <v>55.8</v>
      </c>
      <c r="F89" s="90">
        <v>51.6</v>
      </c>
      <c r="G89" s="90">
        <v>47</v>
      </c>
      <c r="H89" s="90">
        <v>49.7</v>
      </c>
      <c r="I89" s="90">
        <v>53.9</v>
      </c>
      <c r="J89" s="90">
        <v>48.6</v>
      </c>
      <c r="K89" s="90">
        <v>47.1</v>
      </c>
      <c r="L89" s="90">
        <v>44.3</v>
      </c>
      <c r="M89" s="90">
        <v>0</v>
      </c>
      <c r="N89" s="90">
        <v>0</v>
      </c>
      <c r="O89" s="90">
        <v>0</v>
      </c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55.8</v>
      </c>
      <c r="AI89" s="49">
        <f t="shared" si="32"/>
        <v>0</v>
      </c>
      <c r="AK89" s="99"/>
      <c r="AL89" s="46"/>
      <c r="AM89" s="46"/>
      <c r="AN89" s="100"/>
      <c r="AY89" s="82"/>
      <c r="BF89" s="82"/>
      <c r="BG89" s="82">
        <v>31.3</v>
      </c>
      <c r="BH89" s="82">
        <v>0</v>
      </c>
      <c r="BI89" s="82">
        <v>-338.7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1"/>
        <v>0</v>
      </c>
      <c r="AI90" s="49">
        <f t="shared" si="32"/>
        <v>0</v>
      </c>
      <c r="AK90" s="99"/>
      <c r="AL90" s="90"/>
      <c r="AM90" s="102"/>
      <c r="AN90" s="204"/>
      <c r="AY90" s="82"/>
      <c r="BF90" s="82"/>
      <c r="BG90" s="82">
        <v>40.4</v>
      </c>
      <c r="BH90" s="82">
        <v>0</v>
      </c>
      <c r="BI90" s="82">
        <v>-370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1"/>
        <v>0</v>
      </c>
      <c r="AI91" s="49">
        <f t="shared" si="32"/>
        <v>0</v>
      </c>
      <c r="AK91" s="99"/>
      <c r="AL91" s="90"/>
      <c r="AM91" s="90"/>
      <c r="AN91" s="205"/>
      <c r="BF91" s="82"/>
      <c r="BG91" s="82">
        <v>40</v>
      </c>
      <c r="BH91" s="82">
        <v>0</v>
      </c>
      <c r="BI91" s="82">
        <v>-350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1"/>
        <v>0</v>
      </c>
      <c r="AI92" s="49">
        <f t="shared" si="32"/>
        <v>0</v>
      </c>
      <c r="AK92" s="104"/>
      <c r="AL92" s="105"/>
      <c r="AM92" s="105"/>
      <c r="AN92" s="106"/>
      <c r="BF92" s="82"/>
      <c r="BG92" s="82">
        <v>35</v>
      </c>
      <c r="BH92" s="82">
        <v>0</v>
      </c>
      <c r="BI92" s="82">
        <v>-459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1"/>
        <v>0</v>
      </c>
      <c r="AI93" s="49">
        <f t="shared" si="32"/>
        <v>0</v>
      </c>
      <c r="BF93" s="82"/>
      <c r="BG93" s="82">
        <v>42.1</v>
      </c>
      <c r="BH93" s="82">
        <v>0</v>
      </c>
      <c r="BI93" s="82">
        <v>-520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1"/>
        <v>0</v>
      </c>
      <c r="AI94" s="49">
        <f t="shared" si="32"/>
        <v>0</v>
      </c>
      <c r="BF94" s="82"/>
      <c r="BG94" s="82">
        <v>45.8</v>
      </c>
      <c r="BH94" s="82">
        <v>0</v>
      </c>
      <c r="BI94" s="82">
        <v>-507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92</v>
      </c>
      <c r="C95" s="71">
        <f>SUMIF(C84:C94,"&gt;0")</f>
        <v>0</v>
      </c>
      <c r="D95" s="71">
        <f t="shared" ref="D95:AF95" si="37">SUMIF(D84:D94,"&gt;0")</f>
        <v>91.2</v>
      </c>
      <c r="E95" s="71">
        <f t="shared" si="37"/>
        <v>98</v>
      </c>
      <c r="F95" s="71">
        <f t="shared" si="37"/>
        <v>75.599999999999994</v>
      </c>
      <c r="G95" s="71">
        <f t="shared" si="37"/>
        <v>47</v>
      </c>
      <c r="H95" s="71">
        <f t="shared" si="37"/>
        <v>73.099999999999994</v>
      </c>
      <c r="I95" s="71">
        <f t="shared" si="37"/>
        <v>59</v>
      </c>
      <c r="J95" s="71">
        <f t="shared" si="37"/>
        <v>83.6</v>
      </c>
      <c r="K95" s="71">
        <f t="shared" si="37"/>
        <v>108.1</v>
      </c>
      <c r="L95" s="71">
        <f t="shared" si="37"/>
        <v>102.3</v>
      </c>
      <c r="M95" s="71">
        <f t="shared" si="37"/>
        <v>31.3</v>
      </c>
      <c r="N95" s="71">
        <f t="shared" si="37"/>
        <v>40.4</v>
      </c>
      <c r="O95" s="71">
        <f t="shared" si="37"/>
        <v>40</v>
      </c>
      <c r="P95" s="71">
        <f t="shared" si="37"/>
        <v>35</v>
      </c>
      <c r="Q95" s="71">
        <f t="shared" si="37"/>
        <v>42.1</v>
      </c>
      <c r="R95" s="71">
        <f t="shared" si="37"/>
        <v>45.8</v>
      </c>
      <c r="S95" s="71">
        <f t="shared" ref="S95:AA95" si="38">SUMIF(S84:S94,"&gt;0")</f>
        <v>46.7</v>
      </c>
      <c r="T95" s="71">
        <f t="shared" si="38"/>
        <v>50.2</v>
      </c>
      <c r="U95" s="71">
        <f t="shared" si="38"/>
        <v>38.9</v>
      </c>
      <c r="V95" s="71">
        <f t="shared" si="38"/>
        <v>28.6</v>
      </c>
      <c r="W95" s="71">
        <f t="shared" si="38"/>
        <v>43</v>
      </c>
      <c r="X95" s="71">
        <f t="shared" si="38"/>
        <v>35</v>
      </c>
      <c r="Y95" s="71">
        <f t="shared" si="38"/>
        <v>0</v>
      </c>
      <c r="Z95" s="71">
        <f t="shared" si="38"/>
        <v>8.3000000000000007</v>
      </c>
      <c r="AA95" s="71">
        <f t="shared" si="38"/>
        <v>0</v>
      </c>
      <c r="AB95" s="71">
        <f t="shared" si="37"/>
        <v>12.5</v>
      </c>
      <c r="AC95" s="71">
        <f t="shared" si="37"/>
        <v>12.7</v>
      </c>
      <c r="AD95" s="71">
        <f t="shared" si="37"/>
        <v>0</v>
      </c>
      <c r="AE95" s="71">
        <f t="shared" si="37"/>
        <v>0</v>
      </c>
      <c r="AF95" s="71">
        <f t="shared" si="37"/>
        <v>0</v>
      </c>
      <c r="AG95" s="101">
        <f>SUM(AG84:AG94)</f>
        <v>0</v>
      </c>
      <c r="AH95" s="48">
        <f t="shared" si="31"/>
        <v>108.1</v>
      </c>
      <c r="AI95" s="49">
        <f t="shared" si="32"/>
        <v>0</v>
      </c>
      <c r="BF95" s="82"/>
      <c r="BG95" s="82">
        <v>46.7</v>
      </c>
      <c r="BH95" s="82">
        <v>0</v>
      </c>
      <c r="BI95" s="82">
        <v>-438.5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1"/>
        <v>0</v>
      </c>
      <c r="AI96" s="49">
        <f t="shared" si="32"/>
        <v>0</v>
      </c>
      <c r="BF96" s="82"/>
      <c r="BG96" s="82">
        <v>50.2</v>
      </c>
      <c r="BH96" s="82">
        <v>0</v>
      </c>
      <c r="BI96" s="82">
        <v>-416.2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1"/>
        <v>0</v>
      </c>
      <c r="AI97" s="49">
        <f t="shared" si="32"/>
        <v>0</v>
      </c>
      <c r="BF97" s="82"/>
      <c r="BG97" s="82">
        <v>38.9</v>
      </c>
      <c r="BH97" s="82">
        <v>0</v>
      </c>
      <c r="BI97" s="82">
        <v>-577.9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1"/>
        <v>0</v>
      </c>
      <c r="AI98" s="49">
        <f t="shared" si="32"/>
        <v>0</v>
      </c>
      <c r="BF98" s="82"/>
      <c r="BG98" s="82">
        <v>28.6</v>
      </c>
      <c r="BH98" s="82">
        <v>0</v>
      </c>
      <c r="BI98" s="82">
        <v>-547.70000000000005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1"/>
        <v>0</v>
      </c>
      <c r="AI99" s="49">
        <f t="shared" si="32"/>
        <v>0</v>
      </c>
      <c r="BF99" s="81"/>
      <c r="BG99" s="82">
        <v>35</v>
      </c>
      <c r="BH99" s="82">
        <v>0</v>
      </c>
      <c r="BI99" s="82">
        <v>-651.9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9">B61+B65+B83+B79+B95+B99</f>
        <v>1680.9999999999998</v>
      </c>
      <c r="C100" s="108">
        <f t="shared" si="39"/>
        <v>153.54</v>
      </c>
      <c r="D100" s="108">
        <f t="shared" si="39"/>
        <v>2037.0399999999997</v>
      </c>
      <c r="E100" s="108">
        <f t="shared" si="39"/>
        <v>2035.04</v>
      </c>
      <c r="F100" s="108">
        <f t="shared" si="39"/>
        <v>1800.74</v>
      </c>
      <c r="G100" s="108">
        <f t="shared" si="39"/>
        <v>1738.49</v>
      </c>
      <c r="H100" s="108">
        <f t="shared" si="39"/>
        <v>1700.8899999999999</v>
      </c>
      <c r="I100" s="108">
        <f t="shared" si="39"/>
        <v>1700.3400000000001</v>
      </c>
      <c r="J100" s="108">
        <f t="shared" si="39"/>
        <v>1647.2399999999998</v>
      </c>
      <c r="K100" s="108">
        <f t="shared" si="39"/>
        <v>1621.34</v>
      </c>
      <c r="L100" s="108">
        <f t="shared" si="39"/>
        <v>1615.54</v>
      </c>
      <c r="M100" s="108">
        <f t="shared" si="39"/>
        <v>1561.44</v>
      </c>
      <c r="N100" s="108">
        <f t="shared" si="39"/>
        <v>1637.44</v>
      </c>
      <c r="O100" s="108">
        <f t="shared" si="39"/>
        <v>1673.2399999999998</v>
      </c>
      <c r="P100" s="108">
        <f t="shared" si="39"/>
        <v>1777.04</v>
      </c>
      <c r="Q100" s="108">
        <f t="shared" si="39"/>
        <v>1863.9399999999998</v>
      </c>
      <c r="R100" s="108">
        <f t="shared" si="39"/>
        <v>1845.24</v>
      </c>
      <c r="S100" s="108">
        <f t="shared" ref="S100:AA100" si="40">S61+S65+S83+S79+S95+S99</f>
        <v>1875.14</v>
      </c>
      <c r="T100" s="108">
        <f t="shared" si="40"/>
        <v>1879.74</v>
      </c>
      <c r="U100" s="108">
        <f t="shared" si="40"/>
        <v>1902.94</v>
      </c>
      <c r="V100" s="108">
        <f t="shared" si="40"/>
        <v>1931.74</v>
      </c>
      <c r="W100" s="108">
        <f t="shared" si="40"/>
        <v>2007.0400000000002</v>
      </c>
      <c r="X100" s="108">
        <f t="shared" si="40"/>
        <v>1998.2400000000002</v>
      </c>
      <c r="Y100" s="108">
        <f t="shared" si="40"/>
        <v>1959.5400000000002</v>
      </c>
      <c r="Z100" s="108">
        <f t="shared" si="40"/>
        <v>1967.4400000000003</v>
      </c>
      <c r="AA100" s="108">
        <f t="shared" si="40"/>
        <v>2012.44</v>
      </c>
      <c r="AB100" s="108">
        <f t="shared" si="39"/>
        <v>1980.94</v>
      </c>
      <c r="AC100" s="108">
        <f t="shared" si="39"/>
        <v>1991.14</v>
      </c>
      <c r="AD100" s="108">
        <f t="shared" si="39"/>
        <v>1956.6399999999999</v>
      </c>
      <c r="AE100" s="108">
        <f t="shared" si="39"/>
        <v>2002.34</v>
      </c>
      <c r="AF100" s="108">
        <f t="shared" si="39"/>
        <v>1937.6399999999999</v>
      </c>
      <c r="AG100" s="72">
        <f t="shared" si="39"/>
        <v>2655.44</v>
      </c>
      <c r="AH100" s="48">
        <f t="shared" si="31"/>
        <v>2037.0399999999997</v>
      </c>
      <c r="AI100" s="49">
        <f t="shared" si="32"/>
        <v>153.54</v>
      </c>
      <c r="BF100" s="81"/>
      <c r="BG100" s="82">
        <v>8.3000000000000007</v>
      </c>
      <c r="BH100" s="82">
        <v>0</v>
      </c>
      <c r="BI100" s="82">
        <v>-568.9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100</v>
      </c>
      <c r="C101" s="110"/>
      <c r="D101" s="110">
        <v>50</v>
      </c>
      <c r="E101" s="110">
        <v>50</v>
      </c>
      <c r="F101" s="110">
        <v>50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31"/>
        <v>100</v>
      </c>
      <c r="AI101" s="49">
        <f t="shared" si="32"/>
        <v>50</v>
      </c>
      <c r="BF101" s="81"/>
      <c r="BG101" s="82">
        <v>12.5</v>
      </c>
      <c r="BH101" s="82">
        <v>0</v>
      </c>
      <c r="BI101" s="82">
        <v>-438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1780.9999999999998</v>
      </c>
      <c r="C102" s="108">
        <f t="shared" ref="C102:AF102" si="41">C100+C101</f>
        <v>153.54</v>
      </c>
      <c r="D102" s="108">
        <f t="shared" si="41"/>
        <v>2087.04</v>
      </c>
      <c r="E102" s="108">
        <f t="shared" si="41"/>
        <v>2085.04</v>
      </c>
      <c r="F102" s="108">
        <f t="shared" si="41"/>
        <v>1850.74</v>
      </c>
      <c r="G102" s="108">
        <f t="shared" si="41"/>
        <v>1738.49</v>
      </c>
      <c r="H102" s="108">
        <f t="shared" si="41"/>
        <v>1700.8899999999999</v>
      </c>
      <c r="I102" s="108">
        <f t="shared" si="41"/>
        <v>1700.3400000000001</v>
      </c>
      <c r="J102" s="108">
        <f t="shared" si="41"/>
        <v>1647.2399999999998</v>
      </c>
      <c r="K102" s="108">
        <f t="shared" si="41"/>
        <v>1621.34</v>
      </c>
      <c r="L102" s="108">
        <f t="shared" si="41"/>
        <v>1615.54</v>
      </c>
      <c r="M102" s="108">
        <f t="shared" si="41"/>
        <v>1561.44</v>
      </c>
      <c r="N102" s="108">
        <f t="shared" si="41"/>
        <v>1637.44</v>
      </c>
      <c r="O102" s="108">
        <f t="shared" si="41"/>
        <v>1673.2399999999998</v>
      </c>
      <c r="P102" s="108">
        <f t="shared" si="41"/>
        <v>1777.04</v>
      </c>
      <c r="Q102" s="108">
        <f t="shared" si="41"/>
        <v>1863.9399999999998</v>
      </c>
      <c r="R102" s="108">
        <f t="shared" si="41"/>
        <v>1845.24</v>
      </c>
      <c r="S102" s="108">
        <f t="shared" ref="S102:AA102" si="42">S100+S101</f>
        <v>1875.14</v>
      </c>
      <c r="T102" s="108">
        <f t="shared" si="42"/>
        <v>1879.74</v>
      </c>
      <c r="U102" s="108">
        <f t="shared" si="42"/>
        <v>1902.94</v>
      </c>
      <c r="V102" s="108">
        <f t="shared" si="42"/>
        <v>1931.74</v>
      </c>
      <c r="W102" s="108">
        <f t="shared" si="42"/>
        <v>2007.0400000000002</v>
      </c>
      <c r="X102" s="108">
        <f t="shared" si="42"/>
        <v>1998.2400000000002</v>
      </c>
      <c r="Y102" s="108">
        <f t="shared" si="42"/>
        <v>1959.5400000000002</v>
      </c>
      <c r="Z102" s="108">
        <f t="shared" si="42"/>
        <v>1967.4400000000003</v>
      </c>
      <c r="AA102" s="108">
        <f t="shared" si="42"/>
        <v>2012.44</v>
      </c>
      <c r="AB102" s="108">
        <f t="shared" si="41"/>
        <v>1980.94</v>
      </c>
      <c r="AC102" s="108">
        <f t="shared" si="41"/>
        <v>1991.14</v>
      </c>
      <c r="AD102" s="108">
        <f t="shared" si="41"/>
        <v>1956.6399999999999</v>
      </c>
      <c r="AE102" s="108">
        <f t="shared" si="41"/>
        <v>2002.34</v>
      </c>
      <c r="AF102" s="108">
        <f t="shared" si="41"/>
        <v>1937.6399999999999</v>
      </c>
      <c r="AG102" s="101">
        <f>AG99+AG95+AG83+AG79+AG61+AG101</f>
        <v>2117.34</v>
      </c>
      <c r="AH102" s="48">
        <f t="shared" si="31"/>
        <v>2087.04</v>
      </c>
      <c r="AI102" s="49">
        <f t="shared" si="32"/>
        <v>153.54</v>
      </c>
      <c r="BF102" s="81"/>
      <c r="BG102" s="82">
        <v>-35</v>
      </c>
      <c r="BH102" s="82">
        <v>0</v>
      </c>
      <c r="BI102" s="82">
        <v>-463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AF103" si="43">B102-(B110)</f>
        <v>1345.9999999999998</v>
      </c>
      <c r="C103" s="108">
        <f t="shared" si="43"/>
        <v>153.54</v>
      </c>
      <c r="D103" s="108">
        <f t="shared" si="43"/>
        <v>1626.24</v>
      </c>
      <c r="E103" s="108">
        <f t="shared" si="43"/>
        <v>1559.04</v>
      </c>
      <c r="F103" s="108">
        <f t="shared" si="43"/>
        <v>1307.74</v>
      </c>
      <c r="G103" s="108">
        <f t="shared" si="43"/>
        <v>1356.79</v>
      </c>
      <c r="H103" s="108">
        <f t="shared" si="43"/>
        <v>1414.6899999999998</v>
      </c>
      <c r="I103" s="108">
        <f t="shared" si="43"/>
        <v>1388.3400000000001</v>
      </c>
      <c r="J103" s="108">
        <f t="shared" si="43"/>
        <v>1302.4399999999998</v>
      </c>
      <c r="K103" s="108">
        <f t="shared" si="43"/>
        <v>1339.7399999999998</v>
      </c>
      <c r="L103" s="108">
        <f t="shared" si="43"/>
        <v>1309.54</v>
      </c>
      <c r="M103" s="108">
        <f t="shared" si="43"/>
        <v>1222.74</v>
      </c>
      <c r="N103" s="108">
        <f t="shared" si="43"/>
        <v>1267.44</v>
      </c>
      <c r="O103" s="108">
        <f t="shared" si="43"/>
        <v>1323.2399999999998</v>
      </c>
      <c r="P103" s="108">
        <f t="shared" si="43"/>
        <v>1318.04</v>
      </c>
      <c r="Q103" s="108">
        <f t="shared" si="43"/>
        <v>1343.9399999999998</v>
      </c>
      <c r="R103" s="108">
        <f t="shared" si="43"/>
        <v>1338.24</v>
      </c>
      <c r="S103" s="108">
        <f t="shared" ref="S103:AA103" si="44">S102-(S110)</f>
        <v>1436.64</v>
      </c>
      <c r="T103" s="108">
        <f t="shared" si="44"/>
        <v>1463.54</v>
      </c>
      <c r="U103" s="108">
        <f t="shared" si="44"/>
        <v>1325.04</v>
      </c>
      <c r="V103" s="108">
        <f t="shared" si="44"/>
        <v>1384.04</v>
      </c>
      <c r="W103" s="108">
        <f t="shared" si="44"/>
        <v>1374.6400000000003</v>
      </c>
      <c r="X103" s="108">
        <f t="shared" si="44"/>
        <v>1346.3400000000001</v>
      </c>
      <c r="Y103" s="108">
        <f t="shared" si="44"/>
        <v>1347.0400000000002</v>
      </c>
      <c r="Z103" s="108">
        <f t="shared" si="44"/>
        <v>1398.5400000000004</v>
      </c>
      <c r="AA103" s="108">
        <f t="shared" si="44"/>
        <v>1565.94</v>
      </c>
      <c r="AB103" s="108">
        <f t="shared" si="43"/>
        <v>1542.94</v>
      </c>
      <c r="AC103" s="108">
        <f t="shared" si="43"/>
        <v>1541.14</v>
      </c>
      <c r="AD103" s="108">
        <f t="shared" si="43"/>
        <v>1458.6399999999999</v>
      </c>
      <c r="AE103" s="108">
        <f t="shared" si="43"/>
        <v>1503.34</v>
      </c>
      <c r="AF103" s="108">
        <f t="shared" si="43"/>
        <v>1420.6399999999999</v>
      </c>
      <c r="AG103" s="101"/>
      <c r="AH103" s="48">
        <f t="shared" si="31"/>
        <v>1626.24</v>
      </c>
      <c r="AI103" s="49">
        <f t="shared" si="32"/>
        <v>153.54</v>
      </c>
      <c r="BF103" s="81"/>
      <c r="BG103" s="82">
        <v>-35</v>
      </c>
      <c r="BH103" s="82">
        <v>0</v>
      </c>
      <c r="BI103" s="82">
        <v>-464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45">IF(B84&lt;0,B84*-1,0)</f>
        <v>0</v>
      </c>
      <c r="C104" s="89">
        <f t="shared" ref="C104:AF109" si="46">IF(C84&lt;0,C84*-1,0)</f>
        <v>0</v>
      </c>
      <c r="D104" s="89">
        <f t="shared" si="46"/>
        <v>0</v>
      </c>
      <c r="E104" s="89">
        <f t="shared" si="46"/>
        <v>0</v>
      </c>
      <c r="F104" s="89">
        <f t="shared" si="46"/>
        <v>0</v>
      </c>
      <c r="G104" s="89">
        <f t="shared" si="46"/>
        <v>9.6999999999999993</v>
      </c>
      <c r="H104" s="89">
        <f t="shared" si="46"/>
        <v>0</v>
      </c>
      <c r="I104" s="89">
        <f t="shared" si="46"/>
        <v>0</v>
      </c>
      <c r="J104" s="89">
        <f t="shared" si="46"/>
        <v>0</v>
      </c>
      <c r="K104" s="89">
        <f t="shared" si="46"/>
        <v>0</v>
      </c>
      <c r="L104" s="89">
        <f t="shared" si="46"/>
        <v>0</v>
      </c>
      <c r="M104" s="89">
        <f t="shared" si="46"/>
        <v>0</v>
      </c>
      <c r="N104" s="89">
        <f t="shared" si="46"/>
        <v>0</v>
      </c>
      <c r="O104" s="89">
        <f t="shared" si="46"/>
        <v>0</v>
      </c>
      <c r="P104" s="89">
        <f t="shared" si="46"/>
        <v>0</v>
      </c>
      <c r="Q104" s="89">
        <f t="shared" si="46"/>
        <v>0</v>
      </c>
      <c r="R104" s="89">
        <f t="shared" si="46"/>
        <v>0</v>
      </c>
      <c r="S104" s="89">
        <f t="shared" ref="S104:AA104" si="47">IF(S84&lt;0,S84*-1,0)</f>
        <v>0</v>
      </c>
      <c r="T104" s="89">
        <f t="shared" si="47"/>
        <v>0</v>
      </c>
      <c r="U104" s="89">
        <f t="shared" si="47"/>
        <v>0</v>
      </c>
      <c r="V104" s="89">
        <f t="shared" si="47"/>
        <v>0</v>
      </c>
      <c r="W104" s="89">
        <f t="shared" si="47"/>
        <v>0</v>
      </c>
      <c r="X104" s="89">
        <f t="shared" si="47"/>
        <v>0</v>
      </c>
      <c r="Y104" s="89">
        <f t="shared" si="47"/>
        <v>24.4</v>
      </c>
      <c r="Z104" s="89">
        <f t="shared" si="47"/>
        <v>0</v>
      </c>
      <c r="AA104" s="89">
        <f t="shared" si="47"/>
        <v>6.3</v>
      </c>
      <c r="AB104" s="89">
        <f t="shared" si="46"/>
        <v>0</v>
      </c>
      <c r="AC104" s="89">
        <f t="shared" si="46"/>
        <v>0</v>
      </c>
      <c r="AD104" s="89">
        <f t="shared" si="46"/>
        <v>35</v>
      </c>
      <c r="AE104" s="89">
        <f t="shared" si="46"/>
        <v>35</v>
      </c>
      <c r="AF104" s="89">
        <f t="shared" si="46"/>
        <v>34</v>
      </c>
      <c r="AG104" s="61"/>
      <c r="AH104" s="48">
        <f t="shared" si="31"/>
        <v>35</v>
      </c>
      <c r="AI104" s="49">
        <f t="shared" si="32"/>
        <v>0</v>
      </c>
      <c r="BG104" s="82">
        <v>-34</v>
      </c>
      <c r="BH104" s="82">
        <v>0</v>
      </c>
      <c r="BI104" s="82">
        <v>-483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5"/>
        <v>0</v>
      </c>
      <c r="C105" s="89">
        <f t="shared" ref="C105:Q105" si="48">IF(C85&lt;0,C85*-1,0)</f>
        <v>0</v>
      </c>
      <c r="D105" s="89">
        <f t="shared" si="48"/>
        <v>0</v>
      </c>
      <c r="E105" s="89">
        <f t="shared" si="48"/>
        <v>0</v>
      </c>
      <c r="F105" s="89">
        <f t="shared" si="48"/>
        <v>0</v>
      </c>
      <c r="G105" s="89">
        <f t="shared" si="48"/>
        <v>0</v>
      </c>
      <c r="H105" s="89">
        <f t="shared" si="48"/>
        <v>0</v>
      </c>
      <c r="I105" s="89">
        <f t="shared" si="48"/>
        <v>0</v>
      </c>
      <c r="J105" s="89">
        <f t="shared" si="48"/>
        <v>0</v>
      </c>
      <c r="K105" s="89">
        <f t="shared" si="48"/>
        <v>0</v>
      </c>
      <c r="L105" s="89">
        <f t="shared" si="48"/>
        <v>0</v>
      </c>
      <c r="M105" s="89">
        <f t="shared" si="48"/>
        <v>0</v>
      </c>
      <c r="N105" s="89">
        <f t="shared" si="48"/>
        <v>0</v>
      </c>
      <c r="O105" s="89">
        <f t="shared" si="48"/>
        <v>0</v>
      </c>
      <c r="P105" s="89">
        <f t="shared" si="48"/>
        <v>0</v>
      </c>
      <c r="Q105" s="89">
        <f t="shared" si="48"/>
        <v>0</v>
      </c>
      <c r="R105" s="89">
        <f t="shared" si="46"/>
        <v>0</v>
      </c>
      <c r="S105" s="89">
        <f t="shared" si="46"/>
        <v>0</v>
      </c>
      <c r="T105" s="89">
        <f t="shared" si="46"/>
        <v>0</v>
      </c>
      <c r="U105" s="89">
        <f t="shared" si="46"/>
        <v>0</v>
      </c>
      <c r="V105" s="89">
        <f t="shared" si="46"/>
        <v>0</v>
      </c>
      <c r="W105" s="89">
        <f t="shared" si="46"/>
        <v>0</v>
      </c>
      <c r="X105" s="89">
        <f t="shared" si="46"/>
        <v>0</v>
      </c>
      <c r="Y105" s="89">
        <f t="shared" si="46"/>
        <v>0</v>
      </c>
      <c r="Z105" s="89">
        <f t="shared" si="46"/>
        <v>0</v>
      </c>
      <c r="AA105" s="89">
        <f t="shared" si="46"/>
        <v>0</v>
      </c>
      <c r="AB105" s="89">
        <f t="shared" si="46"/>
        <v>0</v>
      </c>
      <c r="AC105" s="89">
        <f t="shared" si="46"/>
        <v>0</v>
      </c>
      <c r="AD105" s="89">
        <f t="shared" si="46"/>
        <v>0</v>
      </c>
      <c r="AE105" s="89">
        <f t="shared" si="46"/>
        <v>0</v>
      </c>
      <c r="AF105" s="89">
        <f t="shared" si="46"/>
        <v>0</v>
      </c>
      <c r="AG105" s="66"/>
      <c r="AH105" s="48">
        <f t="shared" si="31"/>
        <v>0</v>
      </c>
      <c r="AI105" s="49">
        <f t="shared" si="32"/>
        <v>0</v>
      </c>
      <c r="AK105" s="51"/>
      <c r="BG105" s="82">
        <v>40</v>
      </c>
      <c r="BH105" s="82">
        <v>0</v>
      </c>
      <c r="BI105" s="82">
        <v>-435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5"/>
        <v>435</v>
      </c>
      <c r="C106" s="89">
        <f t="shared" si="46"/>
        <v>0</v>
      </c>
      <c r="D106" s="89">
        <f t="shared" si="46"/>
        <v>460.8</v>
      </c>
      <c r="E106" s="89">
        <f t="shared" si="46"/>
        <v>526</v>
      </c>
      <c r="F106" s="89">
        <f t="shared" si="46"/>
        <v>543</v>
      </c>
      <c r="G106" s="89">
        <f t="shared" si="46"/>
        <v>372</v>
      </c>
      <c r="H106" s="89">
        <f t="shared" si="46"/>
        <v>286.2</v>
      </c>
      <c r="I106" s="89">
        <f t="shared" si="46"/>
        <v>312</v>
      </c>
      <c r="J106" s="89">
        <f t="shared" si="46"/>
        <v>344.8</v>
      </c>
      <c r="K106" s="89">
        <f t="shared" si="46"/>
        <v>281.60000000000002</v>
      </c>
      <c r="L106" s="89">
        <f t="shared" si="46"/>
        <v>306</v>
      </c>
      <c r="M106" s="89">
        <f t="shared" si="46"/>
        <v>338.7</v>
      </c>
      <c r="N106" s="89">
        <f t="shared" si="46"/>
        <v>370</v>
      </c>
      <c r="O106" s="89">
        <f t="shared" si="46"/>
        <v>350</v>
      </c>
      <c r="P106" s="89">
        <f t="shared" si="46"/>
        <v>459</v>
      </c>
      <c r="Q106" s="89">
        <f t="shared" si="46"/>
        <v>520</v>
      </c>
      <c r="R106" s="89">
        <f t="shared" si="46"/>
        <v>507</v>
      </c>
      <c r="S106" s="89">
        <f t="shared" si="46"/>
        <v>438.5</v>
      </c>
      <c r="T106" s="89">
        <f t="shared" si="46"/>
        <v>416.2</v>
      </c>
      <c r="U106" s="89">
        <f t="shared" si="46"/>
        <v>577.9</v>
      </c>
      <c r="V106" s="89">
        <f t="shared" si="46"/>
        <v>547.70000000000005</v>
      </c>
      <c r="W106" s="89">
        <f t="shared" si="46"/>
        <v>632.4</v>
      </c>
      <c r="X106" s="89">
        <f t="shared" si="46"/>
        <v>651.9</v>
      </c>
      <c r="Y106" s="89">
        <f t="shared" si="46"/>
        <v>588.1</v>
      </c>
      <c r="Z106" s="89">
        <f t="shared" si="46"/>
        <v>568.9</v>
      </c>
      <c r="AA106" s="89">
        <f t="shared" si="46"/>
        <v>440.2</v>
      </c>
      <c r="AB106" s="89">
        <f t="shared" si="46"/>
        <v>438</v>
      </c>
      <c r="AC106" s="89">
        <f t="shared" si="46"/>
        <v>450</v>
      </c>
      <c r="AD106" s="89">
        <f t="shared" si="46"/>
        <v>463</v>
      </c>
      <c r="AE106" s="89">
        <f t="shared" si="46"/>
        <v>464</v>
      </c>
      <c r="AF106" s="89">
        <f t="shared" si="46"/>
        <v>483</v>
      </c>
      <c r="AG106" s="111"/>
      <c r="AH106" s="48">
        <f t="shared" si="31"/>
        <v>651.9</v>
      </c>
      <c r="AI106" s="49">
        <f t="shared" si="32"/>
        <v>0</v>
      </c>
    </row>
    <row r="107" spans="1:64" x14ac:dyDescent="0.25">
      <c r="A107" s="97" t="s">
        <v>107</v>
      </c>
      <c r="B107" s="89">
        <f t="shared" si="45"/>
        <v>0</v>
      </c>
      <c r="C107" s="89">
        <f t="shared" si="46"/>
        <v>0</v>
      </c>
      <c r="D107" s="89">
        <f t="shared" si="46"/>
        <v>0</v>
      </c>
      <c r="E107" s="89">
        <f t="shared" si="46"/>
        <v>0</v>
      </c>
      <c r="F107" s="89">
        <f t="shared" si="46"/>
        <v>0</v>
      </c>
      <c r="G107" s="89">
        <f t="shared" si="46"/>
        <v>0</v>
      </c>
      <c r="H107" s="89">
        <f t="shared" si="46"/>
        <v>0</v>
      </c>
      <c r="I107" s="89">
        <f t="shared" si="46"/>
        <v>0</v>
      </c>
      <c r="J107" s="89">
        <f t="shared" si="46"/>
        <v>0</v>
      </c>
      <c r="K107" s="89">
        <f t="shared" si="46"/>
        <v>0</v>
      </c>
      <c r="L107" s="89">
        <f t="shared" si="46"/>
        <v>0</v>
      </c>
      <c r="M107" s="89">
        <f t="shared" si="46"/>
        <v>0</v>
      </c>
      <c r="N107" s="89">
        <f t="shared" si="46"/>
        <v>0</v>
      </c>
      <c r="O107" s="89">
        <f t="shared" si="46"/>
        <v>0</v>
      </c>
      <c r="P107" s="89">
        <f t="shared" si="46"/>
        <v>0</v>
      </c>
      <c r="Q107" s="89">
        <f t="shared" si="46"/>
        <v>0</v>
      </c>
      <c r="R107" s="89">
        <f t="shared" si="46"/>
        <v>0</v>
      </c>
      <c r="S107" s="89">
        <f t="shared" si="46"/>
        <v>0</v>
      </c>
      <c r="T107" s="89">
        <f t="shared" si="46"/>
        <v>0</v>
      </c>
      <c r="U107" s="89">
        <f t="shared" si="46"/>
        <v>0</v>
      </c>
      <c r="V107" s="89">
        <f t="shared" si="46"/>
        <v>0</v>
      </c>
      <c r="W107" s="89">
        <f t="shared" si="46"/>
        <v>0</v>
      </c>
      <c r="X107" s="89">
        <f t="shared" si="46"/>
        <v>0</v>
      </c>
      <c r="Y107" s="89">
        <f t="shared" si="46"/>
        <v>0</v>
      </c>
      <c r="Z107" s="89">
        <f t="shared" si="46"/>
        <v>0</v>
      </c>
      <c r="AA107" s="89">
        <f t="shared" si="46"/>
        <v>0</v>
      </c>
      <c r="AB107" s="89">
        <f t="shared" si="46"/>
        <v>0</v>
      </c>
      <c r="AC107" s="89">
        <f t="shared" si="46"/>
        <v>0</v>
      </c>
      <c r="AD107" s="89">
        <f t="shared" si="46"/>
        <v>0</v>
      </c>
      <c r="AE107" s="89">
        <f t="shared" si="46"/>
        <v>0</v>
      </c>
      <c r="AF107" s="89">
        <f t="shared" si="46"/>
        <v>0</v>
      </c>
      <c r="AG107" s="111"/>
      <c r="AH107" s="48">
        <f t="shared" si="31"/>
        <v>0</v>
      </c>
      <c r="AI107" s="49">
        <f t="shared" si="32"/>
        <v>0</v>
      </c>
    </row>
    <row r="108" spans="1:64" x14ac:dyDescent="0.25">
      <c r="A108" s="97" t="s">
        <v>108</v>
      </c>
      <c r="B108" s="89">
        <f t="shared" si="45"/>
        <v>0</v>
      </c>
      <c r="C108" s="89">
        <f t="shared" si="46"/>
        <v>0</v>
      </c>
      <c r="D108" s="89">
        <f t="shared" si="46"/>
        <v>0</v>
      </c>
      <c r="E108" s="89">
        <f t="shared" si="46"/>
        <v>0</v>
      </c>
      <c r="F108" s="89">
        <f t="shared" si="46"/>
        <v>0</v>
      </c>
      <c r="G108" s="89">
        <f t="shared" si="46"/>
        <v>0</v>
      </c>
      <c r="H108" s="89">
        <f t="shared" si="46"/>
        <v>0</v>
      </c>
      <c r="I108" s="89">
        <f t="shared" si="46"/>
        <v>0</v>
      </c>
      <c r="J108" s="89">
        <f t="shared" si="46"/>
        <v>0</v>
      </c>
      <c r="K108" s="89">
        <f t="shared" si="46"/>
        <v>0</v>
      </c>
      <c r="L108" s="89">
        <f t="shared" si="46"/>
        <v>0</v>
      </c>
      <c r="M108" s="89">
        <f t="shared" si="46"/>
        <v>0</v>
      </c>
      <c r="N108" s="89">
        <f t="shared" si="46"/>
        <v>0</v>
      </c>
      <c r="O108" s="89">
        <f t="shared" si="46"/>
        <v>0</v>
      </c>
      <c r="P108" s="89">
        <f t="shared" si="46"/>
        <v>0</v>
      </c>
      <c r="Q108" s="89">
        <f t="shared" si="46"/>
        <v>0</v>
      </c>
      <c r="R108" s="89">
        <f t="shared" si="46"/>
        <v>0</v>
      </c>
      <c r="S108" s="89">
        <f t="shared" si="46"/>
        <v>0</v>
      </c>
      <c r="T108" s="89">
        <f t="shared" si="46"/>
        <v>0</v>
      </c>
      <c r="U108" s="89">
        <f t="shared" si="46"/>
        <v>0</v>
      </c>
      <c r="V108" s="89">
        <f t="shared" si="46"/>
        <v>0</v>
      </c>
      <c r="W108" s="89">
        <f t="shared" si="46"/>
        <v>0</v>
      </c>
      <c r="X108" s="89">
        <f t="shared" si="46"/>
        <v>0</v>
      </c>
      <c r="Y108" s="89">
        <f t="shared" si="46"/>
        <v>0</v>
      </c>
      <c r="Z108" s="89">
        <f t="shared" si="46"/>
        <v>0</v>
      </c>
      <c r="AA108" s="89">
        <f t="shared" si="46"/>
        <v>0</v>
      </c>
      <c r="AB108" s="89">
        <f t="shared" si="46"/>
        <v>0</v>
      </c>
      <c r="AC108" s="89">
        <f t="shared" si="46"/>
        <v>0</v>
      </c>
      <c r="AD108" s="89">
        <f t="shared" si="46"/>
        <v>0</v>
      </c>
      <c r="AE108" s="89">
        <f t="shared" si="46"/>
        <v>0</v>
      </c>
      <c r="AF108" s="89">
        <f t="shared" si="46"/>
        <v>0</v>
      </c>
      <c r="AG108" s="111"/>
      <c r="AH108" s="48">
        <f t="shared" si="31"/>
        <v>0</v>
      </c>
      <c r="AI108" s="49">
        <f t="shared" si="32"/>
        <v>0</v>
      </c>
    </row>
    <row r="109" spans="1:64" ht="15.75" thickBot="1" x14ac:dyDescent="0.3">
      <c r="A109" s="97" t="s">
        <v>117</v>
      </c>
      <c r="B109" s="89">
        <f t="shared" si="45"/>
        <v>0</v>
      </c>
      <c r="C109" s="89">
        <f t="shared" si="46"/>
        <v>0</v>
      </c>
      <c r="D109" s="89">
        <f t="shared" si="46"/>
        <v>0</v>
      </c>
      <c r="E109" s="89">
        <f t="shared" si="46"/>
        <v>0</v>
      </c>
      <c r="F109" s="89">
        <f t="shared" si="46"/>
        <v>0</v>
      </c>
      <c r="G109" s="89">
        <f t="shared" si="46"/>
        <v>0</v>
      </c>
      <c r="H109" s="89">
        <f t="shared" si="46"/>
        <v>0</v>
      </c>
      <c r="I109" s="89">
        <f t="shared" si="46"/>
        <v>0</v>
      </c>
      <c r="J109" s="89">
        <f t="shared" si="46"/>
        <v>0</v>
      </c>
      <c r="K109" s="89">
        <f t="shared" si="46"/>
        <v>0</v>
      </c>
      <c r="L109" s="89">
        <f t="shared" si="46"/>
        <v>0</v>
      </c>
      <c r="M109" s="89">
        <f t="shared" si="46"/>
        <v>0</v>
      </c>
      <c r="N109" s="89">
        <f t="shared" si="46"/>
        <v>0</v>
      </c>
      <c r="O109" s="89">
        <f t="shared" si="46"/>
        <v>0</v>
      </c>
      <c r="P109" s="89">
        <f t="shared" si="46"/>
        <v>0</v>
      </c>
      <c r="Q109" s="89">
        <f t="shared" si="46"/>
        <v>0</v>
      </c>
      <c r="R109" s="89">
        <f t="shared" si="46"/>
        <v>0</v>
      </c>
      <c r="S109" s="89">
        <f t="shared" si="46"/>
        <v>0</v>
      </c>
      <c r="T109" s="89">
        <f t="shared" si="46"/>
        <v>0</v>
      </c>
      <c r="U109" s="89">
        <f t="shared" si="46"/>
        <v>0</v>
      </c>
      <c r="V109" s="89">
        <f t="shared" si="46"/>
        <v>0</v>
      </c>
      <c r="W109" s="89">
        <f t="shared" si="46"/>
        <v>0</v>
      </c>
      <c r="X109" s="89">
        <f t="shared" si="46"/>
        <v>0</v>
      </c>
      <c r="Y109" s="89">
        <f t="shared" si="46"/>
        <v>0</v>
      </c>
      <c r="Z109" s="89">
        <f t="shared" si="46"/>
        <v>0</v>
      </c>
      <c r="AA109" s="89">
        <f t="shared" si="46"/>
        <v>0</v>
      </c>
      <c r="AB109" s="89">
        <f t="shared" si="46"/>
        <v>0</v>
      </c>
      <c r="AC109" s="89">
        <f t="shared" si="46"/>
        <v>0</v>
      </c>
      <c r="AD109" s="89">
        <f t="shared" si="46"/>
        <v>0</v>
      </c>
      <c r="AE109" s="89">
        <f t="shared" si="46"/>
        <v>0</v>
      </c>
      <c r="AF109" s="89">
        <f t="shared" si="46"/>
        <v>0</v>
      </c>
      <c r="AG109" s="98"/>
      <c r="AH109" s="48">
        <f t="shared" si="31"/>
        <v>0</v>
      </c>
      <c r="AI109" s="49">
        <f t="shared" si="32"/>
        <v>0</v>
      </c>
    </row>
    <row r="110" spans="1:64" ht="15.75" thickBot="1" x14ac:dyDescent="0.3">
      <c r="A110" s="112" t="s">
        <v>130</v>
      </c>
      <c r="B110" s="71">
        <f>SUM(B104:B109)</f>
        <v>435</v>
      </c>
      <c r="C110" s="71">
        <f t="shared" ref="C110:AF110" si="49">SUM(C104:C109)</f>
        <v>0</v>
      </c>
      <c r="D110" s="71">
        <f t="shared" si="49"/>
        <v>460.8</v>
      </c>
      <c r="E110" s="71">
        <f t="shared" si="49"/>
        <v>526</v>
      </c>
      <c r="F110" s="71">
        <f t="shared" si="49"/>
        <v>543</v>
      </c>
      <c r="G110" s="71">
        <f t="shared" si="49"/>
        <v>381.7</v>
      </c>
      <c r="H110" s="71">
        <f t="shared" si="49"/>
        <v>286.2</v>
      </c>
      <c r="I110" s="71">
        <f t="shared" si="49"/>
        <v>312</v>
      </c>
      <c r="J110" s="71">
        <f t="shared" si="49"/>
        <v>344.8</v>
      </c>
      <c r="K110" s="71">
        <f t="shared" si="49"/>
        <v>281.60000000000002</v>
      </c>
      <c r="L110" s="71">
        <f t="shared" si="49"/>
        <v>306</v>
      </c>
      <c r="M110" s="71">
        <f t="shared" si="49"/>
        <v>338.7</v>
      </c>
      <c r="N110" s="71">
        <f t="shared" si="49"/>
        <v>370</v>
      </c>
      <c r="O110" s="71">
        <f t="shared" si="49"/>
        <v>350</v>
      </c>
      <c r="P110" s="71">
        <f t="shared" si="49"/>
        <v>459</v>
      </c>
      <c r="Q110" s="71">
        <f t="shared" si="49"/>
        <v>520</v>
      </c>
      <c r="R110" s="71">
        <f t="shared" si="49"/>
        <v>507</v>
      </c>
      <c r="S110" s="71">
        <f t="shared" ref="S110:AA110" si="50">SUM(S104:S109)</f>
        <v>438.5</v>
      </c>
      <c r="T110" s="71">
        <f t="shared" si="50"/>
        <v>416.2</v>
      </c>
      <c r="U110" s="71">
        <f t="shared" si="50"/>
        <v>577.9</v>
      </c>
      <c r="V110" s="71">
        <f t="shared" si="50"/>
        <v>547.70000000000005</v>
      </c>
      <c r="W110" s="71">
        <f t="shared" si="50"/>
        <v>632.4</v>
      </c>
      <c r="X110" s="71">
        <f t="shared" si="50"/>
        <v>651.9</v>
      </c>
      <c r="Y110" s="71">
        <f t="shared" si="50"/>
        <v>612.5</v>
      </c>
      <c r="Z110" s="71">
        <f t="shared" si="50"/>
        <v>568.9</v>
      </c>
      <c r="AA110" s="71">
        <f t="shared" si="50"/>
        <v>446.5</v>
      </c>
      <c r="AB110" s="71">
        <f t="shared" si="49"/>
        <v>438</v>
      </c>
      <c r="AC110" s="71">
        <f t="shared" si="49"/>
        <v>450</v>
      </c>
      <c r="AD110" s="71">
        <f t="shared" si="49"/>
        <v>498</v>
      </c>
      <c r="AE110" s="71">
        <f t="shared" si="49"/>
        <v>499</v>
      </c>
      <c r="AF110" s="71">
        <f t="shared" si="49"/>
        <v>517</v>
      </c>
      <c r="AG110" s="101"/>
      <c r="AH110" s="48">
        <f t="shared" si="31"/>
        <v>651.9</v>
      </c>
      <c r="AI110" s="49">
        <f t="shared" si="32"/>
        <v>0</v>
      </c>
    </row>
    <row r="111" spans="1:64" ht="15.75" thickBot="1" x14ac:dyDescent="0.3">
      <c r="A111" s="87" t="s">
        <v>131</v>
      </c>
      <c r="B111" s="71">
        <f t="shared" ref="B111:AF111" si="51">B95-B110</f>
        <v>-343</v>
      </c>
      <c r="C111" s="71">
        <f t="shared" si="51"/>
        <v>0</v>
      </c>
      <c r="D111" s="71">
        <f t="shared" si="51"/>
        <v>-369.6</v>
      </c>
      <c r="E111" s="71">
        <f t="shared" si="51"/>
        <v>-428</v>
      </c>
      <c r="F111" s="71">
        <f t="shared" si="51"/>
        <v>-467.4</v>
      </c>
      <c r="G111" s="71">
        <f t="shared" si="51"/>
        <v>-334.7</v>
      </c>
      <c r="H111" s="71">
        <f t="shared" si="51"/>
        <v>-213.1</v>
      </c>
      <c r="I111" s="71">
        <f t="shared" si="51"/>
        <v>-253</v>
      </c>
      <c r="J111" s="71">
        <f t="shared" si="51"/>
        <v>-261.20000000000005</v>
      </c>
      <c r="K111" s="71">
        <f t="shared" si="51"/>
        <v>-173.50000000000003</v>
      </c>
      <c r="L111" s="71">
        <f t="shared" si="51"/>
        <v>-203.7</v>
      </c>
      <c r="M111" s="71">
        <f t="shared" si="51"/>
        <v>-307.39999999999998</v>
      </c>
      <c r="N111" s="71">
        <f t="shared" si="51"/>
        <v>-329.6</v>
      </c>
      <c r="O111" s="71">
        <f t="shared" si="51"/>
        <v>-310</v>
      </c>
      <c r="P111" s="71">
        <f t="shared" si="51"/>
        <v>-424</v>
      </c>
      <c r="Q111" s="71">
        <f t="shared" si="51"/>
        <v>-477.9</v>
      </c>
      <c r="R111" s="71">
        <f t="shared" si="51"/>
        <v>-461.2</v>
      </c>
      <c r="S111" s="71">
        <f t="shared" ref="S111:AA111" si="52">S95-S110</f>
        <v>-391.8</v>
      </c>
      <c r="T111" s="71">
        <f t="shared" si="52"/>
        <v>-366</v>
      </c>
      <c r="U111" s="71">
        <f t="shared" si="52"/>
        <v>-539</v>
      </c>
      <c r="V111" s="71">
        <f t="shared" si="52"/>
        <v>-519.1</v>
      </c>
      <c r="W111" s="71">
        <f t="shared" si="52"/>
        <v>-589.4</v>
      </c>
      <c r="X111" s="71">
        <f t="shared" si="52"/>
        <v>-616.9</v>
      </c>
      <c r="Y111" s="71">
        <f t="shared" si="52"/>
        <v>-612.5</v>
      </c>
      <c r="Z111" s="71">
        <f t="shared" si="52"/>
        <v>-560.6</v>
      </c>
      <c r="AA111" s="71">
        <f t="shared" si="52"/>
        <v>-446.5</v>
      </c>
      <c r="AB111" s="71">
        <f t="shared" si="51"/>
        <v>-425.5</v>
      </c>
      <c r="AC111" s="71">
        <f t="shared" si="51"/>
        <v>-437.3</v>
      </c>
      <c r="AD111" s="71">
        <f t="shared" si="51"/>
        <v>-498</v>
      </c>
      <c r="AE111" s="71">
        <f t="shared" si="51"/>
        <v>-499</v>
      </c>
      <c r="AF111" s="71">
        <f t="shared" si="51"/>
        <v>-517</v>
      </c>
      <c r="AG111" s="101"/>
      <c r="AH111" s="48">
        <f t="shared" si="31"/>
        <v>0</v>
      </c>
      <c r="AI111" s="49">
        <f t="shared" si="32"/>
        <v>-616.9</v>
      </c>
    </row>
    <row r="112" spans="1:64" x14ac:dyDescent="0.25">
      <c r="A112" s="113" t="s">
        <v>132</v>
      </c>
      <c r="B112" s="114">
        <v>50</v>
      </c>
      <c r="C112" s="114"/>
      <c r="D112" s="114">
        <v>49.94</v>
      </c>
      <c r="E112" s="114">
        <v>49.920999999999999</v>
      </c>
      <c r="F112" s="114">
        <v>49.884999999999998</v>
      </c>
      <c r="G112" s="114">
        <v>50.027000000000001</v>
      </c>
      <c r="H112" s="114">
        <v>49.95</v>
      </c>
      <c r="I112" s="114">
        <v>49.978999999999999</v>
      </c>
      <c r="J112" s="114">
        <v>50.034999999999997</v>
      </c>
      <c r="K112" s="114">
        <v>50.024999999999999</v>
      </c>
      <c r="L112" s="114">
        <v>50.048999999999999</v>
      </c>
      <c r="M112" s="114">
        <v>49.942999999999998</v>
      </c>
      <c r="N112" s="114">
        <v>50.08</v>
      </c>
      <c r="O112" s="114">
        <v>50.018999999999998</v>
      </c>
      <c r="P112" s="114">
        <v>50.026000000000003</v>
      </c>
      <c r="Q112" s="114">
        <v>49.904000000000003</v>
      </c>
      <c r="R112" s="114">
        <v>50.031999999999996</v>
      </c>
      <c r="S112" s="114">
        <v>50.04</v>
      </c>
      <c r="T112" s="114">
        <v>50.04</v>
      </c>
      <c r="U112" s="114">
        <v>50.01</v>
      </c>
      <c r="V112" s="114">
        <v>50.03</v>
      </c>
      <c r="W112" s="114">
        <v>49.98</v>
      </c>
      <c r="X112" s="114">
        <v>49.95</v>
      </c>
      <c r="Y112" s="114">
        <v>49.99</v>
      </c>
      <c r="Z112" s="114">
        <v>49.94</v>
      </c>
      <c r="AA112" s="114">
        <v>49.97</v>
      </c>
      <c r="AB112" s="114">
        <v>49.97</v>
      </c>
      <c r="AC112" s="114">
        <v>49.97</v>
      </c>
      <c r="AD112" s="114">
        <v>50.003999999999998</v>
      </c>
      <c r="AE112" s="114">
        <v>49.970999999999997</v>
      </c>
      <c r="AF112" s="114" t="s">
        <v>319</v>
      </c>
      <c r="AG112" s="115"/>
      <c r="AH112" s="48">
        <f t="shared" si="31"/>
        <v>50.08</v>
      </c>
      <c r="AI112" s="49">
        <f t="shared" si="32"/>
        <v>49.884999999999998</v>
      </c>
    </row>
    <row r="113" spans="1:35" x14ac:dyDescent="0.25">
      <c r="A113" s="116" t="s">
        <v>133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31"/>
        <v>0</v>
      </c>
      <c r="AI113" s="49">
        <f t="shared" si="32"/>
        <v>0</v>
      </c>
    </row>
    <row r="114" spans="1:35" x14ac:dyDescent="0.25">
      <c r="A114" s="116" t="s">
        <v>134</v>
      </c>
      <c r="B114" s="76">
        <v>124.9</v>
      </c>
      <c r="C114" s="76"/>
      <c r="D114" s="76">
        <v>128</v>
      </c>
      <c r="E114" s="76">
        <v>126.4</v>
      </c>
      <c r="F114" s="76">
        <v>126.4</v>
      </c>
      <c r="G114" s="76">
        <v>126.7</v>
      </c>
      <c r="H114" s="76">
        <v>125</v>
      </c>
      <c r="I114" s="76">
        <v>125</v>
      </c>
      <c r="J114" s="76">
        <v>125</v>
      </c>
      <c r="K114" s="76">
        <v>124.5</v>
      </c>
      <c r="L114" s="76">
        <v>124.9</v>
      </c>
      <c r="M114" s="76">
        <v>122.5</v>
      </c>
      <c r="N114" s="76">
        <v>121.7</v>
      </c>
      <c r="O114" s="76">
        <v>122.8</v>
      </c>
      <c r="P114" s="76">
        <v>122.2</v>
      </c>
      <c r="Q114" s="76">
        <v>123.4</v>
      </c>
      <c r="R114" s="76">
        <v>125.7</v>
      </c>
      <c r="S114" s="76">
        <v>125.7</v>
      </c>
      <c r="T114" s="76">
        <v>122.2</v>
      </c>
      <c r="U114" s="76">
        <v>122.3</v>
      </c>
      <c r="V114" s="76">
        <v>122.9</v>
      </c>
      <c r="W114" s="76">
        <v>124.4</v>
      </c>
      <c r="X114" s="76">
        <v>125.8</v>
      </c>
      <c r="Y114" s="76">
        <v>126.1</v>
      </c>
      <c r="Z114" s="76">
        <v>124.9</v>
      </c>
      <c r="AA114" s="76">
        <v>125.4</v>
      </c>
      <c r="AB114" s="76">
        <v>125.4</v>
      </c>
      <c r="AC114" s="76">
        <v>125.4</v>
      </c>
      <c r="AD114" s="76">
        <v>125.4</v>
      </c>
      <c r="AE114" s="76">
        <v>126.3</v>
      </c>
      <c r="AF114" s="76">
        <v>126.4</v>
      </c>
      <c r="AG114" s="117"/>
      <c r="AH114" s="48">
        <f t="shared" si="31"/>
        <v>128</v>
      </c>
      <c r="AI114" s="49">
        <f t="shared" si="32"/>
        <v>121.7</v>
      </c>
    </row>
    <row r="115" spans="1:35" x14ac:dyDescent="0.25">
      <c r="A115" s="116" t="s">
        <v>135</v>
      </c>
      <c r="B115" s="76">
        <v>129.19999999999999</v>
      </c>
      <c r="C115" s="76"/>
      <c r="D115" s="76">
        <v>133.19999999999999</v>
      </c>
      <c r="E115" s="76">
        <v>133.30000000000001</v>
      </c>
      <c r="F115" s="76">
        <v>133.30000000000001</v>
      </c>
      <c r="G115" s="76">
        <v>131.6</v>
      </c>
      <c r="H115" s="76">
        <v>131.9</v>
      </c>
      <c r="I115" s="76">
        <v>131.9</v>
      </c>
      <c r="J115" s="76">
        <v>131.9</v>
      </c>
      <c r="K115" s="76">
        <v>131.9</v>
      </c>
      <c r="L115" s="76">
        <v>129</v>
      </c>
      <c r="M115" s="76">
        <v>130.69999999999999</v>
      </c>
      <c r="N115" s="76">
        <v>129.19999999999999</v>
      </c>
      <c r="O115" s="76">
        <v>131.30000000000001</v>
      </c>
      <c r="P115" s="76">
        <v>128.56</v>
      </c>
      <c r="Q115" s="76">
        <v>128.6</v>
      </c>
      <c r="R115" s="76">
        <v>129.69999999999999</v>
      </c>
      <c r="S115" s="76">
        <v>129.69999999999999</v>
      </c>
      <c r="T115" s="76">
        <v>129.6</v>
      </c>
      <c r="U115" s="76">
        <v>130</v>
      </c>
      <c r="V115" s="76">
        <v>126.3</v>
      </c>
      <c r="W115" s="76">
        <v>126.3</v>
      </c>
      <c r="X115" s="76">
        <v>129</v>
      </c>
      <c r="Y115" s="76">
        <v>126.9</v>
      </c>
      <c r="Z115" s="76">
        <v>127.7</v>
      </c>
      <c r="AA115" s="76">
        <v>129.9</v>
      </c>
      <c r="AB115" s="76">
        <v>129.9</v>
      </c>
      <c r="AC115" s="76">
        <v>129.9</v>
      </c>
      <c r="AD115" s="76">
        <v>127.8</v>
      </c>
      <c r="AE115" s="76">
        <v>129.69999999999999</v>
      </c>
      <c r="AF115" s="76">
        <v>129.9</v>
      </c>
      <c r="AG115" s="117"/>
      <c r="AH115" s="48">
        <f t="shared" si="31"/>
        <v>133.30000000000001</v>
      </c>
      <c r="AI115" s="49">
        <f t="shared" si="32"/>
        <v>126.3</v>
      </c>
    </row>
    <row r="116" spans="1:35" x14ac:dyDescent="0.25">
      <c r="A116" s="118" t="s">
        <v>136</v>
      </c>
      <c r="B116" s="76">
        <v>130.4</v>
      </c>
      <c r="C116" s="76"/>
      <c r="D116" s="76">
        <v>133.6</v>
      </c>
      <c r="E116" s="76">
        <v>133.9</v>
      </c>
      <c r="F116" s="76">
        <v>133.9</v>
      </c>
      <c r="G116" s="76">
        <v>132.4</v>
      </c>
      <c r="H116" s="76">
        <v>133.5</v>
      </c>
      <c r="I116" s="76">
        <v>133.5</v>
      </c>
      <c r="J116" s="76">
        <v>133.5</v>
      </c>
      <c r="K116" s="76">
        <v>133.5</v>
      </c>
      <c r="L116" s="76">
        <v>131.4</v>
      </c>
      <c r="M116" s="76">
        <v>131.1</v>
      </c>
      <c r="N116" s="76">
        <v>128</v>
      </c>
      <c r="O116" s="76">
        <v>131.4</v>
      </c>
      <c r="P116" s="76">
        <v>127.7</v>
      </c>
      <c r="Q116" s="76">
        <v>129.9</v>
      </c>
      <c r="R116" s="76">
        <v>129.4</v>
      </c>
      <c r="S116" s="76">
        <v>129.4</v>
      </c>
      <c r="T116" s="76">
        <v>129.19999999999999</v>
      </c>
      <c r="U116" s="76">
        <v>131.19999999999999</v>
      </c>
      <c r="V116" s="76">
        <v>125.6</v>
      </c>
      <c r="W116" s="76">
        <v>124.9</v>
      </c>
      <c r="X116" s="76">
        <v>127.9</v>
      </c>
      <c r="Y116" s="76">
        <v>125.7</v>
      </c>
      <c r="Z116" s="76">
        <v>129.19999999999999</v>
      </c>
      <c r="AA116" s="76">
        <v>130.4</v>
      </c>
      <c r="AB116" s="76">
        <v>130.4</v>
      </c>
      <c r="AC116" s="76">
        <v>130.4</v>
      </c>
      <c r="AD116" s="76">
        <v>128.80000000000001</v>
      </c>
      <c r="AE116" s="76">
        <v>129.6</v>
      </c>
      <c r="AF116" s="76">
        <v>130.6</v>
      </c>
      <c r="AG116" s="117"/>
      <c r="AH116" s="48">
        <f t="shared" si="31"/>
        <v>133.9</v>
      </c>
      <c r="AI116" s="49">
        <f t="shared" si="32"/>
        <v>124.9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31"/>
        <v>0</v>
      </c>
      <c r="AI117" s="49">
        <f t="shared" si="32"/>
        <v>0</v>
      </c>
    </row>
    <row r="118" spans="1:35" x14ac:dyDescent="0.25">
      <c r="A118" s="116" t="s">
        <v>138</v>
      </c>
      <c r="B118" s="76">
        <v>118.2</v>
      </c>
      <c r="C118" s="76"/>
      <c r="D118" s="76">
        <v>127.2</v>
      </c>
      <c r="E118" s="76">
        <v>127.3</v>
      </c>
      <c r="F118" s="76">
        <v>127.3</v>
      </c>
      <c r="G118" s="76">
        <v>123</v>
      </c>
      <c r="H118" s="76">
        <v>125.6</v>
      </c>
      <c r="I118" s="76">
        <v>125.6</v>
      </c>
      <c r="J118" s="76">
        <v>125.6</v>
      </c>
      <c r="K118" s="76">
        <v>125.6</v>
      </c>
      <c r="L118" s="76">
        <v>122</v>
      </c>
      <c r="M118" s="76">
        <v>132.30000000000001</v>
      </c>
      <c r="N118" s="76">
        <v>136.9</v>
      </c>
      <c r="O118" s="76">
        <v>123.8</v>
      </c>
      <c r="P118" s="76">
        <v>129.1</v>
      </c>
      <c r="Q118" s="76">
        <v>130.5</v>
      </c>
      <c r="R118" s="76">
        <v>123.2</v>
      </c>
      <c r="S118" s="76">
        <v>123.2</v>
      </c>
      <c r="T118" s="76">
        <v>126.1</v>
      </c>
      <c r="U118" s="76">
        <v>119.4</v>
      </c>
      <c r="V118" s="76">
        <v>125</v>
      </c>
      <c r="W118" s="76">
        <v>123.8</v>
      </c>
      <c r="X118" s="76">
        <v>123.9</v>
      </c>
      <c r="Y118" s="76">
        <v>131.69999999999999</v>
      </c>
      <c r="Z118" s="76">
        <v>133.1</v>
      </c>
      <c r="AA118" s="76">
        <v>121.5</v>
      </c>
      <c r="AB118" s="76">
        <v>121.5</v>
      </c>
      <c r="AC118" s="76">
        <v>121.5</v>
      </c>
      <c r="AD118" s="76">
        <v>127.2</v>
      </c>
      <c r="AE118" s="76">
        <v>128</v>
      </c>
      <c r="AF118" s="76">
        <v>129.6</v>
      </c>
      <c r="AG118" s="117"/>
      <c r="AH118" s="48">
        <f t="shared" si="31"/>
        <v>136.9</v>
      </c>
      <c r="AI118" s="49">
        <f t="shared" si="32"/>
        <v>118.2</v>
      </c>
    </row>
    <row r="119" spans="1:35" ht="15.75" thickBot="1" x14ac:dyDescent="0.3">
      <c r="A119" s="116" t="s">
        <v>139</v>
      </c>
      <c r="B119" s="105">
        <v>62.9</v>
      </c>
      <c r="C119" s="105"/>
      <c r="D119" s="105">
        <v>64.5</v>
      </c>
      <c r="E119" s="105">
        <v>63.5</v>
      </c>
      <c r="F119" s="105">
        <v>64</v>
      </c>
      <c r="G119" s="105">
        <v>63.6</v>
      </c>
      <c r="H119" s="105">
        <v>63.4</v>
      </c>
      <c r="I119" s="105">
        <v>63.4</v>
      </c>
      <c r="J119" s="105">
        <v>63.4</v>
      </c>
      <c r="K119" s="105">
        <v>63</v>
      </c>
      <c r="L119" s="105">
        <v>63.1</v>
      </c>
      <c r="M119" s="105">
        <v>62</v>
      </c>
      <c r="N119" s="105">
        <v>61.5</v>
      </c>
      <c r="O119" s="105">
        <v>61.7</v>
      </c>
      <c r="P119" s="105">
        <v>64</v>
      </c>
      <c r="Q119" s="105">
        <v>61.8</v>
      </c>
      <c r="R119" s="105">
        <v>63</v>
      </c>
      <c r="S119" s="105">
        <v>63</v>
      </c>
      <c r="T119" s="105">
        <v>61.1</v>
      </c>
      <c r="U119" s="105">
        <v>61.4</v>
      </c>
      <c r="V119" s="105">
        <v>61.9</v>
      </c>
      <c r="W119" s="105">
        <v>62.5</v>
      </c>
      <c r="X119" s="105">
        <v>63.7</v>
      </c>
      <c r="Y119" s="105">
        <v>63.7</v>
      </c>
      <c r="Z119" s="105">
        <v>63.5</v>
      </c>
      <c r="AA119" s="105">
        <v>63.4</v>
      </c>
      <c r="AB119" s="105">
        <v>63.4</v>
      </c>
      <c r="AC119" s="105">
        <v>63.4</v>
      </c>
      <c r="AD119" s="105">
        <v>63.6</v>
      </c>
      <c r="AE119" s="105">
        <v>63.8</v>
      </c>
      <c r="AF119" s="105">
        <v>63.8</v>
      </c>
      <c r="AG119" s="121"/>
      <c r="AH119" s="48">
        <f t="shared" si="31"/>
        <v>64.5</v>
      </c>
      <c r="AI119" s="49">
        <f t="shared" si="32"/>
        <v>61.1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1"/>
        <v>0</v>
      </c>
      <c r="AI120" s="49">
        <f t="shared" si="32"/>
        <v>0</v>
      </c>
    </row>
    <row r="121" spans="1:35" ht="15.75" thickBot="1" x14ac:dyDescent="0.3">
      <c r="A121" s="123" t="s">
        <v>141</v>
      </c>
      <c r="B121" s="124">
        <f t="shared" ref="B121:O121" si="53">SUM(B25,B31,B34:B35,B69,B71:B72,B74,B76,B122:B126,B158,B164,B170,B179,B181,B193,B200,B203:B204,B211,B213,B215,B219:B221,B223:B225,B230,B236:B237,B239:B241,B249,B254)</f>
        <v>88.339999999999975</v>
      </c>
      <c r="C121" s="124">
        <f t="shared" si="53"/>
        <v>0.94</v>
      </c>
      <c r="D121" s="124">
        <f t="shared" si="53"/>
        <v>61.640000000000029</v>
      </c>
      <c r="E121" s="124">
        <f t="shared" si="53"/>
        <v>57.340000000000011</v>
      </c>
      <c r="F121" s="124">
        <f t="shared" si="53"/>
        <v>115.03999999999999</v>
      </c>
      <c r="G121" s="124">
        <f t="shared" si="53"/>
        <v>73.440000000000026</v>
      </c>
      <c r="H121" s="124">
        <f t="shared" si="53"/>
        <v>92.840000000000018</v>
      </c>
      <c r="I121" s="124">
        <f t="shared" si="53"/>
        <v>115.84000000000002</v>
      </c>
      <c r="J121" s="124">
        <f t="shared" si="53"/>
        <v>121.13999999999997</v>
      </c>
      <c r="K121" s="124">
        <f t="shared" si="53"/>
        <v>156.54000000000002</v>
      </c>
      <c r="L121" s="124">
        <f t="shared" si="53"/>
        <v>164.84000000000003</v>
      </c>
      <c r="M121" s="124">
        <f t="shared" si="53"/>
        <v>170.34000000000006</v>
      </c>
      <c r="N121" s="124">
        <f t="shared" si="53"/>
        <v>191.74</v>
      </c>
      <c r="O121" s="124">
        <f t="shared" si="53"/>
        <v>184.74</v>
      </c>
      <c r="P121" s="124">
        <v>42</v>
      </c>
      <c r="Q121" s="124">
        <f t="shared" ref="Q121:AA121" si="54">SUM(Q25,Q31,Q34:Q35,Q69,Q71:Q72,Q74,Q76,Q122:Q126,Q158,Q164,Q170,Q179,Q181,Q193,Q200,Q203:Q204,Q211,Q213,Q215,Q219:Q221,Q223:Q225,Q230,Q236:Q237,Q239:Q241,Q249,Q254)</f>
        <v>197.04000000000002</v>
      </c>
      <c r="R121" s="124">
        <f t="shared" si="54"/>
        <v>167.84000000000003</v>
      </c>
      <c r="S121" s="124">
        <f t="shared" si="54"/>
        <v>163.24</v>
      </c>
      <c r="T121" s="124">
        <f t="shared" si="54"/>
        <v>132.74</v>
      </c>
      <c r="U121" s="124">
        <f t="shared" si="54"/>
        <v>178.64</v>
      </c>
      <c r="V121" s="124">
        <f t="shared" si="54"/>
        <v>202.94000000000003</v>
      </c>
      <c r="W121" s="124">
        <f t="shared" si="54"/>
        <v>183.54000000000005</v>
      </c>
      <c r="X121" s="124">
        <f t="shared" si="54"/>
        <v>172.94000000000005</v>
      </c>
      <c r="Y121" s="124">
        <f t="shared" si="54"/>
        <v>164.04000000000002</v>
      </c>
      <c r="Z121" s="124">
        <f t="shared" si="54"/>
        <v>202.24</v>
      </c>
      <c r="AA121" s="124">
        <f t="shared" si="54"/>
        <v>203.94000000000003</v>
      </c>
      <c r="AB121" s="124">
        <f t="shared" ref="AB121:AF121" si="55">SUM(AB25,AB31,AB34:AB35,AB69,AB71:AB72,AB74,AB76,AB122:AB126,AB158,AB164,AB170,AB179,AB181,AB193,AB200,AB203:AB204,AB211,AB213,AB215,AB219:AB221,AB223:AB225,AB230,AB236:AB237,AB239:AB241,AB249,AB254)</f>
        <v>203.94000000000003</v>
      </c>
      <c r="AC121" s="124">
        <f t="shared" si="55"/>
        <v>203.94000000000003</v>
      </c>
      <c r="AD121" s="124">
        <f t="shared" si="55"/>
        <v>120.54</v>
      </c>
      <c r="AE121" s="124">
        <f t="shared" si="55"/>
        <v>64.140000000000043</v>
      </c>
      <c r="AF121" s="124">
        <f t="shared" si="55"/>
        <v>41.140000000000015</v>
      </c>
      <c r="AG121" s="125"/>
      <c r="AH121" s="48">
        <f t="shared" si="31"/>
        <v>203.94000000000003</v>
      </c>
      <c r="AI121" s="49">
        <f t="shared" si="32"/>
        <v>0.94</v>
      </c>
    </row>
    <row r="122" spans="1:35" x14ac:dyDescent="0.25">
      <c r="A122" s="126" t="s">
        <v>142</v>
      </c>
      <c r="B122" s="127">
        <v>52.5</v>
      </c>
      <c r="C122" s="127"/>
      <c r="D122" s="127">
        <v>20.399999999999999</v>
      </c>
      <c r="E122" s="127">
        <v>46.7</v>
      </c>
      <c r="F122" s="127">
        <v>81.599999999999994</v>
      </c>
      <c r="G122" s="127">
        <v>47.4</v>
      </c>
      <c r="H122" s="127">
        <v>63.2</v>
      </c>
      <c r="I122" s="127">
        <v>70</v>
      </c>
      <c r="J122" s="127">
        <v>75.3</v>
      </c>
      <c r="K122" s="127">
        <v>67.8</v>
      </c>
      <c r="L122" s="127">
        <v>73.3</v>
      </c>
      <c r="M122" s="127">
        <v>81.400000000000006</v>
      </c>
      <c r="N122" s="127">
        <v>85.5</v>
      </c>
      <c r="O122" s="127">
        <v>72.2</v>
      </c>
      <c r="P122" s="127">
        <v>89.8</v>
      </c>
      <c r="Q122" s="127">
        <v>76.099999999999994</v>
      </c>
      <c r="R122" s="127">
        <v>57.9</v>
      </c>
      <c r="S122" s="127">
        <v>57.9</v>
      </c>
      <c r="T122" s="127">
        <v>50.7</v>
      </c>
      <c r="U122" s="127">
        <v>86.1</v>
      </c>
      <c r="V122" s="127">
        <v>102.1</v>
      </c>
      <c r="W122" s="127">
        <v>68.400000000000006</v>
      </c>
      <c r="X122" s="127">
        <v>60.5</v>
      </c>
      <c r="Y122" s="127">
        <v>56.6</v>
      </c>
      <c r="Z122" s="127">
        <v>93.3</v>
      </c>
      <c r="AA122" s="127">
        <v>58.5</v>
      </c>
      <c r="AB122" s="127">
        <v>58.5</v>
      </c>
      <c r="AC122" s="127">
        <v>58.5</v>
      </c>
      <c r="AD122" s="127">
        <v>70.8</v>
      </c>
      <c r="AE122" s="127">
        <v>67</v>
      </c>
      <c r="AF122" s="127">
        <v>51</v>
      </c>
      <c r="AG122" s="128">
        <v>75</v>
      </c>
      <c r="AH122" s="48">
        <f t="shared" si="31"/>
        <v>102.1</v>
      </c>
      <c r="AI122" s="49">
        <f t="shared" si="32"/>
        <v>20.399999999999999</v>
      </c>
    </row>
    <row r="123" spans="1:35" x14ac:dyDescent="0.25">
      <c r="A123" s="129" t="s">
        <v>143</v>
      </c>
      <c r="B123" s="130">
        <v>79.5</v>
      </c>
      <c r="C123" s="130"/>
      <c r="D123" s="130">
        <v>32.700000000000003</v>
      </c>
      <c r="E123" s="130">
        <v>73.7</v>
      </c>
      <c r="F123" s="130">
        <v>114.7</v>
      </c>
      <c r="G123" s="130">
        <v>71.2</v>
      </c>
      <c r="H123" s="130">
        <v>91.6</v>
      </c>
      <c r="I123" s="130">
        <v>96.9</v>
      </c>
      <c r="J123" s="130">
        <v>96.9</v>
      </c>
      <c r="K123" s="130">
        <v>93</v>
      </c>
      <c r="L123" s="130">
        <v>99.3</v>
      </c>
      <c r="M123" s="130">
        <v>109.4</v>
      </c>
      <c r="N123" s="130">
        <v>115.5</v>
      </c>
      <c r="O123" s="130">
        <v>96.5</v>
      </c>
      <c r="P123" s="130">
        <v>114.2</v>
      </c>
      <c r="Q123" s="130">
        <v>101.6</v>
      </c>
      <c r="R123" s="130">
        <v>78</v>
      </c>
      <c r="S123" s="130">
        <v>78</v>
      </c>
      <c r="T123" s="130">
        <v>70</v>
      </c>
      <c r="U123" s="130">
        <v>119.4</v>
      </c>
      <c r="V123" s="130">
        <v>142.4</v>
      </c>
      <c r="W123" s="130">
        <v>100.4</v>
      </c>
      <c r="X123" s="130">
        <v>88.1</v>
      </c>
      <c r="Y123" s="130">
        <v>85.3</v>
      </c>
      <c r="Z123" s="130">
        <v>132.9</v>
      </c>
      <c r="AA123" s="130">
        <v>87.4</v>
      </c>
      <c r="AB123" s="130">
        <v>87.4</v>
      </c>
      <c r="AC123" s="130">
        <v>87.4</v>
      </c>
      <c r="AD123" s="130">
        <v>107</v>
      </c>
      <c r="AE123" s="130">
        <v>44</v>
      </c>
      <c r="AF123" s="130">
        <v>28</v>
      </c>
      <c r="AG123" s="128">
        <v>240</v>
      </c>
      <c r="AH123" s="48">
        <f t="shared" si="31"/>
        <v>142.4</v>
      </c>
      <c r="AI123" s="49">
        <f t="shared" si="32"/>
        <v>28</v>
      </c>
    </row>
    <row r="124" spans="1:35" x14ac:dyDescent="0.25">
      <c r="A124" s="129" t="s">
        <v>144</v>
      </c>
      <c r="B124" s="130">
        <v>-180</v>
      </c>
      <c r="C124" s="130"/>
      <c r="D124" s="130">
        <v>-145</v>
      </c>
      <c r="E124" s="130">
        <v>-176</v>
      </c>
      <c r="F124" s="130">
        <v>-190</v>
      </c>
      <c r="G124" s="130">
        <v>-152</v>
      </c>
      <c r="H124" s="130">
        <v>-164</v>
      </c>
      <c r="I124" s="130">
        <v>-152</v>
      </c>
      <c r="J124" s="130">
        <v>-152</v>
      </c>
      <c r="K124" s="130">
        <v>-120</v>
      </c>
      <c r="L124" s="130">
        <v>-124</v>
      </c>
      <c r="M124" s="130">
        <v>-135</v>
      </c>
      <c r="N124" s="130">
        <f>-65-70</f>
        <v>-135</v>
      </c>
      <c r="O124" s="130">
        <f>-54-59</f>
        <v>-113</v>
      </c>
      <c r="P124" s="130">
        <f>-62-66</f>
        <v>-128</v>
      </c>
      <c r="Q124" s="130">
        <f>-54-60</f>
        <v>-114</v>
      </c>
      <c r="R124" s="130">
        <f>-44.5-49.3</f>
        <v>-93.8</v>
      </c>
      <c r="S124" s="130">
        <f>-44.5-49.3</f>
        <v>-93.8</v>
      </c>
      <c r="T124" s="130">
        <v>-105.6</v>
      </c>
      <c r="U124" s="130">
        <v>-142.1</v>
      </c>
      <c r="V124" s="130">
        <v>-155.69999999999999</v>
      </c>
      <c r="W124" s="130">
        <v>-103.1</v>
      </c>
      <c r="X124" s="130">
        <v>-100.1</v>
      </c>
      <c r="Y124" s="130">
        <v>-97</v>
      </c>
      <c r="Z124" s="130">
        <v>-141.19999999999999</v>
      </c>
      <c r="AA124" s="130">
        <v>-96.9</v>
      </c>
      <c r="AB124" s="130">
        <v>-96.9</v>
      </c>
      <c r="AC124" s="130">
        <v>-96.9</v>
      </c>
      <c r="AD124" s="130">
        <v>-140</v>
      </c>
      <c r="AE124" s="130">
        <v>-167</v>
      </c>
      <c r="AF124" s="130">
        <v>-160</v>
      </c>
      <c r="AG124" s="128">
        <v>240</v>
      </c>
      <c r="AH124" s="48">
        <f t="shared" si="31"/>
        <v>-93.8</v>
      </c>
      <c r="AI124" s="49">
        <f t="shared" si="32"/>
        <v>-190</v>
      </c>
    </row>
    <row r="125" spans="1:35" ht="15.75" thickBot="1" x14ac:dyDescent="0.3">
      <c r="A125" s="129" t="s">
        <v>145</v>
      </c>
      <c r="B125" s="130">
        <v>-21</v>
      </c>
      <c r="C125" s="130"/>
      <c r="D125" s="130">
        <v>-5.7</v>
      </c>
      <c r="E125" s="130">
        <v>-18.899999999999999</v>
      </c>
      <c r="F125" s="130">
        <v>-12.9</v>
      </c>
      <c r="G125" s="130">
        <v>-15.9</v>
      </c>
      <c r="H125" s="130">
        <v>-20.7</v>
      </c>
      <c r="I125" s="130">
        <v>-18.7</v>
      </c>
      <c r="J125" s="130">
        <v>-18.7</v>
      </c>
      <c r="K125" s="130">
        <v>-5.7</v>
      </c>
      <c r="L125" s="130">
        <v>-5.2</v>
      </c>
      <c r="M125" s="130">
        <v>-6.9</v>
      </c>
      <c r="N125" s="130">
        <v>-4.3</v>
      </c>
      <c r="O125" s="130">
        <v>-5.3</v>
      </c>
      <c r="P125" s="130">
        <v>-3.1</v>
      </c>
      <c r="Q125" s="130">
        <v>0.5</v>
      </c>
      <c r="R125" s="130">
        <v>4.8</v>
      </c>
      <c r="S125" s="130">
        <v>4.8</v>
      </c>
      <c r="T125" s="130">
        <v>0.2</v>
      </c>
      <c r="U125" s="130">
        <v>-3.1</v>
      </c>
      <c r="V125" s="130">
        <v>-4.4000000000000004</v>
      </c>
      <c r="W125" s="130">
        <v>0</v>
      </c>
      <c r="X125" s="130">
        <v>7.4</v>
      </c>
      <c r="Y125" s="130">
        <v>2.7</v>
      </c>
      <c r="Z125" s="130">
        <v>1.2</v>
      </c>
      <c r="AA125" s="130">
        <v>8.8000000000000007</v>
      </c>
      <c r="AB125" s="130">
        <v>8.8000000000000007</v>
      </c>
      <c r="AC125" s="130">
        <v>8.8000000000000007</v>
      </c>
      <c r="AD125" s="130">
        <v>-2.7</v>
      </c>
      <c r="AE125" s="130">
        <v>-26</v>
      </c>
      <c r="AF125" s="130">
        <v>-24</v>
      </c>
      <c r="AG125" s="128">
        <v>60</v>
      </c>
      <c r="AH125" s="48">
        <f t="shared" si="31"/>
        <v>8.8000000000000007</v>
      </c>
      <c r="AI125" s="49">
        <f t="shared" si="32"/>
        <v>-26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1"/>
        <v>0</v>
      </c>
      <c r="AI126" s="49">
        <f t="shared" si="32"/>
        <v>0</v>
      </c>
    </row>
    <row r="127" spans="1:35" x14ac:dyDescent="0.25">
      <c r="A127" s="129" t="s">
        <v>147</v>
      </c>
      <c r="B127" s="131">
        <v>95.6</v>
      </c>
      <c r="C127" s="131"/>
      <c r="D127" s="131">
        <v>85.6</v>
      </c>
      <c r="E127" s="131">
        <v>69.900000000000006</v>
      </c>
      <c r="F127" s="131">
        <v>47.7</v>
      </c>
      <c r="G127" s="131">
        <v>62.5</v>
      </c>
      <c r="H127" s="131">
        <v>66</v>
      </c>
      <c r="I127" s="131">
        <v>70.400000000000006</v>
      </c>
      <c r="J127" s="131">
        <v>70.400000000000006</v>
      </c>
      <c r="K127" s="131">
        <v>84.6</v>
      </c>
      <c r="L127" s="131">
        <v>80.5</v>
      </c>
      <c r="M127" s="131">
        <v>78.2</v>
      </c>
      <c r="N127" s="131">
        <v>69.8</v>
      </c>
      <c r="O127" s="131">
        <v>85</v>
      </c>
      <c r="P127" s="131">
        <v>77</v>
      </c>
      <c r="Q127" s="131">
        <v>78</v>
      </c>
      <c r="R127" s="131">
        <v>80.900000000000006</v>
      </c>
      <c r="S127" s="131">
        <v>80.900000000000006</v>
      </c>
      <c r="T127" s="131">
        <v>92.2</v>
      </c>
      <c r="U127" s="131">
        <v>77.599999999999994</v>
      </c>
      <c r="V127" s="131">
        <v>58.5</v>
      </c>
      <c r="W127" s="131">
        <v>62.7</v>
      </c>
      <c r="X127" s="131">
        <v>61.2</v>
      </c>
      <c r="Y127" s="131">
        <v>70</v>
      </c>
      <c r="Z127" s="131">
        <v>70.8</v>
      </c>
      <c r="AA127" s="131">
        <v>98</v>
      </c>
      <c r="AB127" s="131">
        <v>98</v>
      </c>
      <c r="AC127" s="131">
        <v>98</v>
      </c>
      <c r="AD127" s="131">
        <v>102</v>
      </c>
      <c r="AE127" s="131">
        <v>95</v>
      </c>
      <c r="AF127" s="131">
        <v>97</v>
      </c>
      <c r="AG127" s="132"/>
      <c r="AH127" s="48"/>
      <c r="AI127" s="49"/>
    </row>
    <row r="128" spans="1:35" x14ac:dyDescent="0.25">
      <c r="A128" s="129" t="s">
        <v>148</v>
      </c>
      <c r="B128" s="131">
        <v>61.7</v>
      </c>
      <c r="C128" s="131"/>
      <c r="D128" s="131">
        <v>70.7</v>
      </c>
      <c r="E128" s="131">
        <v>40.5</v>
      </c>
      <c r="F128" s="131">
        <v>1.8</v>
      </c>
      <c r="G128" s="131">
        <v>22.7</v>
      </c>
      <c r="H128" s="131">
        <v>12</v>
      </c>
      <c r="I128" s="131">
        <v>2.8</v>
      </c>
      <c r="J128" s="131">
        <v>2.8</v>
      </c>
      <c r="K128" s="131">
        <v>-3.7</v>
      </c>
      <c r="L128" s="131">
        <v>-10.5</v>
      </c>
      <c r="M128" s="131">
        <v>-14.6</v>
      </c>
      <c r="N128" s="131">
        <v>-16.600000000000001</v>
      </c>
      <c r="O128" s="131">
        <v>-2.7</v>
      </c>
      <c r="P128" s="131">
        <v>-10.3</v>
      </c>
      <c r="Q128" s="131">
        <v>-11.4</v>
      </c>
      <c r="R128" s="131">
        <v>-1</v>
      </c>
      <c r="S128" s="131">
        <v>-1</v>
      </c>
      <c r="T128" s="131">
        <v>28</v>
      </c>
      <c r="U128" s="131">
        <v>-6.5</v>
      </c>
      <c r="V128" s="131">
        <v>-6.5</v>
      </c>
      <c r="W128" s="131">
        <v>-27.7</v>
      </c>
      <c r="X128" s="131">
        <v>-22.1</v>
      </c>
      <c r="Y128" s="131">
        <v>-10.3</v>
      </c>
      <c r="Z128" s="131">
        <v>-31</v>
      </c>
      <c r="AA128" s="131">
        <v>1.5</v>
      </c>
      <c r="AB128" s="131">
        <v>1.5</v>
      </c>
      <c r="AC128" s="131">
        <v>1.5</v>
      </c>
      <c r="AD128" s="131">
        <v>11.5</v>
      </c>
      <c r="AE128" s="131">
        <v>63.4</v>
      </c>
      <c r="AF128" s="131">
        <v>67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68.3</v>
      </c>
      <c r="C129" s="131"/>
      <c r="D129" s="131">
        <v>65.8</v>
      </c>
      <c r="E129" s="131">
        <v>44.4</v>
      </c>
      <c r="F129" s="131">
        <v>50.3</v>
      </c>
      <c r="G129" s="131">
        <v>70.400000000000006</v>
      </c>
      <c r="H129" s="131">
        <v>66.099999999999994</v>
      </c>
      <c r="I129" s="131">
        <v>65.400000000000006</v>
      </c>
      <c r="J129" s="131">
        <v>65.400000000000006</v>
      </c>
      <c r="K129" s="131">
        <v>72.599999999999994</v>
      </c>
      <c r="L129" s="131">
        <v>63.2</v>
      </c>
      <c r="M129" s="131">
        <v>54.4</v>
      </c>
      <c r="N129" s="131">
        <v>66.7</v>
      </c>
      <c r="O129" s="131">
        <v>77.2</v>
      </c>
      <c r="P129" s="131">
        <v>62.4</v>
      </c>
      <c r="Q129" s="131">
        <v>52.5</v>
      </c>
      <c r="R129" s="131">
        <v>52.9</v>
      </c>
      <c r="S129" s="131">
        <v>52.9</v>
      </c>
      <c r="T129" s="131">
        <v>75.2</v>
      </c>
      <c r="U129" s="131">
        <v>53.8</v>
      </c>
      <c r="V129" s="131">
        <v>37.700000000000003</v>
      </c>
      <c r="W129" s="131">
        <v>22.9</v>
      </c>
      <c r="X129" s="131">
        <v>22.1</v>
      </c>
      <c r="Y129" s="131">
        <v>40.6</v>
      </c>
      <c r="Z129" s="131">
        <v>39.6</v>
      </c>
      <c r="AA129" s="131">
        <v>66.8</v>
      </c>
      <c r="AB129" s="131">
        <v>66.8</v>
      </c>
      <c r="AC129" s="131">
        <v>66.8</v>
      </c>
      <c r="AD129" s="131">
        <v>57</v>
      </c>
      <c r="AE129" s="131">
        <v>63.2</v>
      </c>
      <c r="AF129" s="131">
        <v>57</v>
      </c>
      <c r="AG129" s="128"/>
      <c r="AH129" s="48">
        <f>MAX(B129:AF129)</f>
        <v>77.2</v>
      </c>
      <c r="AI129" s="49">
        <f>MIN(B129:AF129)</f>
        <v>22.1</v>
      </c>
    </row>
    <row r="130" spans="1:37" x14ac:dyDescent="0.25">
      <c r="A130" s="126" t="s">
        <v>150</v>
      </c>
      <c r="B130" s="131">
        <v>-347.5</v>
      </c>
      <c r="C130" s="131"/>
      <c r="D130" s="131">
        <v>-337.7</v>
      </c>
      <c r="E130" s="131">
        <v>-342</v>
      </c>
      <c r="F130" s="131">
        <v>-253.7</v>
      </c>
      <c r="G130" s="131">
        <v>-241.4</v>
      </c>
      <c r="H130" s="131">
        <v>-243.3</v>
      </c>
      <c r="I130" s="131">
        <v>-235.5</v>
      </c>
      <c r="J130" s="131">
        <v>-235.5</v>
      </c>
      <c r="K130" s="131">
        <v>-226</v>
      </c>
      <c r="L130" s="131">
        <v>-233.5</v>
      </c>
      <c r="M130" s="131">
        <v>-251.5</v>
      </c>
      <c r="N130" s="131">
        <v>-268</v>
      </c>
      <c r="O130" s="131">
        <v>-265</v>
      </c>
      <c r="P130" s="131">
        <v>-305.5</v>
      </c>
      <c r="Q130" s="131">
        <v>-300.89999999999998</v>
      </c>
      <c r="R130" s="131">
        <v>-294</v>
      </c>
      <c r="S130" s="131">
        <v>-294</v>
      </c>
      <c r="T130" s="131">
        <v>-295</v>
      </c>
      <c r="U130" s="131">
        <v>-352.4</v>
      </c>
      <c r="V130" s="131">
        <v>-368.4</v>
      </c>
      <c r="W130" s="131">
        <v>-370</v>
      </c>
      <c r="X130" s="131">
        <v>-366.9</v>
      </c>
      <c r="Y130" s="131">
        <v>-357.4</v>
      </c>
      <c r="Z130" s="131">
        <v>-359.1</v>
      </c>
      <c r="AA130" s="131">
        <v>-331.7</v>
      </c>
      <c r="AB130" s="131">
        <v>-331.7</v>
      </c>
      <c r="AC130" s="131">
        <v>-331.7</v>
      </c>
      <c r="AD130" s="131"/>
      <c r="AE130" s="131">
        <v>-348</v>
      </c>
      <c r="AF130" s="131">
        <v>-348</v>
      </c>
      <c r="AG130" s="128"/>
      <c r="AH130" s="48">
        <f>MAX(B130:AF130)</f>
        <v>-226</v>
      </c>
      <c r="AI130" s="49">
        <f>MIN(B130:AF130)</f>
        <v>-370</v>
      </c>
    </row>
    <row r="131" spans="1:37" x14ac:dyDescent="0.25">
      <c r="A131" s="129" t="s">
        <v>151</v>
      </c>
      <c r="B131" s="119">
        <v>34.9</v>
      </c>
      <c r="C131" s="119"/>
      <c r="D131" s="119">
        <v>52.4</v>
      </c>
      <c r="E131" s="119">
        <v>57.4</v>
      </c>
      <c r="F131" s="119">
        <v>67</v>
      </c>
      <c r="G131" s="119">
        <v>67.5</v>
      </c>
      <c r="H131" s="119">
        <v>54.4</v>
      </c>
      <c r="I131" s="119">
        <v>68</v>
      </c>
      <c r="J131" s="119">
        <v>68</v>
      </c>
      <c r="K131" s="119">
        <v>68</v>
      </c>
      <c r="L131" s="119">
        <v>68</v>
      </c>
      <c r="M131" s="119">
        <v>68.099999999999994</v>
      </c>
      <c r="N131" s="119">
        <v>68</v>
      </c>
      <c r="O131" s="119">
        <v>68</v>
      </c>
      <c r="P131" s="119">
        <v>68</v>
      </c>
      <c r="Q131" s="119"/>
      <c r="R131" s="119">
        <v>67</v>
      </c>
      <c r="S131" s="119">
        <v>67</v>
      </c>
      <c r="T131" s="119">
        <v>63.5</v>
      </c>
      <c r="U131" s="119">
        <v>61.4</v>
      </c>
      <c r="V131" s="119">
        <v>57.6</v>
      </c>
      <c r="W131" s="119">
        <v>54.6</v>
      </c>
      <c r="X131" s="119">
        <v>55.3</v>
      </c>
      <c r="Y131" s="119">
        <v>52.1</v>
      </c>
      <c r="Z131" s="119">
        <v>46.3</v>
      </c>
      <c r="AA131" s="119">
        <v>38.299999999999997</v>
      </c>
      <c r="AB131" s="119">
        <v>38.299999999999997</v>
      </c>
      <c r="AC131" s="119">
        <v>38.299999999999997</v>
      </c>
      <c r="AD131" s="119">
        <v>39.700000000000003</v>
      </c>
      <c r="AE131" s="119">
        <v>46</v>
      </c>
      <c r="AF131" s="119">
        <v>48</v>
      </c>
      <c r="AG131" s="128"/>
      <c r="AH131" s="48">
        <f>MAX(B131:AF131)</f>
        <v>68.099999999999994</v>
      </c>
      <c r="AI131" s="49">
        <f>MIN(B131:AF131)</f>
        <v>34.9</v>
      </c>
    </row>
    <row r="132" spans="1:37" x14ac:dyDescent="0.25">
      <c r="A132" s="129" t="s">
        <v>152</v>
      </c>
      <c r="B132" s="119">
        <v>20.5</v>
      </c>
      <c r="C132" s="119"/>
      <c r="D132" s="119">
        <v>-18.5</v>
      </c>
      <c r="E132" s="119">
        <v>-31</v>
      </c>
      <c r="F132" s="119">
        <v>-50.8</v>
      </c>
      <c r="G132" s="119">
        <v>-56.8</v>
      </c>
      <c r="H132" s="119">
        <v>-8.1</v>
      </c>
      <c r="I132" s="119">
        <v>-10.9</v>
      </c>
      <c r="J132" s="119">
        <v>-10.9</v>
      </c>
      <c r="K132" s="119">
        <v>-3.1</v>
      </c>
      <c r="L132" s="119">
        <v>-1.1000000000000001</v>
      </c>
      <c r="M132" s="119">
        <v>1.1000000000000001</v>
      </c>
      <c r="N132" s="119">
        <v>-1</v>
      </c>
      <c r="O132" s="119">
        <v>-3</v>
      </c>
      <c r="P132" s="119">
        <v>-20.3</v>
      </c>
      <c r="Q132" s="119">
        <v>-48.6</v>
      </c>
      <c r="R132" s="119">
        <v>-21.3</v>
      </c>
      <c r="S132" s="119">
        <v>-21.3</v>
      </c>
      <c r="T132" s="119">
        <v>-17.399999999999999</v>
      </c>
      <c r="U132" s="119">
        <v>-22.2</v>
      </c>
      <c r="V132" s="119">
        <v>-4.4000000000000004</v>
      </c>
      <c r="W132" s="119">
        <v>-6.8</v>
      </c>
      <c r="X132" s="119">
        <v>-12.9</v>
      </c>
      <c r="Y132" s="119">
        <v>-15.2</v>
      </c>
      <c r="Z132" s="119">
        <v>3.2</v>
      </c>
      <c r="AA132" s="119">
        <v>7.8</v>
      </c>
      <c r="AB132" s="119">
        <v>7.8</v>
      </c>
      <c r="AC132" s="119">
        <v>7.8</v>
      </c>
      <c r="AD132" s="119">
        <v>15</v>
      </c>
      <c r="AE132" s="119">
        <v>13</v>
      </c>
      <c r="AF132" s="119">
        <v>-1.8</v>
      </c>
      <c r="AG132" s="128"/>
      <c r="AH132" s="48">
        <f>MAX(B132:AF132)</f>
        <v>20.5</v>
      </c>
      <c r="AI132" s="49">
        <f>MIN(B132:AF132)</f>
        <v>-56.8</v>
      </c>
    </row>
    <row r="133" spans="1:37" ht="15.75" thickBot="1" x14ac:dyDescent="0.3">
      <c r="A133" s="129" t="s">
        <v>153</v>
      </c>
      <c r="B133" s="119">
        <v>55.1</v>
      </c>
      <c r="C133" s="119"/>
      <c r="D133" s="119">
        <v>20.8</v>
      </c>
      <c r="E133" s="119">
        <v>7.9</v>
      </c>
      <c r="F133" s="119">
        <v>-33.700000000000003</v>
      </c>
      <c r="G133" s="119">
        <v>-45.2</v>
      </c>
      <c r="H133" s="119">
        <v>5.8</v>
      </c>
      <c r="I133" s="119">
        <v>-41.7</v>
      </c>
      <c r="J133" s="119">
        <v>-41.7</v>
      </c>
      <c r="K133" s="119">
        <v>5.8</v>
      </c>
      <c r="L133" s="119">
        <v>9.5</v>
      </c>
      <c r="M133" s="119">
        <v>17.5</v>
      </c>
      <c r="N133" s="119">
        <v>9</v>
      </c>
      <c r="O133" s="119">
        <v>0.1</v>
      </c>
      <c r="P133" s="119">
        <v>11</v>
      </c>
      <c r="Q133" s="119">
        <v>8.9</v>
      </c>
      <c r="R133" s="119">
        <v>25.5</v>
      </c>
      <c r="S133" s="119">
        <v>25.5</v>
      </c>
      <c r="T133" s="119">
        <v>33.799999999999997</v>
      </c>
      <c r="U133" s="119">
        <v>37.1</v>
      </c>
      <c r="V133" s="119">
        <v>54.9</v>
      </c>
      <c r="W133" s="119">
        <v>51.3</v>
      </c>
      <c r="X133" s="119">
        <v>40.9</v>
      </c>
      <c r="Y133" s="119">
        <v>28.3</v>
      </c>
      <c r="Z133" s="119">
        <v>42.5</v>
      </c>
      <c r="AA133" s="119">
        <v>54.9</v>
      </c>
      <c r="AB133" s="119">
        <v>54.9</v>
      </c>
      <c r="AC133" s="119">
        <v>54.9</v>
      </c>
      <c r="AD133" s="119">
        <v>66.5</v>
      </c>
      <c r="AE133" s="119">
        <v>64.599999999999994</v>
      </c>
      <c r="AF133" s="119">
        <v>47</v>
      </c>
      <c r="AG133" s="128"/>
      <c r="AH133" s="48">
        <f>MAX(B133:AF133)</f>
        <v>66.5</v>
      </c>
      <c r="AI133" s="49">
        <f>MIN(B133:AF133)</f>
        <v>-45.2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>
        <v>1484.2</v>
      </c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6">SUM(B142:B246)</f>
        <v>0</v>
      </c>
      <c r="C247" s="161">
        <f t="shared" si="56"/>
        <v>0</v>
      </c>
      <c r="D247" s="161">
        <f t="shared" si="56"/>
        <v>0</v>
      </c>
      <c r="E247" s="161">
        <f t="shared" si="56"/>
        <v>0</v>
      </c>
      <c r="F247" s="161">
        <f t="shared" si="56"/>
        <v>0</v>
      </c>
      <c r="G247" s="161">
        <f t="shared" si="56"/>
        <v>0</v>
      </c>
      <c r="H247" s="161">
        <f t="shared" si="56"/>
        <v>0</v>
      </c>
      <c r="I247" s="161">
        <f t="shared" si="56"/>
        <v>0</v>
      </c>
      <c r="J247" s="161">
        <f t="shared" si="56"/>
        <v>0</v>
      </c>
      <c r="K247" s="161">
        <f t="shared" si="56"/>
        <v>0</v>
      </c>
      <c r="L247" s="161">
        <f t="shared" si="56"/>
        <v>0</v>
      </c>
      <c r="M247" s="161">
        <f t="shared" si="56"/>
        <v>0</v>
      </c>
      <c r="N247" s="161">
        <f t="shared" si="56"/>
        <v>0</v>
      </c>
      <c r="O247" s="161">
        <f t="shared" si="56"/>
        <v>0</v>
      </c>
      <c r="P247" s="161">
        <f t="shared" si="56"/>
        <v>0</v>
      </c>
      <c r="Q247" s="161">
        <f t="shared" si="56"/>
        <v>0</v>
      </c>
      <c r="R247" s="161">
        <f t="shared" si="56"/>
        <v>0</v>
      </c>
      <c r="S247" s="161">
        <f t="shared" si="56"/>
        <v>0</v>
      </c>
      <c r="T247" s="161">
        <f t="shared" si="56"/>
        <v>0</v>
      </c>
      <c r="U247" s="161">
        <f t="shared" si="56"/>
        <v>0</v>
      </c>
      <c r="V247" s="161">
        <f t="shared" si="56"/>
        <v>0</v>
      </c>
      <c r="W247" s="161">
        <f t="shared" si="56"/>
        <v>0</v>
      </c>
      <c r="X247" s="161">
        <f t="shared" si="56"/>
        <v>0</v>
      </c>
      <c r="Y247" s="161">
        <f t="shared" si="56"/>
        <v>0</v>
      </c>
      <c r="Z247" s="161">
        <f t="shared" si="56"/>
        <v>0</v>
      </c>
      <c r="AA247" s="161">
        <f t="shared" si="56"/>
        <v>0</v>
      </c>
      <c r="AB247" s="161">
        <f t="shared" si="56"/>
        <v>0</v>
      </c>
      <c r="AC247" s="161">
        <f t="shared" si="56"/>
        <v>0</v>
      </c>
      <c r="AD247" s="161">
        <f t="shared" si="56"/>
        <v>0</v>
      </c>
      <c r="AE247" s="161">
        <f t="shared" si="56"/>
        <v>0</v>
      </c>
      <c r="AF247" s="162">
        <f t="shared" si="56"/>
        <v>0</v>
      </c>
      <c r="AG247" s="163">
        <f t="shared" si="56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7">AF249</f>
        <v>0.3</v>
      </c>
      <c r="C249" s="166">
        <v>0.3</v>
      </c>
      <c r="D249" s="166">
        <f t="shared" ref="D249:S254" si="58">C249</f>
        <v>0.3</v>
      </c>
      <c r="E249" s="166">
        <f t="shared" si="58"/>
        <v>0.3</v>
      </c>
      <c r="F249" s="166">
        <f t="shared" si="58"/>
        <v>0.3</v>
      </c>
      <c r="G249" s="166">
        <f t="shared" si="58"/>
        <v>0.3</v>
      </c>
      <c r="H249" s="166">
        <f t="shared" si="58"/>
        <v>0.3</v>
      </c>
      <c r="I249" s="166">
        <f t="shared" si="58"/>
        <v>0.3</v>
      </c>
      <c r="J249" s="166">
        <f t="shared" si="58"/>
        <v>0.3</v>
      </c>
      <c r="K249" s="166">
        <f t="shared" si="58"/>
        <v>0.3</v>
      </c>
      <c r="L249" s="166">
        <f t="shared" si="58"/>
        <v>0.3</v>
      </c>
      <c r="M249" s="166">
        <f t="shared" si="58"/>
        <v>0.3</v>
      </c>
      <c r="N249" s="166">
        <f t="shared" si="58"/>
        <v>0.3</v>
      </c>
      <c r="O249" s="166">
        <f t="shared" si="58"/>
        <v>0.3</v>
      </c>
      <c r="P249" s="166">
        <f t="shared" si="58"/>
        <v>0.3</v>
      </c>
      <c r="Q249" s="166">
        <f t="shared" si="58"/>
        <v>0.3</v>
      </c>
      <c r="R249" s="166">
        <f t="shared" si="58"/>
        <v>0.3</v>
      </c>
      <c r="S249" s="166">
        <f t="shared" si="58"/>
        <v>0.3</v>
      </c>
      <c r="T249" s="166">
        <f t="shared" ref="T249:AF254" si="59">S249</f>
        <v>0.3</v>
      </c>
      <c r="U249" s="166">
        <f t="shared" si="59"/>
        <v>0.3</v>
      </c>
      <c r="V249" s="166">
        <f t="shared" si="59"/>
        <v>0.3</v>
      </c>
      <c r="W249" s="166">
        <f t="shared" si="59"/>
        <v>0.3</v>
      </c>
      <c r="X249" s="166">
        <f t="shared" si="59"/>
        <v>0.3</v>
      </c>
      <c r="Y249" s="166">
        <f t="shared" si="59"/>
        <v>0.3</v>
      </c>
      <c r="Z249" s="166">
        <f t="shared" si="59"/>
        <v>0.3</v>
      </c>
      <c r="AA249" s="166">
        <f t="shared" si="59"/>
        <v>0.3</v>
      </c>
      <c r="AB249" s="166">
        <f t="shared" si="59"/>
        <v>0.3</v>
      </c>
      <c r="AC249" s="166">
        <f t="shared" si="59"/>
        <v>0.3</v>
      </c>
      <c r="AD249" s="166">
        <f t="shared" si="59"/>
        <v>0.3</v>
      </c>
      <c r="AE249" s="166">
        <f t="shared" si="59"/>
        <v>0.3</v>
      </c>
      <c r="AF249" s="166">
        <f t="shared" si="59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7"/>
        <v>0.4</v>
      </c>
      <c r="C250" s="152">
        <v>0.4</v>
      </c>
      <c r="D250" s="152">
        <f t="shared" si="58"/>
        <v>0.4</v>
      </c>
      <c r="E250" s="152">
        <f t="shared" si="58"/>
        <v>0.4</v>
      </c>
      <c r="F250" s="152">
        <f t="shared" si="58"/>
        <v>0.4</v>
      </c>
      <c r="G250" s="152">
        <f t="shared" si="58"/>
        <v>0.4</v>
      </c>
      <c r="H250" s="152">
        <f t="shared" si="58"/>
        <v>0.4</v>
      </c>
      <c r="I250" s="152">
        <f t="shared" si="58"/>
        <v>0.4</v>
      </c>
      <c r="J250" s="152">
        <f t="shared" si="58"/>
        <v>0.4</v>
      </c>
      <c r="K250" s="152">
        <f t="shared" si="58"/>
        <v>0.4</v>
      </c>
      <c r="L250" s="152">
        <f t="shared" si="58"/>
        <v>0.4</v>
      </c>
      <c r="M250" s="152">
        <f t="shared" si="58"/>
        <v>0.4</v>
      </c>
      <c r="N250" s="152">
        <f t="shared" si="58"/>
        <v>0.4</v>
      </c>
      <c r="O250" s="152">
        <f t="shared" si="58"/>
        <v>0.4</v>
      </c>
      <c r="P250" s="152">
        <f t="shared" si="58"/>
        <v>0.4</v>
      </c>
      <c r="Q250" s="152">
        <f t="shared" si="58"/>
        <v>0.4</v>
      </c>
      <c r="R250" s="152">
        <f t="shared" si="58"/>
        <v>0.4</v>
      </c>
      <c r="S250" s="152">
        <f t="shared" si="58"/>
        <v>0.4</v>
      </c>
      <c r="T250" s="152">
        <f t="shared" si="59"/>
        <v>0.4</v>
      </c>
      <c r="U250" s="152">
        <f t="shared" si="59"/>
        <v>0.4</v>
      </c>
      <c r="V250" s="152">
        <f t="shared" si="59"/>
        <v>0.4</v>
      </c>
      <c r="W250" s="152">
        <f t="shared" si="59"/>
        <v>0.4</v>
      </c>
      <c r="X250" s="152">
        <f t="shared" si="59"/>
        <v>0.4</v>
      </c>
      <c r="Y250" s="152">
        <f t="shared" si="59"/>
        <v>0.4</v>
      </c>
      <c r="Z250" s="152">
        <f t="shared" si="59"/>
        <v>0.4</v>
      </c>
      <c r="AA250" s="152">
        <f t="shared" si="59"/>
        <v>0.4</v>
      </c>
      <c r="AB250" s="152">
        <f t="shared" si="59"/>
        <v>0.4</v>
      </c>
      <c r="AC250" s="152">
        <f t="shared" si="59"/>
        <v>0.4</v>
      </c>
      <c r="AD250" s="152">
        <f t="shared" si="59"/>
        <v>0.4</v>
      </c>
      <c r="AE250" s="152">
        <f t="shared" si="59"/>
        <v>0.4</v>
      </c>
      <c r="AF250" s="152">
        <f t="shared" si="59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7"/>
        <v>1.5</v>
      </c>
      <c r="C251" s="152">
        <v>1.5</v>
      </c>
      <c r="D251" s="152">
        <f t="shared" si="58"/>
        <v>1.5</v>
      </c>
      <c r="E251" s="152">
        <f t="shared" si="58"/>
        <v>1.5</v>
      </c>
      <c r="F251" s="152">
        <f t="shared" si="58"/>
        <v>1.5</v>
      </c>
      <c r="G251" s="152">
        <f t="shared" si="58"/>
        <v>1.5</v>
      </c>
      <c r="H251" s="152">
        <f t="shared" si="58"/>
        <v>1.5</v>
      </c>
      <c r="I251" s="152">
        <f t="shared" si="58"/>
        <v>1.5</v>
      </c>
      <c r="J251" s="152">
        <f t="shared" si="58"/>
        <v>1.5</v>
      </c>
      <c r="K251" s="152">
        <f t="shared" si="58"/>
        <v>1.5</v>
      </c>
      <c r="L251" s="152">
        <f t="shared" si="58"/>
        <v>1.5</v>
      </c>
      <c r="M251" s="152">
        <f t="shared" si="58"/>
        <v>1.5</v>
      </c>
      <c r="N251" s="152">
        <f t="shared" si="58"/>
        <v>1.5</v>
      </c>
      <c r="O251" s="152">
        <f t="shared" si="58"/>
        <v>1.5</v>
      </c>
      <c r="P251" s="152">
        <f t="shared" si="58"/>
        <v>1.5</v>
      </c>
      <c r="Q251" s="152">
        <f t="shared" si="58"/>
        <v>1.5</v>
      </c>
      <c r="R251" s="152">
        <f t="shared" si="58"/>
        <v>1.5</v>
      </c>
      <c r="S251" s="152">
        <f t="shared" si="58"/>
        <v>1.5</v>
      </c>
      <c r="T251" s="152">
        <f t="shared" si="59"/>
        <v>1.5</v>
      </c>
      <c r="U251" s="152">
        <f t="shared" si="59"/>
        <v>1.5</v>
      </c>
      <c r="V251" s="152">
        <f t="shared" si="59"/>
        <v>1.5</v>
      </c>
      <c r="W251" s="152">
        <f t="shared" si="59"/>
        <v>1.5</v>
      </c>
      <c r="X251" s="152">
        <f t="shared" si="59"/>
        <v>1.5</v>
      </c>
      <c r="Y251" s="152">
        <f t="shared" si="59"/>
        <v>1.5</v>
      </c>
      <c r="Z251" s="152">
        <f t="shared" si="59"/>
        <v>1.5</v>
      </c>
      <c r="AA251" s="152">
        <f t="shared" si="59"/>
        <v>1.5</v>
      </c>
      <c r="AB251" s="152">
        <f t="shared" si="59"/>
        <v>1.5</v>
      </c>
      <c r="AC251" s="152">
        <f t="shared" si="59"/>
        <v>1.5</v>
      </c>
      <c r="AD251" s="152">
        <f t="shared" si="59"/>
        <v>1.5</v>
      </c>
      <c r="AE251" s="152">
        <f t="shared" si="59"/>
        <v>1.5</v>
      </c>
      <c r="AF251" s="152">
        <f t="shared" si="59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7"/>
        <v>0.3</v>
      </c>
      <c r="C252" s="152">
        <v>0.3</v>
      </c>
      <c r="D252" s="152">
        <f t="shared" si="58"/>
        <v>0.3</v>
      </c>
      <c r="E252" s="152">
        <f t="shared" si="58"/>
        <v>0.3</v>
      </c>
      <c r="F252" s="152">
        <f t="shared" si="58"/>
        <v>0.3</v>
      </c>
      <c r="G252" s="152">
        <f t="shared" si="58"/>
        <v>0.3</v>
      </c>
      <c r="H252" s="152">
        <f t="shared" si="58"/>
        <v>0.3</v>
      </c>
      <c r="I252" s="152">
        <f t="shared" si="58"/>
        <v>0.3</v>
      </c>
      <c r="J252" s="152">
        <f t="shared" si="58"/>
        <v>0.3</v>
      </c>
      <c r="K252" s="152">
        <f t="shared" si="58"/>
        <v>0.3</v>
      </c>
      <c r="L252" s="152">
        <f t="shared" si="58"/>
        <v>0.3</v>
      </c>
      <c r="M252" s="152">
        <f t="shared" si="58"/>
        <v>0.3</v>
      </c>
      <c r="N252" s="152">
        <f t="shared" si="58"/>
        <v>0.3</v>
      </c>
      <c r="O252" s="152">
        <f t="shared" si="58"/>
        <v>0.3</v>
      </c>
      <c r="P252" s="152">
        <f t="shared" si="58"/>
        <v>0.3</v>
      </c>
      <c r="Q252" s="152">
        <f t="shared" si="58"/>
        <v>0.3</v>
      </c>
      <c r="R252" s="152">
        <f t="shared" si="58"/>
        <v>0.3</v>
      </c>
      <c r="S252" s="152">
        <f t="shared" si="58"/>
        <v>0.3</v>
      </c>
      <c r="T252" s="152">
        <f t="shared" si="59"/>
        <v>0.3</v>
      </c>
      <c r="U252" s="152">
        <f t="shared" si="59"/>
        <v>0.3</v>
      </c>
      <c r="V252" s="152">
        <f t="shared" si="59"/>
        <v>0.3</v>
      </c>
      <c r="W252" s="152">
        <f t="shared" si="59"/>
        <v>0.3</v>
      </c>
      <c r="X252" s="152">
        <f t="shared" si="59"/>
        <v>0.3</v>
      </c>
      <c r="Y252" s="152">
        <f t="shared" si="59"/>
        <v>0.3</v>
      </c>
      <c r="Z252" s="152">
        <f t="shared" si="59"/>
        <v>0.3</v>
      </c>
      <c r="AA252" s="152">
        <f t="shared" si="59"/>
        <v>0.3</v>
      </c>
      <c r="AB252" s="152">
        <f t="shared" si="59"/>
        <v>0.3</v>
      </c>
      <c r="AC252" s="152">
        <f t="shared" si="59"/>
        <v>0.3</v>
      </c>
      <c r="AD252" s="152">
        <f t="shared" si="59"/>
        <v>0.3</v>
      </c>
      <c r="AE252" s="152">
        <f t="shared" si="59"/>
        <v>0.3</v>
      </c>
      <c r="AF252" s="152">
        <f t="shared" si="59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7"/>
        <v>0.4</v>
      </c>
      <c r="C253" s="152">
        <v>0.4</v>
      </c>
      <c r="D253" s="152">
        <f t="shared" si="58"/>
        <v>0.4</v>
      </c>
      <c r="E253" s="152">
        <f t="shared" si="58"/>
        <v>0.4</v>
      </c>
      <c r="F253" s="152">
        <f t="shared" si="58"/>
        <v>0.4</v>
      </c>
      <c r="G253" s="152">
        <f t="shared" si="58"/>
        <v>0.4</v>
      </c>
      <c r="H253" s="152">
        <f t="shared" si="58"/>
        <v>0.4</v>
      </c>
      <c r="I253" s="152">
        <f t="shared" si="58"/>
        <v>0.4</v>
      </c>
      <c r="J253" s="152">
        <f t="shared" si="58"/>
        <v>0.4</v>
      </c>
      <c r="K253" s="152">
        <f t="shared" si="58"/>
        <v>0.4</v>
      </c>
      <c r="L253" s="152">
        <f t="shared" si="58"/>
        <v>0.4</v>
      </c>
      <c r="M253" s="152">
        <f t="shared" si="58"/>
        <v>0.4</v>
      </c>
      <c r="N253" s="152">
        <f t="shared" si="58"/>
        <v>0.4</v>
      </c>
      <c r="O253" s="152">
        <f t="shared" si="58"/>
        <v>0.4</v>
      </c>
      <c r="P253" s="152">
        <f t="shared" si="58"/>
        <v>0.4</v>
      </c>
      <c r="Q253" s="152">
        <f t="shared" si="58"/>
        <v>0.4</v>
      </c>
      <c r="R253" s="152">
        <f t="shared" si="58"/>
        <v>0.4</v>
      </c>
      <c r="S253" s="152">
        <f t="shared" si="58"/>
        <v>0.4</v>
      </c>
      <c r="T253" s="152">
        <f t="shared" si="59"/>
        <v>0.4</v>
      </c>
      <c r="U253" s="152">
        <f t="shared" si="59"/>
        <v>0.4</v>
      </c>
      <c r="V253" s="152">
        <f t="shared" si="59"/>
        <v>0.4</v>
      </c>
      <c r="W253" s="152">
        <f t="shared" si="59"/>
        <v>0.4</v>
      </c>
      <c r="X253" s="152">
        <f t="shared" si="59"/>
        <v>0.4</v>
      </c>
      <c r="Y253" s="152">
        <f t="shared" si="59"/>
        <v>0.4</v>
      </c>
      <c r="Z253" s="152">
        <f t="shared" si="59"/>
        <v>0.4</v>
      </c>
      <c r="AA253" s="152">
        <f t="shared" si="59"/>
        <v>0.4</v>
      </c>
      <c r="AB253" s="152">
        <f t="shared" si="59"/>
        <v>0.4</v>
      </c>
      <c r="AC253" s="152">
        <f t="shared" si="59"/>
        <v>0.4</v>
      </c>
      <c r="AD253" s="152">
        <f t="shared" si="59"/>
        <v>0.4</v>
      </c>
      <c r="AE253" s="152">
        <f t="shared" si="59"/>
        <v>0.4</v>
      </c>
      <c r="AF253" s="152">
        <f t="shared" si="59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7"/>
        <v>0.64</v>
      </c>
      <c r="C254" s="157">
        <v>0.64</v>
      </c>
      <c r="D254" s="157">
        <f t="shared" si="58"/>
        <v>0.64</v>
      </c>
      <c r="E254" s="157">
        <f t="shared" si="58"/>
        <v>0.64</v>
      </c>
      <c r="F254" s="157">
        <f t="shared" si="58"/>
        <v>0.64</v>
      </c>
      <c r="G254" s="157">
        <f t="shared" si="58"/>
        <v>0.64</v>
      </c>
      <c r="H254" s="157">
        <f t="shared" si="58"/>
        <v>0.64</v>
      </c>
      <c r="I254" s="157">
        <f t="shared" si="58"/>
        <v>0.64</v>
      </c>
      <c r="J254" s="157">
        <f t="shared" si="58"/>
        <v>0.64</v>
      </c>
      <c r="K254" s="157">
        <f t="shared" si="58"/>
        <v>0.64</v>
      </c>
      <c r="L254" s="157">
        <f t="shared" si="58"/>
        <v>0.64</v>
      </c>
      <c r="M254" s="157">
        <f t="shared" si="58"/>
        <v>0.64</v>
      </c>
      <c r="N254" s="157">
        <f t="shared" si="58"/>
        <v>0.64</v>
      </c>
      <c r="O254" s="157">
        <f t="shared" si="58"/>
        <v>0.64</v>
      </c>
      <c r="P254" s="157">
        <f t="shared" si="58"/>
        <v>0.64</v>
      </c>
      <c r="Q254" s="157">
        <f t="shared" si="58"/>
        <v>0.64</v>
      </c>
      <c r="R254" s="157">
        <f t="shared" si="58"/>
        <v>0.64</v>
      </c>
      <c r="S254" s="157">
        <f t="shared" si="58"/>
        <v>0.64</v>
      </c>
      <c r="T254" s="157">
        <f t="shared" si="59"/>
        <v>0.64</v>
      </c>
      <c r="U254" s="157">
        <f t="shared" si="59"/>
        <v>0.64</v>
      </c>
      <c r="V254" s="157">
        <f t="shared" si="59"/>
        <v>0.64</v>
      </c>
      <c r="W254" s="157">
        <f t="shared" si="59"/>
        <v>0.64</v>
      </c>
      <c r="X254" s="157">
        <f t="shared" si="59"/>
        <v>0.64</v>
      </c>
      <c r="Y254" s="157">
        <f t="shared" si="59"/>
        <v>0.64</v>
      </c>
      <c r="Z254" s="157">
        <f t="shared" si="59"/>
        <v>0.64</v>
      </c>
      <c r="AA254" s="157">
        <f t="shared" si="59"/>
        <v>0.64</v>
      </c>
      <c r="AB254" s="157">
        <f t="shared" si="59"/>
        <v>0.64</v>
      </c>
      <c r="AC254" s="157">
        <f t="shared" si="59"/>
        <v>0.64</v>
      </c>
      <c r="AD254" s="157">
        <f t="shared" si="59"/>
        <v>0.64</v>
      </c>
      <c r="AE254" s="157">
        <f t="shared" si="59"/>
        <v>0.64</v>
      </c>
      <c r="AF254" s="157">
        <f t="shared" si="59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60">SUM(B249:B254)</f>
        <v>3.54</v>
      </c>
      <c r="C255" s="161">
        <f t="shared" si="60"/>
        <v>3.54</v>
      </c>
      <c r="D255" s="161">
        <f t="shared" si="60"/>
        <v>3.54</v>
      </c>
      <c r="E255" s="161">
        <f t="shared" si="60"/>
        <v>3.54</v>
      </c>
      <c r="F255" s="161">
        <f t="shared" si="60"/>
        <v>3.54</v>
      </c>
      <c r="G255" s="161">
        <f t="shared" si="60"/>
        <v>3.54</v>
      </c>
      <c r="H255" s="161">
        <f t="shared" si="60"/>
        <v>3.54</v>
      </c>
      <c r="I255" s="161">
        <f t="shared" si="60"/>
        <v>3.54</v>
      </c>
      <c r="J255" s="161">
        <f t="shared" si="60"/>
        <v>3.54</v>
      </c>
      <c r="K255" s="161">
        <f t="shared" si="60"/>
        <v>3.54</v>
      </c>
      <c r="L255" s="161">
        <f t="shared" si="60"/>
        <v>3.54</v>
      </c>
      <c r="M255" s="161">
        <f t="shared" si="60"/>
        <v>3.54</v>
      </c>
      <c r="N255" s="161">
        <f t="shared" si="60"/>
        <v>3.54</v>
      </c>
      <c r="O255" s="161">
        <f t="shared" si="60"/>
        <v>3.54</v>
      </c>
      <c r="P255" s="161">
        <f t="shared" si="60"/>
        <v>3.54</v>
      </c>
      <c r="Q255" s="161">
        <f t="shared" si="60"/>
        <v>3.54</v>
      </c>
      <c r="R255" s="161">
        <f t="shared" si="60"/>
        <v>3.54</v>
      </c>
      <c r="S255" s="161">
        <f t="shared" si="60"/>
        <v>3.54</v>
      </c>
      <c r="T255" s="161">
        <f t="shared" si="60"/>
        <v>3.54</v>
      </c>
      <c r="U255" s="161">
        <f t="shared" si="60"/>
        <v>3.54</v>
      </c>
      <c r="V255" s="161">
        <f t="shared" si="60"/>
        <v>3.54</v>
      </c>
      <c r="W255" s="161">
        <f t="shared" si="60"/>
        <v>3.54</v>
      </c>
      <c r="X255" s="161">
        <f t="shared" si="60"/>
        <v>3.54</v>
      </c>
      <c r="Y255" s="161">
        <f t="shared" si="60"/>
        <v>3.54</v>
      </c>
      <c r="Z255" s="161">
        <f t="shared" si="60"/>
        <v>3.54</v>
      </c>
      <c r="AA255" s="161">
        <f t="shared" si="60"/>
        <v>3.54</v>
      </c>
      <c r="AB255" s="161">
        <f t="shared" si="60"/>
        <v>3.54</v>
      </c>
      <c r="AC255" s="161">
        <f t="shared" si="60"/>
        <v>3.54</v>
      </c>
      <c r="AD255" s="161">
        <f t="shared" si="60"/>
        <v>3.54</v>
      </c>
      <c r="AE255" s="161">
        <f t="shared" si="60"/>
        <v>3.54</v>
      </c>
      <c r="AF255" s="161">
        <f t="shared" si="60"/>
        <v>3.54</v>
      </c>
      <c r="AG255" s="171">
        <f t="shared" si="60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1738.49</v>
      </c>
      <c r="C259" s="174">
        <f>INDEX(G9:N9,1,MATCH(MAX(G102:N102),G102:N102,0))</f>
        <v>0.20833333333333301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2080/10/12)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2846" priority="80">
      <formula>$AH11=0</formula>
    </cfRule>
  </conditionalFormatting>
  <conditionalFormatting sqref="A89">
    <cfRule type="expression" dxfId="2845" priority="138">
      <formula>$AH94=0</formula>
    </cfRule>
  </conditionalFormatting>
  <conditionalFormatting sqref="A90:A94">
    <cfRule type="expression" dxfId="2844" priority="81">
      <formula>$AH89=0</formula>
    </cfRule>
  </conditionalFormatting>
  <conditionalFormatting sqref="B8">
    <cfRule type="expression" dxfId="2843" priority="134">
      <formula>AND(C$9&gt;=14/24,C$9&lt;20/24)</formula>
    </cfRule>
    <cfRule type="expression" dxfId="2842" priority="135">
      <formula>AND(C$9&gt;=8/24,C$9&lt;14/24)</formula>
    </cfRule>
    <cfRule type="expression" dxfId="2841" priority="136">
      <formula>C$9&lt;8/24</formula>
    </cfRule>
    <cfRule type="expression" dxfId="2840" priority="137">
      <formula>C$9&gt;=20/24</formula>
    </cfRule>
  </conditionalFormatting>
  <conditionalFormatting sqref="B11:E57 K12:R14 F12:J57 K15:AF57 B62:D71 E66:E77 B72:AF77 B80:AF102 B9:AF10 B104:AF120 B122:AF140 B247:AF247 B249:B255">
    <cfRule type="expression" dxfId="2839" priority="41">
      <formula>B$9&gt;=20/24</formula>
    </cfRule>
  </conditionalFormatting>
  <conditionalFormatting sqref="B11:E60 F12:J60 K15:P60 AB15:AF60 Q15:R77 S15:AA83 K12:R14 Q20:AA20 AB61:AG61 B61:P77 AB62:AF64 AB65:AG65 AB66:AF83 O70:Q70 B78:R83 AG83">
    <cfRule type="expression" dxfId="2838" priority="40">
      <formula>B11&gt;$AG11</formula>
    </cfRule>
  </conditionalFormatting>
  <conditionalFormatting sqref="B9:AF10 B11:E57 K12:R14 F12:J57 K15:AF57 B62:D71 E66:E77 B72:AF77 B80:AF102 B104:AF120 B122:AF140 B247:AF247 B249:B255">
    <cfRule type="expression" dxfId="2837" priority="42">
      <formula>AND(B$9&gt;=14/24,B$9&lt;20/24)</formula>
    </cfRule>
    <cfRule type="expression" dxfId="2836" priority="43">
      <formula>AND(B$9&gt;=8/24,B$9&lt;14/24)</formula>
    </cfRule>
    <cfRule type="expression" dxfId="2835" priority="44">
      <formula>B$9&lt;8/24</formula>
    </cfRule>
  </conditionalFormatting>
  <conditionalFormatting sqref="B58:AF60">
    <cfRule type="expression" dxfId="2834" priority="37">
      <formula>B$9&gt;=20/24</formula>
    </cfRule>
    <cfRule type="expression" dxfId="2833" priority="38">
      <formula>AND(B$9&gt;=14/24,B$9&lt;20/24)</formula>
    </cfRule>
    <cfRule type="expression" dxfId="2832" priority="39">
      <formula>AND(B$9&gt;=8/24,B$9&lt;14/24)</formula>
    </cfRule>
    <cfRule type="expression" dxfId="2831" priority="49">
      <formula>B$9&lt;8/24</formula>
    </cfRule>
  </conditionalFormatting>
  <conditionalFormatting sqref="D249:AF255">
    <cfRule type="expression" dxfId="2830" priority="119">
      <formula>D$9&gt;=20/24</formula>
    </cfRule>
    <cfRule type="expression" dxfId="2829" priority="120">
      <formula>AND(D$9&gt;=14/24,D$9&lt;20/24)</formula>
    </cfRule>
    <cfRule type="expression" dxfId="2828" priority="121">
      <formula>AND(D$9&gt;=8/24,D$9&lt;14/24)</formula>
    </cfRule>
    <cfRule type="expression" dxfId="2827" priority="122">
      <formula>D$9&lt;8/24</formula>
    </cfRule>
  </conditionalFormatting>
  <conditionalFormatting sqref="E62:AF71">
    <cfRule type="expression" dxfId="2826" priority="45">
      <formula>E$9&gt;=20/24</formula>
    </cfRule>
    <cfRule type="expression" dxfId="2825" priority="46">
      <formula>AND(E$9&gt;=14/24,E$9&lt;20/24)</formula>
    </cfRule>
    <cfRule type="expression" dxfId="2824" priority="47">
      <formula>AND(E$9&gt;=8/24,E$9&lt;14/24)</formula>
    </cfRule>
    <cfRule type="expression" dxfId="2823" priority="48">
      <formula>E$9&lt;8/24</formula>
    </cfRule>
  </conditionalFormatting>
  <conditionalFormatting sqref="F11:R11 S11:AF14">
    <cfRule type="expression" dxfId="2822" priority="54">
      <formula>F11&gt;$AG11</formula>
    </cfRule>
    <cfRule type="expression" dxfId="2821" priority="55">
      <formula>F$9&gt;=20/24</formula>
    </cfRule>
    <cfRule type="expression" dxfId="2820" priority="56">
      <formula>AND(F$9&gt;=14/24,F$9&lt;20/24)</formula>
    </cfRule>
    <cfRule type="expression" dxfId="2819" priority="57">
      <formula>AND(F$9&gt;=8/24,F$9&lt;14/24)</formula>
    </cfRule>
    <cfRule type="expression" dxfId="2818" priority="58">
      <formula>F$9&lt;8/24</formula>
    </cfRule>
  </conditionalFormatting>
  <conditionalFormatting sqref="F66:AF68">
    <cfRule type="expression" dxfId="2817" priority="72">
      <formula>F$9&gt;=20/24</formula>
    </cfRule>
    <cfRule type="expression" dxfId="2816" priority="73">
      <formula>AND(F$9&gt;=14/24,F$9&lt;20/24)</formula>
    </cfRule>
    <cfRule type="expression" dxfId="2815" priority="74">
      <formula>AND(F$9&gt;=8/24,F$9&lt;14/24)</formula>
    </cfRule>
    <cfRule type="expression" dxfId="2814" priority="75">
      <formula>F$9&lt;8/24</formula>
    </cfRule>
  </conditionalFormatting>
  <conditionalFormatting sqref="L71:AF71">
    <cfRule type="expression" dxfId="2813" priority="68">
      <formula>L$9&gt;=20/24</formula>
    </cfRule>
    <cfRule type="expression" dxfId="2812" priority="69">
      <formula>AND(L$9&gt;=14/24,L$9&lt;20/24)</formula>
    </cfRule>
    <cfRule type="expression" dxfId="2811" priority="70">
      <formula>AND(L$9&gt;=8/24,L$9&lt;14/24)</formula>
    </cfRule>
    <cfRule type="expression" dxfId="2810" priority="71">
      <formula>L$9&lt;8/24</formula>
    </cfRule>
  </conditionalFormatting>
  <conditionalFormatting sqref="M8 S8 AB8">
    <cfRule type="expression" dxfId="2809" priority="126">
      <formula>AND(N$9&gt;=14/24,N$9&lt;20/24)</formula>
    </cfRule>
    <cfRule type="expression" dxfId="2808" priority="127">
      <formula>AND(N$9&gt;=8/24,N$9&lt;14/24)</formula>
    </cfRule>
    <cfRule type="expression" dxfId="2807" priority="128">
      <formula>N$9&lt;8/24</formula>
    </cfRule>
  </conditionalFormatting>
  <conditionalFormatting sqref="M66:AF70">
    <cfRule type="expression" dxfId="2806" priority="76">
      <formula>M$9&gt;=20/24</formula>
    </cfRule>
    <cfRule type="expression" dxfId="2805" priority="77">
      <formula>AND(M$9&gt;=14/24,M$9&lt;20/24)</formula>
    </cfRule>
    <cfRule type="expression" dxfId="2804" priority="78">
      <formula>AND(M$9&gt;=8/24,M$9&lt;14/24)</formula>
    </cfRule>
    <cfRule type="expression" dxfId="2803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02" priority="125">
      <formula>N$9&gt;=20/24</formula>
    </cfRule>
  </conditionalFormatting>
  <conditionalFormatting sqref="S8">
    <cfRule type="expression" dxfId="2801" priority="112">
      <formula>U$9&gt;=20/24</formula>
    </cfRule>
    <cfRule type="expression" dxfId="2800" priority="113">
      <formula>AND(U$9&gt;=14/24,U$9&lt;20/24)</formula>
    </cfRule>
    <cfRule type="expression" dxfId="2799" priority="114">
      <formula>AND(U$9&gt;=8/24,U$9&lt;14/24)</formula>
    </cfRule>
    <cfRule type="expression" dxfId="2798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797" priority="108">
      <formula>AD$9&gt;=20/24</formula>
    </cfRule>
    <cfRule type="expression" dxfId="2796" priority="109">
      <formula>AND(AD$9&gt;=14/24,AD$9&lt;20/24)</formula>
    </cfRule>
    <cfRule type="expression" dxfId="2795" priority="110">
      <formula>AND(AD$9&gt;=8/24,AD$9&lt;14/24)</formula>
    </cfRule>
    <cfRule type="expression" dxfId="2794" priority="111">
      <formula>AD$9&lt;8/24</formula>
    </cfRule>
  </conditionalFormatting>
  <conditionalFormatting sqref="AB66:AF71">
    <cfRule type="expression" dxfId="2793" priority="64">
      <formula>AB$9&gt;=20/24</formula>
    </cfRule>
    <cfRule type="expression" dxfId="2792" priority="65">
      <formula>AND(AB$9&gt;=14/24,AB$9&lt;20/24)</formula>
    </cfRule>
    <cfRule type="expression" dxfId="2791" priority="66">
      <formula>AND(AB$9&gt;=8/24,AB$9&lt;14/24)</formula>
    </cfRule>
    <cfRule type="expression" dxfId="2790" priority="67">
      <formula>AB$9&lt;8/24</formula>
    </cfRule>
  </conditionalFormatting>
  <conditionalFormatting sqref="AG65">
    <cfRule type="expression" dxfId="2789" priority="87">
      <formula>AG$9&gt;=20/24</formula>
    </cfRule>
    <cfRule type="expression" dxfId="2788" priority="88">
      <formula>AND(AG$9&gt;=14/24,AG$9&lt;20/24)</formula>
    </cfRule>
    <cfRule type="expression" dxfId="2787" priority="89">
      <formula>AND(AG$9&gt;=8/24,AG$9&lt;14/24)</formula>
    </cfRule>
    <cfRule type="expression" dxfId="2786" priority="90">
      <formula>AG$9&lt;8/24</formula>
    </cfRule>
  </conditionalFormatting>
  <conditionalFormatting sqref="AG78:AG79">
    <cfRule type="expression" dxfId="2785" priority="82">
      <formula>AG78&gt;$AG78</formula>
    </cfRule>
  </conditionalFormatting>
  <conditionalFormatting sqref="AG83">
    <cfRule type="expression" dxfId="2784" priority="83">
      <formula>AG$9&gt;=20/24</formula>
    </cfRule>
    <cfRule type="expression" dxfId="2783" priority="84">
      <formula>AND(AG$9&gt;=14/24,AG$9&lt;20/24)</formula>
    </cfRule>
    <cfRule type="expression" dxfId="2782" priority="85">
      <formula>AND(AG$9&gt;=8/24,AG$9&lt;14/24)</formula>
    </cfRule>
    <cfRule type="expression" dxfId="2781" priority="86">
      <formula>AG$9&lt;8/24</formula>
    </cfRule>
  </conditionalFormatting>
  <conditionalFormatting sqref="AG100">
    <cfRule type="expression" dxfId="2780" priority="104">
      <formula>AG$9&gt;=20/24</formula>
    </cfRule>
    <cfRule type="expression" dxfId="2779" priority="105">
      <formula>AND(AG$9&gt;=14/24,AG$9&lt;20/24)</formula>
    </cfRule>
    <cfRule type="expression" dxfId="2778" priority="106">
      <formula>AND(AG$9&gt;=8/24,AG$9&lt;14/24)</formula>
    </cfRule>
    <cfRule type="expression" dxfId="2777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776" priority="129">
      <formula>AJ$9&gt;=20/24</formula>
    </cfRule>
    <cfRule type="expression" dxfId="2775" priority="130">
      <formula>AND(AJ$9&gt;=14/24,AJ$9&lt;20/24)</formula>
    </cfRule>
    <cfRule type="expression" dxfId="2774" priority="131">
      <formula>AND(AJ$9&gt;=8/24,AJ$9&lt;14/24)</formula>
    </cfRule>
    <cfRule type="expression" dxfId="2773" priority="132">
      <formula>AJ$9&lt;8/24</formula>
    </cfRule>
  </conditionalFormatting>
  <conditionalFormatting sqref="AL86:AN86 AL92:AN92">
    <cfRule type="expression" dxfId="2772" priority="97">
      <formula>AL$9&gt;=20/24</formula>
    </cfRule>
    <cfRule type="expression" dxfId="2771" priority="98">
      <formula>AND(AL$9&gt;=14/24,AL$9&lt;20/24)</formula>
    </cfRule>
    <cfRule type="expression" dxfId="2770" priority="99">
      <formula>AND(AL$9&gt;=8/24,AL$9&lt;14/24)</formula>
    </cfRule>
    <cfRule type="expression" dxfId="2769" priority="100">
      <formula>AL$9&lt;8/24</formula>
    </cfRule>
  </conditionalFormatting>
  <conditionalFormatting sqref="AM15:AM21 AN16:AR21">
    <cfRule type="expression" dxfId="2768" priority="13">
      <formula>AX$9&gt;=20/24</formula>
    </cfRule>
    <cfRule type="expression" dxfId="2767" priority="14">
      <formula>AND(AX$9&gt;=14/24,AX$9&lt;20/24)</formula>
    </cfRule>
    <cfRule type="expression" dxfId="2766" priority="15">
      <formula>AND(AX$9&gt;=8/24,AX$9&lt;14/24)</formula>
    </cfRule>
    <cfRule type="expression" dxfId="2765" priority="16">
      <formula>AX$9&lt;8/24</formula>
    </cfRule>
  </conditionalFormatting>
  <conditionalFormatting sqref="AN87:AN90">
    <cfRule type="expression" dxfId="2764" priority="93">
      <formula>AN$9&gt;=20/24</formula>
    </cfRule>
    <cfRule type="expression" dxfId="2763" priority="94">
      <formula>AND(AN$9&gt;=14/24,AN$9&lt;20/24)</formula>
    </cfRule>
    <cfRule type="expression" dxfId="2762" priority="95">
      <formula>AND(AN$9&gt;=8/24,AN$9&lt;14/24)</formula>
    </cfRule>
    <cfRule type="expression" dxfId="2761" priority="96">
      <formula>AN$9&lt;8/24</formula>
    </cfRule>
  </conditionalFormatting>
  <conditionalFormatting sqref="AN15:AR15">
    <cfRule type="expression" dxfId="2760" priority="1">
      <formula>U$9&gt;=20/24</formula>
    </cfRule>
    <cfRule type="expression" dxfId="2759" priority="2">
      <formula>AND(U$9&gt;=14/24,U$9&lt;20/24)</formula>
    </cfRule>
    <cfRule type="expression" dxfId="2758" priority="3">
      <formula>AND(U$9&gt;=8/24,U$9&lt;14/24)</formula>
    </cfRule>
    <cfRule type="expression" dxfId="2757" priority="4">
      <formula>U$9&lt;8/24</formula>
    </cfRule>
  </conditionalFormatting>
  <conditionalFormatting sqref="AS15">
    <cfRule type="expression" dxfId="2756" priority="9">
      <formula>AA$9&gt;=20/24</formula>
    </cfRule>
    <cfRule type="expression" dxfId="2755" priority="10">
      <formula>AND(AA$9&gt;=14/24,AA$9&lt;20/24)</formula>
    </cfRule>
    <cfRule type="expression" dxfId="2754" priority="11">
      <formula>AND(AA$9&gt;=8/24,AA$9&lt;14/24)</formula>
    </cfRule>
    <cfRule type="expression" dxfId="2753" priority="12">
      <formula>AA$9&lt;8/24</formula>
    </cfRule>
  </conditionalFormatting>
  <conditionalFormatting sqref="AS16:AS21">
    <cfRule type="expression" dxfId="2752" priority="17">
      <formula>BE$9&gt;=20/24</formula>
    </cfRule>
    <cfRule type="expression" dxfId="2751" priority="18">
      <formula>AND(BE$9&gt;=14/24,BE$9&lt;20/24)</formula>
    </cfRule>
    <cfRule type="expression" dxfId="2750" priority="19">
      <formula>AND(BE$9&gt;=8/24,BE$9&lt;14/24)</formula>
    </cfRule>
    <cfRule type="expression" dxfId="2749" priority="20">
      <formula>BE$9&lt;8/24</formula>
    </cfRule>
  </conditionalFormatting>
  <conditionalFormatting sqref="AT15 AX15:BJ15">
    <cfRule type="expression" dxfId="2748" priority="21">
      <formula>AC$9&gt;=20/24</formula>
    </cfRule>
    <cfRule type="expression" dxfId="2747" priority="22">
      <formula>AND(AC$9&gt;=14/24,AC$9&lt;20/24)</formula>
    </cfRule>
    <cfRule type="expression" dxfId="2746" priority="23">
      <formula>AND(AC$9&gt;=8/24,AC$9&lt;14/24)</formula>
    </cfRule>
    <cfRule type="expression" dxfId="2745" priority="24">
      <formula>AC$9&lt;8/24</formula>
    </cfRule>
  </conditionalFormatting>
  <conditionalFormatting sqref="AT16:AT21">
    <cfRule type="expression" dxfId="2744" priority="25">
      <formula>BG$9&gt;=20/24</formula>
    </cfRule>
    <cfRule type="expression" dxfId="2743" priority="26">
      <formula>AND(BG$9&gt;=14/24,BG$9&lt;20/24)</formula>
    </cfRule>
    <cfRule type="expression" dxfId="2742" priority="27">
      <formula>AND(BG$9&gt;=8/24,BG$9&lt;14/24)</formula>
    </cfRule>
    <cfRule type="expression" dxfId="2741" priority="28">
      <formula>BG$9&lt;8/24</formula>
    </cfRule>
  </conditionalFormatting>
  <conditionalFormatting sqref="AU15:AV15">
    <cfRule type="expression" dxfId="2740" priority="29">
      <formula>AE$9&gt;=20/24</formula>
    </cfRule>
    <cfRule type="expression" dxfId="2739" priority="30">
      <formula>AND(AE$9&gt;=14/24,AE$9&lt;20/24)</formula>
    </cfRule>
    <cfRule type="expression" dxfId="2738" priority="31">
      <formula>AND(AE$9&gt;=8/24,AE$9&lt;14/24)</formula>
    </cfRule>
    <cfRule type="expression" dxfId="2737" priority="32">
      <formula>AE$9&lt;8/24</formula>
    </cfRule>
  </conditionalFormatting>
  <conditionalFormatting sqref="AU16:BJ21">
    <cfRule type="expression" dxfId="2736" priority="33">
      <formula>BI$9&gt;=20/24</formula>
    </cfRule>
    <cfRule type="expression" dxfId="2735" priority="34">
      <formula>AND(BI$9&gt;=14/24,BI$9&lt;20/24)</formula>
    </cfRule>
    <cfRule type="expression" dxfId="2734" priority="35">
      <formula>AND(BI$9&gt;=8/24,BI$9&lt;14/24)</formula>
    </cfRule>
    <cfRule type="expression" dxfId="2733" priority="36">
      <formula>BI$9&lt;8/24</formula>
    </cfRule>
  </conditionalFormatting>
  <conditionalFormatting sqref="AW15">
    <cfRule type="expression" dxfId="2732" priority="5">
      <formula>B$9&gt;=20/24</formula>
    </cfRule>
    <cfRule type="expression" dxfId="2731" priority="6">
      <formula>AND(B$9&gt;=14/24,B$9&lt;20/24)</formula>
    </cfRule>
    <cfRule type="expression" dxfId="2730" priority="7">
      <formula>AND(B$9&gt;=8/24,B$9&lt;14/24)</formula>
    </cfRule>
    <cfRule type="expression" dxfId="272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877E-1ECC-4DC0-BD2A-5921E22C3EAD}">
  <dimension ref="A1:CJ297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F70" sqref="AF7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2080/10/13</v>
      </c>
      <c r="C4" s="189"/>
      <c r="D4" s="189"/>
      <c r="E4" s="190" t="str">
        <f ca="1">"2080/"&amp;"10/"&amp;INT(MID(CELL("filename",G6),FIND("]",CELL("filename",G6))+1,200))</f>
        <v>2080/10/13</v>
      </c>
      <c r="F4" s="190"/>
      <c r="G4" s="190"/>
      <c r="H4" s="190" t="str">
        <f ca="1">TEXT(E4,"dddd")</f>
        <v>Sunday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11.4</v>
      </c>
      <c r="P5" s="30">
        <f t="shared" si="0"/>
        <v>34</v>
      </c>
      <c r="Q5" s="30">
        <f t="shared" si="0"/>
        <v>27.3</v>
      </c>
      <c r="R5" s="30">
        <f t="shared" si="0"/>
        <v>31.3</v>
      </c>
      <c r="S5" s="30">
        <f t="shared" si="0"/>
        <v>28</v>
      </c>
      <c r="T5" s="30">
        <f t="shared" si="0"/>
        <v>2.2999999999999998</v>
      </c>
      <c r="U5" s="30">
        <f t="shared" si="0"/>
        <v>0</v>
      </c>
      <c r="V5" s="30">
        <f t="shared" si="0"/>
        <v>19.100000000000001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4</v>
      </c>
      <c r="AA5" s="30">
        <f t="shared" si="0"/>
        <v>22.2</v>
      </c>
      <c r="AB5" s="30">
        <f t="shared" si="0"/>
        <v>16.899999999999999</v>
      </c>
      <c r="AC5" s="30">
        <f t="shared" si="0"/>
        <v>20.7</v>
      </c>
      <c r="AD5" s="30">
        <f t="shared" si="0"/>
        <v>0</v>
      </c>
      <c r="AE5" s="30">
        <f t="shared" si="0"/>
        <v>24.1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2024MW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Load=1302</v>
      </c>
      <c r="B7" s="35">
        <f t="shared" ref="B7:AF7" si="1">B103</f>
        <v>1460.1399999999999</v>
      </c>
      <c r="C7" s="35">
        <f t="shared" si="1"/>
        <v>1404.1399999999999</v>
      </c>
      <c r="D7" s="35">
        <f t="shared" si="1"/>
        <v>1383.1399999999999</v>
      </c>
      <c r="E7" s="35">
        <f t="shared" si="1"/>
        <v>1355.04</v>
      </c>
      <c r="F7" s="35">
        <f t="shared" si="1"/>
        <v>1318.44</v>
      </c>
      <c r="G7" s="35">
        <f t="shared" si="1"/>
        <v>1325.8400000000001</v>
      </c>
      <c r="H7" s="35">
        <f t="shared" si="1"/>
        <v>1302.3400000000001</v>
      </c>
      <c r="I7" s="35">
        <f t="shared" si="1"/>
        <v>1333.6400000000003</v>
      </c>
      <c r="J7" s="35">
        <f t="shared" si="1"/>
        <v>1409.2400000000002</v>
      </c>
      <c r="K7" s="35">
        <f t="shared" si="1"/>
        <v>1505.8400000000001</v>
      </c>
      <c r="L7" s="35">
        <f t="shared" si="1"/>
        <v>1496.44</v>
      </c>
      <c r="M7" s="35">
        <f t="shared" si="1"/>
        <v>1503.8400000000001</v>
      </c>
      <c r="N7" s="35">
        <f t="shared" si="1"/>
        <v>1503.8400000000001</v>
      </c>
      <c r="O7" s="35">
        <f t="shared" si="1"/>
        <v>1503.8400000000001</v>
      </c>
      <c r="P7" s="35">
        <f t="shared" si="1"/>
        <v>1617.74</v>
      </c>
      <c r="Q7" s="35">
        <f t="shared" si="1"/>
        <v>1626.34</v>
      </c>
      <c r="R7" s="35">
        <f t="shared" si="1"/>
        <v>1604.1399999999999</v>
      </c>
      <c r="S7" s="35">
        <f t="shared" si="1"/>
        <v>1681.9399999999998</v>
      </c>
      <c r="T7" s="35">
        <f t="shared" si="1"/>
        <v>1637.04</v>
      </c>
      <c r="U7" s="35">
        <f t="shared" si="1"/>
        <v>1596.24</v>
      </c>
      <c r="V7" s="35">
        <f t="shared" si="1"/>
        <v>1602.94</v>
      </c>
      <c r="W7" s="35">
        <f t="shared" si="1"/>
        <v>1469.34</v>
      </c>
      <c r="X7" s="35">
        <f t="shared" si="1"/>
        <v>1450.9399999999998</v>
      </c>
      <c r="Y7" s="35">
        <f t="shared" si="1"/>
        <v>1464.04</v>
      </c>
      <c r="Z7" s="35">
        <f t="shared" si="1"/>
        <v>1462.4399999999998</v>
      </c>
      <c r="AA7" s="35">
        <f t="shared" si="1"/>
        <v>1554.4399999999998</v>
      </c>
      <c r="AB7" s="35">
        <f t="shared" si="1"/>
        <v>1691.84</v>
      </c>
      <c r="AC7" s="35">
        <f t="shared" si="1"/>
        <v>1505.94</v>
      </c>
      <c r="AD7" s="35">
        <f t="shared" si="1"/>
        <v>1558.04</v>
      </c>
      <c r="AE7" s="35">
        <f t="shared" si="1"/>
        <v>1492.3400000000001</v>
      </c>
      <c r="AF7" s="35">
        <f t="shared" si="1"/>
        <v>1452.6399999999999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2042.34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1691.84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76</v>
      </c>
      <c r="C11" s="46">
        <v>76</v>
      </c>
      <c r="D11" s="46">
        <v>76</v>
      </c>
      <c r="E11" s="46">
        <v>90</v>
      </c>
      <c r="F11" s="46">
        <v>90</v>
      </c>
      <c r="G11" s="46">
        <v>90</v>
      </c>
      <c r="H11" s="46">
        <v>90</v>
      </c>
      <c r="I11" s="46">
        <v>60.4</v>
      </c>
      <c r="J11" s="46">
        <v>89</v>
      </c>
      <c r="K11" s="46">
        <v>90.1</v>
      </c>
      <c r="L11" s="46">
        <v>90.1</v>
      </c>
      <c r="M11" s="46">
        <v>86</v>
      </c>
      <c r="N11" s="46">
        <v>86</v>
      </c>
      <c r="O11" s="46">
        <v>86</v>
      </c>
      <c r="P11" s="46">
        <v>89</v>
      </c>
      <c r="Q11" s="46">
        <v>60</v>
      </c>
      <c r="R11" s="46">
        <v>0</v>
      </c>
      <c r="S11" s="46">
        <v>72</v>
      </c>
      <c r="T11" s="46">
        <v>72</v>
      </c>
      <c r="U11" s="46">
        <v>87</v>
      </c>
      <c r="V11" s="46">
        <v>87</v>
      </c>
      <c r="W11" s="46">
        <v>87</v>
      </c>
      <c r="X11" s="46">
        <v>87</v>
      </c>
      <c r="Y11" s="46">
        <v>87</v>
      </c>
      <c r="Z11" s="46">
        <v>87</v>
      </c>
      <c r="AA11" s="46">
        <v>87</v>
      </c>
      <c r="AB11" s="46">
        <v>87</v>
      </c>
      <c r="AC11" s="46">
        <v>83.9</v>
      </c>
      <c r="AD11" s="46">
        <v>83.9</v>
      </c>
      <c r="AE11" s="46">
        <v>83.9</v>
      </c>
      <c r="AF11" s="46">
        <v>83.9</v>
      </c>
      <c r="AG11" s="47">
        <v>86</v>
      </c>
      <c r="AH11" s="48">
        <f t="shared" ref="AH11:AH74" si="2">MAX(B11:AF11)</f>
        <v>90.1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84.1</v>
      </c>
      <c r="C12" s="46">
        <v>84.1</v>
      </c>
      <c r="D12" s="46">
        <v>84.1</v>
      </c>
      <c r="E12" s="46">
        <v>84</v>
      </c>
      <c r="F12" s="46">
        <v>84</v>
      </c>
      <c r="G12" s="46">
        <v>84</v>
      </c>
      <c r="H12" s="46">
        <v>84</v>
      </c>
      <c r="I12" s="46">
        <v>84.1</v>
      </c>
      <c r="J12" s="46">
        <v>84.1</v>
      </c>
      <c r="K12" s="46">
        <v>84</v>
      </c>
      <c r="L12" s="46">
        <v>84</v>
      </c>
      <c r="M12" s="46">
        <v>84</v>
      </c>
      <c r="N12" s="46">
        <v>84</v>
      </c>
      <c r="O12" s="46">
        <v>84</v>
      </c>
      <c r="P12" s="46">
        <v>52.4</v>
      </c>
      <c r="Q12" s="46">
        <v>81</v>
      </c>
      <c r="R12" s="46">
        <v>84</v>
      </c>
      <c r="S12" s="46">
        <v>84</v>
      </c>
      <c r="T12" s="46">
        <v>84</v>
      </c>
      <c r="U12" s="46">
        <v>84</v>
      </c>
      <c r="V12" s="46">
        <v>84</v>
      </c>
      <c r="W12" s="46">
        <v>84</v>
      </c>
      <c r="X12" s="46">
        <v>84</v>
      </c>
      <c r="Y12" s="46">
        <v>84</v>
      </c>
      <c r="Z12" s="46">
        <v>84</v>
      </c>
      <c r="AA12" s="46">
        <v>84</v>
      </c>
      <c r="AB12" s="46">
        <v>84</v>
      </c>
      <c r="AC12" s="46">
        <v>52.2</v>
      </c>
      <c r="AD12" s="46">
        <v>52.2</v>
      </c>
      <c r="AE12" s="46">
        <v>52.2</v>
      </c>
      <c r="AF12" s="46">
        <v>36.1</v>
      </c>
      <c r="AG12" s="50">
        <v>77</v>
      </c>
      <c r="AH12" s="48">
        <f t="shared" si="2"/>
        <v>84.1</v>
      </c>
      <c r="AI12" s="49">
        <f t="shared" si="3"/>
        <v>36.1</v>
      </c>
      <c r="AK12" s="51"/>
      <c r="AL12" s="52" t="str">
        <f ca="1">MID(CELL("filename",C7),FIND("]",CELL("filename",C7))+1,600)</f>
        <v>13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0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40.299999999999997</v>
      </c>
      <c r="C14" s="46">
        <v>40.299999999999997</v>
      </c>
      <c r="D14" s="46">
        <v>40.299999999999997</v>
      </c>
      <c r="E14" s="46">
        <v>40.299999999999997</v>
      </c>
      <c r="F14" s="46">
        <v>40.299999999999997</v>
      </c>
      <c r="G14" s="46">
        <v>40.299999999999997</v>
      </c>
      <c r="H14" s="46">
        <v>40.299999999999997</v>
      </c>
      <c r="I14" s="46">
        <v>40.6</v>
      </c>
      <c r="J14" s="46">
        <v>40.6</v>
      </c>
      <c r="K14" s="46">
        <v>40.6</v>
      </c>
      <c r="L14" s="46">
        <v>40.6</v>
      </c>
      <c r="M14" s="46">
        <v>40.6</v>
      </c>
      <c r="N14" s="46">
        <v>40.6</v>
      </c>
      <c r="O14" s="46">
        <v>40.6</v>
      </c>
      <c r="P14" s="46">
        <v>40.200000000000003</v>
      </c>
      <c r="Q14" s="46">
        <v>40.200000000000003</v>
      </c>
      <c r="R14" s="46">
        <v>40.200000000000003</v>
      </c>
      <c r="S14" s="46">
        <v>40.200000000000003</v>
      </c>
      <c r="T14" s="46">
        <v>40.200000000000003</v>
      </c>
      <c r="U14" s="46">
        <v>40.200000000000003</v>
      </c>
      <c r="V14" s="46">
        <v>40.200000000000003</v>
      </c>
      <c r="W14" s="46">
        <v>40.200000000000003</v>
      </c>
      <c r="X14" s="46">
        <v>40.200000000000003</v>
      </c>
      <c r="Y14" s="46">
        <v>40.200000000000003</v>
      </c>
      <c r="Z14" s="46">
        <v>40.200000000000003</v>
      </c>
      <c r="AA14" s="46">
        <v>40.200000000000003</v>
      </c>
      <c r="AB14" s="46">
        <v>40.200000000000003</v>
      </c>
      <c r="AC14" s="46">
        <v>40.200000000000003</v>
      </c>
      <c r="AD14" s="46">
        <v>40.200000000000003</v>
      </c>
      <c r="AE14" s="46">
        <v>40.200000000000003</v>
      </c>
      <c r="AF14" s="46">
        <v>40.200000000000003</v>
      </c>
      <c r="AG14" s="50">
        <v>71</v>
      </c>
      <c r="AH14" s="48">
        <f t="shared" si="2"/>
        <v>40.6</v>
      </c>
      <c r="AI14" s="49">
        <f t="shared" si="3"/>
        <v>40.200000000000003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57.4</v>
      </c>
      <c r="C15" s="46">
        <v>57.4</v>
      </c>
      <c r="D15" s="46">
        <v>57.4</v>
      </c>
      <c r="E15" s="46">
        <v>58.9</v>
      </c>
      <c r="F15" s="46">
        <v>58.9</v>
      </c>
      <c r="G15" s="46">
        <v>58.9</v>
      </c>
      <c r="H15" s="46">
        <v>58.9</v>
      </c>
      <c r="I15" s="46">
        <v>58.9</v>
      </c>
      <c r="J15" s="46">
        <v>58.9</v>
      </c>
      <c r="K15" s="46">
        <v>58.9</v>
      </c>
      <c r="L15" s="46">
        <v>58.9</v>
      </c>
      <c r="M15" s="46">
        <v>58.9</v>
      </c>
      <c r="N15" s="46">
        <v>58.9</v>
      </c>
      <c r="O15" s="46">
        <v>58.9</v>
      </c>
      <c r="P15" s="46">
        <v>59</v>
      </c>
      <c r="Q15" s="46">
        <v>59</v>
      </c>
      <c r="R15" s="46">
        <v>58.8</v>
      </c>
      <c r="S15" s="46">
        <v>58.8</v>
      </c>
      <c r="T15" s="46">
        <v>58.8</v>
      </c>
      <c r="U15" s="46">
        <v>58.8</v>
      </c>
      <c r="V15" s="46">
        <v>58.8</v>
      </c>
      <c r="W15" s="46">
        <v>58.8</v>
      </c>
      <c r="X15" s="46">
        <v>58.8</v>
      </c>
      <c r="Y15" s="46">
        <v>58.8</v>
      </c>
      <c r="Z15" s="46">
        <v>58.8</v>
      </c>
      <c r="AA15" s="46">
        <v>58.8</v>
      </c>
      <c r="AB15" s="46">
        <v>58.8</v>
      </c>
      <c r="AC15" s="46">
        <v>58.8</v>
      </c>
      <c r="AD15" s="46">
        <v>58.8</v>
      </c>
      <c r="AE15" s="46">
        <v>58.8</v>
      </c>
      <c r="AF15" s="46">
        <v>21</v>
      </c>
      <c r="AG15" s="50">
        <v>54</v>
      </c>
      <c r="AH15" s="48">
        <f t="shared" si="2"/>
        <v>59</v>
      </c>
      <c r="AI15" s="49">
        <f t="shared" si="3"/>
        <v>21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15.6</v>
      </c>
      <c r="F16" s="46">
        <v>15.6</v>
      </c>
      <c r="G16" s="46">
        <v>15.6</v>
      </c>
      <c r="H16" s="46">
        <v>20.6</v>
      </c>
      <c r="I16" s="46">
        <v>20.6</v>
      </c>
      <c r="J16" s="46">
        <v>20.6</v>
      </c>
      <c r="K16" s="46">
        <v>20.6</v>
      </c>
      <c r="L16" s="46">
        <v>20.6</v>
      </c>
      <c r="M16" s="46">
        <v>20.6</v>
      </c>
      <c r="N16" s="46">
        <v>20.6</v>
      </c>
      <c r="O16" s="46">
        <v>20.6</v>
      </c>
      <c r="P16" s="46">
        <v>27</v>
      </c>
      <c r="Q16" s="46">
        <v>27</v>
      </c>
      <c r="R16" s="46">
        <v>27.1</v>
      </c>
      <c r="S16" s="46">
        <v>27.1</v>
      </c>
      <c r="T16" s="46">
        <v>27.1</v>
      </c>
      <c r="U16" s="46">
        <v>27.1</v>
      </c>
      <c r="V16" s="46">
        <v>27.1</v>
      </c>
      <c r="W16" s="46">
        <v>27.1</v>
      </c>
      <c r="X16" s="46">
        <v>27.1</v>
      </c>
      <c r="Y16" s="46">
        <v>27.1</v>
      </c>
      <c r="Z16" s="46">
        <v>27.1</v>
      </c>
      <c r="AA16" s="46">
        <v>27.1</v>
      </c>
      <c r="AB16" s="46">
        <v>27.1</v>
      </c>
      <c r="AC16" s="46">
        <v>27.1</v>
      </c>
      <c r="AD16" s="46">
        <v>27.1</v>
      </c>
      <c r="AE16" s="46">
        <v>27.1</v>
      </c>
      <c r="AF16" s="46">
        <v>27.1</v>
      </c>
      <c r="AG16" s="50">
        <v>54</v>
      </c>
      <c r="AH16" s="48">
        <f t="shared" si="2"/>
        <v>27.1</v>
      </c>
      <c r="AI16" s="49">
        <f t="shared" si="3"/>
        <v>15.6</v>
      </c>
      <c r="AK16" s="51"/>
      <c r="AL16" s="54" t="s">
        <v>7</v>
      </c>
      <c r="AM16" s="59">
        <f t="shared" ref="AM16:AR16" si="4">B61</f>
        <v>1088.5999999999999</v>
      </c>
      <c r="AN16" s="59">
        <f t="shared" si="4"/>
        <v>1088.5999999999999</v>
      </c>
      <c r="AO16" s="59">
        <f t="shared" si="4"/>
        <v>1088.5999999999999</v>
      </c>
      <c r="AP16" s="59">
        <f t="shared" si="4"/>
        <v>1049</v>
      </c>
      <c r="AQ16" s="59">
        <f t="shared" si="4"/>
        <v>1069</v>
      </c>
      <c r="AR16" s="59">
        <f t="shared" si="4"/>
        <v>1069</v>
      </c>
      <c r="AS16" s="59">
        <f>I61</f>
        <v>1044.8000000000002</v>
      </c>
      <c r="AT16" s="59">
        <f>K61</f>
        <v>1074.4000000000001</v>
      </c>
      <c r="AU16" s="59">
        <f t="shared" ref="AU16:BD16" si="5">M61</f>
        <v>1064.3000000000002</v>
      </c>
      <c r="AV16" s="59">
        <f t="shared" si="5"/>
        <v>1064.3000000000002</v>
      </c>
      <c r="AW16" s="59">
        <f t="shared" si="5"/>
        <v>1064.3000000000002</v>
      </c>
      <c r="AX16" s="59">
        <f t="shared" si="5"/>
        <v>1028.5999999999999</v>
      </c>
      <c r="AY16" s="59">
        <f t="shared" si="5"/>
        <v>1028.1999999999998</v>
      </c>
      <c r="AZ16" s="59">
        <f t="shared" si="5"/>
        <v>945.19999999999993</v>
      </c>
      <c r="BA16" s="59">
        <f t="shared" si="5"/>
        <v>1017.1999999999999</v>
      </c>
      <c r="BB16" s="59">
        <f t="shared" si="5"/>
        <v>1017.1999999999999</v>
      </c>
      <c r="BC16" s="59">
        <f t="shared" si="5"/>
        <v>1032.1999999999998</v>
      </c>
      <c r="BD16" s="59">
        <f t="shared" si="5"/>
        <v>1032.1999999999998</v>
      </c>
      <c r="BE16" s="60">
        <f>X61</f>
        <v>1003.1999999999999</v>
      </c>
      <c r="BF16" s="60">
        <f>Z61</f>
        <v>1003.1999999999999</v>
      </c>
      <c r="BG16" s="60">
        <f>AB61</f>
        <v>1003.1999999999999</v>
      </c>
      <c r="BH16" s="60">
        <f>AD61</f>
        <v>968.3</v>
      </c>
      <c r="BI16" s="60">
        <f>AE61</f>
        <v>968.3</v>
      </c>
      <c r="BJ16" s="60">
        <f>AF61</f>
        <v>896.49999999999989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56</v>
      </c>
      <c r="C17" s="46">
        <v>56</v>
      </c>
      <c r="D17" s="46">
        <v>56</v>
      </c>
      <c r="E17" s="46">
        <v>55.6</v>
      </c>
      <c r="F17" s="46">
        <v>55.6</v>
      </c>
      <c r="G17" s="46">
        <v>55.6</v>
      </c>
      <c r="H17" s="46">
        <v>55.6</v>
      </c>
      <c r="I17" s="46">
        <v>55.6</v>
      </c>
      <c r="J17" s="46">
        <v>55.6</v>
      </c>
      <c r="K17" s="46">
        <v>55.6</v>
      </c>
      <c r="L17" s="46">
        <v>55.6</v>
      </c>
      <c r="M17" s="46">
        <v>55.6</v>
      </c>
      <c r="N17" s="46">
        <v>55.6</v>
      </c>
      <c r="O17" s="46">
        <v>55.6</v>
      </c>
      <c r="P17" s="46">
        <v>55.6</v>
      </c>
      <c r="Q17" s="46">
        <v>55.6</v>
      </c>
      <c r="R17" s="46">
        <v>55.6</v>
      </c>
      <c r="S17" s="46">
        <v>55.6</v>
      </c>
      <c r="T17" s="46">
        <v>55.6</v>
      </c>
      <c r="U17" s="46">
        <v>55.6</v>
      </c>
      <c r="V17" s="46">
        <v>55.6</v>
      </c>
      <c r="W17" s="46">
        <v>55.6</v>
      </c>
      <c r="X17" s="46">
        <v>55.6</v>
      </c>
      <c r="Y17" s="46">
        <v>55.6</v>
      </c>
      <c r="Z17" s="46">
        <v>55.6</v>
      </c>
      <c r="AA17" s="46">
        <v>55.6</v>
      </c>
      <c r="AB17" s="46">
        <v>55.6</v>
      </c>
      <c r="AC17" s="46">
        <v>55.6</v>
      </c>
      <c r="AD17" s="46">
        <v>55.6</v>
      </c>
      <c r="AE17" s="46">
        <v>55.6</v>
      </c>
      <c r="AF17" s="46">
        <v>55.6</v>
      </c>
      <c r="AG17" s="47">
        <v>52.4</v>
      </c>
      <c r="AH17" s="48">
        <f t="shared" si="2"/>
        <v>56</v>
      </c>
      <c r="AI17" s="49">
        <f t="shared" si="3"/>
        <v>55.6</v>
      </c>
      <c r="AK17" s="51"/>
      <c r="AL17" s="54" t="s">
        <v>27</v>
      </c>
      <c r="AM17" s="59">
        <f t="shared" ref="AM17:AR17" si="6">B65</f>
        <v>541.5</v>
      </c>
      <c r="AN17" s="59">
        <f t="shared" si="6"/>
        <v>541.5</v>
      </c>
      <c r="AO17" s="59">
        <f t="shared" si="6"/>
        <v>541.5</v>
      </c>
      <c r="AP17" s="59">
        <f t="shared" si="6"/>
        <v>542.5</v>
      </c>
      <c r="AQ17" s="59">
        <f t="shared" si="6"/>
        <v>542.5</v>
      </c>
      <c r="AR17" s="59">
        <f t="shared" si="6"/>
        <v>542.5</v>
      </c>
      <c r="AS17" s="59">
        <f>I65</f>
        <v>542.5</v>
      </c>
      <c r="AT17" s="59">
        <f>K65</f>
        <v>542.5</v>
      </c>
      <c r="AU17" s="59">
        <f t="shared" ref="AU17:BD17" si="7">M65</f>
        <v>542.5</v>
      </c>
      <c r="AV17" s="59">
        <f t="shared" si="7"/>
        <v>542.5</v>
      </c>
      <c r="AW17" s="59">
        <f t="shared" si="7"/>
        <v>542.5</v>
      </c>
      <c r="AX17" s="59">
        <f t="shared" si="7"/>
        <v>542.5</v>
      </c>
      <c r="AY17" s="59">
        <f t="shared" si="7"/>
        <v>542.5</v>
      </c>
      <c r="AZ17" s="59">
        <f t="shared" si="7"/>
        <v>542.5</v>
      </c>
      <c r="BA17" s="59">
        <f t="shared" si="7"/>
        <v>542.5</v>
      </c>
      <c r="BB17" s="59">
        <f t="shared" si="7"/>
        <v>542.5</v>
      </c>
      <c r="BC17" s="59">
        <f t="shared" si="7"/>
        <v>542.5</v>
      </c>
      <c r="BD17" s="59">
        <f t="shared" si="7"/>
        <v>542.5</v>
      </c>
      <c r="BE17" s="60">
        <f>X65</f>
        <v>542.5</v>
      </c>
      <c r="BF17" s="60">
        <f>Z65</f>
        <v>542.5</v>
      </c>
      <c r="BG17" s="60">
        <f>AB65</f>
        <v>542.5</v>
      </c>
      <c r="BH17" s="60">
        <f>AD65</f>
        <v>542.5</v>
      </c>
      <c r="BI17" s="60">
        <f>AE65</f>
        <v>542.5</v>
      </c>
      <c r="BJ17" s="60">
        <f>AF65</f>
        <v>542.5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50.2</v>
      </c>
      <c r="C18" s="46">
        <v>50.2</v>
      </c>
      <c r="D18" s="46">
        <v>50.2</v>
      </c>
      <c r="E18" s="46">
        <v>50.6</v>
      </c>
      <c r="F18" s="46">
        <v>50.6</v>
      </c>
      <c r="G18" s="46">
        <v>50.6</v>
      </c>
      <c r="H18" s="46">
        <v>50.6</v>
      </c>
      <c r="I18" s="46">
        <v>50.6</v>
      </c>
      <c r="J18" s="46">
        <v>50.6</v>
      </c>
      <c r="K18" s="46">
        <v>50.6</v>
      </c>
      <c r="L18" s="46">
        <v>50.6</v>
      </c>
      <c r="M18" s="46">
        <v>50.6</v>
      </c>
      <c r="N18" s="46">
        <v>50.6</v>
      </c>
      <c r="O18" s="46">
        <v>50.6</v>
      </c>
      <c r="P18" s="46">
        <v>50.5</v>
      </c>
      <c r="Q18" s="46">
        <v>50.5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46">
        <v>50.4</v>
      </c>
      <c r="AB18" s="46">
        <v>50.4</v>
      </c>
      <c r="AC18" s="46">
        <v>50.4</v>
      </c>
      <c r="AD18" s="46">
        <v>50.4</v>
      </c>
      <c r="AE18" s="46">
        <v>50.4</v>
      </c>
      <c r="AF18" s="46">
        <v>50.4</v>
      </c>
      <c r="AG18" s="50">
        <v>50</v>
      </c>
      <c r="AH18" s="48">
        <f t="shared" si="2"/>
        <v>50.6</v>
      </c>
      <c r="AI18" s="49">
        <f t="shared" si="3"/>
        <v>50.2</v>
      </c>
      <c r="AK18" s="51"/>
      <c r="AL18" s="54" t="s">
        <v>29</v>
      </c>
      <c r="AM18" s="59">
        <f t="shared" ref="AM18:AR18" si="8">B79</f>
        <v>312.04000000000002</v>
      </c>
      <c r="AN18" s="59">
        <f t="shared" si="8"/>
        <v>312.04000000000002</v>
      </c>
      <c r="AO18" s="59">
        <f t="shared" si="8"/>
        <v>312.04000000000002</v>
      </c>
      <c r="AP18" s="59">
        <f t="shared" si="8"/>
        <v>337.94000000000005</v>
      </c>
      <c r="AQ18" s="59">
        <f t="shared" si="8"/>
        <v>337.94000000000005</v>
      </c>
      <c r="AR18" s="59">
        <f t="shared" si="8"/>
        <v>337.94000000000005</v>
      </c>
      <c r="AS18" s="59">
        <f>I79</f>
        <v>406.94000000000005</v>
      </c>
      <c r="AT18" s="59">
        <f>K79</f>
        <v>406.94000000000005</v>
      </c>
      <c r="AU18" s="59">
        <f t="shared" ref="AU18:BD18" si="9">M79</f>
        <v>408.74000000000007</v>
      </c>
      <c r="AV18" s="59">
        <f t="shared" si="9"/>
        <v>408.74000000000007</v>
      </c>
      <c r="AW18" s="59">
        <f t="shared" si="9"/>
        <v>408.74000000000007</v>
      </c>
      <c r="AX18" s="59">
        <f t="shared" si="9"/>
        <v>415.24000000000007</v>
      </c>
      <c r="AY18" s="59">
        <f t="shared" si="9"/>
        <v>415.24000000000007</v>
      </c>
      <c r="AZ18" s="59">
        <f t="shared" si="9"/>
        <v>388.04000000000013</v>
      </c>
      <c r="BA18" s="59">
        <f t="shared" si="9"/>
        <v>394.84000000000009</v>
      </c>
      <c r="BB18" s="59">
        <f t="shared" si="9"/>
        <v>389.34000000000009</v>
      </c>
      <c r="BC18" s="59">
        <f t="shared" si="9"/>
        <v>410.24000000000012</v>
      </c>
      <c r="BD18" s="59">
        <f t="shared" si="9"/>
        <v>405.54000000000013</v>
      </c>
      <c r="BE18" s="60">
        <f>X79</f>
        <v>404.94000000000011</v>
      </c>
      <c r="BF18" s="60">
        <f>Z79</f>
        <v>390.44000000000011</v>
      </c>
      <c r="BG18" s="60">
        <f>AB79</f>
        <v>409.34000000000009</v>
      </c>
      <c r="BH18" s="60">
        <f>AD79</f>
        <v>413.34000000000009</v>
      </c>
      <c r="BI18" s="60">
        <f>AE79</f>
        <v>413.34000000000009</v>
      </c>
      <c r="BJ18" s="60">
        <f>AF79</f>
        <v>413.34000000000009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11.4</v>
      </c>
      <c r="AY19" s="59">
        <f t="shared" si="11"/>
        <v>34</v>
      </c>
      <c r="AZ19" s="59">
        <f t="shared" si="11"/>
        <v>27.3</v>
      </c>
      <c r="BA19" s="59">
        <f t="shared" si="11"/>
        <v>31.3</v>
      </c>
      <c r="BB19" s="59">
        <f t="shared" si="11"/>
        <v>28</v>
      </c>
      <c r="BC19" s="59">
        <f t="shared" si="11"/>
        <v>2.2999999999999998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22.2</v>
      </c>
      <c r="BH19" s="60">
        <f>AD95</f>
        <v>20.7</v>
      </c>
      <c r="BI19" s="60">
        <f>AE95</f>
        <v>0</v>
      </c>
      <c r="BJ19" s="60">
        <f>AF95</f>
        <v>24.1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22.400000000000002</v>
      </c>
      <c r="AZ20" s="59">
        <f t="shared" si="13"/>
        <v>21.1</v>
      </c>
      <c r="BA20" s="59">
        <f t="shared" si="13"/>
        <v>21.1</v>
      </c>
      <c r="BB20" s="59">
        <f t="shared" si="13"/>
        <v>22</v>
      </c>
      <c r="BC20" s="59">
        <f t="shared" si="13"/>
        <v>22</v>
      </c>
      <c r="BD20" s="59">
        <f t="shared" si="13"/>
        <v>22</v>
      </c>
      <c r="BE20" s="60">
        <f>X83</f>
        <v>21.299999999999997</v>
      </c>
      <c r="BF20" s="60">
        <f>Z83</f>
        <v>21.299999999999997</v>
      </c>
      <c r="BG20" s="60">
        <f>AB83</f>
        <v>21.299999999999997</v>
      </c>
      <c r="BH20" s="60">
        <f>AD83</f>
        <v>21.299999999999997</v>
      </c>
      <c r="BI20" s="60">
        <f>AE83</f>
        <v>21.299999999999997</v>
      </c>
      <c r="BJ20" s="60">
        <f>AF83</f>
        <v>21.299999999999997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39.4</v>
      </c>
      <c r="C22" s="46">
        <v>39.4</v>
      </c>
      <c r="D22" s="46">
        <v>39.4</v>
      </c>
      <c r="E22" s="46">
        <v>39.799999999999997</v>
      </c>
      <c r="F22" s="46">
        <v>39.799999999999997</v>
      </c>
      <c r="G22" s="46">
        <v>39.799999999999997</v>
      </c>
      <c r="H22" s="46">
        <v>39.799999999999997</v>
      </c>
      <c r="I22" s="46">
        <v>39.799999999999997</v>
      </c>
      <c r="J22" s="46">
        <v>39.799999999999997</v>
      </c>
      <c r="K22" s="46">
        <v>39.799999999999997</v>
      </c>
      <c r="L22" s="46">
        <v>39.799999999999997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39.799999999999997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1942.1399999999999</v>
      </c>
      <c r="AN22" s="63">
        <f t="shared" si="16"/>
        <v>1942.1399999999999</v>
      </c>
      <c r="AO22" s="63">
        <f t="shared" si="16"/>
        <v>1942.1399999999999</v>
      </c>
      <c r="AP22" s="63">
        <f t="shared" si="16"/>
        <v>1929.44</v>
      </c>
      <c r="AQ22" s="63">
        <f t="shared" si="16"/>
        <v>1949.44</v>
      </c>
      <c r="AR22" s="63">
        <f t="shared" si="16"/>
        <v>1949.44</v>
      </c>
      <c r="AS22" s="63">
        <f t="shared" si="16"/>
        <v>1994.2400000000002</v>
      </c>
      <c r="AT22" s="63">
        <f t="shared" si="16"/>
        <v>2023.8400000000001</v>
      </c>
      <c r="AU22" s="63">
        <f t="shared" si="16"/>
        <v>2015.5400000000002</v>
      </c>
      <c r="AV22" s="63">
        <f t="shared" si="16"/>
        <v>2015.5400000000002</v>
      </c>
      <c r="AW22" s="63">
        <f t="shared" si="16"/>
        <v>2015.5400000000002</v>
      </c>
      <c r="AX22" s="63">
        <f t="shared" si="16"/>
        <v>1997.74</v>
      </c>
      <c r="AY22" s="63">
        <f t="shared" si="16"/>
        <v>2042.34</v>
      </c>
      <c r="AZ22" s="63">
        <f t="shared" si="16"/>
        <v>1924.1399999999999</v>
      </c>
      <c r="BA22" s="63">
        <f t="shared" si="16"/>
        <v>2006.9399999999998</v>
      </c>
      <c r="BB22" s="63">
        <f t="shared" si="16"/>
        <v>1999.04</v>
      </c>
      <c r="BC22" s="63">
        <f t="shared" si="16"/>
        <v>2009.24</v>
      </c>
      <c r="BD22" s="63">
        <f t="shared" si="16"/>
        <v>2002.24</v>
      </c>
      <c r="BE22" s="63">
        <f t="shared" si="16"/>
        <v>1971.9399999999998</v>
      </c>
      <c r="BF22" s="63">
        <f t="shared" si="16"/>
        <v>1957.4399999999998</v>
      </c>
      <c r="BG22" s="63">
        <f t="shared" si="16"/>
        <v>1998.54</v>
      </c>
      <c r="BH22" s="63">
        <f t="shared" si="16"/>
        <v>1966.14</v>
      </c>
      <c r="BI22" s="63">
        <f t="shared" si="16"/>
        <v>1945.44</v>
      </c>
      <c r="BJ22" s="63">
        <f t="shared" si="16"/>
        <v>1897.74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39.4</v>
      </c>
      <c r="C23" s="46">
        <v>39.4</v>
      </c>
      <c r="D23" s="46">
        <v>39.4</v>
      </c>
      <c r="E23" s="46">
        <v>39.4</v>
      </c>
      <c r="F23" s="46">
        <v>39.4</v>
      </c>
      <c r="G23" s="46">
        <v>39.4</v>
      </c>
      <c r="H23" s="46">
        <v>39.4</v>
      </c>
      <c r="I23" s="46">
        <v>39.4</v>
      </c>
      <c r="J23" s="46">
        <v>39.4</v>
      </c>
      <c r="K23" s="46">
        <v>39.4</v>
      </c>
      <c r="L23" s="46">
        <v>39.4</v>
      </c>
      <c r="M23" s="46">
        <v>39.4</v>
      </c>
      <c r="N23" s="46">
        <v>39.4</v>
      </c>
      <c r="O23" s="46">
        <v>39.4</v>
      </c>
      <c r="P23" s="46">
        <v>39.4</v>
      </c>
      <c r="Q23" s="46">
        <v>39.4</v>
      </c>
      <c r="R23" s="46">
        <v>39.4</v>
      </c>
      <c r="S23" s="46">
        <v>39.4</v>
      </c>
      <c r="T23" s="46">
        <v>39.4</v>
      </c>
      <c r="U23" s="46">
        <v>39.4</v>
      </c>
      <c r="V23" s="46">
        <v>39.4</v>
      </c>
      <c r="W23" s="46">
        <v>39.4</v>
      </c>
      <c r="X23" s="46">
        <v>39.4</v>
      </c>
      <c r="Y23" s="46">
        <v>39.4</v>
      </c>
      <c r="Z23" s="46">
        <v>39.4</v>
      </c>
      <c r="AA23" s="46">
        <v>39.4</v>
      </c>
      <c r="AB23" s="46">
        <v>39.4</v>
      </c>
      <c r="AC23" s="46">
        <v>39.4</v>
      </c>
      <c r="AD23" s="46">
        <v>39.4</v>
      </c>
      <c r="AE23" s="46">
        <v>39.4</v>
      </c>
      <c r="AF23" s="46">
        <v>39.4</v>
      </c>
      <c r="AG23" s="50">
        <v>38.46</v>
      </c>
      <c r="AH23" s="48">
        <f t="shared" si="2"/>
        <v>39.4</v>
      </c>
      <c r="AI23" s="49">
        <f t="shared" si="3"/>
        <v>39.4</v>
      </c>
      <c r="AK23" s="51"/>
      <c r="AL23" s="62" t="s">
        <v>39</v>
      </c>
      <c r="AM23" s="63">
        <f t="shared" ref="AM23:AR23" si="17">B110*-1</f>
        <v>-482</v>
      </c>
      <c r="AN23" s="63">
        <f t="shared" si="17"/>
        <v>-538</v>
      </c>
      <c r="AO23" s="63">
        <f t="shared" si="17"/>
        <v>-559</v>
      </c>
      <c r="AP23" s="63">
        <f t="shared" si="17"/>
        <v>-574.4</v>
      </c>
      <c r="AQ23" s="63">
        <f t="shared" si="17"/>
        <v>-631</v>
      </c>
      <c r="AR23" s="63">
        <f t="shared" si="17"/>
        <v>-623.6</v>
      </c>
      <c r="AS23" s="63">
        <f>I110*-1</f>
        <v>-660.6</v>
      </c>
      <c r="AT23" s="63">
        <f>K110*-1</f>
        <v>-518</v>
      </c>
      <c r="AU23" s="63">
        <f t="shared" ref="AU23:BD23" si="18">M110*-1</f>
        <v>-511.7</v>
      </c>
      <c r="AV23" s="63">
        <f t="shared" si="18"/>
        <v>-511.7</v>
      </c>
      <c r="AW23" s="63">
        <f t="shared" si="18"/>
        <v>-511.7</v>
      </c>
      <c r="AX23" s="63">
        <f t="shared" si="18"/>
        <v>-380</v>
      </c>
      <c r="AY23" s="63">
        <f t="shared" si="18"/>
        <v>-416</v>
      </c>
      <c r="AZ23" s="63">
        <f t="shared" si="18"/>
        <v>-320</v>
      </c>
      <c r="BA23" s="63">
        <f t="shared" si="18"/>
        <v>-325</v>
      </c>
      <c r="BB23" s="63">
        <f t="shared" si="18"/>
        <v>-362</v>
      </c>
      <c r="BC23" s="63">
        <f t="shared" si="18"/>
        <v>-413</v>
      </c>
      <c r="BD23" s="63">
        <f t="shared" si="18"/>
        <v>-399.3</v>
      </c>
      <c r="BE23" s="63">
        <f>X110*-1</f>
        <v>-521</v>
      </c>
      <c r="BF23" s="63">
        <f>Z110*-1</f>
        <v>-495</v>
      </c>
      <c r="BG23" s="63">
        <f>AB110*-1</f>
        <v>-306.7</v>
      </c>
      <c r="BH23" s="63">
        <f>AD110*-1</f>
        <v>-408.1</v>
      </c>
      <c r="BI23" s="63">
        <f>AE110*-1</f>
        <v>-453.1</v>
      </c>
      <c r="BJ23" s="63">
        <f>AF110*-1</f>
        <v>-445.1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50">
        <v>36</v>
      </c>
      <c r="AH24" s="48">
        <f t="shared" si="2"/>
        <v>0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1460.1399999999999</v>
      </c>
      <c r="AN24" s="63">
        <f t="shared" si="19"/>
        <v>1404.1399999999999</v>
      </c>
      <c r="AO24" s="63">
        <f t="shared" si="19"/>
        <v>1383.1399999999999</v>
      </c>
      <c r="AP24" s="63">
        <f t="shared" si="19"/>
        <v>1355.04</v>
      </c>
      <c r="AQ24" s="63">
        <f t="shared" si="19"/>
        <v>1318.44</v>
      </c>
      <c r="AR24" s="63">
        <f t="shared" si="19"/>
        <v>1325.8400000000001</v>
      </c>
      <c r="AS24" s="63">
        <f t="shared" si="19"/>
        <v>1333.6400000000003</v>
      </c>
      <c r="AT24" s="63">
        <f t="shared" si="19"/>
        <v>1505.8400000000001</v>
      </c>
      <c r="AU24" s="63">
        <f t="shared" si="19"/>
        <v>1503.8400000000001</v>
      </c>
      <c r="AV24" s="63">
        <f t="shared" si="19"/>
        <v>1503.8400000000001</v>
      </c>
      <c r="AW24" s="63">
        <f t="shared" si="19"/>
        <v>1503.8400000000001</v>
      </c>
      <c r="AX24" s="63">
        <f t="shared" si="19"/>
        <v>1617.74</v>
      </c>
      <c r="AY24" s="63">
        <f t="shared" si="19"/>
        <v>1626.34</v>
      </c>
      <c r="AZ24" s="63">
        <f t="shared" si="19"/>
        <v>1604.1399999999999</v>
      </c>
      <c r="BA24" s="63">
        <f t="shared" si="19"/>
        <v>1681.9399999999998</v>
      </c>
      <c r="BB24" s="63">
        <f t="shared" si="19"/>
        <v>1637.04</v>
      </c>
      <c r="BC24" s="63">
        <f t="shared" si="19"/>
        <v>1596.24</v>
      </c>
      <c r="BD24" s="63">
        <f t="shared" si="19"/>
        <v>1602.94</v>
      </c>
      <c r="BE24" s="63">
        <f t="shared" si="19"/>
        <v>1450.9399999999998</v>
      </c>
      <c r="BF24" s="63">
        <f t="shared" si="19"/>
        <v>1462.4399999999998</v>
      </c>
      <c r="BG24" s="63">
        <f t="shared" si="19"/>
        <v>1691.84</v>
      </c>
      <c r="BH24" s="63">
        <f t="shared" si="19"/>
        <v>1558.04</v>
      </c>
      <c r="BI24" s="63">
        <f t="shared" si="19"/>
        <v>1492.3400000000001</v>
      </c>
      <c r="BJ24" s="63">
        <f t="shared" si="19"/>
        <v>1452.6399999999999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30.1</v>
      </c>
      <c r="C25" s="46">
        <v>30.1</v>
      </c>
      <c r="D25" s="46">
        <v>30.1</v>
      </c>
      <c r="E25" s="46">
        <v>10.6</v>
      </c>
      <c r="F25" s="46">
        <v>10.6</v>
      </c>
      <c r="G25" s="46">
        <v>10.6</v>
      </c>
      <c r="H25" s="46">
        <v>10.6</v>
      </c>
      <c r="I25" s="46">
        <v>10.6</v>
      </c>
      <c r="J25" s="46">
        <v>10.6</v>
      </c>
      <c r="K25" s="46">
        <v>10.6</v>
      </c>
      <c r="L25" s="46">
        <v>10.6</v>
      </c>
      <c r="M25" s="46">
        <v>30</v>
      </c>
      <c r="N25" s="46">
        <v>30</v>
      </c>
      <c r="O25" s="46">
        <v>30</v>
      </c>
      <c r="P25" s="46">
        <v>30.5</v>
      </c>
      <c r="Q25" s="46">
        <v>30.5</v>
      </c>
      <c r="R25" s="46">
        <v>29.9</v>
      </c>
      <c r="S25" s="46">
        <v>29.9</v>
      </c>
      <c r="T25" s="46">
        <v>29.9</v>
      </c>
      <c r="U25" s="46">
        <v>29.9</v>
      </c>
      <c r="V25" s="46">
        <v>29.9</v>
      </c>
      <c r="W25" s="46">
        <v>29.9</v>
      </c>
      <c r="X25" s="46">
        <v>29.9</v>
      </c>
      <c r="Y25" s="46">
        <v>29.9</v>
      </c>
      <c r="Z25" s="46">
        <v>29.9</v>
      </c>
      <c r="AA25" s="46">
        <v>29.9</v>
      </c>
      <c r="AB25" s="46">
        <v>29.9</v>
      </c>
      <c r="AC25" s="46">
        <v>29.9</v>
      </c>
      <c r="AD25" s="46">
        <v>29.9</v>
      </c>
      <c r="AE25" s="46">
        <v>29.9</v>
      </c>
      <c r="AF25" s="46">
        <v>29.9</v>
      </c>
      <c r="AG25" s="61">
        <v>30</v>
      </c>
      <c r="AH25" s="48">
        <f t="shared" si="2"/>
        <v>30.5</v>
      </c>
      <c r="AI25" s="49">
        <f t="shared" si="3"/>
        <v>10.6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33.1</v>
      </c>
      <c r="C26" s="46">
        <v>33.1</v>
      </c>
      <c r="D26" s="46">
        <v>33.1</v>
      </c>
      <c r="E26" s="46">
        <v>33</v>
      </c>
      <c r="F26" s="46">
        <v>33</v>
      </c>
      <c r="G26" s="46">
        <v>33</v>
      </c>
      <c r="H26" s="46">
        <v>33</v>
      </c>
      <c r="I26" s="46">
        <v>33</v>
      </c>
      <c r="J26" s="46">
        <v>33</v>
      </c>
      <c r="K26" s="46">
        <v>33</v>
      </c>
      <c r="L26" s="46">
        <v>33</v>
      </c>
      <c r="M26" s="46">
        <v>33</v>
      </c>
      <c r="N26" s="46">
        <v>33</v>
      </c>
      <c r="O26" s="46">
        <v>33</v>
      </c>
      <c r="P26" s="46">
        <v>33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33</v>
      </c>
      <c r="AF26" s="46">
        <v>15.1</v>
      </c>
      <c r="AG26" s="50">
        <v>24.2</v>
      </c>
      <c r="AH26" s="48">
        <f t="shared" si="2"/>
        <v>33.1</v>
      </c>
      <c r="AI26" s="49">
        <f t="shared" si="3"/>
        <v>15.1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28.1</v>
      </c>
      <c r="C27" s="46">
        <v>28.1</v>
      </c>
      <c r="D27" s="46">
        <v>28.1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28.6</v>
      </c>
      <c r="N27" s="46">
        <v>28.6</v>
      </c>
      <c r="O27" s="46">
        <v>28.6</v>
      </c>
      <c r="P27" s="46">
        <v>28.3</v>
      </c>
      <c r="Q27" s="46">
        <v>28.3</v>
      </c>
      <c r="R27" s="46">
        <v>28.4</v>
      </c>
      <c r="S27" s="46">
        <v>28.4</v>
      </c>
      <c r="T27" s="46">
        <v>28.4</v>
      </c>
      <c r="U27" s="46">
        <v>28.4</v>
      </c>
      <c r="V27" s="46">
        <v>28.4</v>
      </c>
      <c r="W27" s="46">
        <v>28.4</v>
      </c>
      <c r="X27" s="46">
        <v>28.4</v>
      </c>
      <c r="Y27" s="46">
        <v>28.4</v>
      </c>
      <c r="Z27" s="46">
        <v>28.4</v>
      </c>
      <c r="AA27" s="46">
        <v>28.4</v>
      </c>
      <c r="AB27" s="46">
        <v>28.4</v>
      </c>
      <c r="AC27" s="46">
        <v>28.4</v>
      </c>
      <c r="AD27" s="46">
        <v>28.4</v>
      </c>
      <c r="AE27" s="46">
        <v>28.4</v>
      </c>
      <c r="AF27" s="46">
        <v>28.4</v>
      </c>
      <c r="AG27" s="50">
        <v>28</v>
      </c>
      <c r="AH27" s="48">
        <f t="shared" si="2"/>
        <v>28.6</v>
      </c>
      <c r="AI27" s="49">
        <f t="shared" si="3"/>
        <v>28.1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26.5</v>
      </c>
      <c r="C28" s="46">
        <v>26.5</v>
      </c>
      <c r="D28" s="46">
        <v>26.5</v>
      </c>
      <c r="E28" s="46">
        <v>0</v>
      </c>
      <c r="F28" s="46">
        <v>20</v>
      </c>
      <c r="G28" s="46">
        <v>20</v>
      </c>
      <c r="H28" s="46">
        <v>20</v>
      </c>
      <c r="I28" s="46">
        <v>20</v>
      </c>
      <c r="J28" s="46">
        <v>20</v>
      </c>
      <c r="K28" s="46">
        <v>20</v>
      </c>
      <c r="L28" s="46">
        <v>20</v>
      </c>
      <c r="M28" s="46">
        <v>20</v>
      </c>
      <c r="N28" s="46">
        <v>20</v>
      </c>
      <c r="O28" s="46">
        <v>20</v>
      </c>
      <c r="P28" s="46">
        <v>27.8</v>
      </c>
      <c r="Q28" s="46">
        <v>27.8</v>
      </c>
      <c r="R28" s="46">
        <v>28.1</v>
      </c>
      <c r="S28" s="46">
        <v>28.1</v>
      </c>
      <c r="T28" s="46">
        <v>28.1</v>
      </c>
      <c r="U28" s="46">
        <v>28.1</v>
      </c>
      <c r="V28" s="46">
        <v>28.1</v>
      </c>
      <c r="W28" s="46">
        <v>28.1</v>
      </c>
      <c r="X28" s="46">
        <v>28.1</v>
      </c>
      <c r="Y28" s="46">
        <v>28.1</v>
      </c>
      <c r="Z28" s="46">
        <v>28.1</v>
      </c>
      <c r="AA28" s="46">
        <v>28.1</v>
      </c>
      <c r="AB28" s="46">
        <v>28.1</v>
      </c>
      <c r="AC28" s="46">
        <v>28.1</v>
      </c>
      <c r="AD28" s="46">
        <v>28.1</v>
      </c>
      <c r="AE28" s="46">
        <v>28.1</v>
      </c>
      <c r="AF28" s="46">
        <v>28.1</v>
      </c>
      <c r="AG28" s="61">
        <v>30</v>
      </c>
      <c r="AH28" s="48">
        <f t="shared" si="2"/>
        <v>28.1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2"/>
        <v>25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18</v>
      </c>
      <c r="C31" s="46">
        <v>18</v>
      </c>
      <c r="D31" s="46">
        <v>18</v>
      </c>
      <c r="E31" s="46">
        <v>18</v>
      </c>
      <c r="F31" s="46">
        <v>18</v>
      </c>
      <c r="G31" s="46">
        <v>18</v>
      </c>
      <c r="H31" s="46">
        <v>18</v>
      </c>
      <c r="I31" s="46">
        <v>18</v>
      </c>
      <c r="J31" s="46">
        <v>18</v>
      </c>
      <c r="K31" s="46">
        <v>18</v>
      </c>
      <c r="L31" s="46">
        <v>18</v>
      </c>
      <c r="M31" s="46">
        <v>18</v>
      </c>
      <c r="N31" s="46">
        <v>18</v>
      </c>
      <c r="O31" s="46">
        <v>18</v>
      </c>
      <c r="P31" s="46">
        <v>18</v>
      </c>
      <c r="Q31" s="46">
        <v>18</v>
      </c>
      <c r="R31" s="46">
        <v>18</v>
      </c>
      <c r="S31" s="46">
        <v>18</v>
      </c>
      <c r="T31" s="46">
        <v>18</v>
      </c>
      <c r="U31" s="46">
        <v>18</v>
      </c>
      <c r="V31" s="46">
        <v>18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50">
        <v>25</v>
      </c>
      <c r="AH31" s="48">
        <f t="shared" si="2"/>
        <v>18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25.8</v>
      </c>
      <c r="C32" s="46">
        <v>25.8</v>
      </c>
      <c r="D32" s="46">
        <v>25.8</v>
      </c>
      <c r="E32" s="46">
        <v>10.6</v>
      </c>
      <c r="F32" s="46">
        <v>10.6</v>
      </c>
      <c r="G32" s="46">
        <v>10.6</v>
      </c>
      <c r="H32" s="46">
        <v>10.6</v>
      </c>
      <c r="I32" s="46">
        <v>10.6</v>
      </c>
      <c r="J32" s="46">
        <v>10.6</v>
      </c>
      <c r="K32" s="46">
        <v>10.6</v>
      </c>
      <c r="L32" s="46">
        <v>10.6</v>
      </c>
      <c r="M32" s="46">
        <v>25</v>
      </c>
      <c r="N32" s="46">
        <v>25</v>
      </c>
      <c r="O32" s="46">
        <v>25</v>
      </c>
      <c r="P32" s="46">
        <v>25.8</v>
      </c>
      <c r="Q32" s="46">
        <v>25.8</v>
      </c>
      <c r="R32" s="46">
        <v>25.8</v>
      </c>
      <c r="S32" s="46">
        <v>25.8</v>
      </c>
      <c r="T32" s="46">
        <v>25.8</v>
      </c>
      <c r="U32" s="46">
        <v>25.8</v>
      </c>
      <c r="V32" s="46">
        <v>25.8</v>
      </c>
      <c r="W32" s="46">
        <v>25.8</v>
      </c>
      <c r="X32" s="46">
        <v>25.8</v>
      </c>
      <c r="Y32" s="46">
        <v>25.8</v>
      </c>
      <c r="Z32" s="46">
        <v>25.8</v>
      </c>
      <c r="AA32" s="46">
        <v>25.8</v>
      </c>
      <c r="AB32" s="46">
        <v>25.8</v>
      </c>
      <c r="AC32" s="46">
        <v>25.8</v>
      </c>
      <c r="AD32" s="46">
        <v>25.8</v>
      </c>
      <c r="AE32" s="46">
        <v>25.8</v>
      </c>
      <c r="AF32" s="46">
        <v>25.8</v>
      </c>
      <c r="AG32" s="50">
        <v>25</v>
      </c>
      <c r="AH32" s="48">
        <f t="shared" si="2"/>
        <v>25.8</v>
      </c>
      <c r="AI32" s="49">
        <f t="shared" si="3"/>
        <v>10.6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12.2</v>
      </c>
      <c r="C33" s="46">
        <v>12.2</v>
      </c>
      <c r="D33" s="46">
        <v>12.2</v>
      </c>
      <c r="E33" s="46">
        <v>24.4</v>
      </c>
      <c r="F33" s="46">
        <v>24.4</v>
      </c>
      <c r="G33" s="46">
        <v>24.4</v>
      </c>
      <c r="H33" s="46">
        <v>24.4</v>
      </c>
      <c r="I33" s="46">
        <v>24.4</v>
      </c>
      <c r="J33" s="46">
        <v>24.4</v>
      </c>
      <c r="K33" s="46">
        <v>24.4</v>
      </c>
      <c r="L33" s="46">
        <v>24.4</v>
      </c>
      <c r="M33" s="46">
        <v>24.4</v>
      </c>
      <c r="N33" s="46">
        <v>24.4</v>
      </c>
      <c r="O33" s="46">
        <v>24.4</v>
      </c>
      <c r="P33" s="46">
        <v>24</v>
      </c>
      <c r="Q33" s="46">
        <v>24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50">
        <v>23.5</v>
      </c>
      <c r="AH33" s="48">
        <f t="shared" si="2"/>
        <v>24.4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22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15.8</v>
      </c>
      <c r="C37" s="46">
        <v>15.8</v>
      </c>
      <c r="D37" s="46">
        <v>15.8</v>
      </c>
      <c r="E37" s="46">
        <v>13.9</v>
      </c>
      <c r="F37" s="46">
        <v>13.9</v>
      </c>
      <c r="G37" s="46">
        <v>13.9</v>
      </c>
      <c r="H37" s="46">
        <v>13.9</v>
      </c>
      <c r="I37" s="46">
        <v>13.9</v>
      </c>
      <c r="J37" s="46">
        <v>13.9</v>
      </c>
      <c r="K37" s="46">
        <v>13.9</v>
      </c>
      <c r="L37" s="46">
        <v>13.9</v>
      </c>
      <c r="M37" s="46">
        <v>13.9</v>
      </c>
      <c r="N37" s="46">
        <v>13.9</v>
      </c>
      <c r="O37" s="46">
        <v>13.9</v>
      </c>
      <c r="P37" s="46">
        <v>10</v>
      </c>
      <c r="Q37" s="46">
        <v>10</v>
      </c>
      <c r="R37" s="46">
        <v>8.4</v>
      </c>
      <c r="S37" s="46">
        <v>8.4</v>
      </c>
      <c r="T37" s="46">
        <v>8.4</v>
      </c>
      <c r="U37" s="46">
        <v>8.4</v>
      </c>
      <c r="V37" s="46">
        <v>8.4</v>
      </c>
      <c r="W37" s="46">
        <v>8.4</v>
      </c>
      <c r="X37" s="46">
        <v>8.4</v>
      </c>
      <c r="Y37" s="46">
        <v>8.4</v>
      </c>
      <c r="Z37" s="46">
        <v>8.4</v>
      </c>
      <c r="AA37" s="46">
        <v>8.4</v>
      </c>
      <c r="AB37" s="46">
        <v>8.4</v>
      </c>
      <c r="AC37" s="46">
        <v>8.4</v>
      </c>
      <c r="AD37" s="46">
        <v>8.4</v>
      </c>
      <c r="AE37" s="46">
        <v>8.4</v>
      </c>
      <c r="AF37" s="46">
        <v>8.4</v>
      </c>
      <c r="AG37" s="50">
        <v>22</v>
      </c>
      <c r="AH37" s="48">
        <f t="shared" si="2"/>
        <v>15.8</v>
      </c>
      <c r="AI37" s="49">
        <f t="shared" si="3"/>
        <v>8.4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20.399999999999999</v>
      </c>
      <c r="C38" s="46">
        <v>20.399999999999999</v>
      </c>
      <c r="D38" s="46">
        <v>20.399999999999999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20.3</v>
      </c>
      <c r="Q38" s="46">
        <v>20.3</v>
      </c>
      <c r="R38" s="46">
        <v>20.3</v>
      </c>
      <c r="S38" s="46">
        <v>20.3</v>
      </c>
      <c r="T38" s="46">
        <v>20.3</v>
      </c>
      <c r="U38" s="46">
        <v>20.3</v>
      </c>
      <c r="V38" s="46">
        <v>20.3</v>
      </c>
      <c r="W38" s="46">
        <v>20.3</v>
      </c>
      <c r="X38" s="46">
        <v>20.3</v>
      </c>
      <c r="Y38" s="46">
        <v>20.3</v>
      </c>
      <c r="Z38" s="46">
        <v>20.3</v>
      </c>
      <c r="AA38" s="46">
        <v>20.3</v>
      </c>
      <c r="AB38" s="46">
        <v>20.3</v>
      </c>
      <c r="AC38" s="46">
        <v>20.3</v>
      </c>
      <c r="AD38" s="46">
        <v>20.3</v>
      </c>
      <c r="AE38" s="46">
        <v>20.3</v>
      </c>
      <c r="AF38" s="46">
        <v>20.3</v>
      </c>
      <c r="AG38" s="50">
        <v>20</v>
      </c>
      <c r="AH38" s="48">
        <f t="shared" si="2"/>
        <v>20.399999999999999</v>
      </c>
      <c r="AI38" s="49">
        <f t="shared" si="3"/>
        <v>20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6</v>
      </c>
      <c r="C40" s="46">
        <v>6</v>
      </c>
      <c r="D40" s="46">
        <v>6</v>
      </c>
      <c r="E40" s="46">
        <v>14</v>
      </c>
      <c r="F40" s="46">
        <v>14</v>
      </c>
      <c r="G40" s="46">
        <v>14</v>
      </c>
      <c r="H40" s="46">
        <v>14</v>
      </c>
      <c r="I40" s="46">
        <v>14</v>
      </c>
      <c r="J40" s="46">
        <v>14</v>
      </c>
      <c r="K40" s="46">
        <v>14</v>
      </c>
      <c r="L40" s="46">
        <v>14</v>
      </c>
      <c r="M40" s="46">
        <v>14</v>
      </c>
      <c r="N40" s="46">
        <v>14</v>
      </c>
      <c r="O40" s="46">
        <v>14</v>
      </c>
      <c r="P40" s="46">
        <v>7.1</v>
      </c>
      <c r="Q40" s="46">
        <v>7.1</v>
      </c>
      <c r="R40" s="46">
        <v>7.1</v>
      </c>
      <c r="S40" s="46">
        <v>7.1</v>
      </c>
      <c r="T40" s="46">
        <v>7.1</v>
      </c>
      <c r="U40" s="46">
        <v>7.1</v>
      </c>
      <c r="V40" s="46">
        <v>7.1</v>
      </c>
      <c r="W40" s="46">
        <v>7.1</v>
      </c>
      <c r="X40" s="46">
        <v>7.1</v>
      </c>
      <c r="Y40" s="46">
        <v>7.1</v>
      </c>
      <c r="Z40" s="46">
        <v>7.1</v>
      </c>
      <c r="AA40" s="46">
        <v>7.1</v>
      </c>
      <c r="AB40" s="46">
        <v>7.1</v>
      </c>
      <c r="AC40" s="46">
        <v>7.1</v>
      </c>
      <c r="AD40" s="46">
        <v>7.1</v>
      </c>
      <c r="AE40" s="46">
        <v>7.1</v>
      </c>
      <c r="AF40" s="46">
        <v>7.1</v>
      </c>
      <c r="AG40" s="50">
        <v>18</v>
      </c>
      <c r="AH40" s="48">
        <f t="shared" si="2"/>
        <v>14</v>
      </c>
      <c r="AI40" s="49">
        <f t="shared" si="3"/>
        <v>6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8.5</v>
      </c>
      <c r="C41" s="46">
        <v>8.5</v>
      </c>
      <c r="D41" s="46">
        <v>8.5</v>
      </c>
      <c r="E41" s="46">
        <v>8.5</v>
      </c>
      <c r="F41" s="46">
        <v>8.5</v>
      </c>
      <c r="G41" s="46">
        <v>8.5</v>
      </c>
      <c r="H41" s="46">
        <v>8.5</v>
      </c>
      <c r="I41" s="46">
        <v>8.5</v>
      </c>
      <c r="J41" s="46">
        <v>8.5</v>
      </c>
      <c r="K41" s="46">
        <v>8.5</v>
      </c>
      <c r="L41" s="46">
        <v>8.5</v>
      </c>
      <c r="M41" s="46">
        <v>8.5</v>
      </c>
      <c r="N41" s="46">
        <v>8.5</v>
      </c>
      <c r="O41" s="46">
        <v>8.5</v>
      </c>
      <c r="P41" s="46">
        <v>8.5</v>
      </c>
      <c r="Q41" s="46">
        <v>8.5</v>
      </c>
      <c r="R41" s="46">
        <v>8.5</v>
      </c>
      <c r="S41" s="46">
        <v>8.5</v>
      </c>
      <c r="T41" s="46">
        <v>8.5</v>
      </c>
      <c r="U41" s="46">
        <v>8.5</v>
      </c>
      <c r="V41" s="46">
        <v>8.5</v>
      </c>
      <c r="W41" s="46">
        <v>8.5</v>
      </c>
      <c r="X41" s="46">
        <v>8.5</v>
      </c>
      <c r="Y41" s="46">
        <v>8.5</v>
      </c>
      <c r="Z41" s="46">
        <v>8.5</v>
      </c>
      <c r="AA41" s="46">
        <v>8.5</v>
      </c>
      <c r="AB41" s="46">
        <v>8.5</v>
      </c>
      <c r="AC41" s="46">
        <v>8.5</v>
      </c>
      <c r="AD41" s="46">
        <v>8.5</v>
      </c>
      <c r="AE41" s="46">
        <v>8.5</v>
      </c>
      <c r="AF41" s="46">
        <v>8.5</v>
      </c>
      <c r="AG41" s="50">
        <v>15.33</v>
      </c>
      <c r="AH41" s="48">
        <f t="shared" si="2"/>
        <v>8.5</v>
      </c>
      <c r="AI41" s="49">
        <f t="shared" si="3"/>
        <v>8.5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>
        <v>7</v>
      </c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>
        <v>7</v>
      </c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>
        <v>7</v>
      </c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8</v>
      </c>
      <c r="C45" s="46">
        <v>8</v>
      </c>
      <c r="D45" s="46">
        <v>8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14.3</v>
      </c>
      <c r="AH45" s="48">
        <f t="shared" si="2"/>
        <v>8</v>
      </c>
      <c r="AI45" s="49">
        <f t="shared" si="3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5.0999999999999996</v>
      </c>
      <c r="C46" s="46">
        <v>5.0999999999999996</v>
      </c>
      <c r="D46" s="46">
        <v>5.0999999999999996</v>
      </c>
      <c r="E46" s="46">
        <v>5.0999999999999996</v>
      </c>
      <c r="F46" s="46">
        <v>5.0999999999999996</v>
      </c>
      <c r="G46" s="46">
        <v>5.0999999999999996</v>
      </c>
      <c r="H46" s="46">
        <v>5.0999999999999996</v>
      </c>
      <c r="I46" s="46">
        <v>5.0999999999999996</v>
      </c>
      <c r="J46" s="46">
        <v>5.0999999999999996</v>
      </c>
      <c r="K46" s="46">
        <v>5.0999999999999996</v>
      </c>
      <c r="L46" s="46">
        <v>5.0999999999999996</v>
      </c>
      <c r="M46" s="46">
        <v>5.0999999999999996</v>
      </c>
      <c r="N46" s="46">
        <v>5.0999999999999996</v>
      </c>
      <c r="O46" s="46">
        <v>5.0999999999999996</v>
      </c>
      <c r="P46" s="46">
        <v>5.0999999999999996</v>
      </c>
      <c r="Q46" s="46">
        <v>5.0999999999999996</v>
      </c>
      <c r="R46" s="46">
        <v>5.0999999999999996</v>
      </c>
      <c r="S46" s="46">
        <v>5.0999999999999996</v>
      </c>
      <c r="T46" s="46">
        <v>5.0999999999999996</v>
      </c>
      <c r="U46" s="46">
        <v>5.0999999999999996</v>
      </c>
      <c r="V46" s="46">
        <v>5.0999999999999996</v>
      </c>
      <c r="W46" s="46">
        <v>5.0999999999999996</v>
      </c>
      <c r="X46" s="46">
        <v>5.0999999999999996</v>
      </c>
      <c r="Y46" s="46">
        <v>5.0999999999999996</v>
      </c>
      <c r="Z46" s="46">
        <v>5.0999999999999996</v>
      </c>
      <c r="AA46" s="46">
        <v>5.0999999999999996</v>
      </c>
      <c r="AB46" s="46">
        <v>5.0999999999999996</v>
      </c>
      <c r="AC46" s="46">
        <v>5.0999999999999996</v>
      </c>
      <c r="AD46" s="46">
        <v>5.0999999999999996</v>
      </c>
      <c r="AE46" s="46">
        <v>5.0999999999999996</v>
      </c>
      <c r="AF46" s="46">
        <v>5.0999999999999996</v>
      </c>
      <c r="AG46" s="50">
        <v>14</v>
      </c>
      <c r="AH46" s="48">
        <f t="shared" si="2"/>
        <v>5.0999999999999996</v>
      </c>
      <c r="AI46" s="49">
        <f t="shared" si="3"/>
        <v>5.0999999999999996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7</v>
      </c>
      <c r="C49" s="46">
        <v>7</v>
      </c>
      <c r="D49" s="46">
        <v>7</v>
      </c>
      <c r="E49" s="46">
        <v>7</v>
      </c>
      <c r="F49" s="46">
        <v>7</v>
      </c>
      <c r="G49" s="46">
        <v>7</v>
      </c>
      <c r="H49" s="46">
        <v>7</v>
      </c>
      <c r="I49" s="46">
        <v>7</v>
      </c>
      <c r="J49" s="46">
        <v>7</v>
      </c>
      <c r="K49" s="46">
        <v>7</v>
      </c>
      <c r="L49" s="46">
        <v>7</v>
      </c>
      <c r="M49" s="46">
        <v>7</v>
      </c>
      <c r="N49" s="46">
        <v>7</v>
      </c>
      <c r="O49" s="46">
        <v>7</v>
      </c>
      <c r="P49" s="46">
        <v>7</v>
      </c>
      <c r="Q49" s="46">
        <v>7</v>
      </c>
      <c r="R49" s="46">
        <v>7</v>
      </c>
      <c r="S49" s="46">
        <v>7</v>
      </c>
      <c r="T49" s="46">
        <v>7</v>
      </c>
      <c r="U49" s="46">
        <v>7</v>
      </c>
      <c r="V49" s="46">
        <v>7</v>
      </c>
      <c r="W49" s="46">
        <v>7</v>
      </c>
      <c r="X49" s="46">
        <v>7</v>
      </c>
      <c r="Y49" s="46">
        <v>7</v>
      </c>
      <c r="Z49" s="46">
        <v>7</v>
      </c>
      <c r="AA49" s="46">
        <v>7</v>
      </c>
      <c r="AB49" s="46">
        <v>7</v>
      </c>
      <c r="AC49" s="46">
        <v>7</v>
      </c>
      <c r="AD49" s="46">
        <v>7</v>
      </c>
      <c r="AE49" s="46">
        <v>7</v>
      </c>
      <c r="AF49" s="46">
        <v>7</v>
      </c>
      <c r="AG49" s="50">
        <v>12</v>
      </c>
      <c r="AH49" s="48">
        <f t="shared" si="2"/>
        <v>7</v>
      </c>
      <c r="AI49" s="49">
        <f t="shared" si="3"/>
        <v>7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>
        <v>5.0999999999999996</v>
      </c>
      <c r="D50" s="46">
        <v>5.0999999999999996</v>
      </c>
      <c r="E50" s="46">
        <v>5.0999999999999996</v>
      </c>
      <c r="F50" s="46">
        <v>5.0999999999999996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>
        <v>5.0999999999999996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5.0999999999999996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128.1</v>
      </c>
      <c r="C60" s="68">
        <v>128.1</v>
      </c>
      <c r="D60" s="68">
        <v>128.1</v>
      </c>
      <c r="E60" s="68">
        <v>136</v>
      </c>
      <c r="F60" s="68">
        <v>136</v>
      </c>
      <c r="G60" s="68">
        <v>136</v>
      </c>
      <c r="H60" s="68">
        <v>136.30000000000001</v>
      </c>
      <c r="I60" s="68">
        <v>136.30000000000001</v>
      </c>
      <c r="J60" s="68">
        <v>136.30000000000001</v>
      </c>
      <c r="K60" s="68">
        <v>136.30000000000001</v>
      </c>
      <c r="L60" s="68">
        <v>136.30000000000001</v>
      </c>
      <c r="M60" s="68">
        <f>135</f>
        <v>135</v>
      </c>
      <c r="N60" s="68">
        <f>135</f>
        <v>135</v>
      </c>
      <c r="O60" s="68">
        <f>135</f>
        <v>135</v>
      </c>
      <c r="P60" s="68">
        <v>97.6</v>
      </c>
      <c r="Q60" s="68">
        <v>97.6</v>
      </c>
      <c r="R60" s="68">
        <f>93.4</f>
        <v>93.4</v>
      </c>
      <c r="S60" s="68">
        <f>93.4</f>
        <v>93.4</v>
      </c>
      <c r="T60" s="68">
        <f>93.4</f>
        <v>93.4</v>
      </c>
      <c r="U60" s="68">
        <v>90.6</v>
      </c>
      <c r="V60" s="68">
        <v>100.1</v>
      </c>
      <c r="W60" s="68">
        <v>100.1</v>
      </c>
      <c r="X60" s="68">
        <v>101.6</v>
      </c>
      <c r="Y60" s="68">
        <v>101.6</v>
      </c>
      <c r="Z60" s="68">
        <v>100</v>
      </c>
      <c r="AA60" s="68">
        <v>100</v>
      </c>
      <c r="AB60" s="68">
        <v>135.1</v>
      </c>
      <c r="AC60" s="68">
        <v>135.1</v>
      </c>
      <c r="AD60" s="68">
        <v>135.1</v>
      </c>
      <c r="AE60" s="68">
        <v>138.1</v>
      </c>
      <c r="AF60" s="68">
        <v>138.1</v>
      </c>
      <c r="AG60" s="66">
        <v>240</v>
      </c>
      <c r="AH60" s="48">
        <f t="shared" si="2"/>
        <v>138.1</v>
      </c>
      <c r="AI60" s="49">
        <f t="shared" si="3"/>
        <v>90.6</v>
      </c>
      <c r="AK60" s="51"/>
    </row>
    <row r="61" spans="1:88" ht="15.75" thickBot="1" x14ac:dyDescent="0.3">
      <c r="A61" s="70" t="s">
        <v>75</v>
      </c>
      <c r="B61" s="71">
        <f t="shared" ref="B61:AG61" si="20">SUM(B11:B59)</f>
        <v>1088.5999999999999</v>
      </c>
      <c r="C61" s="71">
        <f t="shared" si="20"/>
        <v>1088.5999999999999</v>
      </c>
      <c r="D61" s="71">
        <f t="shared" si="20"/>
        <v>1088.5999999999999</v>
      </c>
      <c r="E61" s="71">
        <f t="shared" si="20"/>
        <v>1049</v>
      </c>
      <c r="F61" s="71">
        <f t="shared" si="20"/>
        <v>1069</v>
      </c>
      <c r="G61" s="71">
        <f t="shared" si="20"/>
        <v>1069</v>
      </c>
      <c r="H61" s="71">
        <f t="shared" si="20"/>
        <v>1074</v>
      </c>
      <c r="I61" s="71">
        <f t="shared" si="20"/>
        <v>1044.8000000000002</v>
      </c>
      <c r="J61" s="71">
        <f t="shared" si="20"/>
        <v>1073.4000000000001</v>
      </c>
      <c r="K61" s="71">
        <f t="shared" si="20"/>
        <v>1074.4000000000001</v>
      </c>
      <c r="L61" s="71">
        <f t="shared" si="20"/>
        <v>1074.4000000000001</v>
      </c>
      <c r="M61" s="71">
        <f t="shared" si="20"/>
        <v>1064.3000000000002</v>
      </c>
      <c r="N61" s="71">
        <f t="shared" si="20"/>
        <v>1064.3000000000002</v>
      </c>
      <c r="O61" s="71">
        <f t="shared" si="20"/>
        <v>1064.3000000000002</v>
      </c>
      <c r="P61" s="71">
        <f t="shared" si="20"/>
        <v>1028.5999999999999</v>
      </c>
      <c r="Q61" s="71">
        <f t="shared" si="20"/>
        <v>1028.1999999999998</v>
      </c>
      <c r="R61" s="71">
        <f t="shared" si="20"/>
        <v>945.19999999999993</v>
      </c>
      <c r="S61" s="71">
        <f t="shared" si="20"/>
        <v>1017.1999999999999</v>
      </c>
      <c r="T61" s="71">
        <f t="shared" si="20"/>
        <v>1017.1999999999999</v>
      </c>
      <c r="U61" s="71">
        <f t="shared" si="20"/>
        <v>1032.1999999999998</v>
      </c>
      <c r="V61" s="71">
        <f t="shared" si="20"/>
        <v>1032.1999999999998</v>
      </c>
      <c r="W61" s="71">
        <f t="shared" si="20"/>
        <v>1003.1999999999999</v>
      </c>
      <c r="X61" s="71">
        <f t="shared" si="20"/>
        <v>1003.1999999999999</v>
      </c>
      <c r="Y61" s="71">
        <f t="shared" si="20"/>
        <v>1003.1999999999999</v>
      </c>
      <c r="Z61" s="71">
        <f t="shared" si="20"/>
        <v>1003.1999999999999</v>
      </c>
      <c r="AA61" s="71">
        <f t="shared" si="20"/>
        <v>1003.1999999999999</v>
      </c>
      <c r="AB61" s="71">
        <f t="shared" si="20"/>
        <v>1003.1999999999999</v>
      </c>
      <c r="AC61" s="71">
        <f t="shared" si="20"/>
        <v>968.3</v>
      </c>
      <c r="AD61" s="71">
        <f t="shared" si="20"/>
        <v>968.3</v>
      </c>
      <c r="AE61" s="71">
        <f t="shared" si="20"/>
        <v>968.3</v>
      </c>
      <c r="AF61" s="71">
        <f t="shared" si="20"/>
        <v>896.49999999999989</v>
      </c>
      <c r="AG61" s="71">
        <f t="shared" si="20"/>
        <v>1466.0300000000002</v>
      </c>
      <c r="AH61" s="48">
        <f t="shared" si="2"/>
        <v>1088.5999999999999</v>
      </c>
      <c r="AI61" s="49">
        <f t="shared" si="3"/>
        <v>896.49999999999989</v>
      </c>
      <c r="AK61" s="51"/>
    </row>
    <row r="62" spans="1:88" x14ac:dyDescent="0.25">
      <c r="A62" s="73" t="s">
        <v>76</v>
      </c>
      <c r="B62" s="46">
        <v>459</v>
      </c>
      <c r="C62" s="46">
        <v>459</v>
      </c>
      <c r="D62" s="46">
        <v>459</v>
      </c>
      <c r="E62" s="46">
        <v>460</v>
      </c>
      <c r="F62" s="46">
        <v>460</v>
      </c>
      <c r="G62" s="46">
        <v>460</v>
      </c>
      <c r="H62" s="46">
        <v>460</v>
      </c>
      <c r="I62" s="46">
        <v>460</v>
      </c>
      <c r="J62" s="46">
        <v>460</v>
      </c>
      <c r="K62" s="46">
        <v>460</v>
      </c>
      <c r="L62" s="46">
        <v>460</v>
      </c>
      <c r="M62" s="46">
        <v>460</v>
      </c>
      <c r="N62" s="46">
        <v>460</v>
      </c>
      <c r="O62" s="46">
        <v>460</v>
      </c>
      <c r="P62" s="46">
        <v>460</v>
      </c>
      <c r="Q62" s="46">
        <v>460</v>
      </c>
      <c r="R62" s="46">
        <v>460</v>
      </c>
      <c r="S62" s="46">
        <v>460</v>
      </c>
      <c r="T62" s="46">
        <v>460</v>
      </c>
      <c r="U62" s="46">
        <v>460</v>
      </c>
      <c r="V62" s="46">
        <v>460</v>
      </c>
      <c r="W62" s="46">
        <v>460</v>
      </c>
      <c r="X62" s="46">
        <v>460</v>
      </c>
      <c r="Y62" s="46">
        <v>460</v>
      </c>
      <c r="Z62" s="46">
        <v>460</v>
      </c>
      <c r="AA62" s="46">
        <v>460</v>
      </c>
      <c r="AB62" s="46">
        <v>460</v>
      </c>
      <c r="AC62" s="46">
        <v>460</v>
      </c>
      <c r="AD62" s="46">
        <v>460</v>
      </c>
      <c r="AE62" s="46">
        <v>460</v>
      </c>
      <c r="AF62" s="46">
        <v>460</v>
      </c>
      <c r="AG62" s="61">
        <v>456</v>
      </c>
      <c r="AH62" s="48">
        <f t="shared" si="2"/>
        <v>460</v>
      </c>
      <c r="AI62" s="49">
        <f t="shared" si="3"/>
        <v>459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1">SUM(B62:B64)</f>
        <v>541.5</v>
      </c>
      <c r="C65" s="71">
        <f t="shared" si="21"/>
        <v>541.5</v>
      </c>
      <c r="D65" s="71">
        <f t="shared" si="21"/>
        <v>541.5</v>
      </c>
      <c r="E65" s="71">
        <f t="shared" si="21"/>
        <v>542.5</v>
      </c>
      <c r="F65" s="71">
        <f t="shared" si="21"/>
        <v>542.5</v>
      </c>
      <c r="G65" s="71">
        <f t="shared" si="21"/>
        <v>542.5</v>
      </c>
      <c r="H65" s="71">
        <f t="shared" si="21"/>
        <v>542.5</v>
      </c>
      <c r="I65" s="71">
        <f t="shared" si="21"/>
        <v>542.5</v>
      </c>
      <c r="J65" s="71">
        <f t="shared" si="21"/>
        <v>542.5</v>
      </c>
      <c r="K65" s="71">
        <f t="shared" si="21"/>
        <v>542.5</v>
      </c>
      <c r="L65" s="71">
        <f t="shared" si="21"/>
        <v>542.5</v>
      </c>
      <c r="M65" s="71">
        <f t="shared" si="21"/>
        <v>542.5</v>
      </c>
      <c r="N65" s="71">
        <f t="shared" si="21"/>
        <v>542.5</v>
      </c>
      <c r="O65" s="71">
        <f t="shared" si="21"/>
        <v>542.5</v>
      </c>
      <c r="P65" s="71">
        <f t="shared" si="21"/>
        <v>542.5</v>
      </c>
      <c r="Q65" s="71">
        <f t="shared" si="21"/>
        <v>542.5</v>
      </c>
      <c r="R65" s="71">
        <f t="shared" si="21"/>
        <v>542.5</v>
      </c>
      <c r="S65" s="71">
        <f t="shared" si="21"/>
        <v>542.5</v>
      </c>
      <c r="T65" s="71">
        <f t="shared" si="21"/>
        <v>542.5</v>
      </c>
      <c r="U65" s="71">
        <f t="shared" si="21"/>
        <v>542.5</v>
      </c>
      <c r="V65" s="71">
        <f t="shared" si="21"/>
        <v>542.5</v>
      </c>
      <c r="W65" s="71">
        <f t="shared" si="21"/>
        <v>542.5</v>
      </c>
      <c r="X65" s="71">
        <f t="shared" si="21"/>
        <v>542.5</v>
      </c>
      <c r="Y65" s="71">
        <f t="shared" si="21"/>
        <v>542.5</v>
      </c>
      <c r="Z65" s="71">
        <f t="shared" si="21"/>
        <v>542.5</v>
      </c>
      <c r="AA65" s="71">
        <f t="shared" si="21"/>
        <v>542.5</v>
      </c>
      <c r="AB65" s="71">
        <f t="shared" si="21"/>
        <v>542.5</v>
      </c>
      <c r="AC65" s="71">
        <f t="shared" si="21"/>
        <v>542.5</v>
      </c>
      <c r="AD65" s="71">
        <f t="shared" si="21"/>
        <v>542.5</v>
      </c>
      <c r="AE65" s="71">
        <f t="shared" si="21"/>
        <v>542.5</v>
      </c>
      <c r="AF65" s="71">
        <f t="shared" si="21"/>
        <v>542.5</v>
      </c>
      <c r="AG65" s="72">
        <f t="shared" si="21"/>
        <v>538.1</v>
      </c>
      <c r="AH65" s="48">
        <f t="shared" si="2"/>
        <v>542.5</v>
      </c>
      <c r="AI65" s="49">
        <f t="shared" si="3"/>
        <v>541.5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125</v>
      </c>
      <c r="C66" s="46">
        <v>125</v>
      </c>
      <c r="D66" s="46">
        <v>125</v>
      </c>
      <c r="E66" s="46">
        <v>130</v>
      </c>
      <c r="F66" s="46">
        <v>130</v>
      </c>
      <c r="G66" s="46">
        <v>130</v>
      </c>
      <c r="H66" s="46">
        <v>130</v>
      </c>
      <c r="I66" s="46">
        <v>130</v>
      </c>
      <c r="J66" s="46">
        <v>130</v>
      </c>
      <c r="K66" s="46">
        <v>130</v>
      </c>
      <c r="L66" s="46">
        <v>130</v>
      </c>
      <c r="M66" s="46">
        <v>130</v>
      </c>
      <c r="N66" s="46">
        <v>130</v>
      </c>
      <c r="O66" s="46">
        <v>130</v>
      </c>
      <c r="P66" s="46">
        <v>130</v>
      </c>
      <c r="Q66" s="46">
        <v>130</v>
      </c>
      <c r="R66" s="46">
        <v>130</v>
      </c>
      <c r="S66" s="46">
        <v>136</v>
      </c>
      <c r="T66" s="46">
        <v>136</v>
      </c>
      <c r="U66" s="46">
        <v>136</v>
      </c>
      <c r="V66" s="46">
        <v>136</v>
      </c>
      <c r="W66" s="46">
        <v>136</v>
      </c>
      <c r="X66" s="46">
        <v>136</v>
      </c>
      <c r="Y66" s="46">
        <v>136</v>
      </c>
      <c r="Z66" s="46">
        <v>136</v>
      </c>
      <c r="AA66" s="46">
        <v>136</v>
      </c>
      <c r="AB66" s="46">
        <v>136</v>
      </c>
      <c r="AC66" s="46">
        <v>136</v>
      </c>
      <c r="AD66" s="46">
        <v>140</v>
      </c>
      <c r="AE66" s="46">
        <v>140</v>
      </c>
      <c r="AF66" s="46">
        <v>140</v>
      </c>
      <c r="AG66" s="61">
        <v>144</v>
      </c>
      <c r="AH66" s="48">
        <f t="shared" si="2"/>
        <v>140</v>
      </c>
      <c r="AI66" s="49">
        <f t="shared" si="3"/>
        <v>125</v>
      </c>
      <c r="AK66" s="51"/>
      <c r="AY66" s="1" t="s">
        <v>86</v>
      </c>
      <c r="AZ66" s="82">
        <f>ROUND(C84,0)</f>
        <v>-36</v>
      </c>
      <c r="BA66" s="81">
        <f t="shared" ref="BA66:BD70" si="22">D84</f>
        <v>-38</v>
      </c>
      <c r="BB66" s="81">
        <f t="shared" si="22"/>
        <v>-41.4</v>
      </c>
      <c r="BC66" s="81">
        <f t="shared" si="22"/>
        <v>-39</v>
      </c>
      <c r="BD66" s="81">
        <f t="shared" si="22"/>
        <v>-38.6</v>
      </c>
      <c r="BE66" s="82">
        <f>I84</f>
        <v>-48.6</v>
      </c>
      <c r="BF66" s="82">
        <f>K84</f>
        <v>-12</v>
      </c>
      <c r="BG66" s="82">
        <f t="shared" ref="BG66:BP70" si="23">M84</f>
        <v>-10.7</v>
      </c>
      <c r="BH66" s="82">
        <f t="shared" si="23"/>
        <v>-10.7</v>
      </c>
      <c r="BI66" s="82">
        <f t="shared" si="23"/>
        <v>-10.7</v>
      </c>
      <c r="BJ66" s="82">
        <f t="shared" si="23"/>
        <v>11.4</v>
      </c>
      <c r="BK66" s="82">
        <f t="shared" si="23"/>
        <v>34</v>
      </c>
      <c r="BL66" s="82">
        <f t="shared" si="23"/>
        <v>27.3</v>
      </c>
      <c r="BM66" s="82">
        <f t="shared" si="23"/>
        <v>31.3</v>
      </c>
      <c r="BN66" s="82">
        <f t="shared" si="23"/>
        <v>28</v>
      </c>
      <c r="BO66" s="82">
        <f t="shared" si="23"/>
        <v>2.2999999999999998</v>
      </c>
      <c r="BP66" s="82">
        <f t="shared" si="23"/>
        <v>-4.3</v>
      </c>
      <c r="BQ66" s="82">
        <f>X84</f>
        <v>-30</v>
      </c>
      <c r="BR66" s="82">
        <f>Z84</f>
        <v>-20</v>
      </c>
      <c r="BS66" s="81">
        <f>AB84</f>
        <v>22.2</v>
      </c>
      <c r="BT66" s="81">
        <f t="shared" ref="BT66:BV70" si="24">AD84</f>
        <v>20.7</v>
      </c>
      <c r="BU66" s="81">
        <f t="shared" si="24"/>
        <v>-6</v>
      </c>
      <c r="BV66" s="81">
        <f t="shared" si="24"/>
        <v>24.1</v>
      </c>
      <c r="BW66" s="81">
        <f>B84</f>
        <v>-36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69.900000000000006</v>
      </c>
      <c r="Q67" s="76">
        <v>69.900000000000006</v>
      </c>
      <c r="R67" s="76">
        <v>69.900000000000006</v>
      </c>
      <c r="S67" s="76">
        <v>69.900000000000006</v>
      </c>
      <c r="T67" s="76">
        <v>69.900000000000006</v>
      </c>
      <c r="U67" s="76">
        <v>69.900000000000006</v>
      </c>
      <c r="V67" s="76">
        <v>69.900000000000006</v>
      </c>
      <c r="W67" s="76">
        <v>69.900000000000006</v>
      </c>
      <c r="X67" s="76">
        <v>69.900000000000006</v>
      </c>
      <c r="Y67" s="76">
        <v>69.900000000000006</v>
      </c>
      <c r="Z67" s="76">
        <v>69.900000000000006</v>
      </c>
      <c r="AA67" s="76">
        <v>69.900000000000006</v>
      </c>
      <c r="AB67" s="76">
        <v>69.900000000000006</v>
      </c>
      <c r="AC67" s="76">
        <v>69.900000000000006</v>
      </c>
      <c r="AD67" s="76">
        <v>69.900000000000006</v>
      </c>
      <c r="AE67" s="76">
        <v>69.900000000000006</v>
      </c>
      <c r="AF67" s="76">
        <v>69.900000000000006</v>
      </c>
      <c r="AG67" s="66">
        <v>70</v>
      </c>
      <c r="AH67" s="48">
        <f t="shared" si="2"/>
        <v>70</v>
      </c>
      <c r="AI67" s="49">
        <f t="shared" si="3"/>
        <v>69.900000000000006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69</v>
      </c>
      <c r="J68" s="76">
        <v>69</v>
      </c>
      <c r="K68" s="76">
        <v>69</v>
      </c>
      <c r="L68" s="76">
        <v>69</v>
      </c>
      <c r="M68" s="76">
        <v>64.3</v>
      </c>
      <c r="N68" s="76">
        <v>64.3</v>
      </c>
      <c r="O68" s="76">
        <v>64.3</v>
      </c>
      <c r="P68" s="76">
        <v>64.599999999999994</v>
      </c>
      <c r="Q68" s="76">
        <v>64.599999999999994</v>
      </c>
      <c r="R68" s="76">
        <v>64.7</v>
      </c>
      <c r="S68" s="76">
        <v>64.7</v>
      </c>
      <c r="T68" s="76">
        <v>64.7</v>
      </c>
      <c r="U68" s="76">
        <v>64.7</v>
      </c>
      <c r="V68" s="76">
        <v>64.7</v>
      </c>
      <c r="W68" s="76">
        <v>64.7</v>
      </c>
      <c r="X68" s="76">
        <v>64.7</v>
      </c>
      <c r="Y68" s="76">
        <v>64.7</v>
      </c>
      <c r="Z68" s="76">
        <v>64.7</v>
      </c>
      <c r="AA68" s="76">
        <v>64.7</v>
      </c>
      <c r="AB68" s="76">
        <v>64.7</v>
      </c>
      <c r="AC68" s="76">
        <v>64.7</v>
      </c>
      <c r="AD68" s="76">
        <v>64.7</v>
      </c>
      <c r="AE68" s="76">
        <v>64.7</v>
      </c>
      <c r="AF68" s="76">
        <v>64.7</v>
      </c>
      <c r="AG68" s="66">
        <v>69</v>
      </c>
      <c r="AH68" s="48">
        <f t="shared" si="2"/>
        <v>69</v>
      </c>
      <c r="AI68" s="49">
        <f t="shared" si="3"/>
        <v>0</v>
      </c>
      <c r="AK68" s="51"/>
      <c r="AL68" s="83"/>
      <c r="AO68" s="83"/>
      <c r="AY68" s="1" t="s">
        <v>90</v>
      </c>
      <c r="AZ68" s="82">
        <f>ROUND(C86,0)</f>
        <v>-502</v>
      </c>
      <c r="BA68" s="81">
        <f t="shared" si="22"/>
        <v>-521</v>
      </c>
      <c r="BB68" s="81">
        <f t="shared" si="22"/>
        <v>-533</v>
      </c>
      <c r="BC68" s="81">
        <f t="shared" si="22"/>
        <v>-592</v>
      </c>
      <c r="BD68" s="81">
        <f t="shared" si="22"/>
        <v>-585</v>
      </c>
      <c r="BE68" s="82">
        <f>I86</f>
        <v>-612</v>
      </c>
      <c r="BF68" s="82">
        <f>K86</f>
        <v>-506</v>
      </c>
      <c r="BG68" s="82">
        <f t="shared" si="23"/>
        <v>-501</v>
      </c>
      <c r="BH68" s="82">
        <f t="shared" si="23"/>
        <v>-501</v>
      </c>
      <c r="BI68" s="82">
        <f t="shared" si="23"/>
        <v>-501</v>
      </c>
      <c r="BJ68" s="82">
        <f t="shared" si="23"/>
        <v>-380</v>
      </c>
      <c r="BK68" s="82">
        <f t="shared" si="23"/>
        <v>-416</v>
      </c>
      <c r="BL68" s="82">
        <f t="shared" si="23"/>
        <v>-320</v>
      </c>
      <c r="BM68" s="82">
        <f t="shared" si="23"/>
        <v>-325</v>
      </c>
      <c r="BN68" s="82">
        <f t="shared" si="23"/>
        <v>-362</v>
      </c>
      <c r="BO68" s="82">
        <f t="shared" si="23"/>
        <v>-413</v>
      </c>
      <c r="BP68" s="82">
        <f t="shared" si="23"/>
        <v>-395</v>
      </c>
      <c r="BQ68" s="82">
        <f>X86</f>
        <v>-491</v>
      </c>
      <c r="BR68" s="82">
        <f>Z86</f>
        <v>-475</v>
      </c>
      <c r="BS68" s="81">
        <f>AB86</f>
        <v>-306.7</v>
      </c>
      <c r="BT68" s="81">
        <f t="shared" si="24"/>
        <v>-408.1</v>
      </c>
      <c r="BU68" s="81">
        <f t="shared" si="24"/>
        <v>-447.1</v>
      </c>
      <c r="BV68" s="81">
        <f t="shared" si="24"/>
        <v>-445.1</v>
      </c>
      <c r="BW68" s="81">
        <f>B86</f>
        <v>-446</v>
      </c>
    </row>
    <row r="69" spans="1:75" s="83" customFormat="1" x14ac:dyDescent="0.25">
      <c r="A69" s="65" t="s">
        <v>83</v>
      </c>
      <c r="B69" s="76">
        <v>60.7</v>
      </c>
      <c r="C69" s="76">
        <v>60.7</v>
      </c>
      <c r="D69" s="76">
        <v>60.7</v>
      </c>
      <c r="E69" s="76">
        <v>60.9</v>
      </c>
      <c r="F69" s="76">
        <v>60.9</v>
      </c>
      <c r="G69" s="76">
        <v>60.9</v>
      </c>
      <c r="H69" s="76">
        <v>60.9</v>
      </c>
      <c r="I69" s="76">
        <v>60.9</v>
      </c>
      <c r="J69" s="76">
        <v>60.9</v>
      </c>
      <c r="K69" s="76">
        <v>60.9</v>
      </c>
      <c r="L69" s="76">
        <v>60.9</v>
      </c>
      <c r="M69" s="76">
        <v>60.4</v>
      </c>
      <c r="N69" s="76">
        <v>60.4</v>
      </c>
      <c r="O69" s="76">
        <v>60.4</v>
      </c>
      <c r="P69" s="76">
        <v>60.4</v>
      </c>
      <c r="Q69" s="76">
        <v>60.4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76">
        <v>60.4</v>
      </c>
      <c r="AB69" s="76">
        <v>60.4</v>
      </c>
      <c r="AC69" s="76">
        <v>60.4</v>
      </c>
      <c r="AD69" s="76">
        <v>60.4</v>
      </c>
      <c r="AE69" s="76">
        <v>60.4</v>
      </c>
      <c r="AF69" s="76">
        <v>60.4</v>
      </c>
      <c r="AG69" s="66">
        <v>60</v>
      </c>
      <c r="AH69" s="48">
        <f t="shared" si="2"/>
        <v>60.9</v>
      </c>
      <c r="AI69" s="49">
        <f t="shared" si="3"/>
        <v>60.4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>
        <v>23.3</v>
      </c>
      <c r="C70" s="46">
        <v>23.3</v>
      </c>
      <c r="D70" s="46">
        <v>23.3</v>
      </c>
      <c r="E70" s="76">
        <v>29</v>
      </c>
      <c r="F70" s="76">
        <v>29</v>
      </c>
      <c r="G70" s="76">
        <v>29</v>
      </c>
      <c r="H70" s="76">
        <v>29</v>
      </c>
      <c r="I70" s="76">
        <v>29</v>
      </c>
      <c r="J70" s="76">
        <v>29</v>
      </c>
      <c r="K70" s="76">
        <v>29</v>
      </c>
      <c r="L70" s="76">
        <v>29</v>
      </c>
      <c r="M70" s="76">
        <v>28.9</v>
      </c>
      <c r="N70" s="76">
        <v>28.9</v>
      </c>
      <c r="O70" s="76">
        <v>28.9</v>
      </c>
      <c r="P70" s="76">
        <v>28.1</v>
      </c>
      <c r="Q70" s="76">
        <v>28.1</v>
      </c>
      <c r="R70" s="76">
        <v>0</v>
      </c>
      <c r="S70" s="76">
        <v>0</v>
      </c>
      <c r="T70" s="76">
        <v>0</v>
      </c>
      <c r="U70" s="76">
        <v>23.3</v>
      </c>
      <c r="V70" s="76">
        <v>23.3</v>
      </c>
      <c r="W70" s="76">
        <v>23.3</v>
      </c>
      <c r="X70" s="76">
        <v>23.3</v>
      </c>
      <c r="Y70" s="76">
        <v>23.3</v>
      </c>
      <c r="Z70" s="76">
        <v>10</v>
      </c>
      <c r="AA70" s="76">
        <v>15</v>
      </c>
      <c r="AB70" s="76">
        <v>28.9</v>
      </c>
      <c r="AC70" s="76">
        <v>28.9</v>
      </c>
      <c r="AD70" s="76">
        <v>28.9</v>
      </c>
      <c r="AE70" s="76">
        <v>28.9</v>
      </c>
      <c r="AF70" s="76">
        <v>28.9</v>
      </c>
      <c r="AG70" s="66">
        <v>30</v>
      </c>
      <c r="AH70" s="48">
        <f t="shared" si="2"/>
        <v>29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0.8</v>
      </c>
      <c r="J71" s="46">
        <v>0.8</v>
      </c>
      <c r="K71" s="46">
        <v>0.8</v>
      </c>
      <c r="L71" s="46">
        <v>0.8</v>
      </c>
      <c r="M71" s="46">
        <v>9.8000000000000007</v>
      </c>
      <c r="N71" s="46">
        <v>9.8000000000000007</v>
      </c>
      <c r="O71" s="46">
        <v>9.8000000000000007</v>
      </c>
      <c r="P71" s="46">
        <v>12.5</v>
      </c>
      <c r="Q71" s="46">
        <v>12.5</v>
      </c>
      <c r="R71" s="46">
        <v>13.6</v>
      </c>
      <c r="S71" s="46">
        <v>14.4</v>
      </c>
      <c r="T71" s="46">
        <v>8.9</v>
      </c>
      <c r="U71" s="46">
        <v>6.5</v>
      </c>
      <c r="V71" s="46">
        <v>1.8</v>
      </c>
      <c r="W71" s="46">
        <v>1.8</v>
      </c>
      <c r="X71" s="46">
        <v>1.2</v>
      </c>
      <c r="Y71" s="46">
        <v>0.3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14.4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</v>
      </c>
      <c r="C72" s="76">
        <v>11</v>
      </c>
      <c r="D72" s="76">
        <v>11</v>
      </c>
      <c r="E72" s="76">
        <v>11</v>
      </c>
      <c r="F72" s="76">
        <v>11</v>
      </c>
      <c r="G72" s="76">
        <v>11</v>
      </c>
      <c r="H72" s="76">
        <v>11</v>
      </c>
      <c r="I72" s="76">
        <v>9.3000000000000007</v>
      </c>
      <c r="J72" s="76">
        <v>9.3000000000000007</v>
      </c>
      <c r="K72" s="76">
        <v>9.3000000000000007</v>
      </c>
      <c r="L72" s="76">
        <v>9.3000000000000007</v>
      </c>
      <c r="M72" s="76">
        <v>8.3000000000000007</v>
      </c>
      <c r="N72" s="76">
        <v>8.3000000000000007</v>
      </c>
      <c r="O72" s="76">
        <v>8.3000000000000007</v>
      </c>
      <c r="P72" s="76">
        <v>11.1</v>
      </c>
      <c r="Q72" s="76">
        <v>11.1</v>
      </c>
      <c r="R72" s="76">
        <v>11.1</v>
      </c>
      <c r="S72" s="76">
        <v>11.1</v>
      </c>
      <c r="T72" s="76">
        <v>11.1</v>
      </c>
      <c r="U72" s="76">
        <v>11.1</v>
      </c>
      <c r="V72" s="76">
        <v>11.1</v>
      </c>
      <c r="W72" s="76">
        <v>11.1</v>
      </c>
      <c r="X72" s="76">
        <v>11.1</v>
      </c>
      <c r="Y72" s="76">
        <v>11.1</v>
      </c>
      <c r="Z72" s="76">
        <v>11.1</v>
      </c>
      <c r="AA72" s="76">
        <v>11.1</v>
      </c>
      <c r="AB72" s="76">
        <v>11.1</v>
      </c>
      <c r="AC72" s="76">
        <v>11.1</v>
      </c>
      <c r="AD72" s="76">
        <v>11.1</v>
      </c>
      <c r="AE72" s="76">
        <v>11.1</v>
      </c>
      <c r="AF72" s="76">
        <v>11.1</v>
      </c>
      <c r="AG72" s="66">
        <v>24</v>
      </c>
      <c r="AH72" s="48">
        <f t="shared" si="2"/>
        <v>11.1</v>
      </c>
      <c r="AI72" s="49">
        <f t="shared" si="3"/>
        <v>8.3000000000000007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2.1</v>
      </c>
      <c r="C73" s="76">
        <v>2.1</v>
      </c>
      <c r="D73" s="76">
        <v>2.1</v>
      </c>
      <c r="E73" s="76">
        <v>2.1</v>
      </c>
      <c r="F73" s="76">
        <v>2.1</v>
      </c>
      <c r="G73" s="76">
        <v>2.1</v>
      </c>
      <c r="H73" s="76">
        <v>2.1</v>
      </c>
      <c r="I73" s="76">
        <v>2.1</v>
      </c>
      <c r="J73" s="76">
        <v>2.1</v>
      </c>
      <c r="K73" s="76">
        <v>2.1</v>
      </c>
      <c r="L73" s="76">
        <v>2.1</v>
      </c>
      <c r="M73" s="76">
        <v>2.1</v>
      </c>
      <c r="N73" s="76">
        <v>2.1</v>
      </c>
      <c r="O73" s="76">
        <v>2.1</v>
      </c>
      <c r="P73" s="76">
        <v>2.1</v>
      </c>
      <c r="Q73" s="76">
        <v>2.1</v>
      </c>
      <c r="R73" s="76">
        <v>2.1</v>
      </c>
      <c r="S73" s="76">
        <v>2.1</v>
      </c>
      <c r="T73" s="76">
        <v>2.1</v>
      </c>
      <c r="U73" s="76">
        <v>2.1</v>
      </c>
      <c r="V73" s="76">
        <v>2.1</v>
      </c>
      <c r="W73" s="76">
        <v>2.1</v>
      </c>
      <c r="X73" s="76">
        <v>2.1</v>
      </c>
      <c r="Y73" s="76">
        <v>2.1</v>
      </c>
      <c r="Z73" s="76">
        <v>2.1</v>
      </c>
      <c r="AA73" s="76">
        <v>2.1</v>
      </c>
      <c r="AB73" s="76">
        <v>2.1</v>
      </c>
      <c r="AC73" s="76">
        <v>2.1</v>
      </c>
      <c r="AD73" s="76">
        <v>2.1</v>
      </c>
      <c r="AE73" s="76">
        <v>2.1</v>
      </c>
      <c r="AF73" s="76">
        <v>2.1</v>
      </c>
      <c r="AG73" s="66">
        <v>15</v>
      </c>
      <c r="AH73" s="48">
        <f t="shared" si="2"/>
        <v>2.1</v>
      </c>
      <c r="AI73" s="49">
        <f t="shared" si="3"/>
        <v>2.1</v>
      </c>
      <c r="AK73" s="51"/>
      <c r="AZ73" s="82">
        <f t="shared" ref="AZ73:BW78" si="26">VALUE(AZ66)</f>
        <v>-36</v>
      </c>
      <c r="BA73" s="82">
        <f t="shared" si="26"/>
        <v>-38</v>
      </c>
      <c r="BB73" s="82">
        <f t="shared" si="26"/>
        <v>-41.4</v>
      </c>
      <c r="BC73" s="82">
        <f t="shared" si="26"/>
        <v>-39</v>
      </c>
      <c r="BD73" s="82">
        <f t="shared" si="26"/>
        <v>-38.6</v>
      </c>
      <c r="BE73" s="82">
        <f t="shared" si="26"/>
        <v>-48.6</v>
      </c>
      <c r="BF73" s="82">
        <f t="shared" si="26"/>
        <v>-12</v>
      </c>
      <c r="BG73" s="82">
        <f t="shared" si="26"/>
        <v>-10.7</v>
      </c>
      <c r="BH73" s="82">
        <f t="shared" si="26"/>
        <v>-10.7</v>
      </c>
      <c r="BI73" s="82">
        <f t="shared" si="26"/>
        <v>-10.7</v>
      </c>
      <c r="BJ73" s="82">
        <f t="shared" si="26"/>
        <v>11.4</v>
      </c>
      <c r="BK73" s="82">
        <f t="shared" si="26"/>
        <v>34</v>
      </c>
      <c r="BL73" s="82">
        <f t="shared" si="26"/>
        <v>27.3</v>
      </c>
      <c r="BM73" s="82">
        <f t="shared" si="26"/>
        <v>31.3</v>
      </c>
      <c r="BN73" s="82">
        <f t="shared" si="26"/>
        <v>28</v>
      </c>
      <c r="BO73" s="82">
        <f t="shared" si="26"/>
        <v>2.2999999999999998</v>
      </c>
      <c r="BP73" s="82">
        <f t="shared" si="26"/>
        <v>-4.3</v>
      </c>
      <c r="BQ73" s="82">
        <f t="shared" si="26"/>
        <v>-30</v>
      </c>
      <c r="BR73" s="82">
        <f t="shared" si="26"/>
        <v>-20</v>
      </c>
      <c r="BS73" s="82">
        <f t="shared" si="26"/>
        <v>22.2</v>
      </c>
      <c r="BT73" s="82">
        <f t="shared" si="26"/>
        <v>20.7</v>
      </c>
      <c r="BU73" s="82">
        <f t="shared" si="26"/>
        <v>-6</v>
      </c>
      <c r="BV73" s="82">
        <f t="shared" si="26"/>
        <v>24.1</v>
      </c>
      <c r="BW73" s="82">
        <f t="shared" si="26"/>
        <v>-36</v>
      </c>
    </row>
    <row r="74" spans="1:75" x14ac:dyDescent="0.25">
      <c r="A74" s="65" t="s">
        <v>91</v>
      </c>
      <c r="B74" s="76">
        <v>10.4</v>
      </c>
      <c r="C74" s="76">
        <v>10.4</v>
      </c>
      <c r="D74" s="76">
        <v>10.4</v>
      </c>
      <c r="E74" s="76">
        <v>7.6</v>
      </c>
      <c r="F74" s="76">
        <v>7.6</v>
      </c>
      <c r="G74" s="76">
        <v>7.6</v>
      </c>
      <c r="H74" s="76">
        <v>7.6</v>
      </c>
      <c r="I74" s="76">
        <v>8.5</v>
      </c>
      <c r="J74" s="76">
        <v>8.5</v>
      </c>
      <c r="K74" s="76">
        <v>8.5</v>
      </c>
      <c r="L74" s="76">
        <v>8.5</v>
      </c>
      <c r="M74" s="76">
        <v>7.8</v>
      </c>
      <c r="N74" s="76">
        <v>7.8</v>
      </c>
      <c r="O74" s="76">
        <v>7.8</v>
      </c>
      <c r="P74" s="76">
        <v>9.4</v>
      </c>
      <c r="Q74" s="76">
        <v>9.4</v>
      </c>
      <c r="R74" s="76">
        <v>9.1</v>
      </c>
      <c r="S74" s="76">
        <v>9.1</v>
      </c>
      <c r="T74" s="76">
        <v>9.1</v>
      </c>
      <c r="U74" s="76">
        <v>9.1</v>
      </c>
      <c r="V74" s="76">
        <v>9.1</v>
      </c>
      <c r="W74" s="76">
        <v>9.1</v>
      </c>
      <c r="X74" s="76">
        <v>9.1</v>
      </c>
      <c r="Y74" s="76">
        <v>9.1</v>
      </c>
      <c r="Z74" s="76">
        <v>9.1</v>
      </c>
      <c r="AA74" s="76">
        <v>9.1</v>
      </c>
      <c r="AB74" s="76">
        <v>9.1</v>
      </c>
      <c r="AC74" s="76">
        <v>9.1</v>
      </c>
      <c r="AD74" s="76">
        <v>9.1</v>
      </c>
      <c r="AE74" s="76">
        <v>9.1</v>
      </c>
      <c r="AF74" s="76">
        <v>9.1</v>
      </c>
      <c r="AG74" s="66">
        <v>14.1</v>
      </c>
      <c r="AH74" s="48">
        <f t="shared" si="2"/>
        <v>10.4</v>
      </c>
      <c r="AI74" s="49">
        <f t="shared" si="3"/>
        <v>7.6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>
        <v>0</v>
      </c>
      <c r="C75" s="76">
        <v>0</v>
      </c>
      <c r="D75" s="76">
        <v>0</v>
      </c>
      <c r="E75" s="76">
        <v>7.3</v>
      </c>
      <c r="F75" s="76">
        <v>7.3</v>
      </c>
      <c r="G75" s="76">
        <v>7.3</v>
      </c>
      <c r="H75" s="76">
        <v>7.3</v>
      </c>
      <c r="I75" s="76">
        <v>7.3</v>
      </c>
      <c r="J75" s="76">
        <v>7.3</v>
      </c>
      <c r="K75" s="76">
        <v>7.3</v>
      </c>
      <c r="L75" s="76">
        <v>7.3</v>
      </c>
      <c r="M75" s="76">
        <v>7.1</v>
      </c>
      <c r="N75" s="76">
        <v>7.1</v>
      </c>
      <c r="O75" s="76">
        <v>7.1</v>
      </c>
      <c r="P75" s="76">
        <v>7.1</v>
      </c>
      <c r="Q75" s="76">
        <v>7.1</v>
      </c>
      <c r="R75" s="76">
        <v>7.1</v>
      </c>
      <c r="S75" s="76">
        <v>7.1</v>
      </c>
      <c r="T75" s="76">
        <v>7.1</v>
      </c>
      <c r="U75" s="76">
        <v>7.1</v>
      </c>
      <c r="V75" s="76">
        <v>7.1</v>
      </c>
      <c r="W75" s="76">
        <v>7.1</v>
      </c>
      <c r="X75" s="76">
        <v>7.1</v>
      </c>
      <c r="Y75" s="76">
        <v>7.1</v>
      </c>
      <c r="Z75" s="76">
        <v>7.1</v>
      </c>
      <c r="AA75" s="76">
        <v>7.1</v>
      </c>
      <c r="AB75" s="76">
        <v>7.1</v>
      </c>
      <c r="AC75" s="76">
        <v>7.1</v>
      </c>
      <c r="AD75" s="76">
        <v>7.1</v>
      </c>
      <c r="AE75" s="76">
        <v>7.1</v>
      </c>
      <c r="AF75" s="76">
        <v>7.1</v>
      </c>
      <c r="AG75" s="66">
        <v>14</v>
      </c>
      <c r="AH75" s="48">
        <f t="shared" ref="AH75:AH126" si="27">MAX(B75:AF75)</f>
        <v>7.3</v>
      </c>
      <c r="AI75" s="49">
        <f t="shared" ref="AI75:AI126" si="28">MIN(B75:AF75)</f>
        <v>0</v>
      </c>
      <c r="AK75" s="51"/>
      <c r="AZ75" s="82">
        <f t="shared" si="26"/>
        <v>-502</v>
      </c>
      <c r="BA75" s="82">
        <f t="shared" si="26"/>
        <v>-521</v>
      </c>
      <c r="BB75" s="82">
        <f t="shared" si="26"/>
        <v>-533</v>
      </c>
      <c r="BC75" s="82">
        <f t="shared" si="26"/>
        <v>-592</v>
      </c>
      <c r="BD75" s="82">
        <f t="shared" si="26"/>
        <v>-585</v>
      </c>
      <c r="BE75" s="82">
        <f t="shared" si="26"/>
        <v>-612</v>
      </c>
      <c r="BF75" s="82">
        <f t="shared" si="26"/>
        <v>-506</v>
      </c>
      <c r="BG75" s="82">
        <f t="shared" si="26"/>
        <v>-501</v>
      </c>
      <c r="BH75" s="82">
        <f t="shared" si="26"/>
        <v>-501</v>
      </c>
      <c r="BI75" s="82">
        <f t="shared" si="26"/>
        <v>-501</v>
      </c>
      <c r="BJ75" s="82">
        <f t="shared" si="26"/>
        <v>-380</v>
      </c>
      <c r="BK75" s="82">
        <f t="shared" si="26"/>
        <v>-416</v>
      </c>
      <c r="BL75" s="82">
        <f t="shared" si="26"/>
        <v>-320</v>
      </c>
      <c r="BM75" s="82">
        <f t="shared" si="26"/>
        <v>-325</v>
      </c>
      <c r="BN75" s="82">
        <f t="shared" si="26"/>
        <v>-362</v>
      </c>
      <c r="BO75" s="82">
        <f t="shared" si="26"/>
        <v>-413</v>
      </c>
      <c r="BP75" s="82">
        <f t="shared" si="26"/>
        <v>-395</v>
      </c>
      <c r="BQ75" s="82">
        <f t="shared" si="26"/>
        <v>-491</v>
      </c>
      <c r="BR75" s="82">
        <f t="shared" si="26"/>
        <v>-475</v>
      </c>
      <c r="BS75" s="82">
        <f t="shared" si="26"/>
        <v>-306.7</v>
      </c>
      <c r="BT75" s="82">
        <f t="shared" si="26"/>
        <v>-408.1</v>
      </c>
      <c r="BU75" s="82">
        <f t="shared" si="26"/>
        <v>-447.1</v>
      </c>
      <c r="BV75" s="82">
        <f t="shared" si="26"/>
        <v>-445.1</v>
      </c>
      <c r="BW75" s="82">
        <f t="shared" si="26"/>
        <v>-446</v>
      </c>
    </row>
    <row r="76" spans="1:75" x14ac:dyDescent="0.25">
      <c r="A76" s="65" t="s">
        <v>95</v>
      </c>
      <c r="B76" s="76">
        <v>0</v>
      </c>
      <c r="C76" s="76">
        <v>0</v>
      </c>
      <c r="D76" s="76">
        <v>0</v>
      </c>
      <c r="E76" s="76">
        <v>10.5</v>
      </c>
      <c r="F76" s="76">
        <v>10.5</v>
      </c>
      <c r="G76" s="76">
        <v>10.5</v>
      </c>
      <c r="H76" s="76">
        <v>10.5</v>
      </c>
      <c r="I76" s="76">
        <v>10.5</v>
      </c>
      <c r="J76" s="76">
        <v>10.5</v>
      </c>
      <c r="K76" s="76">
        <v>10.5</v>
      </c>
      <c r="L76" s="76">
        <v>10.5</v>
      </c>
      <c r="M76" s="76">
        <v>10.5</v>
      </c>
      <c r="N76" s="76">
        <v>10.5</v>
      </c>
      <c r="O76" s="76">
        <v>10.5</v>
      </c>
      <c r="P76" s="76">
        <v>10.5</v>
      </c>
      <c r="Q76" s="76">
        <v>10.5</v>
      </c>
      <c r="R76" s="76">
        <v>10.5</v>
      </c>
      <c r="S76" s="76">
        <v>10.5</v>
      </c>
      <c r="T76" s="76">
        <v>10.5</v>
      </c>
      <c r="U76" s="76">
        <v>10.5</v>
      </c>
      <c r="V76" s="76">
        <v>10.5</v>
      </c>
      <c r="W76" s="76">
        <v>10.5</v>
      </c>
      <c r="X76" s="76">
        <v>10.5</v>
      </c>
      <c r="Y76" s="76">
        <v>10.5</v>
      </c>
      <c r="Z76" s="76">
        <v>10.5</v>
      </c>
      <c r="AA76" s="76">
        <v>10.5</v>
      </c>
      <c r="AB76" s="76">
        <v>10.5</v>
      </c>
      <c r="AC76" s="76">
        <v>10.5</v>
      </c>
      <c r="AD76" s="76">
        <v>10.5</v>
      </c>
      <c r="AE76" s="76">
        <v>10.5</v>
      </c>
      <c r="AF76" s="76">
        <v>10.5</v>
      </c>
      <c r="AG76" s="66">
        <v>10.050000000000001</v>
      </c>
      <c r="AH76" s="48">
        <f t="shared" si="27"/>
        <v>10.5</v>
      </c>
      <c r="AI76" s="49">
        <f t="shared" si="28"/>
        <v>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7"/>
        <v>6</v>
      </c>
      <c r="AI77" s="49">
        <f t="shared" si="28"/>
        <v>6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7"/>
        <v>3.54</v>
      </c>
      <c r="AI78" s="49">
        <f t="shared" si="28"/>
        <v>3.54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 t="shared" ref="B79:AG79" si="29">SUM(B66:B78)</f>
        <v>312.04000000000002</v>
      </c>
      <c r="C79" s="71">
        <f t="shared" si="29"/>
        <v>312.04000000000002</v>
      </c>
      <c r="D79" s="71">
        <f t="shared" si="29"/>
        <v>312.04000000000002</v>
      </c>
      <c r="E79" s="71">
        <f t="shared" si="29"/>
        <v>337.94000000000005</v>
      </c>
      <c r="F79" s="71">
        <f t="shared" si="29"/>
        <v>337.94000000000005</v>
      </c>
      <c r="G79" s="71">
        <f t="shared" si="29"/>
        <v>337.94000000000005</v>
      </c>
      <c r="H79" s="71">
        <f t="shared" si="29"/>
        <v>337.94000000000005</v>
      </c>
      <c r="I79" s="71">
        <f t="shared" si="29"/>
        <v>406.94000000000005</v>
      </c>
      <c r="J79" s="71">
        <f t="shared" si="29"/>
        <v>406.94000000000005</v>
      </c>
      <c r="K79" s="71">
        <f t="shared" si="29"/>
        <v>406.94000000000005</v>
      </c>
      <c r="L79" s="71">
        <f t="shared" si="29"/>
        <v>406.94000000000005</v>
      </c>
      <c r="M79" s="71">
        <f t="shared" si="29"/>
        <v>408.74000000000007</v>
      </c>
      <c r="N79" s="71">
        <f t="shared" si="29"/>
        <v>408.74000000000007</v>
      </c>
      <c r="O79" s="71">
        <f t="shared" si="29"/>
        <v>408.74000000000007</v>
      </c>
      <c r="P79" s="71">
        <f t="shared" si="29"/>
        <v>415.24000000000007</v>
      </c>
      <c r="Q79" s="71">
        <f t="shared" si="29"/>
        <v>415.24000000000007</v>
      </c>
      <c r="R79" s="71">
        <f t="shared" si="29"/>
        <v>388.04000000000013</v>
      </c>
      <c r="S79" s="71">
        <f t="shared" si="29"/>
        <v>394.84000000000009</v>
      </c>
      <c r="T79" s="71">
        <f t="shared" si="29"/>
        <v>389.34000000000009</v>
      </c>
      <c r="U79" s="71">
        <f t="shared" si="29"/>
        <v>410.24000000000012</v>
      </c>
      <c r="V79" s="71">
        <f t="shared" si="29"/>
        <v>405.54000000000013</v>
      </c>
      <c r="W79" s="71">
        <f t="shared" si="29"/>
        <v>405.54000000000013</v>
      </c>
      <c r="X79" s="71">
        <f t="shared" si="29"/>
        <v>404.94000000000011</v>
      </c>
      <c r="Y79" s="71">
        <f t="shared" si="29"/>
        <v>404.04000000000013</v>
      </c>
      <c r="Z79" s="71">
        <f t="shared" si="29"/>
        <v>390.44000000000011</v>
      </c>
      <c r="AA79" s="71">
        <f t="shared" si="29"/>
        <v>395.44000000000011</v>
      </c>
      <c r="AB79" s="71">
        <f t="shared" si="29"/>
        <v>409.34000000000009</v>
      </c>
      <c r="AC79" s="71">
        <f t="shared" si="29"/>
        <v>409.34000000000009</v>
      </c>
      <c r="AD79" s="71">
        <f t="shared" si="29"/>
        <v>413.34000000000009</v>
      </c>
      <c r="AE79" s="71">
        <f t="shared" si="29"/>
        <v>413.34000000000009</v>
      </c>
      <c r="AF79" s="71">
        <f t="shared" si="29"/>
        <v>413.34000000000009</v>
      </c>
      <c r="AG79" s="72">
        <f t="shared" si="29"/>
        <v>489.91</v>
      </c>
      <c r="AH79" s="48">
        <f t="shared" si="27"/>
        <v>415.24000000000007</v>
      </c>
      <c r="AI79" s="49">
        <f t="shared" si="28"/>
        <v>312.04000000000002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>
        <v>14.5</v>
      </c>
      <c r="R80" s="46">
        <v>14.5</v>
      </c>
      <c r="S80" s="46">
        <v>14.5</v>
      </c>
      <c r="T80" s="46">
        <v>14.5</v>
      </c>
      <c r="U80" s="46">
        <v>14.5</v>
      </c>
      <c r="V80" s="46">
        <v>14.5</v>
      </c>
      <c r="W80" s="46">
        <v>0</v>
      </c>
      <c r="X80" s="46">
        <v>14.3</v>
      </c>
      <c r="Y80" s="46">
        <v>14.3</v>
      </c>
      <c r="Z80" s="46">
        <v>14.3</v>
      </c>
      <c r="AA80" s="46">
        <v>14.3</v>
      </c>
      <c r="AB80" s="46">
        <v>14.3</v>
      </c>
      <c r="AC80" s="46">
        <v>14.3</v>
      </c>
      <c r="AD80" s="46">
        <v>14.3</v>
      </c>
      <c r="AE80" s="46">
        <v>14.3</v>
      </c>
      <c r="AF80" s="46">
        <v>14.3</v>
      </c>
      <c r="AG80" s="61">
        <v>60</v>
      </c>
      <c r="AH80" s="48">
        <f t="shared" si="27"/>
        <v>14.5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>
        <v>5.8</v>
      </c>
      <c r="R81" s="76">
        <v>4.8</v>
      </c>
      <c r="S81" s="76">
        <v>4.8</v>
      </c>
      <c r="T81" s="76">
        <v>5.5</v>
      </c>
      <c r="U81" s="76">
        <v>5.5</v>
      </c>
      <c r="V81" s="76">
        <v>5.5</v>
      </c>
      <c r="W81" s="76">
        <v>0</v>
      </c>
      <c r="X81" s="76">
        <v>5.0999999999999996</v>
      </c>
      <c r="Y81" s="76">
        <v>5.0999999999999996</v>
      </c>
      <c r="Z81" s="76">
        <v>5.0999999999999996</v>
      </c>
      <c r="AA81" s="76">
        <v>5.0999999999999996</v>
      </c>
      <c r="AB81" s="76">
        <v>5.0999999999999996</v>
      </c>
      <c r="AC81" s="76">
        <v>5.0999999999999996</v>
      </c>
      <c r="AD81" s="76">
        <v>5.0999999999999996</v>
      </c>
      <c r="AE81" s="76">
        <v>5.0999999999999996</v>
      </c>
      <c r="AF81" s="76">
        <v>5.0999999999999996</v>
      </c>
      <c r="AG81" s="66">
        <v>32</v>
      </c>
      <c r="AH81" s="48">
        <f t="shared" si="27"/>
        <v>5.8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>
        <v>2.1</v>
      </c>
      <c r="R82" s="78">
        <v>1.8</v>
      </c>
      <c r="S82" s="78">
        <v>1.8</v>
      </c>
      <c r="T82" s="78">
        <v>2</v>
      </c>
      <c r="U82" s="78">
        <v>2</v>
      </c>
      <c r="V82" s="78">
        <v>2</v>
      </c>
      <c r="W82" s="78">
        <v>0</v>
      </c>
      <c r="X82" s="78">
        <v>1.9</v>
      </c>
      <c r="Y82" s="78">
        <v>1.9</v>
      </c>
      <c r="Z82" s="78">
        <v>1.9</v>
      </c>
      <c r="AA82" s="78">
        <v>1.9</v>
      </c>
      <c r="AB82" s="78">
        <v>1.9</v>
      </c>
      <c r="AC82" s="78">
        <v>1.9</v>
      </c>
      <c r="AD82" s="78">
        <v>1.9</v>
      </c>
      <c r="AE82" s="78">
        <v>1.9</v>
      </c>
      <c r="AF82" s="78">
        <v>1.9</v>
      </c>
      <c r="AG82" s="79">
        <v>14</v>
      </c>
      <c r="AH82" s="48">
        <f t="shared" si="27"/>
        <v>2.1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-36</v>
      </c>
      <c r="BH82" s="82">
        <v>0</v>
      </c>
      <c r="BI82" s="82">
        <v>-502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0">B80+B81+B82</f>
        <v>0</v>
      </c>
      <c r="C83" s="71">
        <f t="shared" si="30"/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0</v>
      </c>
      <c r="N83" s="71">
        <f t="shared" si="30"/>
        <v>0</v>
      </c>
      <c r="O83" s="71">
        <f t="shared" si="30"/>
        <v>0</v>
      </c>
      <c r="P83" s="71">
        <f t="shared" si="30"/>
        <v>0</v>
      </c>
      <c r="Q83" s="71">
        <f t="shared" si="30"/>
        <v>22.400000000000002</v>
      </c>
      <c r="R83" s="71">
        <f t="shared" si="30"/>
        <v>21.1</v>
      </c>
      <c r="S83" s="71">
        <f t="shared" si="30"/>
        <v>21.1</v>
      </c>
      <c r="T83" s="71">
        <f t="shared" si="30"/>
        <v>22</v>
      </c>
      <c r="U83" s="71">
        <f t="shared" si="30"/>
        <v>22</v>
      </c>
      <c r="V83" s="71">
        <f t="shared" si="30"/>
        <v>22</v>
      </c>
      <c r="W83" s="71">
        <f t="shared" si="30"/>
        <v>0</v>
      </c>
      <c r="X83" s="71">
        <f t="shared" si="30"/>
        <v>21.299999999999997</v>
      </c>
      <c r="Y83" s="71">
        <f t="shared" si="30"/>
        <v>21.299999999999997</v>
      </c>
      <c r="Z83" s="71">
        <f t="shared" si="30"/>
        <v>21.299999999999997</v>
      </c>
      <c r="AA83" s="71">
        <f t="shared" si="30"/>
        <v>21.299999999999997</v>
      </c>
      <c r="AB83" s="71">
        <f t="shared" si="30"/>
        <v>21.299999999999997</v>
      </c>
      <c r="AC83" s="71">
        <f t="shared" si="30"/>
        <v>21.299999999999997</v>
      </c>
      <c r="AD83" s="71">
        <f t="shared" si="30"/>
        <v>21.299999999999997</v>
      </c>
      <c r="AE83" s="71">
        <f t="shared" si="30"/>
        <v>21.299999999999997</v>
      </c>
      <c r="AF83" s="71">
        <f t="shared" si="30"/>
        <v>21.299999999999997</v>
      </c>
      <c r="AG83" s="72">
        <f>SUM(AG80:AG82)</f>
        <v>106</v>
      </c>
      <c r="AH83" s="48">
        <f t="shared" si="27"/>
        <v>22.400000000000002</v>
      </c>
      <c r="AI83" s="49">
        <f t="shared" si="28"/>
        <v>0</v>
      </c>
      <c r="AK83" s="51"/>
      <c r="AY83" s="82"/>
      <c r="BF83" s="81"/>
      <c r="BG83" s="82">
        <v>-38</v>
      </c>
      <c r="BH83" s="82">
        <v>0</v>
      </c>
      <c r="BI83" s="82">
        <v>-521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-36</v>
      </c>
      <c r="C84" s="46">
        <v>-36</v>
      </c>
      <c r="D84" s="46">
        <v>-38</v>
      </c>
      <c r="E84" s="46">
        <v>-41.4</v>
      </c>
      <c r="F84" s="46">
        <v>-39</v>
      </c>
      <c r="G84" s="46">
        <v>-38.6</v>
      </c>
      <c r="H84" s="46">
        <v>-50.1</v>
      </c>
      <c r="I84" s="46">
        <v>-48.6</v>
      </c>
      <c r="J84" s="46">
        <v>-32.6</v>
      </c>
      <c r="K84" s="46">
        <v>-12</v>
      </c>
      <c r="L84" s="46">
        <v>-14.4</v>
      </c>
      <c r="M84" s="46">
        <v>-10.7</v>
      </c>
      <c r="N84" s="46">
        <v>-10.7</v>
      </c>
      <c r="O84" s="46">
        <v>-10.7</v>
      </c>
      <c r="P84" s="46">
        <v>11.4</v>
      </c>
      <c r="Q84" s="46">
        <v>34</v>
      </c>
      <c r="R84" s="46">
        <v>27.3</v>
      </c>
      <c r="S84" s="46">
        <v>31.3</v>
      </c>
      <c r="T84" s="46">
        <v>28</v>
      </c>
      <c r="U84" s="46">
        <v>2.2999999999999998</v>
      </c>
      <c r="V84" s="46">
        <v>-4.3</v>
      </c>
      <c r="W84" s="46">
        <v>19.100000000000001</v>
      </c>
      <c r="X84" s="46">
        <v>-30</v>
      </c>
      <c r="Y84" s="46">
        <v>-19</v>
      </c>
      <c r="Z84" s="46">
        <v>-20</v>
      </c>
      <c r="AA84" s="46">
        <v>4</v>
      </c>
      <c r="AB84" s="46">
        <v>22.2</v>
      </c>
      <c r="AC84" s="46">
        <v>16.899999999999999</v>
      </c>
      <c r="AD84" s="46">
        <v>20.7</v>
      </c>
      <c r="AE84" s="46">
        <v>-6</v>
      </c>
      <c r="AF84" s="46">
        <v>24.1</v>
      </c>
      <c r="AG84" s="61"/>
      <c r="AH84" s="48">
        <f t="shared" si="27"/>
        <v>34</v>
      </c>
      <c r="AI84" s="49">
        <f t="shared" si="28"/>
        <v>-50.1</v>
      </c>
      <c r="AK84" s="51"/>
      <c r="AY84" s="82"/>
      <c r="BF84" s="81"/>
      <c r="BG84" s="82">
        <v>-41.4</v>
      </c>
      <c r="BH84" s="82">
        <v>0</v>
      </c>
      <c r="BI84" s="82">
        <v>-533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-39</v>
      </c>
      <c r="BH85" s="82">
        <v>0</v>
      </c>
      <c r="BI85" s="82">
        <v>-592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-446</v>
      </c>
      <c r="C86" s="76">
        <v>-502</v>
      </c>
      <c r="D86" s="76">
        <v>-521</v>
      </c>
      <c r="E86" s="76">
        <v>-533</v>
      </c>
      <c r="F86" s="76">
        <v>-592</v>
      </c>
      <c r="G86" s="76">
        <v>-585</v>
      </c>
      <c r="H86" s="76">
        <v>-602</v>
      </c>
      <c r="I86" s="76">
        <v>-612</v>
      </c>
      <c r="J86" s="76">
        <v>-581</v>
      </c>
      <c r="K86" s="76">
        <v>-506</v>
      </c>
      <c r="L86" s="76">
        <v>-513</v>
      </c>
      <c r="M86" s="76">
        <v>-501</v>
      </c>
      <c r="N86" s="76">
        <v>-501</v>
      </c>
      <c r="O86" s="76">
        <v>-501</v>
      </c>
      <c r="P86" s="76">
        <v>-380</v>
      </c>
      <c r="Q86" s="76">
        <v>-416</v>
      </c>
      <c r="R86" s="76">
        <v>-320</v>
      </c>
      <c r="S86" s="76">
        <v>-325</v>
      </c>
      <c r="T86" s="76">
        <v>-362</v>
      </c>
      <c r="U86" s="76">
        <v>-413</v>
      </c>
      <c r="V86" s="76">
        <v>-395</v>
      </c>
      <c r="W86" s="76">
        <v>-501</v>
      </c>
      <c r="X86" s="76">
        <v>-491</v>
      </c>
      <c r="Y86" s="76">
        <v>-488</v>
      </c>
      <c r="Z86" s="76">
        <v>-475</v>
      </c>
      <c r="AA86" s="76">
        <v>-412</v>
      </c>
      <c r="AB86" s="76">
        <v>-306.7</v>
      </c>
      <c r="AC86" s="76">
        <v>-452.4</v>
      </c>
      <c r="AD86" s="76">
        <v>-408.1</v>
      </c>
      <c r="AE86" s="76">
        <v>-447.1</v>
      </c>
      <c r="AF86" s="76">
        <v>-445.1</v>
      </c>
      <c r="AG86" s="88"/>
      <c r="AH86" s="48">
        <f t="shared" si="27"/>
        <v>-306.7</v>
      </c>
      <c r="AI86" s="49">
        <f t="shared" si="28"/>
        <v>-612</v>
      </c>
      <c r="AK86" s="92"/>
      <c r="AL86" s="93"/>
      <c r="AM86" s="93"/>
      <c r="AN86" s="94"/>
      <c r="AY86" s="82"/>
      <c r="BF86" s="82"/>
      <c r="BG86" s="82">
        <v>-38.6</v>
      </c>
      <c r="BH86" s="82">
        <v>0</v>
      </c>
      <c r="BI86" s="82">
        <v>-585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-48.6</v>
      </c>
      <c r="BH87" s="82">
        <v>0</v>
      </c>
      <c r="BI87" s="82">
        <v>-612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-12</v>
      </c>
      <c r="BH88" s="82">
        <v>0</v>
      </c>
      <c r="BI88" s="82">
        <v>-506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28"/>
        <v>0</v>
      </c>
      <c r="AK89" s="99"/>
      <c r="AL89" s="46"/>
      <c r="AM89" s="46"/>
      <c r="AN89" s="100"/>
      <c r="AY89" s="82"/>
      <c r="BF89" s="82"/>
      <c r="BG89" s="82">
        <v>-10.7</v>
      </c>
      <c r="BH89" s="82">
        <v>0</v>
      </c>
      <c r="BI89" s="82">
        <v>-501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4"/>
      <c r="AY90" s="82"/>
      <c r="BF90" s="82"/>
      <c r="BG90" s="82">
        <v>-10.7</v>
      </c>
      <c r="BH90" s="82">
        <v>0</v>
      </c>
      <c r="BI90" s="82">
        <v>-501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5"/>
      <c r="BF91" s="82"/>
      <c r="BG91" s="82">
        <v>-10.7</v>
      </c>
      <c r="BH91" s="82">
        <v>0</v>
      </c>
      <c r="BI91" s="82">
        <v>-501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11.4</v>
      </c>
      <c r="BH92" s="82">
        <v>0</v>
      </c>
      <c r="BI92" s="82">
        <v>-380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34</v>
      </c>
      <c r="BH93" s="82">
        <v>0</v>
      </c>
      <c r="BI93" s="82">
        <v>-416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27.3</v>
      </c>
      <c r="BH94" s="82">
        <v>0</v>
      </c>
      <c r="BI94" s="82">
        <v>-320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A95" si="31">SUMIF(D84:D94,"&gt;0")</f>
        <v>0</v>
      </c>
      <c r="E95" s="71">
        <f t="shared" si="31"/>
        <v>0</v>
      </c>
      <c r="F95" s="71">
        <f t="shared" si="31"/>
        <v>0</v>
      </c>
      <c r="G95" s="71">
        <f t="shared" si="31"/>
        <v>0</v>
      </c>
      <c r="H95" s="71">
        <f t="shared" si="31"/>
        <v>0</v>
      </c>
      <c r="I95" s="71">
        <f t="shared" si="31"/>
        <v>0</v>
      </c>
      <c r="J95" s="71">
        <f t="shared" si="31"/>
        <v>0</v>
      </c>
      <c r="K95" s="71">
        <f t="shared" si="31"/>
        <v>0</v>
      </c>
      <c r="L95" s="71">
        <f t="shared" si="31"/>
        <v>0</v>
      </c>
      <c r="M95" s="71">
        <f t="shared" si="31"/>
        <v>0</v>
      </c>
      <c r="N95" s="71">
        <f t="shared" si="31"/>
        <v>0</v>
      </c>
      <c r="O95" s="71">
        <f t="shared" si="31"/>
        <v>0</v>
      </c>
      <c r="P95" s="71">
        <f t="shared" si="31"/>
        <v>11.4</v>
      </c>
      <c r="Q95" s="71">
        <f t="shared" si="31"/>
        <v>34</v>
      </c>
      <c r="R95" s="71">
        <f t="shared" si="31"/>
        <v>27.3</v>
      </c>
      <c r="S95" s="71">
        <f t="shared" si="31"/>
        <v>31.3</v>
      </c>
      <c r="T95" s="71">
        <f t="shared" si="31"/>
        <v>28</v>
      </c>
      <c r="U95" s="71">
        <f>SUMIF(U84:U94,"&gt;0")</f>
        <v>2.2999999999999998</v>
      </c>
      <c r="V95" s="71">
        <f t="shared" si="31"/>
        <v>0</v>
      </c>
      <c r="W95" s="71">
        <f t="shared" si="31"/>
        <v>19.100000000000001</v>
      </c>
      <c r="X95" s="71">
        <f t="shared" si="31"/>
        <v>0</v>
      </c>
      <c r="Y95" s="71">
        <f t="shared" si="31"/>
        <v>0</v>
      </c>
      <c r="Z95" s="71">
        <f t="shared" si="31"/>
        <v>0</v>
      </c>
      <c r="AA95" s="71">
        <f t="shared" si="31"/>
        <v>4</v>
      </c>
      <c r="AB95" s="71">
        <f>SUMIF(AB84:AB94,"&gt;0")</f>
        <v>22.2</v>
      </c>
      <c r="AC95" s="71">
        <f>SUMIF(AC84:AC94,"&gt;0")</f>
        <v>16.899999999999999</v>
      </c>
      <c r="AD95" s="71">
        <f>SUMIF(AD84:AD94,"&gt;0")</f>
        <v>20.7</v>
      </c>
      <c r="AE95" s="71">
        <f>SUMIF(AE84:AE94,"&gt;0")</f>
        <v>0</v>
      </c>
      <c r="AF95" s="71">
        <f>SUMIF(AF84:AF94,"&gt;0")</f>
        <v>24.1</v>
      </c>
      <c r="AG95" s="101">
        <f>SUM(AG84:AG94)</f>
        <v>0</v>
      </c>
      <c r="AH95" s="48">
        <f t="shared" si="27"/>
        <v>34</v>
      </c>
      <c r="AI95" s="49">
        <f t="shared" si="28"/>
        <v>0</v>
      </c>
      <c r="BF95" s="82"/>
      <c r="BG95" s="82">
        <v>31.3</v>
      </c>
      <c r="BH95" s="82">
        <v>0</v>
      </c>
      <c r="BI95" s="82">
        <v>-325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28</v>
      </c>
      <c r="BH96" s="82">
        <v>0</v>
      </c>
      <c r="BI96" s="82">
        <v>-362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2.2999999999999998</v>
      </c>
      <c r="BH97" s="82">
        <v>0</v>
      </c>
      <c r="BI97" s="82">
        <v>-413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-4.3</v>
      </c>
      <c r="BH98" s="82">
        <v>0</v>
      </c>
      <c r="BI98" s="82">
        <v>-395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-30</v>
      </c>
      <c r="BH99" s="82">
        <v>0</v>
      </c>
      <c r="BI99" s="82">
        <v>-491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2">B61+B65+B83+B79+B95+B99</f>
        <v>1942.1399999999999</v>
      </c>
      <c r="C100" s="108">
        <f t="shared" si="32"/>
        <v>1942.1399999999999</v>
      </c>
      <c r="D100" s="108">
        <f t="shared" si="32"/>
        <v>1942.1399999999999</v>
      </c>
      <c r="E100" s="108">
        <f t="shared" si="32"/>
        <v>1929.44</v>
      </c>
      <c r="F100" s="108">
        <f t="shared" si="32"/>
        <v>1949.44</v>
      </c>
      <c r="G100" s="108">
        <f t="shared" si="32"/>
        <v>1949.44</v>
      </c>
      <c r="H100" s="108">
        <f t="shared" si="32"/>
        <v>1954.44</v>
      </c>
      <c r="I100" s="108">
        <f t="shared" si="32"/>
        <v>1994.2400000000002</v>
      </c>
      <c r="J100" s="108">
        <f t="shared" si="32"/>
        <v>2022.8400000000001</v>
      </c>
      <c r="K100" s="108">
        <f t="shared" si="32"/>
        <v>2023.8400000000001</v>
      </c>
      <c r="L100" s="108">
        <f t="shared" si="32"/>
        <v>2023.8400000000001</v>
      </c>
      <c r="M100" s="108">
        <f t="shared" si="32"/>
        <v>2015.5400000000002</v>
      </c>
      <c r="N100" s="108">
        <f t="shared" si="32"/>
        <v>2015.5400000000002</v>
      </c>
      <c r="O100" s="108">
        <f t="shared" si="32"/>
        <v>2015.5400000000002</v>
      </c>
      <c r="P100" s="108">
        <f t="shared" si="32"/>
        <v>1997.74</v>
      </c>
      <c r="Q100" s="108">
        <f t="shared" si="32"/>
        <v>2042.34</v>
      </c>
      <c r="R100" s="108">
        <f t="shared" si="32"/>
        <v>1924.1399999999999</v>
      </c>
      <c r="S100" s="108">
        <f t="shared" si="32"/>
        <v>2006.9399999999998</v>
      </c>
      <c r="T100" s="108">
        <f t="shared" si="32"/>
        <v>1999.04</v>
      </c>
      <c r="U100" s="108">
        <f t="shared" si="32"/>
        <v>2009.24</v>
      </c>
      <c r="V100" s="108">
        <f t="shared" si="32"/>
        <v>2002.24</v>
      </c>
      <c r="W100" s="108">
        <f t="shared" si="32"/>
        <v>1970.34</v>
      </c>
      <c r="X100" s="108">
        <f t="shared" si="32"/>
        <v>1971.9399999999998</v>
      </c>
      <c r="Y100" s="108">
        <f t="shared" si="32"/>
        <v>1971.04</v>
      </c>
      <c r="Z100" s="108">
        <f t="shared" si="32"/>
        <v>1957.4399999999998</v>
      </c>
      <c r="AA100" s="108">
        <f t="shared" si="32"/>
        <v>1966.4399999999998</v>
      </c>
      <c r="AB100" s="108">
        <f>AB61+AB65+AB83+AB79+AB95+AB99</f>
        <v>1998.54</v>
      </c>
      <c r="AC100" s="108">
        <f>AC61+AC65+AC83+AC79+AC95+AC99</f>
        <v>1958.3400000000001</v>
      </c>
      <c r="AD100" s="108">
        <f>AD61+AD65+AD83+AD79+AD95+AD99</f>
        <v>1966.14</v>
      </c>
      <c r="AE100" s="108">
        <f>AE61+AE65+AE83+AE79+AE95+AE99</f>
        <v>1945.44</v>
      </c>
      <c r="AF100" s="108">
        <f>AF61+AF65+AF83+AF79+AF95+AF99</f>
        <v>1897.74</v>
      </c>
      <c r="AG100" s="72">
        <f t="shared" si="32"/>
        <v>2655.44</v>
      </c>
      <c r="AH100" s="48">
        <f t="shared" si="27"/>
        <v>2042.34</v>
      </c>
      <c r="AI100" s="49">
        <f t="shared" si="28"/>
        <v>1897.74</v>
      </c>
      <c r="BF100" s="81"/>
      <c r="BG100" s="82">
        <v>-20</v>
      </c>
      <c r="BH100" s="82">
        <v>0</v>
      </c>
      <c r="BI100" s="82">
        <v>-475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7"/>
        <v>0</v>
      </c>
      <c r="AI101" s="49">
        <f t="shared" si="28"/>
        <v>0</v>
      </c>
      <c r="BF101" s="81"/>
      <c r="BG101" s="82">
        <v>22.2</v>
      </c>
      <c r="BH101" s="82">
        <v>0</v>
      </c>
      <c r="BI101" s="82">
        <v>-306.7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1942.1399999999999</v>
      </c>
      <c r="C102" s="108">
        <f t="shared" ref="C102:AA102" si="33">C100+C101</f>
        <v>1942.1399999999999</v>
      </c>
      <c r="D102" s="108">
        <f t="shared" si="33"/>
        <v>1942.1399999999999</v>
      </c>
      <c r="E102" s="108">
        <f t="shared" si="33"/>
        <v>1929.44</v>
      </c>
      <c r="F102" s="108">
        <f t="shared" si="33"/>
        <v>1949.44</v>
      </c>
      <c r="G102" s="108">
        <f t="shared" si="33"/>
        <v>1949.44</v>
      </c>
      <c r="H102" s="108">
        <f t="shared" si="33"/>
        <v>1954.44</v>
      </c>
      <c r="I102" s="108">
        <f t="shared" si="33"/>
        <v>1994.2400000000002</v>
      </c>
      <c r="J102" s="108">
        <f t="shared" si="33"/>
        <v>2022.8400000000001</v>
      </c>
      <c r="K102" s="108">
        <f t="shared" si="33"/>
        <v>2023.8400000000001</v>
      </c>
      <c r="L102" s="108">
        <f t="shared" si="33"/>
        <v>2023.8400000000001</v>
      </c>
      <c r="M102" s="108">
        <f t="shared" si="33"/>
        <v>2015.5400000000002</v>
      </c>
      <c r="N102" s="108">
        <f t="shared" si="33"/>
        <v>2015.5400000000002</v>
      </c>
      <c r="O102" s="108">
        <f t="shared" si="33"/>
        <v>2015.5400000000002</v>
      </c>
      <c r="P102" s="108">
        <f t="shared" si="33"/>
        <v>1997.74</v>
      </c>
      <c r="Q102" s="108">
        <f t="shared" si="33"/>
        <v>2042.34</v>
      </c>
      <c r="R102" s="108">
        <f t="shared" si="33"/>
        <v>1924.1399999999999</v>
      </c>
      <c r="S102" s="108">
        <f t="shared" si="33"/>
        <v>2006.9399999999998</v>
      </c>
      <c r="T102" s="108">
        <f t="shared" si="33"/>
        <v>1999.04</v>
      </c>
      <c r="U102" s="108">
        <f t="shared" si="33"/>
        <v>2009.24</v>
      </c>
      <c r="V102" s="108">
        <f t="shared" si="33"/>
        <v>2002.24</v>
      </c>
      <c r="W102" s="108">
        <f t="shared" si="33"/>
        <v>1970.34</v>
      </c>
      <c r="X102" s="108">
        <f t="shared" si="33"/>
        <v>1971.9399999999998</v>
      </c>
      <c r="Y102" s="108">
        <f t="shared" si="33"/>
        <v>1971.04</v>
      </c>
      <c r="Z102" s="108">
        <f t="shared" si="33"/>
        <v>1957.4399999999998</v>
      </c>
      <c r="AA102" s="108">
        <f t="shared" si="33"/>
        <v>1966.4399999999998</v>
      </c>
      <c r="AB102" s="108">
        <f>AB100+AB101</f>
        <v>1998.54</v>
      </c>
      <c r="AC102" s="108">
        <f>AC100+AC101</f>
        <v>1958.3400000000001</v>
      </c>
      <c r="AD102" s="108">
        <f>AD100+AD101</f>
        <v>1966.14</v>
      </c>
      <c r="AE102" s="108">
        <f>AE100+AE101</f>
        <v>1945.44</v>
      </c>
      <c r="AF102" s="108">
        <f>AF100+AF101</f>
        <v>1897.74</v>
      </c>
      <c r="AG102" s="101">
        <f>AG99+AG95+AG83+AG79+AG61+AG101</f>
        <v>2117.34</v>
      </c>
      <c r="AH102" s="48">
        <f t="shared" si="27"/>
        <v>2042.34</v>
      </c>
      <c r="AI102" s="49">
        <f t="shared" si="28"/>
        <v>1897.74</v>
      </c>
      <c r="BF102" s="81"/>
      <c r="BG102" s="82">
        <v>20.7</v>
      </c>
      <c r="BH102" s="82">
        <v>0</v>
      </c>
      <c r="BI102" s="82">
        <v>-408.1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1460.1399999999999</v>
      </c>
      <c r="C103" s="108">
        <f t="shared" ref="C103:AA103" si="34">C102-(C110)</f>
        <v>1404.1399999999999</v>
      </c>
      <c r="D103" s="108">
        <f t="shared" si="34"/>
        <v>1383.1399999999999</v>
      </c>
      <c r="E103" s="108">
        <f t="shared" si="34"/>
        <v>1355.04</v>
      </c>
      <c r="F103" s="108">
        <f t="shared" si="34"/>
        <v>1318.44</v>
      </c>
      <c r="G103" s="108">
        <f t="shared" si="34"/>
        <v>1325.8400000000001</v>
      </c>
      <c r="H103" s="108">
        <f t="shared" si="34"/>
        <v>1302.3400000000001</v>
      </c>
      <c r="I103" s="108">
        <f t="shared" si="34"/>
        <v>1333.6400000000003</v>
      </c>
      <c r="J103" s="108">
        <f t="shared" si="34"/>
        <v>1409.2400000000002</v>
      </c>
      <c r="K103" s="108">
        <f t="shared" si="34"/>
        <v>1505.8400000000001</v>
      </c>
      <c r="L103" s="108">
        <f t="shared" si="34"/>
        <v>1496.44</v>
      </c>
      <c r="M103" s="108">
        <f t="shared" si="34"/>
        <v>1503.8400000000001</v>
      </c>
      <c r="N103" s="108">
        <f t="shared" si="34"/>
        <v>1503.8400000000001</v>
      </c>
      <c r="O103" s="108">
        <f t="shared" si="34"/>
        <v>1503.8400000000001</v>
      </c>
      <c r="P103" s="108">
        <f t="shared" si="34"/>
        <v>1617.74</v>
      </c>
      <c r="Q103" s="108">
        <f t="shared" si="34"/>
        <v>1626.34</v>
      </c>
      <c r="R103" s="108">
        <f t="shared" si="34"/>
        <v>1604.1399999999999</v>
      </c>
      <c r="S103" s="108">
        <f t="shared" si="34"/>
        <v>1681.9399999999998</v>
      </c>
      <c r="T103" s="108">
        <f t="shared" si="34"/>
        <v>1637.04</v>
      </c>
      <c r="U103" s="108">
        <f t="shared" si="34"/>
        <v>1596.24</v>
      </c>
      <c r="V103" s="108">
        <f t="shared" si="34"/>
        <v>1602.94</v>
      </c>
      <c r="W103" s="108">
        <f t="shared" si="34"/>
        <v>1469.34</v>
      </c>
      <c r="X103" s="108">
        <f t="shared" si="34"/>
        <v>1450.9399999999998</v>
      </c>
      <c r="Y103" s="108">
        <f t="shared" si="34"/>
        <v>1464.04</v>
      </c>
      <c r="Z103" s="108">
        <f t="shared" si="34"/>
        <v>1462.4399999999998</v>
      </c>
      <c r="AA103" s="108">
        <f t="shared" si="34"/>
        <v>1554.4399999999998</v>
      </c>
      <c r="AB103" s="108">
        <f>AB102-(AB110)</f>
        <v>1691.84</v>
      </c>
      <c r="AC103" s="108">
        <f>AC102-(AC110)</f>
        <v>1505.94</v>
      </c>
      <c r="AD103" s="108">
        <f>AD102-(AD110)</f>
        <v>1558.04</v>
      </c>
      <c r="AE103" s="108">
        <f>AE102-(AE110)</f>
        <v>1492.3400000000001</v>
      </c>
      <c r="AF103" s="108">
        <f>AF102-(AF110)</f>
        <v>1452.6399999999999</v>
      </c>
      <c r="AG103" s="101"/>
      <c r="AH103" s="48">
        <f t="shared" si="27"/>
        <v>1691.84</v>
      </c>
      <c r="AI103" s="49">
        <f t="shared" si="28"/>
        <v>1302.3400000000001</v>
      </c>
      <c r="BF103" s="81"/>
      <c r="BG103" s="82">
        <v>-6</v>
      </c>
      <c r="BH103" s="82">
        <v>0</v>
      </c>
      <c r="BI103" s="82">
        <v>-447.1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5">IF(B84&lt;0,B84*-1,0)</f>
        <v>36</v>
      </c>
      <c r="C104" s="89">
        <f t="shared" ref="C104:AA109" si="36">IF(C84&lt;0,C84*-1,0)</f>
        <v>36</v>
      </c>
      <c r="D104" s="89">
        <f t="shared" si="36"/>
        <v>38</v>
      </c>
      <c r="E104" s="89">
        <f t="shared" si="36"/>
        <v>41.4</v>
      </c>
      <c r="F104" s="89">
        <f t="shared" si="36"/>
        <v>39</v>
      </c>
      <c r="G104" s="89">
        <f t="shared" si="36"/>
        <v>38.6</v>
      </c>
      <c r="H104" s="89">
        <f t="shared" si="36"/>
        <v>50.1</v>
      </c>
      <c r="I104" s="89">
        <f t="shared" si="36"/>
        <v>48.6</v>
      </c>
      <c r="J104" s="89">
        <f t="shared" si="36"/>
        <v>32.6</v>
      </c>
      <c r="K104" s="89">
        <f t="shared" si="36"/>
        <v>12</v>
      </c>
      <c r="L104" s="89">
        <f t="shared" si="36"/>
        <v>14.4</v>
      </c>
      <c r="M104" s="89">
        <f t="shared" si="36"/>
        <v>10.7</v>
      </c>
      <c r="N104" s="89">
        <f t="shared" si="36"/>
        <v>10.7</v>
      </c>
      <c r="O104" s="89">
        <f t="shared" si="36"/>
        <v>10.7</v>
      </c>
      <c r="P104" s="89">
        <f t="shared" si="36"/>
        <v>0</v>
      </c>
      <c r="Q104" s="89">
        <f t="shared" si="36"/>
        <v>0</v>
      </c>
      <c r="R104" s="89">
        <f t="shared" si="36"/>
        <v>0</v>
      </c>
      <c r="S104" s="89">
        <f t="shared" si="36"/>
        <v>0</v>
      </c>
      <c r="T104" s="89">
        <f t="shared" si="36"/>
        <v>0</v>
      </c>
      <c r="U104" s="89">
        <f t="shared" si="36"/>
        <v>0</v>
      </c>
      <c r="V104" s="89">
        <f t="shared" si="36"/>
        <v>4.3</v>
      </c>
      <c r="W104" s="89">
        <f t="shared" si="36"/>
        <v>0</v>
      </c>
      <c r="X104" s="89">
        <f t="shared" si="36"/>
        <v>30</v>
      </c>
      <c r="Y104" s="89">
        <f t="shared" si="36"/>
        <v>19</v>
      </c>
      <c r="Z104" s="89">
        <f t="shared" si="36"/>
        <v>20</v>
      </c>
      <c r="AA104" s="89">
        <f t="shared" si="36"/>
        <v>0</v>
      </c>
      <c r="AB104" s="89">
        <f t="shared" ref="AB104:AF109" si="37">IF(AB84&lt;0,AB84*-1,0)</f>
        <v>0</v>
      </c>
      <c r="AC104" s="89">
        <f t="shared" si="37"/>
        <v>0</v>
      </c>
      <c r="AD104" s="89">
        <f t="shared" si="37"/>
        <v>0</v>
      </c>
      <c r="AE104" s="89">
        <f t="shared" si="37"/>
        <v>6</v>
      </c>
      <c r="AF104" s="89">
        <f t="shared" si="37"/>
        <v>0</v>
      </c>
      <c r="AG104" s="61"/>
      <c r="AH104" s="48">
        <f t="shared" si="27"/>
        <v>50.1</v>
      </c>
      <c r="AI104" s="49">
        <f t="shared" si="28"/>
        <v>0</v>
      </c>
      <c r="BG104" s="82">
        <v>24.1</v>
      </c>
      <c r="BH104" s="82">
        <v>0</v>
      </c>
      <c r="BI104" s="82">
        <v>-445.1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5"/>
        <v>0</v>
      </c>
      <c r="C105" s="89">
        <f t="shared" ref="C105:Q105" si="38">IF(C85&lt;0,C85*-1,0)</f>
        <v>0</v>
      </c>
      <c r="D105" s="89">
        <f t="shared" si="38"/>
        <v>0</v>
      </c>
      <c r="E105" s="89">
        <f t="shared" si="38"/>
        <v>0</v>
      </c>
      <c r="F105" s="89">
        <f t="shared" si="38"/>
        <v>0</v>
      </c>
      <c r="G105" s="89">
        <f t="shared" si="38"/>
        <v>0</v>
      </c>
      <c r="H105" s="89">
        <f t="shared" si="38"/>
        <v>0</v>
      </c>
      <c r="I105" s="89">
        <f t="shared" si="38"/>
        <v>0</v>
      </c>
      <c r="J105" s="89">
        <f t="shared" si="38"/>
        <v>0</v>
      </c>
      <c r="K105" s="89">
        <f t="shared" si="38"/>
        <v>0</v>
      </c>
      <c r="L105" s="89">
        <f t="shared" si="38"/>
        <v>0</v>
      </c>
      <c r="M105" s="89">
        <f t="shared" si="38"/>
        <v>0</v>
      </c>
      <c r="N105" s="89">
        <f t="shared" si="38"/>
        <v>0</v>
      </c>
      <c r="O105" s="89">
        <f t="shared" si="38"/>
        <v>0</v>
      </c>
      <c r="P105" s="89">
        <f t="shared" si="38"/>
        <v>0</v>
      </c>
      <c r="Q105" s="89">
        <f t="shared" si="38"/>
        <v>0</v>
      </c>
      <c r="R105" s="89">
        <f t="shared" si="36"/>
        <v>0</v>
      </c>
      <c r="S105" s="89">
        <f t="shared" si="36"/>
        <v>0</v>
      </c>
      <c r="T105" s="89">
        <f t="shared" si="36"/>
        <v>0</v>
      </c>
      <c r="U105" s="89">
        <f t="shared" si="36"/>
        <v>0</v>
      </c>
      <c r="V105" s="89">
        <f t="shared" si="36"/>
        <v>0</v>
      </c>
      <c r="W105" s="89">
        <f t="shared" si="36"/>
        <v>0</v>
      </c>
      <c r="X105" s="89">
        <f t="shared" si="36"/>
        <v>0</v>
      </c>
      <c r="Y105" s="89">
        <f t="shared" si="36"/>
        <v>0</v>
      </c>
      <c r="Z105" s="89">
        <f t="shared" si="36"/>
        <v>0</v>
      </c>
      <c r="AA105" s="89">
        <f t="shared" si="36"/>
        <v>0</v>
      </c>
      <c r="AB105" s="89">
        <f t="shared" si="37"/>
        <v>0</v>
      </c>
      <c r="AC105" s="89">
        <f t="shared" si="37"/>
        <v>0</v>
      </c>
      <c r="AD105" s="89">
        <f t="shared" si="37"/>
        <v>0</v>
      </c>
      <c r="AE105" s="89">
        <f t="shared" si="37"/>
        <v>0</v>
      </c>
      <c r="AF105" s="89">
        <f t="shared" si="37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-36</v>
      </c>
      <c r="BH105" s="82">
        <v>0</v>
      </c>
      <c r="BI105" s="82">
        <v>-446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5"/>
        <v>446</v>
      </c>
      <c r="C106" s="89">
        <f t="shared" si="36"/>
        <v>502</v>
      </c>
      <c r="D106" s="89">
        <f t="shared" si="36"/>
        <v>521</v>
      </c>
      <c r="E106" s="89">
        <f t="shared" si="36"/>
        <v>533</v>
      </c>
      <c r="F106" s="89">
        <f t="shared" si="36"/>
        <v>592</v>
      </c>
      <c r="G106" s="89">
        <f t="shared" si="36"/>
        <v>585</v>
      </c>
      <c r="H106" s="89">
        <f t="shared" si="36"/>
        <v>602</v>
      </c>
      <c r="I106" s="89">
        <f t="shared" si="36"/>
        <v>612</v>
      </c>
      <c r="J106" s="89">
        <f t="shared" si="36"/>
        <v>581</v>
      </c>
      <c r="K106" s="89">
        <f t="shared" si="36"/>
        <v>506</v>
      </c>
      <c r="L106" s="89">
        <f t="shared" si="36"/>
        <v>513</v>
      </c>
      <c r="M106" s="89">
        <f t="shared" si="36"/>
        <v>501</v>
      </c>
      <c r="N106" s="89">
        <f t="shared" si="36"/>
        <v>501</v>
      </c>
      <c r="O106" s="89">
        <f t="shared" si="36"/>
        <v>501</v>
      </c>
      <c r="P106" s="89">
        <f t="shared" si="36"/>
        <v>380</v>
      </c>
      <c r="Q106" s="89">
        <f t="shared" si="36"/>
        <v>416</v>
      </c>
      <c r="R106" s="89">
        <f t="shared" si="36"/>
        <v>320</v>
      </c>
      <c r="S106" s="89">
        <f t="shared" si="36"/>
        <v>325</v>
      </c>
      <c r="T106" s="89">
        <f t="shared" si="36"/>
        <v>362</v>
      </c>
      <c r="U106" s="89">
        <f t="shared" si="36"/>
        <v>413</v>
      </c>
      <c r="V106" s="89">
        <f t="shared" si="36"/>
        <v>395</v>
      </c>
      <c r="W106" s="89">
        <f t="shared" si="36"/>
        <v>501</v>
      </c>
      <c r="X106" s="89">
        <f t="shared" si="36"/>
        <v>491</v>
      </c>
      <c r="Y106" s="89">
        <f t="shared" si="36"/>
        <v>488</v>
      </c>
      <c r="Z106" s="89">
        <f t="shared" si="36"/>
        <v>475</v>
      </c>
      <c r="AA106" s="89">
        <f t="shared" si="36"/>
        <v>412</v>
      </c>
      <c r="AB106" s="89">
        <f t="shared" si="37"/>
        <v>306.7</v>
      </c>
      <c r="AC106" s="89">
        <f t="shared" si="37"/>
        <v>452.4</v>
      </c>
      <c r="AD106" s="89">
        <f t="shared" si="37"/>
        <v>408.1</v>
      </c>
      <c r="AE106" s="89">
        <f t="shared" si="37"/>
        <v>447.1</v>
      </c>
      <c r="AF106" s="89">
        <f t="shared" si="37"/>
        <v>445.1</v>
      </c>
      <c r="AG106" s="111"/>
      <c r="AH106" s="48">
        <f t="shared" si="27"/>
        <v>612</v>
      </c>
      <c r="AI106" s="49">
        <f t="shared" si="28"/>
        <v>306.7</v>
      </c>
    </row>
    <row r="107" spans="1:64" x14ac:dyDescent="0.25">
      <c r="A107" s="97" t="s">
        <v>107</v>
      </c>
      <c r="B107" s="89">
        <f t="shared" si="35"/>
        <v>0</v>
      </c>
      <c r="C107" s="89">
        <f t="shared" si="36"/>
        <v>0</v>
      </c>
      <c r="D107" s="89">
        <f t="shared" si="36"/>
        <v>0</v>
      </c>
      <c r="E107" s="89">
        <f t="shared" si="36"/>
        <v>0</v>
      </c>
      <c r="F107" s="89">
        <f t="shared" si="36"/>
        <v>0</v>
      </c>
      <c r="G107" s="89">
        <f t="shared" si="36"/>
        <v>0</v>
      </c>
      <c r="H107" s="89">
        <f t="shared" si="36"/>
        <v>0</v>
      </c>
      <c r="I107" s="89">
        <f t="shared" si="36"/>
        <v>0</v>
      </c>
      <c r="J107" s="89">
        <f t="shared" si="36"/>
        <v>0</v>
      </c>
      <c r="K107" s="89">
        <f t="shared" si="36"/>
        <v>0</v>
      </c>
      <c r="L107" s="89">
        <f t="shared" si="36"/>
        <v>0</v>
      </c>
      <c r="M107" s="89">
        <f t="shared" si="36"/>
        <v>0</v>
      </c>
      <c r="N107" s="89">
        <f t="shared" si="36"/>
        <v>0</v>
      </c>
      <c r="O107" s="89">
        <f t="shared" si="36"/>
        <v>0</v>
      </c>
      <c r="P107" s="89">
        <f t="shared" si="36"/>
        <v>0</v>
      </c>
      <c r="Q107" s="89">
        <f t="shared" si="36"/>
        <v>0</v>
      </c>
      <c r="R107" s="89">
        <f t="shared" si="36"/>
        <v>0</v>
      </c>
      <c r="S107" s="89">
        <f t="shared" si="36"/>
        <v>0</v>
      </c>
      <c r="T107" s="89">
        <f t="shared" si="36"/>
        <v>0</v>
      </c>
      <c r="U107" s="89">
        <f t="shared" si="36"/>
        <v>0</v>
      </c>
      <c r="V107" s="89">
        <f t="shared" si="36"/>
        <v>0</v>
      </c>
      <c r="W107" s="89">
        <f t="shared" si="36"/>
        <v>0</v>
      </c>
      <c r="X107" s="89">
        <f t="shared" si="36"/>
        <v>0</v>
      </c>
      <c r="Y107" s="89">
        <f t="shared" si="36"/>
        <v>0</v>
      </c>
      <c r="Z107" s="89">
        <f t="shared" si="36"/>
        <v>0</v>
      </c>
      <c r="AA107" s="89">
        <f t="shared" si="36"/>
        <v>0</v>
      </c>
      <c r="AB107" s="89">
        <f t="shared" si="37"/>
        <v>0</v>
      </c>
      <c r="AC107" s="89">
        <f t="shared" si="37"/>
        <v>0</v>
      </c>
      <c r="AD107" s="89">
        <f t="shared" si="37"/>
        <v>0</v>
      </c>
      <c r="AE107" s="89">
        <f t="shared" si="37"/>
        <v>0</v>
      </c>
      <c r="AF107" s="89">
        <f t="shared" si="37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35"/>
        <v>0</v>
      </c>
      <c r="C108" s="89">
        <f t="shared" si="36"/>
        <v>0</v>
      </c>
      <c r="D108" s="89">
        <f t="shared" si="36"/>
        <v>0</v>
      </c>
      <c r="E108" s="89">
        <f t="shared" si="36"/>
        <v>0</v>
      </c>
      <c r="F108" s="89">
        <f t="shared" si="36"/>
        <v>0</v>
      </c>
      <c r="G108" s="89">
        <f t="shared" si="36"/>
        <v>0</v>
      </c>
      <c r="H108" s="89">
        <f t="shared" si="36"/>
        <v>0</v>
      </c>
      <c r="I108" s="89">
        <f t="shared" si="36"/>
        <v>0</v>
      </c>
      <c r="J108" s="89">
        <f t="shared" si="36"/>
        <v>0</v>
      </c>
      <c r="K108" s="89">
        <f t="shared" si="36"/>
        <v>0</v>
      </c>
      <c r="L108" s="89">
        <f t="shared" si="36"/>
        <v>0</v>
      </c>
      <c r="M108" s="89">
        <f t="shared" si="36"/>
        <v>0</v>
      </c>
      <c r="N108" s="89">
        <f t="shared" si="36"/>
        <v>0</v>
      </c>
      <c r="O108" s="89">
        <f t="shared" si="36"/>
        <v>0</v>
      </c>
      <c r="P108" s="89">
        <f t="shared" si="36"/>
        <v>0</v>
      </c>
      <c r="Q108" s="89">
        <f t="shared" si="36"/>
        <v>0</v>
      </c>
      <c r="R108" s="89">
        <f t="shared" si="36"/>
        <v>0</v>
      </c>
      <c r="S108" s="89">
        <f t="shared" si="36"/>
        <v>0</v>
      </c>
      <c r="T108" s="89">
        <f t="shared" si="36"/>
        <v>0</v>
      </c>
      <c r="U108" s="89">
        <f t="shared" si="36"/>
        <v>0</v>
      </c>
      <c r="V108" s="89">
        <f t="shared" si="36"/>
        <v>0</v>
      </c>
      <c r="W108" s="89">
        <f t="shared" si="36"/>
        <v>0</v>
      </c>
      <c r="X108" s="89">
        <f t="shared" si="36"/>
        <v>0</v>
      </c>
      <c r="Y108" s="89">
        <f t="shared" si="36"/>
        <v>0</v>
      </c>
      <c r="Z108" s="89">
        <f t="shared" si="36"/>
        <v>0</v>
      </c>
      <c r="AA108" s="89">
        <f t="shared" si="36"/>
        <v>0</v>
      </c>
      <c r="AB108" s="89">
        <f t="shared" si="37"/>
        <v>0</v>
      </c>
      <c r="AC108" s="89">
        <f t="shared" si="37"/>
        <v>0</v>
      </c>
      <c r="AD108" s="89">
        <f t="shared" si="37"/>
        <v>0</v>
      </c>
      <c r="AE108" s="89">
        <f t="shared" si="37"/>
        <v>0</v>
      </c>
      <c r="AF108" s="89">
        <f t="shared" si="37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35"/>
        <v>0</v>
      </c>
      <c r="C109" s="89">
        <f t="shared" si="36"/>
        <v>0</v>
      </c>
      <c r="D109" s="89">
        <f t="shared" si="36"/>
        <v>0</v>
      </c>
      <c r="E109" s="89">
        <f t="shared" si="36"/>
        <v>0</v>
      </c>
      <c r="F109" s="89">
        <f t="shared" si="36"/>
        <v>0</v>
      </c>
      <c r="G109" s="89">
        <f t="shared" si="36"/>
        <v>0</v>
      </c>
      <c r="H109" s="89">
        <f t="shared" si="36"/>
        <v>0</v>
      </c>
      <c r="I109" s="89">
        <f t="shared" si="36"/>
        <v>0</v>
      </c>
      <c r="J109" s="89">
        <f t="shared" si="36"/>
        <v>0</v>
      </c>
      <c r="K109" s="89">
        <f t="shared" si="36"/>
        <v>0</v>
      </c>
      <c r="L109" s="89">
        <f t="shared" si="36"/>
        <v>0</v>
      </c>
      <c r="M109" s="89">
        <f t="shared" si="36"/>
        <v>0</v>
      </c>
      <c r="N109" s="89">
        <f t="shared" si="36"/>
        <v>0</v>
      </c>
      <c r="O109" s="89">
        <f t="shared" si="36"/>
        <v>0</v>
      </c>
      <c r="P109" s="89">
        <f t="shared" si="36"/>
        <v>0</v>
      </c>
      <c r="Q109" s="89">
        <f t="shared" si="36"/>
        <v>0</v>
      </c>
      <c r="R109" s="89">
        <f t="shared" si="36"/>
        <v>0</v>
      </c>
      <c r="S109" s="89">
        <f t="shared" si="36"/>
        <v>0</v>
      </c>
      <c r="T109" s="89">
        <f t="shared" si="36"/>
        <v>0</v>
      </c>
      <c r="U109" s="89">
        <f t="shared" si="36"/>
        <v>0</v>
      </c>
      <c r="V109" s="89">
        <f t="shared" si="36"/>
        <v>0</v>
      </c>
      <c r="W109" s="89">
        <f t="shared" si="36"/>
        <v>0</v>
      </c>
      <c r="X109" s="89">
        <f t="shared" si="36"/>
        <v>0</v>
      </c>
      <c r="Y109" s="89">
        <f t="shared" si="36"/>
        <v>0</v>
      </c>
      <c r="Z109" s="89">
        <f t="shared" si="36"/>
        <v>0</v>
      </c>
      <c r="AA109" s="89">
        <f t="shared" si="36"/>
        <v>0</v>
      </c>
      <c r="AB109" s="89">
        <f t="shared" si="37"/>
        <v>0</v>
      </c>
      <c r="AC109" s="89">
        <f t="shared" si="37"/>
        <v>0</v>
      </c>
      <c r="AD109" s="89">
        <f t="shared" si="37"/>
        <v>0</v>
      </c>
      <c r="AE109" s="89">
        <f t="shared" si="37"/>
        <v>0</v>
      </c>
      <c r="AF109" s="89">
        <f t="shared" si="37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>SUM(B104:B109)</f>
        <v>482</v>
      </c>
      <c r="C110" s="71">
        <f t="shared" ref="C110:AA110" si="39">SUM(C104:C109)</f>
        <v>538</v>
      </c>
      <c r="D110" s="71">
        <f t="shared" si="39"/>
        <v>559</v>
      </c>
      <c r="E110" s="71">
        <f t="shared" si="39"/>
        <v>574.4</v>
      </c>
      <c r="F110" s="71">
        <f t="shared" si="39"/>
        <v>631</v>
      </c>
      <c r="G110" s="71">
        <f t="shared" si="39"/>
        <v>623.6</v>
      </c>
      <c r="H110" s="71">
        <f t="shared" si="39"/>
        <v>652.1</v>
      </c>
      <c r="I110" s="71">
        <f t="shared" si="39"/>
        <v>660.6</v>
      </c>
      <c r="J110" s="71">
        <f t="shared" si="39"/>
        <v>613.6</v>
      </c>
      <c r="K110" s="71">
        <f t="shared" si="39"/>
        <v>518</v>
      </c>
      <c r="L110" s="71">
        <f t="shared" si="39"/>
        <v>527.4</v>
      </c>
      <c r="M110" s="71">
        <f t="shared" si="39"/>
        <v>511.7</v>
      </c>
      <c r="N110" s="71">
        <f t="shared" si="39"/>
        <v>511.7</v>
      </c>
      <c r="O110" s="71">
        <f t="shared" si="39"/>
        <v>511.7</v>
      </c>
      <c r="P110" s="71">
        <f t="shared" si="39"/>
        <v>380</v>
      </c>
      <c r="Q110" s="71">
        <f t="shared" si="39"/>
        <v>416</v>
      </c>
      <c r="R110" s="71">
        <f t="shared" si="39"/>
        <v>320</v>
      </c>
      <c r="S110" s="71">
        <f t="shared" si="39"/>
        <v>325</v>
      </c>
      <c r="T110" s="71">
        <f t="shared" si="39"/>
        <v>362</v>
      </c>
      <c r="U110" s="71">
        <f t="shared" si="39"/>
        <v>413</v>
      </c>
      <c r="V110" s="71">
        <f t="shared" si="39"/>
        <v>399.3</v>
      </c>
      <c r="W110" s="71">
        <f t="shared" si="39"/>
        <v>501</v>
      </c>
      <c r="X110" s="71">
        <f t="shared" si="39"/>
        <v>521</v>
      </c>
      <c r="Y110" s="71">
        <f t="shared" si="39"/>
        <v>507</v>
      </c>
      <c r="Z110" s="71">
        <f t="shared" si="39"/>
        <v>495</v>
      </c>
      <c r="AA110" s="71">
        <f t="shared" si="39"/>
        <v>412</v>
      </c>
      <c r="AB110" s="71">
        <f>SUM(AB104:AB109)</f>
        <v>306.7</v>
      </c>
      <c r="AC110" s="71">
        <f>SUM(AC104:AC109)</f>
        <v>452.4</v>
      </c>
      <c r="AD110" s="71">
        <f>SUM(AD104:AD109)</f>
        <v>408.1</v>
      </c>
      <c r="AE110" s="71">
        <f>SUM(AE104:AE109)</f>
        <v>453.1</v>
      </c>
      <c r="AF110" s="71">
        <f>SUM(AF104:AF109)</f>
        <v>445.1</v>
      </c>
      <c r="AG110" s="101"/>
      <c r="AH110" s="48">
        <f t="shared" si="27"/>
        <v>660.6</v>
      </c>
      <c r="AI110" s="49">
        <f t="shared" si="28"/>
        <v>306.7</v>
      </c>
    </row>
    <row r="111" spans="1:64" ht="15.75" thickBot="1" x14ac:dyDescent="0.3">
      <c r="A111" s="87" t="s">
        <v>131</v>
      </c>
      <c r="B111" s="71">
        <f t="shared" ref="B111:AA111" si="40">B95-B110</f>
        <v>-482</v>
      </c>
      <c r="C111" s="71">
        <f t="shared" si="40"/>
        <v>-538</v>
      </c>
      <c r="D111" s="71">
        <f t="shared" si="40"/>
        <v>-559</v>
      </c>
      <c r="E111" s="71">
        <f t="shared" si="40"/>
        <v>-574.4</v>
      </c>
      <c r="F111" s="71">
        <f t="shared" si="40"/>
        <v>-631</v>
      </c>
      <c r="G111" s="71">
        <f t="shared" si="40"/>
        <v>-623.6</v>
      </c>
      <c r="H111" s="71">
        <f t="shared" si="40"/>
        <v>-652.1</v>
      </c>
      <c r="I111" s="71">
        <f t="shared" si="40"/>
        <v>-660.6</v>
      </c>
      <c r="J111" s="71">
        <f t="shared" si="40"/>
        <v>-613.6</v>
      </c>
      <c r="K111" s="71">
        <f t="shared" si="40"/>
        <v>-518</v>
      </c>
      <c r="L111" s="71">
        <f t="shared" si="40"/>
        <v>-527.4</v>
      </c>
      <c r="M111" s="71">
        <f t="shared" si="40"/>
        <v>-511.7</v>
      </c>
      <c r="N111" s="71">
        <f t="shared" si="40"/>
        <v>-511.7</v>
      </c>
      <c r="O111" s="71">
        <f t="shared" si="40"/>
        <v>-511.7</v>
      </c>
      <c r="P111" s="71">
        <f t="shared" si="40"/>
        <v>-368.6</v>
      </c>
      <c r="Q111" s="71">
        <f t="shared" si="40"/>
        <v>-382</v>
      </c>
      <c r="R111" s="71">
        <f t="shared" si="40"/>
        <v>-292.7</v>
      </c>
      <c r="S111" s="71">
        <f t="shared" si="40"/>
        <v>-293.7</v>
      </c>
      <c r="T111" s="71">
        <f t="shared" si="40"/>
        <v>-334</v>
      </c>
      <c r="U111" s="71">
        <f t="shared" si="40"/>
        <v>-410.7</v>
      </c>
      <c r="V111" s="71">
        <f t="shared" si="40"/>
        <v>-399.3</v>
      </c>
      <c r="W111" s="71">
        <f t="shared" si="40"/>
        <v>-481.9</v>
      </c>
      <c r="X111" s="71">
        <f t="shared" si="40"/>
        <v>-521</v>
      </c>
      <c r="Y111" s="71">
        <f t="shared" si="40"/>
        <v>-507</v>
      </c>
      <c r="Z111" s="71">
        <f t="shared" si="40"/>
        <v>-495</v>
      </c>
      <c r="AA111" s="71">
        <f t="shared" si="40"/>
        <v>-408</v>
      </c>
      <c r="AB111" s="71">
        <f>AB95-AB110</f>
        <v>-284.5</v>
      </c>
      <c r="AC111" s="71">
        <f>AC95-AC110</f>
        <v>-435.5</v>
      </c>
      <c r="AD111" s="71">
        <f>AD95-AD110</f>
        <v>-387.40000000000003</v>
      </c>
      <c r="AE111" s="71">
        <f>AE95-AE110</f>
        <v>-453.1</v>
      </c>
      <c r="AF111" s="71">
        <f>AF95-AF110</f>
        <v>-421</v>
      </c>
      <c r="AG111" s="101"/>
      <c r="AH111" s="48">
        <f t="shared" si="27"/>
        <v>-284.5</v>
      </c>
      <c r="AI111" s="49">
        <f t="shared" si="28"/>
        <v>-660.6</v>
      </c>
    </row>
    <row r="112" spans="1:64" x14ac:dyDescent="0.25">
      <c r="A112" s="113" t="s">
        <v>132</v>
      </c>
      <c r="B112" s="114">
        <v>50.021000000000001</v>
      </c>
      <c r="C112" s="114">
        <v>49.984999999999999</v>
      </c>
      <c r="D112" s="114">
        <v>50.012</v>
      </c>
      <c r="E112" s="114">
        <v>49.991999999999997</v>
      </c>
      <c r="F112" s="114">
        <v>50.033999999999999</v>
      </c>
      <c r="G112" s="114">
        <v>50.02</v>
      </c>
      <c r="H112" s="114">
        <v>50.02</v>
      </c>
      <c r="I112" s="114">
        <v>50.029000000000003</v>
      </c>
      <c r="J112" s="114">
        <v>50.017000000000003</v>
      </c>
      <c r="K112" s="114">
        <v>50.052</v>
      </c>
      <c r="L112" s="114">
        <v>50.064999999999998</v>
      </c>
      <c r="M112" s="114">
        <v>50.03</v>
      </c>
      <c r="N112" s="114">
        <v>50.02</v>
      </c>
      <c r="O112" s="114">
        <v>50.03</v>
      </c>
      <c r="P112" s="114">
        <v>50</v>
      </c>
      <c r="Q112" s="114">
        <v>49.904000000000003</v>
      </c>
      <c r="R112" s="114">
        <v>50.08</v>
      </c>
      <c r="S112" s="114">
        <v>49.96</v>
      </c>
      <c r="T112" s="114">
        <v>50.033999999999999</v>
      </c>
      <c r="U112" s="114">
        <v>49.99</v>
      </c>
      <c r="V112" s="114">
        <v>49.917999999999999</v>
      </c>
      <c r="W112" s="114">
        <v>49.917999999999999</v>
      </c>
      <c r="X112" s="114">
        <v>49.917999999999999</v>
      </c>
      <c r="Y112" s="114">
        <v>50.012</v>
      </c>
      <c r="Z112" s="114">
        <v>50.027999999999999</v>
      </c>
      <c r="AA112" s="114">
        <v>49.99</v>
      </c>
      <c r="AB112" s="114">
        <v>49.93</v>
      </c>
      <c r="AC112" s="114">
        <v>50</v>
      </c>
      <c r="AD112" s="114">
        <v>50.02</v>
      </c>
      <c r="AE112" s="114">
        <v>50</v>
      </c>
      <c r="AF112" s="114">
        <v>50.03</v>
      </c>
      <c r="AG112" s="115"/>
      <c r="AH112" s="48">
        <f t="shared" si="27"/>
        <v>50.08</v>
      </c>
      <c r="AI112" s="49">
        <f t="shared" si="28"/>
        <v>49.904000000000003</v>
      </c>
    </row>
    <row r="113" spans="1:35" x14ac:dyDescent="0.25">
      <c r="A113" s="116" t="s">
        <v>133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27"/>
        <v>0</v>
      </c>
      <c r="AI113" s="49">
        <f t="shared" si="28"/>
        <v>0</v>
      </c>
    </row>
    <row r="114" spans="1:35" x14ac:dyDescent="0.25">
      <c r="A114" s="116" t="s">
        <v>134</v>
      </c>
      <c r="B114" s="76">
        <v>126</v>
      </c>
      <c r="C114" s="76">
        <v>127.1</v>
      </c>
      <c r="D114" s="76">
        <v>126.8</v>
      </c>
      <c r="E114" s="76">
        <v>127.3</v>
      </c>
      <c r="F114" s="76">
        <v>127.1</v>
      </c>
      <c r="G114" s="76">
        <v>126</v>
      </c>
      <c r="H114" s="76">
        <v>127.1</v>
      </c>
      <c r="I114" s="76">
        <v>125.5</v>
      </c>
      <c r="J114" s="76">
        <v>123.4</v>
      </c>
      <c r="K114" s="76">
        <v>122.5</v>
      </c>
      <c r="L114" s="76">
        <v>123.2</v>
      </c>
      <c r="M114" s="76">
        <v>121.9</v>
      </c>
      <c r="N114" s="76">
        <v>120.1</v>
      </c>
      <c r="O114" s="76">
        <v>121.9</v>
      </c>
      <c r="P114" s="76">
        <v>120.8</v>
      </c>
      <c r="Q114" s="76">
        <v>121</v>
      </c>
      <c r="R114" s="76">
        <v>121</v>
      </c>
      <c r="S114" s="76">
        <v>119.5</v>
      </c>
      <c r="T114" s="76">
        <v>120</v>
      </c>
      <c r="U114" s="76">
        <v>120.5</v>
      </c>
      <c r="V114" s="76">
        <v>124.7</v>
      </c>
      <c r="W114" s="76">
        <v>124.7</v>
      </c>
      <c r="X114" s="76">
        <v>124.7</v>
      </c>
      <c r="Y114" s="76">
        <v>124.5</v>
      </c>
      <c r="Z114" s="76">
        <v>124</v>
      </c>
      <c r="AA114" s="76">
        <v>122.4</v>
      </c>
      <c r="AB114" s="76">
        <v>124.7</v>
      </c>
      <c r="AC114" s="76">
        <v>125.5</v>
      </c>
      <c r="AD114" s="76">
        <v>123.8</v>
      </c>
      <c r="AE114" s="76">
        <v>124.2</v>
      </c>
      <c r="AF114" s="76">
        <v>124.2</v>
      </c>
      <c r="AG114" s="117"/>
      <c r="AH114" s="48">
        <f t="shared" si="27"/>
        <v>127.3</v>
      </c>
      <c r="AI114" s="49">
        <f t="shared" si="28"/>
        <v>119.5</v>
      </c>
    </row>
    <row r="115" spans="1:35" x14ac:dyDescent="0.25">
      <c r="A115" s="116" t="s">
        <v>135</v>
      </c>
      <c r="B115" s="76">
        <v>130.6</v>
      </c>
      <c r="C115" s="76">
        <v>130.69999999999999</v>
      </c>
      <c r="D115" s="76">
        <v>130.19999999999999</v>
      </c>
      <c r="E115" s="76">
        <v>129</v>
      </c>
      <c r="F115" s="76">
        <v>129.4</v>
      </c>
      <c r="G115" s="76">
        <v>130.6</v>
      </c>
      <c r="H115" s="76">
        <v>130.19999999999999</v>
      </c>
      <c r="I115" s="76">
        <v>128.9</v>
      </c>
      <c r="J115" s="76">
        <v>128.4</v>
      </c>
      <c r="K115" s="76">
        <v>128.9</v>
      </c>
      <c r="L115" s="76">
        <v>128.6</v>
      </c>
      <c r="M115" s="76">
        <v>128</v>
      </c>
      <c r="N115" s="76">
        <v>128</v>
      </c>
      <c r="O115" s="76">
        <v>128</v>
      </c>
      <c r="P115" s="76">
        <v>129.4</v>
      </c>
      <c r="Q115" s="76">
        <v>129</v>
      </c>
      <c r="R115" s="76">
        <v>129.9</v>
      </c>
      <c r="S115" s="76">
        <v>127.5</v>
      </c>
      <c r="T115" s="76">
        <v>130.19999999999999</v>
      </c>
      <c r="U115" s="76">
        <v>129.19999999999999</v>
      </c>
      <c r="V115" s="76">
        <v>129.69999999999999</v>
      </c>
      <c r="W115" s="76">
        <v>129.69999999999999</v>
      </c>
      <c r="X115" s="76">
        <v>129.69999999999999</v>
      </c>
      <c r="Y115" s="76">
        <v>131.5</v>
      </c>
      <c r="Z115" s="76">
        <v>130.69999999999999</v>
      </c>
      <c r="AA115" s="76">
        <v>130</v>
      </c>
      <c r="AB115" s="76">
        <v>129.9</v>
      </c>
      <c r="AC115" s="76">
        <v>130.4</v>
      </c>
      <c r="AD115" s="76">
        <v>128.6</v>
      </c>
      <c r="AE115" s="76">
        <v>130</v>
      </c>
      <c r="AF115" s="76">
        <v>130</v>
      </c>
      <c r="AG115" s="117"/>
      <c r="AH115" s="48">
        <f t="shared" si="27"/>
        <v>131.5</v>
      </c>
      <c r="AI115" s="49">
        <f t="shared" si="28"/>
        <v>127.5</v>
      </c>
    </row>
    <row r="116" spans="1:35" x14ac:dyDescent="0.25">
      <c r="A116" s="118" t="s">
        <v>136</v>
      </c>
      <c r="B116" s="76">
        <v>131.19999999999999</v>
      </c>
      <c r="C116" s="76">
        <v>131.4</v>
      </c>
      <c r="D116" s="76">
        <v>131</v>
      </c>
      <c r="E116" s="76">
        <v>131.19999999999999</v>
      </c>
      <c r="F116" s="76">
        <v>131</v>
      </c>
      <c r="G116" s="76">
        <v>132.80000000000001</v>
      </c>
      <c r="H116" s="76">
        <v>132.1</v>
      </c>
      <c r="I116" s="76">
        <v>130.9</v>
      </c>
      <c r="J116" s="76">
        <v>129.5</v>
      </c>
      <c r="K116" s="76">
        <v>129.5</v>
      </c>
      <c r="L116" s="76">
        <v>128.30000000000001</v>
      </c>
      <c r="M116" s="76">
        <v>126</v>
      </c>
      <c r="N116" s="76">
        <v>126</v>
      </c>
      <c r="O116" s="76">
        <v>126</v>
      </c>
      <c r="P116" s="76">
        <v>128.30000000000001</v>
      </c>
      <c r="Q116" s="76">
        <v>128.6</v>
      </c>
      <c r="R116" s="76">
        <v>129</v>
      </c>
      <c r="S116" s="76">
        <v>126.2</v>
      </c>
      <c r="T116" s="76">
        <v>129.19999999999999</v>
      </c>
      <c r="U116" s="76">
        <v>127.2</v>
      </c>
      <c r="V116" s="76">
        <v>128.5</v>
      </c>
      <c r="W116" s="76">
        <v>128.5</v>
      </c>
      <c r="X116" s="76">
        <v>128.5</v>
      </c>
      <c r="Y116" s="76">
        <v>130.4</v>
      </c>
      <c r="Z116" s="76">
        <v>129.1</v>
      </c>
      <c r="AA116" s="76">
        <v>130.19999999999999</v>
      </c>
      <c r="AB116" s="76">
        <v>129.30000000000001</v>
      </c>
      <c r="AC116" s="76">
        <v>131.1</v>
      </c>
      <c r="AD116" s="76">
        <v>129.5</v>
      </c>
      <c r="AE116" s="76">
        <v>130.6</v>
      </c>
      <c r="AF116" s="76">
        <v>130.6</v>
      </c>
      <c r="AG116" s="117"/>
      <c r="AH116" s="48">
        <f t="shared" si="27"/>
        <v>132.80000000000001</v>
      </c>
      <c r="AI116" s="49">
        <f t="shared" si="28"/>
        <v>126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0</v>
      </c>
      <c r="AI117" s="49">
        <f t="shared" si="28"/>
        <v>0</v>
      </c>
    </row>
    <row r="118" spans="1:35" x14ac:dyDescent="0.25">
      <c r="A118" s="116" t="s">
        <v>138</v>
      </c>
      <c r="B118" s="76">
        <v>126</v>
      </c>
      <c r="C118" s="76">
        <v>129</v>
      </c>
      <c r="D118" s="76">
        <v>127.9</v>
      </c>
      <c r="E118" s="76">
        <v>126.4</v>
      </c>
      <c r="F118" s="76">
        <v>126.5</v>
      </c>
      <c r="G118" s="76">
        <v>125.3</v>
      </c>
      <c r="H118" s="76">
        <v>130.69999999999999</v>
      </c>
      <c r="I118" s="76">
        <v>124.5</v>
      </c>
      <c r="J118" s="76">
        <v>122</v>
      </c>
      <c r="K118" s="76">
        <v>131.69999999999999</v>
      </c>
      <c r="L118" s="76">
        <v>128.19999999999999</v>
      </c>
      <c r="M118" s="76">
        <v>130.19999999999999</v>
      </c>
      <c r="N118" s="76">
        <v>130.19999999999999</v>
      </c>
      <c r="O118" s="76">
        <v>130.19999999999999</v>
      </c>
      <c r="P118" s="76">
        <v>122.7</v>
      </c>
      <c r="Q118" s="76">
        <v>131.1</v>
      </c>
      <c r="R118" s="76">
        <v>134.30000000000001</v>
      </c>
      <c r="S118" s="76">
        <v>120</v>
      </c>
      <c r="T118" s="76">
        <v>113</v>
      </c>
      <c r="U118" s="76">
        <v>123.7</v>
      </c>
      <c r="V118" s="76">
        <v>123.2</v>
      </c>
      <c r="W118" s="76">
        <v>123.2</v>
      </c>
      <c r="X118" s="76">
        <v>123.2</v>
      </c>
      <c r="Y118" s="76">
        <v>128.4</v>
      </c>
      <c r="Z118" s="76">
        <v>129</v>
      </c>
      <c r="AA118" s="76">
        <v>126.3</v>
      </c>
      <c r="AB118" s="76">
        <v>125</v>
      </c>
      <c r="AC118" s="76">
        <v>125.2</v>
      </c>
      <c r="AD118" s="76">
        <v>127.1</v>
      </c>
      <c r="AE118" s="76">
        <v>125.6</v>
      </c>
      <c r="AF118" s="76">
        <v>125.6</v>
      </c>
      <c r="AG118" s="117"/>
      <c r="AH118" s="48">
        <f t="shared" si="27"/>
        <v>134.30000000000001</v>
      </c>
      <c r="AI118" s="49">
        <f t="shared" si="28"/>
        <v>113</v>
      </c>
    </row>
    <row r="119" spans="1:35" ht="15.75" thickBot="1" x14ac:dyDescent="0.3">
      <c r="A119" s="116" t="s">
        <v>139</v>
      </c>
      <c r="B119" s="105">
        <v>63.4</v>
      </c>
      <c r="C119" s="105">
        <v>63.7</v>
      </c>
      <c r="D119" s="105">
        <v>63.8</v>
      </c>
      <c r="E119" s="105">
        <v>64</v>
      </c>
      <c r="F119" s="105">
        <v>63.9</v>
      </c>
      <c r="G119" s="105">
        <v>63.3</v>
      </c>
      <c r="H119" s="105">
        <v>64.2</v>
      </c>
      <c r="I119" s="105">
        <v>63.6</v>
      </c>
      <c r="J119" s="105">
        <v>62.4</v>
      </c>
      <c r="K119" s="105">
        <v>61.5</v>
      </c>
      <c r="L119" s="105">
        <v>61.7</v>
      </c>
      <c r="M119" s="105">
        <v>60.4</v>
      </c>
      <c r="N119" s="105">
        <v>60.4</v>
      </c>
      <c r="O119" s="105">
        <v>60.4</v>
      </c>
      <c r="P119" s="105">
        <v>60</v>
      </c>
      <c r="Q119" s="105">
        <v>60.4</v>
      </c>
      <c r="R119" s="105">
        <v>60.1</v>
      </c>
      <c r="S119" s="105">
        <v>59</v>
      </c>
      <c r="T119" s="105">
        <v>60</v>
      </c>
      <c r="U119" s="105">
        <v>60.1</v>
      </c>
      <c r="V119" s="105">
        <v>62.1</v>
      </c>
      <c r="W119" s="105">
        <v>62.1</v>
      </c>
      <c r="X119" s="105">
        <v>62.1</v>
      </c>
      <c r="Y119" s="105">
        <v>62.5</v>
      </c>
      <c r="Z119" s="105">
        <v>62.5</v>
      </c>
      <c r="AA119" s="105">
        <v>61.6</v>
      </c>
      <c r="AB119" s="105">
        <v>62.6</v>
      </c>
      <c r="AC119" s="105">
        <v>63.1</v>
      </c>
      <c r="AD119" s="105">
        <v>62.5</v>
      </c>
      <c r="AE119" s="105">
        <v>62.9</v>
      </c>
      <c r="AF119" s="105">
        <v>62.9</v>
      </c>
      <c r="AG119" s="121"/>
      <c r="AH119" s="48">
        <f t="shared" si="27"/>
        <v>64.2</v>
      </c>
      <c r="AI119" s="49">
        <f t="shared" si="28"/>
        <v>59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 t="shared" ref="B121:O121" si="41">SUM(B25,B31,B34:B35,B69,B71:B72,B74,B76,B122:B126,B158,B164,B170,B179,B181,B193,B200,B203:B204,B211,B213,B215,B219:B221,B223:B225,B230,B236:B237,B239:B241,B249,B254)</f>
        <v>29.740000000000013</v>
      </c>
      <c r="C121" s="124">
        <f t="shared" si="41"/>
        <v>23.140000000000018</v>
      </c>
      <c r="D121" s="124">
        <f t="shared" si="41"/>
        <v>40.44</v>
      </c>
      <c r="E121" s="124">
        <f t="shared" si="41"/>
        <v>17.839999999999986</v>
      </c>
      <c r="F121" s="124">
        <f t="shared" si="41"/>
        <v>46.440000000000012</v>
      </c>
      <c r="G121" s="124">
        <f t="shared" si="41"/>
        <v>49.739999999999966</v>
      </c>
      <c r="H121" s="124">
        <f t="shared" si="41"/>
        <v>102.43999999999998</v>
      </c>
      <c r="I121" s="124">
        <f t="shared" si="41"/>
        <v>141.04000000000002</v>
      </c>
      <c r="J121" s="124">
        <f t="shared" si="41"/>
        <v>113.94</v>
      </c>
      <c r="K121" s="124">
        <f t="shared" si="41"/>
        <v>130.34000000000003</v>
      </c>
      <c r="L121" s="124">
        <f t="shared" si="41"/>
        <v>130.74</v>
      </c>
      <c r="M121" s="124">
        <f t="shared" si="41"/>
        <v>169.14000000000004</v>
      </c>
      <c r="N121" s="124">
        <f t="shared" si="41"/>
        <v>160.74000000000004</v>
      </c>
      <c r="O121" s="124">
        <f t="shared" si="41"/>
        <v>160.74000000000004</v>
      </c>
      <c r="P121" s="124">
        <v>42</v>
      </c>
      <c r="Q121" s="124">
        <f t="shared" ref="Q121:X121" si="42">SUM(Q25,Q31,Q34:Q35,Q69,Q71:Q72,Q74,Q76,Q122:Q126,Q158,Q164,Q170,Q179,Q181,Q193,Q200,Q203:Q204,Q211,Q213,Q215,Q219:Q221,Q223:Q225,Q230,Q236:Q237,Q239:Q241,Q249,Q254)</f>
        <v>195.44</v>
      </c>
      <c r="R121" s="124">
        <f t="shared" si="42"/>
        <v>174.23999999999998</v>
      </c>
      <c r="S121" s="124">
        <f t="shared" si="42"/>
        <v>170.43999999999997</v>
      </c>
      <c r="T121" s="124">
        <f t="shared" si="42"/>
        <v>159.53999999999996</v>
      </c>
      <c r="U121" s="124">
        <f t="shared" si="42"/>
        <v>233.64</v>
      </c>
      <c r="V121" s="124">
        <f t="shared" si="42"/>
        <v>270.43999999999994</v>
      </c>
      <c r="W121" s="124">
        <f t="shared" si="42"/>
        <v>241.43999999999994</v>
      </c>
      <c r="X121" s="124">
        <f t="shared" si="42"/>
        <v>240.83999999999997</v>
      </c>
      <c r="Y121" s="124">
        <f>SUM(Y23,Y29,Y40:Y41,Y69,Y71:Y72,Y74,Y76,Y122:Y126,Y151,Y157,Y163,Y172,Y174,Y186,Y193,Y196:Y197,Y204,Y206,Y208,Y212:Y214,Y216:Y218,Y223,Y229:Y230,Y232:Y234,Y242,Y247)</f>
        <v>324.70000000000005</v>
      </c>
      <c r="Z121" s="124">
        <f>SUM(Z23,Z29,Z40:Z41,Z69,Z71:Z72,Z74,Z76,Z122:Z126,Z151,Z157,Z163,Z172,Z174,Z186,Z193,Z196:Z197,Z204,Z206,Z208,Z212:Z214,Z216:Z218,Z223,Z229:Z230,Z232:Z234,Z242,Z247)</f>
        <v>344.5</v>
      </c>
      <c r="AA121" s="124">
        <f t="shared" ref="AA121:AF121" si="43">SUM(AA25,AA31,AA34:AA35,AA69,AA71:AA72,AA74,AA76,AA122:AA126,AA158,AA164,AA170,AA179,AA181,AA193,AA200,AA203:AA204,AA211,AA213,AA215,AA219:AA221,AA223:AA225,AA230,AA236:AA237,AA239:AA241,AA249,AA254)</f>
        <v>340.94</v>
      </c>
      <c r="AB121" s="124">
        <f t="shared" si="43"/>
        <v>232.54000000000002</v>
      </c>
      <c r="AC121" s="124">
        <f t="shared" si="43"/>
        <v>212.03999999999994</v>
      </c>
      <c r="AD121" s="124">
        <f t="shared" si="43"/>
        <v>184.64</v>
      </c>
      <c r="AE121" s="124">
        <f t="shared" si="43"/>
        <v>123.54000000000002</v>
      </c>
      <c r="AF121" s="124">
        <f t="shared" si="43"/>
        <v>90.139999999999972</v>
      </c>
      <c r="AG121" s="125"/>
      <c r="AH121" s="48">
        <f t="shared" si="27"/>
        <v>344.5</v>
      </c>
      <c r="AI121" s="49">
        <f t="shared" si="28"/>
        <v>17.839999999999986</v>
      </c>
    </row>
    <row r="122" spans="1:35" x14ac:dyDescent="0.25">
      <c r="A122" s="126" t="s">
        <v>142</v>
      </c>
      <c r="B122" s="127">
        <v>23.6</v>
      </c>
      <c r="C122" s="127">
        <v>28</v>
      </c>
      <c r="D122" s="127">
        <v>38</v>
      </c>
      <c r="E122" s="127">
        <v>31</v>
      </c>
      <c r="F122" s="127">
        <v>53.9</v>
      </c>
      <c r="G122" s="127">
        <v>52.9</v>
      </c>
      <c r="H122" s="127">
        <v>67.099999999999994</v>
      </c>
      <c r="I122" s="127">
        <v>62</v>
      </c>
      <c r="J122" s="127">
        <v>63.4</v>
      </c>
      <c r="K122" s="127">
        <v>64.400000000000006</v>
      </c>
      <c r="L122" s="127">
        <v>61.7</v>
      </c>
      <c r="M122" s="127">
        <v>68.5</v>
      </c>
      <c r="N122" s="127"/>
      <c r="O122" s="127"/>
      <c r="P122" s="127">
        <v>60.4</v>
      </c>
      <c r="Q122" s="127">
        <v>71.599999999999994</v>
      </c>
      <c r="R122" s="127">
        <v>62.9</v>
      </c>
      <c r="S122" s="127">
        <v>54</v>
      </c>
      <c r="T122" s="127">
        <v>52.1</v>
      </c>
      <c r="U122" s="127">
        <v>60.4</v>
      </c>
      <c r="V122" s="127">
        <v>68</v>
      </c>
      <c r="W122" s="127">
        <v>68</v>
      </c>
      <c r="X122" s="127">
        <v>68</v>
      </c>
      <c r="Y122" s="127">
        <v>78.2</v>
      </c>
      <c r="Z122" s="127">
        <v>79.400000000000006</v>
      </c>
      <c r="AA122" s="127">
        <v>81</v>
      </c>
      <c r="AB122" s="127">
        <v>71.2</v>
      </c>
      <c r="AC122" s="127">
        <v>75.099999999999994</v>
      </c>
      <c r="AD122" s="127">
        <v>69.5</v>
      </c>
      <c r="AE122" s="127">
        <v>72</v>
      </c>
      <c r="AF122" s="127">
        <v>74.099999999999994</v>
      </c>
      <c r="AG122" s="128">
        <v>75</v>
      </c>
      <c r="AH122" s="48">
        <f t="shared" si="27"/>
        <v>81</v>
      </c>
      <c r="AI122" s="49">
        <f t="shared" si="28"/>
        <v>23.6</v>
      </c>
    </row>
    <row r="123" spans="1:35" x14ac:dyDescent="0.25">
      <c r="A123" s="129" t="s">
        <v>143</v>
      </c>
      <c r="B123" s="130">
        <v>44</v>
      </c>
      <c r="C123" s="130">
        <v>49</v>
      </c>
      <c r="D123" s="130">
        <v>64.3</v>
      </c>
      <c r="E123" s="130">
        <v>50.6</v>
      </c>
      <c r="F123" s="130">
        <v>84.1</v>
      </c>
      <c r="G123" s="130">
        <v>81.900000000000006</v>
      </c>
      <c r="H123" s="130">
        <v>98.5</v>
      </c>
      <c r="I123" s="130">
        <v>93.2</v>
      </c>
      <c r="J123" s="130">
        <v>92.5</v>
      </c>
      <c r="K123" s="130">
        <v>94.6</v>
      </c>
      <c r="L123" s="130">
        <v>78.5</v>
      </c>
      <c r="M123" s="130">
        <v>98.4</v>
      </c>
      <c r="N123" s="130"/>
      <c r="O123" s="130"/>
      <c r="P123" s="130">
        <v>91.2</v>
      </c>
      <c r="Q123" s="130">
        <v>104.8</v>
      </c>
      <c r="R123" s="130">
        <v>92.7</v>
      </c>
      <c r="S123" s="130">
        <v>79.2</v>
      </c>
      <c r="T123" s="130">
        <v>80.099999999999994</v>
      </c>
      <c r="U123" s="130">
        <v>88.5</v>
      </c>
      <c r="V123" s="130">
        <v>100</v>
      </c>
      <c r="W123" s="130">
        <v>100</v>
      </c>
      <c r="X123" s="130">
        <v>100</v>
      </c>
      <c r="Y123" s="130">
        <v>111.5</v>
      </c>
      <c r="Z123" s="130">
        <v>114</v>
      </c>
      <c r="AA123" s="130">
        <v>116</v>
      </c>
      <c r="AB123" s="130">
        <v>102.4</v>
      </c>
      <c r="AC123" s="130">
        <v>107.7</v>
      </c>
      <c r="AD123" s="130">
        <v>101.3</v>
      </c>
      <c r="AE123" s="130">
        <v>106.1</v>
      </c>
      <c r="AF123" s="130">
        <v>106.5</v>
      </c>
      <c r="AG123" s="128">
        <v>240</v>
      </c>
      <c r="AH123" s="48">
        <f t="shared" si="27"/>
        <v>116</v>
      </c>
      <c r="AI123" s="49">
        <f t="shared" si="28"/>
        <v>44</v>
      </c>
    </row>
    <row r="124" spans="1:35" x14ac:dyDescent="0.25">
      <c r="A124" s="129" t="s">
        <v>144</v>
      </c>
      <c r="B124" s="130">
        <v>-155</v>
      </c>
      <c r="C124" s="130">
        <v>-170</v>
      </c>
      <c r="D124" s="130">
        <v>-180</v>
      </c>
      <c r="E124" s="130">
        <v>-167.9</v>
      </c>
      <c r="F124" s="130">
        <v>-193.4</v>
      </c>
      <c r="G124" s="130">
        <v>-186.9</v>
      </c>
      <c r="H124" s="130">
        <v>-174.5</v>
      </c>
      <c r="I124" s="130">
        <v>-168.5</v>
      </c>
      <c r="J124" s="130">
        <v>-155</v>
      </c>
      <c r="K124" s="130">
        <v>-146</v>
      </c>
      <c r="L124" s="130">
        <v>-130.9</v>
      </c>
      <c r="M124" s="130">
        <f>-70-72.7</f>
        <v>-142.69999999999999</v>
      </c>
      <c r="N124" s="130"/>
      <c r="O124" s="130"/>
      <c r="P124" s="130">
        <f>-60.7-65.6</f>
        <v>-126.3</v>
      </c>
      <c r="Q124" s="130">
        <f>-68-74</f>
        <v>-142</v>
      </c>
      <c r="R124" s="130">
        <f>-68.8-73</f>
        <v>-141.80000000000001</v>
      </c>
      <c r="S124" s="130">
        <v>-125</v>
      </c>
      <c r="T124" s="130">
        <v>-130</v>
      </c>
      <c r="U124" s="130">
        <v>-142</v>
      </c>
      <c r="V124" s="130">
        <v>-105</v>
      </c>
      <c r="W124" s="130">
        <v>-105</v>
      </c>
      <c r="X124" s="130">
        <v>-105</v>
      </c>
      <c r="Y124" s="130">
        <v>-104</v>
      </c>
      <c r="Z124" s="130">
        <v>-109</v>
      </c>
      <c r="AA124" s="130">
        <v>-77</v>
      </c>
      <c r="AB124" s="130">
        <v>-71.099999999999994</v>
      </c>
      <c r="AC124" s="130">
        <v>-93.1</v>
      </c>
      <c r="AD124" s="130">
        <v>-96</v>
      </c>
      <c r="AE124" s="130">
        <v>-145.1</v>
      </c>
      <c r="AF124" s="130">
        <v>-166.1</v>
      </c>
      <c r="AG124" s="128">
        <v>240</v>
      </c>
      <c r="AH124" s="48">
        <f t="shared" si="27"/>
        <v>-71.099999999999994</v>
      </c>
      <c r="AI124" s="49">
        <f t="shared" si="28"/>
        <v>-193.4</v>
      </c>
    </row>
    <row r="125" spans="1:35" ht="15.75" thickBot="1" x14ac:dyDescent="0.3">
      <c r="A125" s="129" t="s">
        <v>145</v>
      </c>
      <c r="B125" s="130">
        <v>-29</v>
      </c>
      <c r="C125" s="130">
        <v>-30</v>
      </c>
      <c r="D125" s="130">
        <v>-28</v>
      </c>
      <c r="E125" s="130">
        <v>-30.4</v>
      </c>
      <c r="F125" s="130">
        <v>-32.700000000000003</v>
      </c>
      <c r="G125" s="130">
        <v>-32.700000000000003</v>
      </c>
      <c r="H125" s="130">
        <v>-23.2</v>
      </c>
      <c r="I125" s="130">
        <v>19.8</v>
      </c>
      <c r="J125" s="130">
        <v>-21.5</v>
      </c>
      <c r="K125" s="130">
        <v>-17.2</v>
      </c>
      <c r="L125" s="130">
        <v>-13.1</v>
      </c>
      <c r="M125" s="130">
        <v>-15.8</v>
      </c>
      <c r="N125" s="130"/>
      <c r="O125" s="130"/>
      <c r="P125" s="130">
        <v>-4.2</v>
      </c>
      <c r="Q125" s="130">
        <v>-7.3</v>
      </c>
      <c r="R125" s="130">
        <v>-8.1</v>
      </c>
      <c r="S125" s="130">
        <v>-7.1</v>
      </c>
      <c r="T125" s="130">
        <v>-6.5</v>
      </c>
      <c r="U125" s="130">
        <v>-7</v>
      </c>
      <c r="V125" s="130">
        <v>0.7</v>
      </c>
      <c r="W125" s="130">
        <v>0.7</v>
      </c>
      <c r="X125" s="130">
        <v>0.7</v>
      </c>
      <c r="Y125" s="130">
        <v>11.6</v>
      </c>
      <c r="Z125" s="130">
        <v>26</v>
      </c>
      <c r="AA125" s="130">
        <v>25</v>
      </c>
      <c r="AB125" s="130">
        <v>23.2</v>
      </c>
      <c r="AC125" s="130">
        <v>23.2</v>
      </c>
      <c r="AD125" s="130">
        <v>23.7</v>
      </c>
      <c r="AE125" s="130">
        <v>24</v>
      </c>
      <c r="AF125" s="130">
        <v>23</v>
      </c>
      <c r="AG125" s="128">
        <v>60</v>
      </c>
      <c r="AH125" s="48">
        <f t="shared" si="27"/>
        <v>26</v>
      </c>
      <c r="AI125" s="49">
        <f t="shared" si="28"/>
        <v>-32.700000000000003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>
        <v>72.3</v>
      </c>
      <c r="V126" s="131">
        <v>50</v>
      </c>
      <c r="W126" s="131">
        <v>50</v>
      </c>
      <c r="X126" s="131">
        <v>50</v>
      </c>
      <c r="Y126" s="131">
        <v>56</v>
      </c>
      <c r="Z126" s="131">
        <v>63</v>
      </c>
      <c r="AA126" s="131">
        <v>70</v>
      </c>
      <c r="AB126" s="131">
        <v>-19.100000000000001</v>
      </c>
      <c r="AC126" s="131">
        <v>-26.8</v>
      </c>
      <c r="AD126" s="131">
        <v>-39.799999999999997</v>
      </c>
      <c r="AE126" s="131">
        <v>-59.4</v>
      </c>
      <c r="AF126" s="131">
        <v>-73.3</v>
      </c>
      <c r="AG126" s="132">
        <v>120</v>
      </c>
      <c r="AH126" s="48">
        <f t="shared" si="27"/>
        <v>72.3</v>
      </c>
      <c r="AI126" s="49">
        <f t="shared" si="28"/>
        <v>-73.3</v>
      </c>
    </row>
    <row r="127" spans="1:35" x14ac:dyDescent="0.25">
      <c r="A127" s="129" t="s">
        <v>147</v>
      </c>
      <c r="B127" s="131">
        <v>102</v>
      </c>
      <c r="C127" s="131">
        <v>96</v>
      </c>
      <c r="D127" s="131">
        <v>88.7</v>
      </c>
      <c r="E127" s="131">
        <v>92</v>
      </c>
      <c r="F127" s="131">
        <v>80.2</v>
      </c>
      <c r="G127" s="131">
        <v>87.4</v>
      </c>
      <c r="H127" s="131">
        <v>82.8</v>
      </c>
      <c r="I127" s="131">
        <v>83.4</v>
      </c>
      <c r="J127" s="131">
        <v>96.9</v>
      </c>
      <c r="K127" s="131">
        <v>102.7</v>
      </c>
      <c r="L127" s="131">
        <v>105.7</v>
      </c>
      <c r="M127" s="131">
        <v>100.1</v>
      </c>
      <c r="N127" s="131"/>
      <c r="O127" s="131"/>
      <c r="P127" s="131">
        <v>100.4</v>
      </c>
      <c r="Q127" s="131">
        <v>98</v>
      </c>
      <c r="R127" s="131">
        <v>108</v>
      </c>
      <c r="S127" s="131">
        <v>106</v>
      </c>
      <c r="T127" s="131">
        <v>116</v>
      </c>
      <c r="U127" s="131">
        <v>114</v>
      </c>
      <c r="V127" s="131">
        <v>90.3</v>
      </c>
      <c r="W127" s="131">
        <v>90.3</v>
      </c>
      <c r="X127" s="131">
        <v>90.3</v>
      </c>
      <c r="Y127" s="131">
        <v>96</v>
      </c>
      <c r="Z127" s="131">
        <v>103</v>
      </c>
      <c r="AA127" s="131">
        <v>107</v>
      </c>
      <c r="AB127" s="131">
        <v>77.400000000000006</v>
      </c>
      <c r="AC127" s="131">
        <v>74.5</v>
      </c>
      <c r="AD127" s="131">
        <v>98</v>
      </c>
      <c r="AE127" s="131">
        <v>74.099999999999994</v>
      </c>
      <c r="AF127" s="131">
        <v>60.8</v>
      </c>
      <c r="AG127" s="132"/>
      <c r="AH127" s="48"/>
      <c r="AI127" s="49"/>
    </row>
    <row r="128" spans="1:35" x14ac:dyDescent="0.25">
      <c r="A128" s="129" t="s">
        <v>148</v>
      </c>
      <c r="B128" s="131">
        <v>78</v>
      </c>
      <c r="C128" s="131">
        <v>76</v>
      </c>
      <c r="D128" s="131">
        <v>64</v>
      </c>
      <c r="E128" s="131">
        <v>73.2</v>
      </c>
      <c r="F128" s="131">
        <v>51.6</v>
      </c>
      <c r="G128" s="131">
        <v>44.8</v>
      </c>
      <c r="H128" s="131">
        <v>32</v>
      </c>
      <c r="I128" s="131">
        <v>29.8</v>
      </c>
      <c r="J128" s="131">
        <v>29.1</v>
      </c>
      <c r="K128" s="131">
        <v>28.9</v>
      </c>
      <c r="L128" s="131">
        <v>30.6</v>
      </c>
      <c r="M128" s="131">
        <v>32.4</v>
      </c>
      <c r="N128" s="131"/>
      <c r="O128" s="131"/>
      <c r="P128" s="131">
        <v>24.5</v>
      </c>
      <c r="Q128" s="131">
        <v>19.899999999999999</v>
      </c>
      <c r="R128" s="131">
        <v>36.6</v>
      </c>
      <c r="S128" s="131">
        <v>36</v>
      </c>
      <c r="T128" s="131">
        <v>48</v>
      </c>
      <c r="U128" s="131">
        <v>45.2</v>
      </c>
      <c r="V128" s="131">
        <v>-23</v>
      </c>
      <c r="W128" s="131">
        <v>-23</v>
      </c>
      <c r="X128" s="131">
        <v>-23</v>
      </c>
      <c r="Y128" s="131">
        <v>-61</v>
      </c>
      <c r="Z128" s="131">
        <v>-61</v>
      </c>
      <c r="AA128" s="131">
        <v>-68</v>
      </c>
      <c r="AB128" s="131">
        <v>-62.9</v>
      </c>
      <c r="AC128" s="131">
        <v>-59.8</v>
      </c>
      <c r="AD128" s="131">
        <v>-52.9</v>
      </c>
      <c r="AE128" s="131">
        <v>-36</v>
      </c>
      <c r="AF128" s="131">
        <v>-28.9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68</v>
      </c>
      <c r="C129" s="131">
        <v>58</v>
      </c>
      <c r="D129" s="131">
        <v>49</v>
      </c>
      <c r="E129" s="131">
        <v>56</v>
      </c>
      <c r="F129" s="131">
        <v>39.9</v>
      </c>
      <c r="G129" s="131">
        <v>48.8</v>
      </c>
      <c r="H129" s="131">
        <v>47.6</v>
      </c>
      <c r="I129" s="131">
        <v>32.6</v>
      </c>
      <c r="J129" s="131">
        <v>51.4</v>
      </c>
      <c r="K129" s="131">
        <v>55.8</v>
      </c>
      <c r="L129" s="131">
        <v>61.6</v>
      </c>
      <c r="M129" s="131">
        <v>62.5</v>
      </c>
      <c r="N129" s="131"/>
      <c r="O129" s="131"/>
      <c r="P129" s="131">
        <v>74.2</v>
      </c>
      <c r="Q129" s="131">
        <v>68.400000000000006</v>
      </c>
      <c r="R129" s="131">
        <v>78.2</v>
      </c>
      <c r="S129" s="131">
        <v>80</v>
      </c>
      <c r="T129" s="131">
        <v>75</v>
      </c>
      <c r="U129" s="131">
        <v>70.3</v>
      </c>
      <c r="V129" s="131">
        <v>65.400000000000006</v>
      </c>
      <c r="W129" s="131">
        <v>65.400000000000006</v>
      </c>
      <c r="X129" s="131">
        <v>65.400000000000006</v>
      </c>
      <c r="Y129" s="131">
        <v>73</v>
      </c>
      <c r="Z129" s="131">
        <v>72</v>
      </c>
      <c r="AA129" s="131">
        <v>91</v>
      </c>
      <c r="AB129" s="131">
        <v>89.1</v>
      </c>
      <c r="AC129" s="131">
        <v>69.8</v>
      </c>
      <c r="AD129" s="131">
        <v>99.6</v>
      </c>
      <c r="AE129" s="131">
        <v>77.5</v>
      </c>
      <c r="AF129" s="131">
        <v>77.5</v>
      </c>
      <c r="AG129" s="128"/>
      <c r="AH129" s="48">
        <f>MAX(B129:AF129)</f>
        <v>99.6</v>
      </c>
      <c r="AI129" s="49">
        <f>MIN(B129:AF129)</f>
        <v>32.6</v>
      </c>
    </row>
    <row r="130" spans="1:37" x14ac:dyDescent="0.25">
      <c r="A130" s="126" t="s">
        <v>150</v>
      </c>
      <c r="B130" s="131">
        <v>-343</v>
      </c>
      <c r="C130" s="131">
        <v>-350</v>
      </c>
      <c r="D130" s="131">
        <v>-357</v>
      </c>
      <c r="E130" s="131">
        <v>-356.7</v>
      </c>
      <c r="F130" s="131">
        <v>-368.2</v>
      </c>
      <c r="G130" s="131">
        <v>-359</v>
      </c>
      <c r="H130" s="131">
        <v>-355.4</v>
      </c>
      <c r="I130" s="131">
        <v>-362.3</v>
      </c>
      <c r="J130" s="131">
        <v>-350</v>
      </c>
      <c r="K130" s="131">
        <v>-345.8</v>
      </c>
      <c r="L130" s="131">
        <v>-340.2</v>
      </c>
      <c r="M130" s="131">
        <v>-322.39999999999998</v>
      </c>
      <c r="N130" s="131"/>
      <c r="O130" s="131"/>
      <c r="P130" s="131">
        <v>-333</v>
      </c>
      <c r="Q130" s="131">
        <v>-349</v>
      </c>
      <c r="R130" s="131">
        <v>-334.4</v>
      </c>
      <c r="S130" s="131">
        <v>-341</v>
      </c>
      <c r="T130" s="131">
        <v>-335</v>
      </c>
      <c r="U130" s="131">
        <v>-347</v>
      </c>
      <c r="V130" s="131">
        <v>-326</v>
      </c>
      <c r="W130" s="131">
        <v>-326</v>
      </c>
      <c r="X130" s="131">
        <v>-326</v>
      </c>
      <c r="Y130" s="131">
        <v>-358</v>
      </c>
      <c r="Z130" s="131">
        <v>-354</v>
      </c>
      <c r="AA130" s="131">
        <v>-351</v>
      </c>
      <c r="AB130" s="131">
        <v>-314.3</v>
      </c>
      <c r="AC130" s="131">
        <v>-366.6</v>
      </c>
      <c r="AD130" s="131">
        <v>-377.1</v>
      </c>
      <c r="AE130" s="131">
        <v>-375.7</v>
      </c>
      <c r="AF130" s="131">
        <v>-369.4</v>
      </c>
      <c r="AG130" s="128"/>
      <c r="AH130" s="48">
        <f>MAX(B130:AF130)</f>
        <v>-314.3</v>
      </c>
      <c r="AI130" s="49">
        <f>MIN(B130:AF130)</f>
        <v>-377.1</v>
      </c>
    </row>
    <row r="131" spans="1:37" x14ac:dyDescent="0.25">
      <c r="A131" s="129" t="s">
        <v>151</v>
      </c>
      <c r="B131" s="119">
        <v>50</v>
      </c>
      <c r="C131" s="119">
        <v>56</v>
      </c>
      <c r="D131" s="119">
        <v>59</v>
      </c>
      <c r="E131" s="119">
        <v>63.9</v>
      </c>
      <c r="F131" s="119">
        <v>56.6</v>
      </c>
      <c r="G131" s="119">
        <v>68</v>
      </c>
      <c r="H131" s="119">
        <v>68.599999999999994</v>
      </c>
      <c r="I131" s="119">
        <v>68.400000000000006</v>
      </c>
      <c r="J131" s="119">
        <v>63.6</v>
      </c>
      <c r="K131" s="119">
        <v>61.5</v>
      </c>
      <c r="L131" s="119">
        <v>58.2</v>
      </c>
      <c r="M131" s="119">
        <v>50.2</v>
      </c>
      <c r="N131" s="119"/>
      <c r="O131" s="119"/>
      <c r="P131" s="119">
        <v>17.100000000000001</v>
      </c>
      <c r="Q131" s="119">
        <v>18.5</v>
      </c>
      <c r="R131" s="119">
        <v>16.8</v>
      </c>
      <c r="S131" s="119">
        <v>17</v>
      </c>
      <c r="T131" s="119">
        <v>18</v>
      </c>
      <c r="U131" s="119">
        <v>8</v>
      </c>
      <c r="V131" s="119">
        <v>12.1</v>
      </c>
      <c r="W131" s="119">
        <v>12.1</v>
      </c>
      <c r="X131" s="119">
        <v>12.1</v>
      </c>
      <c r="Y131" s="119">
        <v>14</v>
      </c>
      <c r="Z131" s="119">
        <v>7</v>
      </c>
      <c r="AA131" s="119">
        <v>21</v>
      </c>
      <c r="AB131" s="119">
        <v>35.1</v>
      </c>
      <c r="AC131" s="119">
        <v>39.1</v>
      </c>
      <c r="AD131" s="119">
        <v>39.1</v>
      </c>
      <c r="AE131" s="119">
        <v>46.1</v>
      </c>
      <c r="AF131" s="119">
        <v>54.8</v>
      </c>
      <c r="AG131" s="128"/>
      <c r="AH131" s="48">
        <f>MAX(B131:AF131)</f>
        <v>68.599999999999994</v>
      </c>
      <c r="AI131" s="49">
        <f>MIN(B131:AF131)</f>
        <v>7</v>
      </c>
    </row>
    <row r="132" spans="1:37" x14ac:dyDescent="0.25">
      <c r="A132" s="129" t="s">
        <v>152</v>
      </c>
      <c r="B132" s="119">
        <v>-8.9</v>
      </c>
      <c r="C132" s="119">
        <v>-11</v>
      </c>
      <c r="D132" s="119">
        <v>-10</v>
      </c>
      <c r="E132" s="119">
        <v>-12.1</v>
      </c>
      <c r="F132" s="119">
        <v>-9</v>
      </c>
      <c r="G132" s="119">
        <v>-16.5</v>
      </c>
      <c r="H132" s="119">
        <v>-8.9</v>
      </c>
      <c r="I132" s="119">
        <v>-6.4</v>
      </c>
      <c r="J132" s="119">
        <v>-17.600000000000001</v>
      </c>
      <c r="K132" s="119">
        <v>-13.6</v>
      </c>
      <c r="L132" s="119">
        <v>-15.9</v>
      </c>
      <c r="M132" s="119">
        <v>-10.4</v>
      </c>
      <c r="N132" s="119"/>
      <c r="O132" s="119"/>
      <c r="P132" s="119">
        <v>-3.8</v>
      </c>
      <c r="Q132" s="119">
        <v>4.8</v>
      </c>
      <c r="R132" s="119">
        <v>22.2</v>
      </c>
      <c r="S132" s="119">
        <v>7.5</v>
      </c>
      <c r="T132" s="119">
        <v>3.4</v>
      </c>
      <c r="U132" s="119">
        <v>-4</v>
      </c>
      <c r="V132" s="119">
        <v>-6</v>
      </c>
      <c r="W132" s="119">
        <v>-6</v>
      </c>
      <c r="X132" s="119">
        <v>-6</v>
      </c>
      <c r="Y132" s="119">
        <v>-11.5</v>
      </c>
      <c r="Z132" s="119">
        <v>-9</v>
      </c>
      <c r="AA132" s="119">
        <v>-6.3</v>
      </c>
      <c r="AB132" s="119">
        <v>-9.6999999999999993</v>
      </c>
      <c r="AC132" s="119">
        <v>-4</v>
      </c>
      <c r="AD132" s="119">
        <v>-4</v>
      </c>
      <c r="AE132" s="119">
        <v>1.4</v>
      </c>
      <c r="AF132" s="119">
        <v>-3.5</v>
      </c>
      <c r="AG132" s="128"/>
      <c r="AH132" s="48">
        <f>MAX(B132:AF132)</f>
        <v>22.2</v>
      </c>
      <c r="AI132" s="49">
        <f>MIN(B132:AF132)</f>
        <v>-17.600000000000001</v>
      </c>
    </row>
    <row r="133" spans="1:37" ht="15.75" thickBot="1" x14ac:dyDescent="0.3">
      <c r="A133" s="129" t="s">
        <v>153</v>
      </c>
      <c r="B133" s="119">
        <v>50.9</v>
      </c>
      <c r="C133" s="119">
        <v>50</v>
      </c>
      <c r="D133" s="119">
        <v>51</v>
      </c>
      <c r="E133" s="119">
        <v>50.8</v>
      </c>
      <c r="F133" s="119">
        <v>51.9</v>
      </c>
      <c r="G133" s="119">
        <v>41.2</v>
      </c>
      <c r="H133" s="119">
        <v>40.9</v>
      </c>
      <c r="I133" s="119">
        <v>42</v>
      </c>
      <c r="J133" s="119">
        <v>44.4</v>
      </c>
      <c r="K133" s="119">
        <v>42</v>
      </c>
      <c r="L133" s="119">
        <v>49.3</v>
      </c>
      <c r="M133" s="119">
        <v>52.4</v>
      </c>
      <c r="N133" s="119"/>
      <c r="O133" s="119"/>
      <c r="P133" s="119">
        <v>57.9</v>
      </c>
      <c r="Q133" s="119">
        <v>53.6</v>
      </c>
      <c r="R133" s="119">
        <v>51.1</v>
      </c>
      <c r="S133" s="119">
        <v>56</v>
      </c>
      <c r="T133" s="119">
        <v>56</v>
      </c>
      <c r="U133" s="119">
        <v>57</v>
      </c>
      <c r="V133" s="119">
        <v>55.1</v>
      </c>
      <c r="W133" s="119">
        <v>55.1</v>
      </c>
      <c r="X133" s="119">
        <v>55.1</v>
      </c>
      <c r="Y133" s="119">
        <v>56</v>
      </c>
      <c r="Z133" s="119">
        <v>51</v>
      </c>
      <c r="AA133" s="119">
        <v>56</v>
      </c>
      <c r="AB133" s="119">
        <v>52.3</v>
      </c>
      <c r="AC133" s="119">
        <v>57.9</v>
      </c>
      <c r="AD133" s="119">
        <v>57.9</v>
      </c>
      <c r="AE133" s="119">
        <v>58.6</v>
      </c>
      <c r="AF133" s="119">
        <v>58</v>
      </c>
      <c r="AG133" s="128"/>
      <c r="AH133" s="48">
        <f>MAX(B133:AF133)</f>
        <v>58.6</v>
      </c>
      <c r="AI133" s="49">
        <f>MIN(B133:AF133)</f>
        <v>40.9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>
        <v>1484.09</v>
      </c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4">SUM(B142:B246)</f>
        <v>0</v>
      </c>
      <c r="C247" s="161">
        <f t="shared" si="44"/>
        <v>0</v>
      </c>
      <c r="D247" s="161">
        <f t="shared" si="44"/>
        <v>0</v>
      </c>
      <c r="E247" s="161">
        <f t="shared" si="44"/>
        <v>0</v>
      </c>
      <c r="F247" s="161">
        <f t="shared" si="44"/>
        <v>0</v>
      </c>
      <c r="G247" s="161">
        <f t="shared" si="44"/>
        <v>0</v>
      </c>
      <c r="H247" s="161">
        <f t="shared" si="44"/>
        <v>0</v>
      </c>
      <c r="I247" s="161">
        <f t="shared" si="44"/>
        <v>0</v>
      </c>
      <c r="J247" s="161">
        <f t="shared" si="44"/>
        <v>0</v>
      </c>
      <c r="K247" s="161">
        <f t="shared" si="44"/>
        <v>0</v>
      </c>
      <c r="L247" s="161">
        <f t="shared" si="44"/>
        <v>0</v>
      </c>
      <c r="M247" s="161">
        <f t="shared" si="44"/>
        <v>0</v>
      </c>
      <c r="N247" s="161">
        <f t="shared" si="44"/>
        <v>0</v>
      </c>
      <c r="O247" s="161">
        <f t="shared" si="44"/>
        <v>0</v>
      </c>
      <c r="P247" s="161">
        <f t="shared" si="44"/>
        <v>0</v>
      </c>
      <c r="Q247" s="161">
        <f t="shared" si="44"/>
        <v>0</v>
      </c>
      <c r="R247" s="161">
        <f t="shared" si="44"/>
        <v>0</v>
      </c>
      <c r="S247" s="161">
        <f t="shared" si="44"/>
        <v>0</v>
      </c>
      <c r="T247" s="161">
        <f t="shared" si="44"/>
        <v>0</v>
      </c>
      <c r="U247" s="161">
        <f t="shared" si="44"/>
        <v>0</v>
      </c>
      <c r="V247" s="161">
        <f t="shared" si="44"/>
        <v>0</v>
      </c>
      <c r="W247" s="161">
        <f t="shared" si="44"/>
        <v>0</v>
      </c>
      <c r="X247" s="161">
        <f t="shared" si="44"/>
        <v>0</v>
      </c>
      <c r="Y247" s="161">
        <f t="shared" si="44"/>
        <v>0</v>
      </c>
      <c r="Z247" s="161">
        <f t="shared" si="44"/>
        <v>0</v>
      </c>
      <c r="AA247" s="161">
        <f t="shared" si="44"/>
        <v>0</v>
      </c>
      <c r="AB247" s="161">
        <f t="shared" si="44"/>
        <v>0</v>
      </c>
      <c r="AC247" s="161">
        <f t="shared" si="44"/>
        <v>0</v>
      </c>
      <c r="AD247" s="161">
        <f t="shared" si="44"/>
        <v>0</v>
      </c>
      <c r="AE247" s="161">
        <f t="shared" si="44"/>
        <v>0</v>
      </c>
      <c r="AF247" s="162">
        <f t="shared" si="44"/>
        <v>0</v>
      </c>
      <c r="AG247" s="163">
        <f t="shared" si="4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5">AF249</f>
        <v>0.3</v>
      </c>
      <c r="C249" s="166">
        <v>0.3</v>
      </c>
      <c r="D249" s="166">
        <f t="shared" ref="D249:S254" si="46">C249</f>
        <v>0.3</v>
      </c>
      <c r="E249" s="166">
        <f t="shared" si="46"/>
        <v>0.3</v>
      </c>
      <c r="F249" s="166">
        <f t="shared" si="46"/>
        <v>0.3</v>
      </c>
      <c r="G249" s="166">
        <f t="shared" si="46"/>
        <v>0.3</v>
      </c>
      <c r="H249" s="166">
        <f t="shared" si="46"/>
        <v>0.3</v>
      </c>
      <c r="I249" s="166">
        <f t="shared" si="46"/>
        <v>0.3</v>
      </c>
      <c r="J249" s="166">
        <f t="shared" si="46"/>
        <v>0.3</v>
      </c>
      <c r="K249" s="166">
        <f t="shared" si="46"/>
        <v>0.3</v>
      </c>
      <c r="L249" s="166">
        <f t="shared" si="46"/>
        <v>0.3</v>
      </c>
      <c r="M249" s="166">
        <f t="shared" si="46"/>
        <v>0.3</v>
      </c>
      <c r="N249" s="166">
        <f t="shared" si="46"/>
        <v>0.3</v>
      </c>
      <c r="O249" s="166">
        <f t="shared" si="46"/>
        <v>0.3</v>
      </c>
      <c r="P249" s="166">
        <f t="shared" si="46"/>
        <v>0.3</v>
      </c>
      <c r="Q249" s="166">
        <f t="shared" si="46"/>
        <v>0.3</v>
      </c>
      <c r="R249" s="166">
        <f t="shared" si="46"/>
        <v>0.3</v>
      </c>
      <c r="S249" s="166">
        <f t="shared" si="46"/>
        <v>0.3</v>
      </c>
      <c r="T249" s="166">
        <f t="shared" ref="T249:AF254" si="47">S249</f>
        <v>0.3</v>
      </c>
      <c r="U249" s="166">
        <f t="shared" si="47"/>
        <v>0.3</v>
      </c>
      <c r="V249" s="166">
        <f t="shared" si="47"/>
        <v>0.3</v>
      </c>
      <c r="W249" s="166">
        <f t="shared" si="47"/>
        <v>0.3</v>
      </c>
      <c r="X249" s="166">
        <f t="shared" si="47"/>
        <v>0.3</v>
      </c>
      <c r="Y249" s="166">
        <f t="shared" si="47"/>
        <v>0.3</v>
      </c>
      <c r="Z249" s="166">
        <f t="shared" si="47"/>
        <v>0.3</v>
      </c>
      <c r="AA249" s="166">
        <f t="shared" si="47"/>
        <v>0.3</v>
      </c>
      <c r="AB249" s="166">
        <f t="shared" si="47"/>
        <v>0.3</v>
      </c>
      <c r="AC249" s="166">
        <f t="shared" si="47"/>
        <v>0.3</v>
      </c>
      <c r="AD249" s="166">
        <f t="shared" si="47"/>
        <v>0.3</v>
      </c>
      <c r="AE249" s="166">
        <f t="shared" si="47"/>
        <v>0.3</v>
      </c>
      <c r="AF249" s="166">
        <f t="shared" si="4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5"/>
        <v>0.4</v>
      </c>
      <c r="C250" s="152">
        <v>0.4</v>
      </c>
      <c r="D250" s="152">
        <f t="shared" si="46"/>
        <v>0.4</v>
      </c>
      <c r="E250" s="152">
        <f t="shared" si="46"/>
        <v>0.4</v>
      </c>
      <c r="F250" s="152">
        <f t="shared" si="46"/>
        <v>0.4</v>
      </c>
      <c r="G250" s="152">
        <f t="shared" si="46"/>
        <v>0.4</v>
      </c>
      <c r="H250" s="152">
        <f t="shared" si="46"/>
        <v>0.4</v>
      </c>
      <c r="I250" s="152">
        <f t="shared" si="46"/>
        <v>0.4</v>
      </c>
      <c r="J250" s="152">
        <f t="shared" si="46"/>
        <v>0.4</v>
      </c>
      <c r="K250" s="152">
        <f t="shared" si="46"/>
        <v>0.4</v>
      </c>
      <c r="L250" s="152">
        <f t="shared" si="46"/>
        <v>0.4</v>
      </c>
      <c r="M250" s="152">
        <f t="shared" si="46"/>
        <v>0.4</v>
      </c>
      <c r="N250" s="152">
        <f t="shared" si="46"/>
        <v>0.4</v>
      </c>
      <c r="O250" s="152">
        <f t="shared" si="46"/>
        <v>0.4</v>
      </c>
      <c r="P250" s="152">
        <f t="shared" si="46"/>
        <v>0.4</v>
      </c>
      <c r="Q250" s="152">
        <f t="shared" si="46"/>
        <v>0.4</v>
      </c>
      <c r="R250" s="152">
        <f t="shared" si="46"/>
        <v>0.4</v>
      </c>
      <c r="S250" s="152">
        <f t="shared" si="46"/>
        <v>0.4</v>
      </c>
      <c r="T250" s="152">
        <f t="shared" si="47"/>
        <v>0.4</v>
      </c>
      <c r="U250" s="152">
        <f t="shared" si="47"/>
        <v>0.4</v>
      </c>
      <c r="V250" s="152">
        <f t="shared" si="47"/>
        <v>0.4</v>
      </c>
      <c r="W250" s="152">
        <f t="shared" si="47"/>
        <v>0.4</v>
      </c>
      <c r="X250" s="152">
        <f t="shared" si="47"/>
        <v>0.4</v>
      </c>
      <c r="Y250" s="152">
        <f t="shared" si="47"/>
        <v>0.4</v>
      </c>
      <c r="Z250" s="152">
        <f t="shared" si="47"/>
        <v>0.4</v>
      </c>
      <c r="AA250" s="152">
        <f t="shared" si="47"/>
        <v>0.4</v>
      </c>
      <c r="AB250" s="152">
        <f t="shared" si="47"/>
        <v>0.4</v>
      </c>
      <c r="AC250" s="152">
        <f t="shared" si="47"/>
        <v>0.4</v>
      </c>
      <c r="AD250" s="152">
        <f t="shared" si="47"/>
        <v>0.4</v>
      </c>
      <c r="AE250" s="152">
        <f t="shared" si="47"/>
        <v>0.4</v>
      </c>
      <c r="AF250" s="152">
        <f t="shared" si="4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5"/>
        <v>1.5</v>
      </c>
      <c r="C251" s="152">
        <v>1.5</v>
      </c>
      <c r="D251" s="152">
        <f t="shared" si="46"/>
        <v>1.5</v>
      </c>
      <c r="E251" s="152">
        <f t="shared" si="46"/>
        <v>1.5</v>
      </c>
      <c r="F251" s="152">
        <f t="shared" si="46"/>
        <v>1.5</v>
      </c>
      <c r="G251" s="152">
        <f t="shared" si="46"/>
        <v>1.5</v>
      </c>
      <c r="H251" s="152">
        <f t="shared" si="46"/>
        <v>1.5</v>
      </c>
      <c r="I251" s="152">
        <f t="shared" si="46"/>
        <v>1.5</v>
      </c>
      <c r="J251" s="152">
        <f t="shared" si="46"/>
        <v>1.5</v>
      </c>
      <c r="K251" s="152">
        <f t="shared" si="46"/>
        <v>1.5</v>
      </c>
      <c r="L251" s="152">
        <f t="shared" si="46"/>
        <v>1.5</v>
      </c>
      <c r="M251" s="152">
        <f t="shared" si="46"/>
        <v>1.5</v>
      </c>
      <c r="N251" s="152">
        <f t="shared" si="46"/>
        <v>1.5</v>
      </c>
      <c r="O251" s="152">
        <f t="shared" si="46"/>
        <v>1.5</v>
      </c>
      <c r="P251" s="152">
        <f t="shared" si="46"/>
        <v>1.5</v>
      </c>
      <c r="Q251" s="152">
        <f t="shared" si="46"/>
        <v>1.5</v>
      </c>
      <c r="R251" s="152">
        <f t="shared" si="46"/>
        <v>1.5</v>
      </c>
      <c r="S251" s="152">
        <f t="shared" si="46"/>
        <v>1.5</v>
      </c>
      <c r="T251" s="152">
        <f t="shared" si="47"/>
        <v>1.5</v>
      </c>
      <c r="U251" s="152">
        <f t="shared" si="47"/>
        <v>1.5</v>
      </c>
      <c r="V251" s="152">
        <f t="shared" si="47"/>
        <v>1.5</v>
      </c>
      <c r="W251" s="152">
        <f t="shared" si="47"/>
        <v>1.5</v>
      </c>
      <c r="X251" s="152">
        <f t="shared" si="47"/>
        <v>1.5</v>
      </c>
      <c r="Y251" s="152">
        <f t="shared" si="47"/>
        <v>1.5</v>
      </c>
      <c r="Z251" s="152">
        <f t="shared" si="47"/>
        <v>1.5</v>
      </c>
      <c r="AA251" s="152">
        <f t="shared" si="47"/>
        <v>1.5</v>
      </c>
      <c r="AB251" s="152">
        <f t="shared" si="47"/>
        <v>1.5</v>
      </c>
      <c r="AC251" s="152">
        <f t="shared" si="47"/>
        <v>1.5</v>
      </c>
      <c r="AD251" s="152">
        <f t="shared" si="47"/>
        <v>1.5</v>
      </c>
      <c r="AE251" s="152">
        <f t="shared" si="47"/>
        <v>1.5</v>
      </c>
      <c r="AF251" s="152">
        <f t="shared" si="4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5"/>
        <v>0.3</v>
      </c>
      <c r="C252" s="152">
        <v>0.3</v>
      </c>
      <c r="D252" s="152">
        <f t="shared" si="46"/>
        <v>0.3</v>
      </c>
      <c r="E252" s="152">
        <f t="shared" si="46"/>
        <v>0.3</v>
      </c>
      <c r="F252" s="152">
        <f t="shared" si="46"/>
        <v>0.3</v>
      </c>
      <c r="G252" s="152">
        <f t="shared" si="46"/>
        <v>0.3</v>
      </c>
      <c r="H252" s="152">
        <f t="shared" si="46"/>
        <v>0.3</v>
      </c>
      <c r="I252" s="152">
        <f t="shared" si="46"/>
        <v>0.3</v>
      </c>
      <c r="J252" s="152">
        <f t="shared" si="46"/>
        <v>0.3</v>
      </c>
      <c r="K252" s="152">
        <f t="shared" si="46"/>
        <v>0.3</v>
      </c>
      <c r="L252" s="152">
        <f t="shared" si="46"/>
        <v>0.3</v>
      </c>
      <c r="M252" s="152">
        <f t="shared" si="46"/>
        <v>0.3</v>
      </c>
      <c r="N252" s="152">
        <f t="shared" si="46"/>
        <v>0.3</v>
      </c>
      <c r="O252" s="152">
        <f t="shared" si="46"/>
        <v>0.3</v>
      </c>
      <c r="P252" s="152">
        <f t="shared" si="46"/>
        <v>0.3</v>
      </c>
      <c r="Q252" s="152">
        <f t="shared" si="46"/>
        <v>0.3</v>
      </c>
      <c r="R252" s="152">
        <f t="shared" si="46"/>
        <v>0.3</v>
      </c>
      <c r="S252" s="152">
        <f t="shared" si="46"/>
        <v>0.3</v>
      </c>
      <c r="T252" s="152">
        <f t="shared" si="47"/>
        <v>0.3</v>
      </c>
      <c r="U252" s="152">
        <f t="shared" si="47"/>
        <v>0.3</v>
      </c>
      <c r="V252" s="152">
        <f t="shared" si="47"/>
        <v>0.3</v>
      </c>
      <c r="W252" s="152">
        <f t="shared" si="47"/>
        <v>0.3</v>
      </c>
      <c r="X252" s="152">
        <f t="shared" si="47"/>
        <v>0.3</v>
      </c>
      <c r="Y252" s="152">
        <f t="shared" si="47"/>
        <v>0.3</v>
      </c>
      <c r="Z252" s="152">
        <f t="shared" si="47"/>
        <v>0.3</v>
      </c>
      <c r="AA252" s="152">
        <f t="shared" si="47"/>
        <v>0.3</v>
      </c>
      <c r="AB252" s="152">
        <f t="shared" si="47"/>
        <v>0.3</v>
      </c>
      <c r="AC252" s="152">
        <f t="shared" si="47"/>
        <v>0.3</v>
      </c>
      <c r="AD252" s="152">
        <f t="shared" si="47"/>
        <v>0.3</v>
      </c>
      <c r="AE252" s="152">
        <f t="shared" si="47"/>
        <v>0.3</v>
      </c>
      <c r="AF252" s="152">
        <f t="shared" si="4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5"/>
        <v>0.4</v>
      </c>
      <c r="C253" s="152">
        <v>0.4</v>
      </c>
      <c r="D253" s="152">
        <f t="shared" si="46"/>
        <v>0.4</v>
      </c>
      <c r="E253" s="152">
        <f t="shared" si="46"/>
        <v>0.4</v>
      </c>
      <c r="F253" s="152">
        <f t="shared" si="46"/>
        <v>0.4</v>
      </c>
      <c r="G253" s="152">
        <f t="shared" si="46"/>
        <v>0.4</v>
      </c>
      <c r="H253" s="152">
        <f t="shared" si="46"/>
        <v>0.4</v>
      </c>
      <c r="I253" s="152">
        <f t="shared" si="46"/>
        <v>0.4</v>
      </c>
      <c r="J253" s="152">
        <f t="shared" si="46"/>
        <v>0.4</v>
      </c>
      <c r="K253" s="152">
        <f t="shared" si="46"/>
        <v>0.4</v>
      </c>
      <c r="L253" s="152">
        <f t="shared" si="46"/>
        <v>0.4</v>
      </c>
      <c r="M253" s="152">
        <f t="shared" si="46"/>
        <v>0.4</v>
      </c>
      <c r="N253" s="152">
        <f t="shared" si="46"/>
        <v>0.4</v>
      </c>
      <c r="O253" s="152">
        <f t="shared" si="46"/>
        <v>0.4</v>
      </c>
      <c r="P253" s="152">
        <f t="shared" si="46"/>
        <v>0.4</v>
      </c>
      <c r="Q253" s="152">
        <f t="shared" si="46"/>
        <v>0.4</v>
      </c>
      <c r="R253" s="152">
        <f t="shared" si="46"/>
        <v>0.4</v>
      </c>
      <c r="S253" s="152">
        <f t="shared" si="46"/>
        <v>0.4</v>
      </c>
      <c r="T253" s="152">
        <f t="shared" si="47"/>
        <v>0.4</v>
      </c>
      <c r="U253" s="152">
        <f t="shared" si="47"/>
        <v>0.4</v>
      </c>
      <c r="V253" s="152">
        <f t="shared" si="47"/>
        <v>0.4</v>
      </c>
      <c r="W253" s="152">
        <f t="shared" si="47"/>
        <v>0.4</v>
      </c>
      <c r="X253" s="152">
        <f t="shared" si="47"/>
        <v>0.4</v>
      </c>
      <c r="Y253" s="152">
        <f t="shared" si="47"/>
        <v>0.4</v>
      </c>
      <c r="Z253" s="152">
        <f t="shared" si="47"/>
        <v>0.4</v>
      </c>
      <c r="AA253" s="152">
        <f t="shared" si="47"/>
        <v>0.4</v>
      </c>
      <c r="AB253" s="152">
        <f t="shared" si="47"/>
        <v>0.4</v>
      </c>
      <c r="AC253" s="152">
        <f t="shared" si="47"/>
        <v>0.4</v>
      </c>
      <c r="AD253" s="152">
        <f t="shared" si="47"/>
        <v>0.4</v>
      </c>
      <c r="AE253" s="152">
        <f t="shared" si="47"/>
        <v>0.4</v>
      </c>
      <c r="AF253" s="152">
        <f t="shared" si="4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5"/>
        <v>0.64</v>
      </c>
      <c r="C254" s="157">
        <v>0.64</v>
      </c>
      <c r="D254" s="157">
        <f t="shared" si="46"/>
        <v>0.64</v>
      </c>
      <c r="E254" s="157">
        <f t="shared" si="46"/>
        <v>0.64</v>
      </c>
      <c r="F254" s="157">
        <f t="shared" si="46"/>
        <v>0.64</v>
      </c>
      <c r="G254" s="157">
        <f t="shared" si="46"/>
        <v>0.64</v>
      </c>
      <c r="H254" s="157">
        <f t="shared" si="46"/>
        <v>0.64</v>
      </c>
      <c r="I254" s="157">
        <f t="shared" si="46"/>
        <v>0.64</v>
      </c>
      <c r="J254" s="157">
        <f t="shared" si="46"/>
        <v>0.64</v>
      </c>
      <c r="K254" s="157">
        <f t="shared" si="46"/>
        <v>0.64</v>
      </c>
      <c r="L254" s="157">
        <f t="shared" si="46"/>
        <v>0.64</v>
      </c>
      <c r="M254" s="157">
        <f t="shared" si="46"/>
        <v>0.64</v>
      </c>
      <c r="N254" s="157">
        <f t="shared" si="46"/>
        <v>0.64</v>
      </c>
      <c r="O254" s="157">
        <f t="shared" si="46"/>
        <v>0.64</v>
      </c>
      <c r="P254" s="157">
        <f t="shared" si="46"/>
        <v>0.64</v>
      </c>
      <c r="Q254" s="157">
        <f t="shared" si="46"/>
        <v>0.64</v>
      </c>
      <c r="R254" s="157">
        <f t="shared" si="46"/>
        <v>0.64</v>
      </c>
      <c r="S254" s="157">
        <f t="shared" si="46"/>
        <v>0.64</v>
      </c>
      <c r="T254" s="157">
        <f t="shared" si="47"/>
        <v>0.64</v>
      </c>
      <c r="U254" s="157">
        <f t="shared" si="47"/>
        <v>0.64</v>
      </c>
      <c r="V254" s="157">
        <f t="shared" si="47"/>
        <v>0.64</v>
      </c>
      <c r="W254" s="157">
        <f t="shared" si="47"/>
        <v>0.64</v>
      </c>
      <c r="X254" s="157">
        <f t="shared" si="47"/>
        <v>0.64</v>
      </c>
      <c r="Y254" s="157">
        <f t="shared" si="47"/>
        <v>0.64</v>
      </c>
      <c r="Z254" s="157">
        <f t="shared" si="47"/>
        <v>0.64</v>
      </c>
      <c r="AA254" s="157">
        <f t="shared" si="47"/>
        <v>0.64</v>
      </c>
      <c r="AB254" s="157">
        <f t="shared" si="47"/>
        <v>0.64</v>
      </c>
      <c r="AC254" s="157">
        <f t="shared" si="47"/>
        <v>0.64</v>
      </c>
      <c r="AD254" s="157">
        <f t="shared" si="47"/>
        <v>0.64</v>
      </c>
      <c r="AE254" s="157">
        <f t="shared" si="47"/>
        <v>0.64</v>
      </c>
      <c r="AF254" s="157">
        <f t="shared" si="4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8">SUM(B249:B254)</f>
        <v>3.54</v>
      </c>
      <c r="C255" s="161">
        <f t="shared" si="48"/>
        <v>3.54</v>
      </c>
      <c r="D255" s="161">
        <f t="shared" si="48"/>
        <v>3.54</v>
      </c>
      <c r="E255" s="161">
        <f t="shared" si="48"/>
        <v>3.54</v>
      </c>
      <c r="F255" s="161">
        <f t="shared" si="48"/>
        <v>3.54</v>
      </c>
      <c r="G255" s="161">
        <f t="shared" si="48"/>
        <v>3.54</v>
      </c>
      <c r="H255" s="161">
        <f t="shared" si="48"/>
        <v>3.54</v>
      </c>
      <c r="I255" s="161">
        <f t="shared" si="48"/>
        <v>3.54</v>
      </c>
      <c r="J255" s="161">
        <f t="shared" si="48"/>
        <v>3.54</v>
      </c>
      <c r="K255" s="161">
        <f t="shared" si="48"/>
        <v>3.54</v>
      </c>
      <c r="L255" s="161">
        <f t="shared" si="48"/>
        <v>3.54</v>
      </c>
      <c r="M255" s="161">
        <f t="shared" si="48"/>
        <v>3.54</v>
      </c>
      <c r="N255" s="161">
        <f t="shared" si="48"/>
        <v>3.54</v>
      </c>
      <c r="O255" s="161">
        <f t="shared" si="48"/>
        <v>3.54</v>
      </c>
      <c r="P255" s="161">
        <f t="shared" si="48"/>
        <v>3.54</v>
      </c>
      <c r="Q255" s="161">
        <f t="shared" si="48"/>
        <v>3.54</v>
      </c>
      <c r="R255" s="161">
        <f t="shared" si="48"/>
        <v>3.54</v>
      </c>
      <c r="S255" s="161">
        <f t="shared" si="48"/>
        <v>3.54</v>
      </c>
      <c r="T255" s="161">
        <f t="shared" si="48"/>
        <v>3.54</v>
      </c>
      <c r="U255" s="161">
        <f t="shared" si="48"/>
        <v>3.54</v>
      </c>
      <c r="V255" s="161">
        <f t="shared" si="48"/>
        <v>3.54</v>
      </c>
      <c r="W255" s="161">
        <f t="shared" si="48"/>
        <v>3.54</v>
      </c>
      <c r="X255" s="161">
        <f t="shared" si="48"/>
        <v>3.54</v>
      </c>
      <c r="Y255" s="161">
        <f t="shared" si="48"/>
        <v>3.54</v>
      </c>
      <c r="Z255" s="161">
        <f t="shared" si="48"/>
        <v>3.54</v>
      </c>
      <c r="AA255" s="161">
        <f t="shared" si="48"/>
        <v>3.54</v>
      </c>
      <c r="AB255" s="161">
        <f t="shared" si="48"/>
        <v>3.54</v>
      </c>
      <c r="AC255" s="161">
        <f t="shared" si="48"/>
        <v>3.54</v>
      </c>
      <c r="AD255" s="161">
        <f t="shared" si="48"/>
        <v>3.54</v>
      </c>
      <c r="AE255" s="161">
        <f t="shared" si="48"/>
        <v>3.54</v>
      </c>
      <c r="AF255" s="161">
        <f t="shared" si="48"/>
        <v>3.54</v>
      </c>
      <c r="AG255" s="171">
        <f t="shared" si="4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2023.8400000000001</v>
      </c>
      <c r="C259" s="174">
        <f>INDEX(G9:N9,1,MATCH(MAX(G102:N102),G102:N102,0))</f>
        <v>0.29166666666666669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2080/10/13)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2728" priority="80">
      <formula>$AH11=0</formula>
    </cfRule>
  </conditionalFormatting>
  <conditionalFormatting sqref="A89">
    <cfRule type="expression" dxfId="2727" priority="138">
      <formula>$AH94=0</formula>
    </cfRule>
  </conditionalFormatting>
  <conditionalFormatting sqref="A90:A94">
    <cfRule type="expression" dxfId="2726" priority="81">
      <formula>$AH89=0</formula>
    </cfRule>
  </conditionalFormatting>
  <conditionalFormatting sqref="B8">
    <cfRule type="expression" dxfId="2725" priority="134">
      <formula>AND(C$9&gt;=14/24,C$9&lt;20/24)</formula>
    </cfRule>
    <cfRule type="expression" dxfId="2724" priority="135">
      <formula>AND(C$9&gt;=8/24,C$9&lt;14/24)</formula>
    </cfRule>
    <cfRule type="expression" dxfId="2723" priority="136">
      <formula>C$9&lt;8/24</formula>
    </cfRule>
    <cfRule type="expression" dxfId="2722" priority="137">
      <formula>C$9&gt;=20/24</formula>
    </cfRule>
  </conditionalFormatting>
  <conditionalFormatting sqref="B11:H57 I12:J57 K13:AF57 B62:AF77 C66:D77 B80:AF102 B9:AF10 B104:AF120 B122:AF140 B247:AF247 B249:B255">
    <cfRule type="expression" dxfId="2721" priority="41">
      <formula>B$9&gt;=20/24</formula>
    </cfRule>
  </conditionalFormatting>
  <conditionalFormatting sqref="B9:AF10 B11:H57 I12:J57 K13:AF57 B62:AF77 C66:D77 B80:AF102 B104:AF120 B122:AF140 B247:AF247 B249:B255">
    <cfRule type="expression" dxfId="2720" priority="42">
      <formula>AND(B$9&gt;=14/24,B$9&lt;20/24)</formula>
    </cfRule>
    <cfRule type="expression" dxfId="2719" priority="43">
      <formula>AND(B$9&gt;=8/24,B$9&lt;14/24)</formula>
    </cfRule>
    <cfRule type="expression" dxfId="2718" priority="44">
      <formula>B$9&lt;8/24</formula>
    </cfRule>
  </conditionalFormatting>
  <conditionalFormatting sqref="B58:AF60">
    <cfRule type="expression" dxfId="2717" priority="37">
      <formula>B$9&gt;=20/24</formula>
    </cfRule>
    <cfRule type="expression" dxfId="2716" priority="38">
      <formula>AND(B$9&gt;=14/24,B$9&lt;20/24)</formula>
    </cfRule>
    <cfRule type="expression" dxfId="2715" priority="39">
      <formula>AND(B$9&gt;=8/24,B$9&lt;14/24)</formula>
    </cfRule>
    <cfRule type="expression" dxfId="2714" priority="49">
      <formula>B$9&lt;8/24</formula>
    </cfRule>
  </conditionalFormatting>
  <conditionalFormatting sqref="D249:AF255">
    <cfRule type="expression" dxfId="2713" priority="119">
      <formula>D$9&gt;=20/24</formula>
    </cfRule>
    <cfRule type="expression" dxfId="2712" priority="120">
      <formula>AND(D$9&gt;=14/24,D$9&lt;20/24)</formula>
    </cfRule>
    <cfRule type="expression" dxfId="2711" priority="121">
      <formula>AND(D$9&gt;=8/24,D$9&lt;14/24)</formula>
    </cfRule>
    <cfRule type="expression" dxfId="2710" priority="122">
      <formula>D$9&lt;8/24</formula>
    </cfRule>
  </conditionalFormatting>
  <conditionalFormatting sqref="E11:K11 L11:AF12 K12">
    <cfRule type="expression" dxfId="2709" priority="55">
      <formula>E$9&gt;=20/24</formula>
    </cfRule>
    <cfRule type="expression" dxfId="2708" priority="56">
      <formula>AND(E$9&gt;=14/24,E$9&lt;20/24)</formula>
    </cfRule>
    <cfRule type="expression" dxfId="2707" priority="57">
      <formula>AND(E$9&gt;=8/24,E$9&lt;14/24)</formula>
    </cfRule>
    <cfRule type="expression" dxfId="2706" priority="58">
      <formula>E$9&lt;8/24</formula>
    </cfRule>
  </conditionalFormatting>
  <conditionalFormatting sqref="E11:K11 L11:AF12">
    <cfRule type="expression" dxfId="2705" priority="54">
      <formula>E11&gt;$AG11</formula>
    </cfRule>
  </conditionalFormatting>
  <conditionalFormatting sqref="G11:H60 B11:F77 I12:I60 J12:K64 L13:P79 Q13:AF83 AG61 G61:I64 AG65 G65:K77 B78:K79 B80:P83 AG83">
    <cfRule type="expression" dxfId="2704" priority="40">
      <formula>B11&gt;$AG11</formula>
    </cfRule>
  </conditionalFormatting>
  <conditionalFormatting sqref="G66:AF68">
    <cfRule type="expression" dxfId="2703" priority="72">
      <formula>G$9&gt;=20/24</formula>
    </cfRule>
    <cfRule type="expression" dxfId="2702" priority="73">
      <formula>AND(G$9&gt;=14/24,G$9&lt;20/24)</formula>
    </cfRule>
    <cfRule type="expression" dxfId="2701" priority="74">
      <formula>AND(G$9&gt;=8/24,G$9&lt;14/24)</formula>
    </cfRule>
    <cfRule type="expression" dxfId="2700" priority="75">
      <formula>G$9&lt;8/24</formula>
    </cfRule>
  </conditionalFormatting>
  <conditionalFormatting sqref="M8 S8 AB8">
    <cfRule type="expression" dxfId="2699" priority="126">
      <formula>AND(N$9&gt;=14/24,N$9&lt;20/24)</formula>
    </cfRule>
    <cfRule type="expression" dxfId="2698" priority="127">
      <formula>AND(N$9&gt;=8/24,N$9&lt;14/24)</formula>
    </cfRule>
    <cfRule type="expression" dxfId="2697" priority="128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696" priority="125">
      <formula>N$9&gt;=20/24</formula>
    </cfRule>
  </conditionalFormatting>
  <conditionalFormatting sqref="S8">
    <cfRule type="expression" dxfId="2695" priority="112">
      <formula>U$9&gt;=20/24</formula>
    </cfRule>
    <cfRule type="expression" dxfId="2694" priority="113">
      <formula>AND(U$9&gt;=14/24,U$9&lt;20/24)</formula>
    </cfRule>
    <cfRule type="expression" dxfId="2693" priority="114">
      <formula>AND(U$9&gt;=8/24,U$9&lt;14/24)</formula>
    </cfRule>
    <cfRule type="expression" dxfId="2692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691" priority="108">
      <formula>AD$9&gt;=20/24</formula>
    </cfRule>
    <cfRule type="expression" dxfId="2690" priority="109">
      <formula>AND(AD$9&gt;=14/24,AD$9&lt;20/24)</formula>
    </cfRule>
    <cfRule type="expression" dxfId="2689" priority="110">
      <formula>AND(AD$9&gt;=8/24,AD$9&lt;14/24)</formula>
    </cfRule>
    <cfRule type="expression" dxfId="2688" priority="111">
      <formula>AD$9&lt;8/24</formula>
    </cfRule>
  </conditionalFormatting>
  <conditionalFormatting sqref="AG65">
    <cfRule type="expression" dxfId="2687" priority="87">
      <formula>AG$9&gt;=20/24</formula>
    </cfRule>
    <cfRule type="expression" dxfId="2686" priority="88">
      <formula>AND(AG$9&gt;=14/24,AG$9&lt;20/24)</formula>
    </cfRule>
    <cfRule type="expression" dxfId="2685" priority="89">
      <formula>AND(AG$9&gt;=8/24,AG$9&lt;14/24)</formula>
    </cfRule>
    <cfRule type="expression" dxfId="2684" priority="90">
      <formula>AG$9&lt;8/24</formula>
    </cfRule>
  </conditionalFormatting>
  <conditionalFormatting sqref="AG78:AG79">
    <cfRule type="expression" dxfId="2683" priority="82">
      <formula>AG78&gt;$AG78</formula>
    </cfRule>
  </conditionalFormatting>
  <conditionalFormatting sqref="AG83">
    <cfRule type="expression" dxfId="2682" priority="83">
      <formula>AG$9&gt;=20/24</formula>
    </cfRule>
    <cfRule type="expression" dxfId="2681" priority="84">
      <formula>AND(AG$9&gt;=14/24,AG$9&lt;20/24)</formula>
    </cfRule>
    <cfRule type="expression" dxfId="2680" priority="85">
      <formula>AND(AG$9&gt;=8/24,AG$9&lt;14/24)</formula>
    </cfRule>
    <cfRule type="expression" dxfId="2679" priority="86">
      <formula>AG$9&lt;8/24</formula>
    </cfRule>
  </conditionalFormatting>
  <conditionalFormatting sqref="AG100">
    <cfRule type="expression" dxfId="2678" priority="104">
      <formula>AG$9&gt;=20/24</formula>
    </cfRule>
    <cfRule type="expression" dxfId="2677" priority="105">
      <formula>AND(AG$9&gt;=14/24,AG$9&lt;20/24)</formula>
    </cfRule>
    <cfRule type="expression" dxfId="2676" priority="106">
      <formula>AND(AG$9&gt;=8/24,AG$9&lt;14/24)</formula>
    </cfRule>
    <cfRule type="expression" dxfId="2675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674" priority="129">
      <formula>AJ$9&gt;=20/24</formula>
    </cfRule>
    <cfRule type="expression" dxfId="2673" priority="130">
      <formula>AND(AJ$9&gt;=14/24,AJ$9&lt;20/24)</formula>
    </cfRule>
    <cfRule type="expression" dxfId="2672" priority="131">
      <formula>AND(AJ$9&gt;=8/24,AJ$9&lt;14/24)</formula>
    </cfRule>
    <cfRule type="expression" dxfId="2671" priority="132">
      <formula>AJ$9&lt;8/24</formula>
    </cfRule>
  </conditionalFormatting>
  <conditionalFormatting sqref="AL86:AN86 AL92:AN92">
    <cfRule type="expression" dxfId="2670" priority="97">
      <formula>AL$9&gt;=20/24</formula>
    </cfRule>
    <cfRule type="expression" dxfId="2669" priority="98">
      <formula>AND(AL$9&gt;=14/24,AL$9&lt;20/24)</formula>
    </cfRule>
    <cfRule type="expression" dxfId="2668" priority="99">
      <formula>AND(AL$9&gt;=8/24,AL$9&lt;14/24)</formula>
    </cfRule>
    <cfRule type="expression" dxfId="2667" priority="100">
      <formula>AL$9&lt;8/24</formula>
    </cfRule>
  </conditionalFormatting>
  <conditionalFormatting sqref="AM15:AM21 AN16:AR21">
    <cfRule type="expression" dxfId="2666" priority="13">
      <formula>AX$9&gt;=20/24</formula>
    </cfRule>
    <cfRule type="expression" dxfId="2665" priority="14">
      <formula>AND(AX$9&gt;=14/24,AX$9&lt;20/24)</formula>
    </cfRule>
    <cfRule type="expression" dxfId="2664" priority="15">
      <formula>AND(AX$9&gt;=8/24,AX$9&lt;14/24)</formula>
    </cfRule>
    <cfRule type="expression" dxfId="2663" priority="16">
      <formula>AX$9&lt;8/24</formula>
    </cfRule>
  </conditionalFormatting>
  <conditionalFormatting sqref="AN87:AN90">
    <cfRule type="expression" dxfId="2662" priority="93">
      <formula>AN$9&gt;=20/24</formula>
    </cfRule>
    <cfRule type="expression" dxfId="2661" priority="94">
      <formula>AND(AN$9&gt;=14/24,AN$9&lt;20/24)</formula>
    </cfRule>
    <cfRule type="expression" dxfId="2660" priority="95">
      <formula>AND(AN$9&gt;=8/24,AN$9&lt;14/24)</formula>
    </cfRule>
    <cfRule type="expression" dxfId="2659" priority="96">
      <formula>AN$9&lt;8/24</formula>
    </cfRule>
  </conditionalFormatting>
  <conditionalFormatting sqref="AN15:AR15">
    <cfRule type="expression" dxfId="2658" priority="1">
      <formula>U$9&gt;=20/24</formula>
    </cfRule>
    <cfRule type="expression" dxfId="2657" priority="2">
      <formula>AND(U$9&gt;=14/24,U$9&lt;20/24)</formula>
    </cfRule>
    <cfRule type="expression" dxfId="2656" priority="3">
      <formula>AND(U$9&gt;=8/24,U$9&lt;14/24)</formula>
    </cfRule>
    <cfRule type="expression" dxfId="2655" priority="4">
      <formula>U$9&lt;8/24</formula>
    </cfRule>
  </conditionalFormatting>
  <conditionalFormatting sqref="AS15">
    <cfRule type="expression" dxfId="2654" priority="9">
      <formula>AA$9&gt;=20/24</formula>
    </cfRule>
    <cfRule type="expression" dxfId="2653" priority="10">
      <formula>AND(AA$9&gt;=14/24,AA$9&lt;20/24)</formula>
    </cfRule>
    <cfRule type="expression" dxfId="2652" priority="11">
      <formula>AND(AA$9&gt;=8/24,AA$9&lt;14/24)</formula>
    </cfRule>
    <cfRule type="expression" dxfId="2651" priority="12">
      <formula>AA$9&lt;8/24</formula>
    </cfRule>
  </conditionalFormatting>
  <conditionalFormatting sqref="AS16:AS21">
    <cfRule type="expression" dxfId="2650" priority="17">
      <formula>BE$9&gt;=20/24</formula>
    </cfRule>
    <cfRule type="expression" dxfId="2649" priority="18">
      <formula>AND(BE$9&gt;=14/24,BE$9&lt;20/24)</formula>
    </cfRule>
    <cfRule type="expression" dxfId="2648" priority="19">
      <formula>AND(BE$9&gt;=8/24,BE$9&lt;14/24)</formula>
    </cfRule>
    <cfRule type="expression" dxfId="2647" priority="20">
      <formula>BE$9&lt;8/24</formula>
    </cfRule>
  </conditionalFormatting>
  <conditionalFormatting sqref="AT15 AX15:BJ15">
    <cfRule type="expression" dxfId="2646" priority="21">
      <formula>AC$9&gt;=20/24</formula>
    </cfRule>
    <cfRule type="expression" dxfId="2645" priority="22">
      <formula>AND(AC$9&gt;=14/24,AC$9&lt;20/24)</formula>
    </cfRule>
    <cfRule type="expression" dxfId="2644" priority="23">
      <formula>AND(AC$9&gt;=8/24,AC$9&lt;14/24)</formula>
    </cfRule>
    <cfRule type="expression" dxfId="2643" priority="24">
      <formula>AC$9&lt;8/24</formula>
    </cfRule>
  </conditionalFormatting>
  <conditionalFormatting sqref="AT16:AT21">
    <cfRule type="expression" dxfId="2642" priority="25">
      <formula>BG$9&gt;=20/24</formula>
    </cfRule>
    <cfRule type="expression" dxfId="2641" priority="26">
      <formula>AND(BG$9&gt;=14/24,BG$9&lt;20/24)</formula>
    </cfRule>
    <cfRule type="expression" dxfId="2640" priority="27">
      <formula>AND(BG$9&gt;=8/24,BG$9&lt;14/24)</formula>
    </cfRule>
    <cfRule type="expression" dxfId="2639" priority="28">
      <formula>BG$9&lt;8/24</formula>
    </cfRule>
  </conditionalFormatting>
  <conditionalFormatting sqref="AU15:AV15">
    <cfRule type="expression" dxfId="2638" priority="29">
      <formula>AE$9&gt;=20/24</formula>
    </cfRule>
    <cfRule type="expression" dxfId="2637" priority="30">
      <formula>AND(AE$9&gt;=14/24,AE$9&lt;20/24)</formula>
    </cfRule>
    <cfRule type="expression" dxfId="2636" priority="31">
      <formula>AND(AE$9&gt;=8/24,AE$9&lt;14/24)</formula>
    </cfRule>
    <cfRule type="expression" dxfId="2635" priority="32">
      <formula>AE$9&lt;8/24</formula>
    </cfRule>
  </conditionalFormatting>
  <conditionalFormatting sqref="AU16:BJ21">
    <cfRule type="expression" dxfId="2634" priority="33">
      <formula>BI$9&gt;=20/24</formula>
    </cfRule>
    <cfRule type="expression" dxfId="2633" priority="34">
      <formula>AND(BI$9&gt;=14/24,BI$9&lt;20/24)</formula>
    </cfRule>
    <cfRule type="expression" dxfId="2632" priority="35">
      <formula>AND(BI$9&gt;=8/24,BI$9&lt;14/24)</formula>
    </cfRule>
    <cfRule type="expression" dxfId="2631" priority="36">
      <formula>BI$9&lt;8/24</formula>
    </cfRule>
  </conditionalFormatting>
  <conditionalFormatting sqref="AW15">
    <cfRule type="expression" dxfId="2630" priority="5">
      <formula>B$9&gt;=20/24</formula>
    </cfRule>
    <cfRule type="expression" dxfId="2629" priority="6">
      <formula>AND(B$9&gt;=14/24,B$9&lt;20/24)</formula>
    </cfRule>
    <cfRule type="expression" dxfId="2628" priority="7">
      <formula>AND(B$9&gt;=8/24,B$9&lt;14/24)</formula>
    </cfRule>
    <cfRule type="expression" dxfId="262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DB6C-AA49-4109-A325-5609C5B78C0C}">
  <dimension ref="A1:CJ297"/>
  <sheetViews>
    <sheetView zoomScale="106" workbookViewId="0">
      <pane xSplit="1" ySplit="10" topLeftCell="BA9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G82" sqref="BG82:BL10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2080/10/14</v>
      </c>
      <c r="C4" s="189"/>
      <c r="D4" s="189"/>
      <c r="E4" s="190" t="str">
        <f ca="1">"2080/"&amp;"10/"&amp;INT(MID(CELL("filename",G6),FIND("]",CELL("filename",G6))+1,200))</f>
        <v>2080/10/14</v>
      </c>
      <c r="F4" s="190"/>
      <c r="G4" s="190"/>
      <c r="H4" s="190" t="str">
        <f ca="1">TEXT(E4,"dddd")</f>
        <v>Monday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2.5</v>
      </c>
      <c r="M5" s="30">
        <f t="shared" si="0"/>
        <v>0.7</v>
      </c>
      <c r="N5" s="30">
        <f t="shared" si="0"/>
        <v>0</v>
      </c>
      <c r="O5" s="30">
        <f t="shared" si="0"/>
        <v>11.9</v>
      </c>
      <c r="P5" s="30">
        <f t="shared" si="0"/>
        <v>7.5</v>
      </c>
      <c r="Q5" s="30">
        <f t="shared" si="0"/>
        <v>0</v>
      </c>
      <c r="R5" s="30">
        <f t="shared" si="0"/>
        <v>11.7</v>
      </c>
      <c r="S5" s="30">
        <f t="shared" si="0"/>
        <v>5.9</v>
      </c>
      <c r="T5" s="30">
        <f t="shared" si="0"/>
        <v>5.3</v>
      </c>
      <c r="U5" s="30">
        <f t="shared" si="0"/>
        <v>6.3</v>
      </c>
      <c r="V5" s="30">
        <f t="shared" si="0"/>
        <v>5.2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1.6</v>
      </c>
      <c r="AA5" s="30">
        <f t="shared" si="0"/>
        <v>25.6</v>
      </c>
      <c r="AB5" s="30">
        <f t="shared" si="0"/>
        <v>27.8</v>
      </c>
      <c r="AC5" s="30">
        <f t="shared" si="0"/>
        <v>22.2</v>
      </c>
      <c r="AD5" s="30">
        <f t="shared" si="0"/>
        <v>0</v>
      </c>
      <c r="AE5" s="30">
        <f t="shared" si="0"/>
        <v>0</v>
      </c>
      <c r="AF5" s="30">
        <f>B95</f>
        <v>47.2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1996MW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1439.64</v>
      </c>
      <c r="C7" s="35">
        <f t="shared" si="1"/>
        <v>1407.8400000000001</v>
      </c>
      <c r="D7" s="35">
        <f t="shared" si="1"/>
        <v>1483.8400000000001</v>
      </c>
      <c r="E7" s="35">
        <f t="shared" si="1"/>
        <v>1391.7400000000002</v>
      </c>
      <c r="F7" s="35">
        <f t="shared" si="1"/>
        <v>1380.24</v>
      </c>
      <c r="G7" s="35">
        <f t="shared" si="1"/>
        <v>1329.34</v>
      </c>
      <c r="H7" s="35">
        <f t="shared" si="1"/>
        <v>1367.14</v>
      </c>
      <c r="I7" s="35">
        <f t="shared" si="1"/>
        <v>1304.1399999999999</v>
      </c>
      <c r="J7" s="35">
        <f t="shared" si="1"/>
        <v>1365.04</v>
      </c>
      <c r="K7" s="35">
        <f t="shared" si="1"/>
        <v>1375.8400000000001</v>
      </c>
      <c r="L7" s="35">
        <f t="shared" si="1"/>
        <v>1375.8400000000001</v>
      </c>
      <c r="M7" s="35">
        <f t="shared" si="1"/>
        <v>1505.6399999999999</v>
      </c>
      <c r="N7" s="35">
        <f t="shared" si="1"/>
        <v>1454.1399999999999</v>
      </c>
      <c r="O7" s="35">
        <f t="shared" si="1"/>
        <v>1523.7399999999998</v>
      </c>
      <c r="P7" s="35">
        <f t="shared" si="1"/>
        <v>1622.1399999999999</v>
      </c>
      <c r="Q7" s="35">
        <f t="shared" si="1"/>
        <v>1583.44</v>
      </c>
      <c r="R7" s="35">
        <f t="shared" si="1"/>
        <v>153.54</v>
      </c>
      <c r="S7" s="35" t="s">
        <v>325</v>
      </c>
      <c r="T7" s="35">
        <f t="shared" si="1"/>
        <v>1600.7400000000002</v>
      </c>
      <c r="U7" s="35">
        <f t="shared" si="1"/>
        <v>1565.0400000000002</v>
      </c>
      <c r="V7" s="35">
        <f t="shared" si="1"/>
        <v>1579.04</v>
      </c>
      <c r="W7" s="35">
        <f t="shared" si="1"/>
        <v>1596.54</v>
      </c>
      <c r="X7" s="35">
        <f t="shared" si="1"/>
        <v>1529.64</v>
      </c>
      <c r="Y7" s="35">
        <f t="shared" si="1"/>
        <v>1470.04</v>
      </c>
      <c r="Z7" s="35">
        <f t="shared" si="1"/>
        <v>1602.74</v>
      </c>
      <c r="AA7" s="35">
        <f t="shared" si="1"/>
        <v>1608.04</v>
      </c>
      <c r="AB7" s="35">
        <f t="shared" si="1"/>
        <v>1623.3400000000001</v>
      </c>
      <c r="AC7" s="35">
        <f t="shared" si="1"/>
        <v>1648.24</v>
      </c>
      <c r="AD7" s="35">
        <f t="shared" si="1"/>
        <v>1581.14</v>
      </c>
      <c r="AE7" s="35">
        <f t="shared" si="1"/>
        <v>1562.94</v>
      </c>
      <c r="AF7" s="35">
        <f t="shared" si="1"/>
        <v>1540.94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2087.94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1623.34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83.9</v>
      </c>
      <c r="C11" s="46">
        <v>83.9</v>
      </c>
      <c r="D11" s="46">
        <v>83.9</v>
      </c>
      <c r="E11" s="46">
        <v>83.9</v>
      </c>
      <c r="F11" s="46">
        <v>90.2</v>
      </c>
      <c r="G11" s="46">
        <v>90.2</v>
      </c>
      <c r="H11" s="46">
        <v>90.2</v>
      </c>
      <c r="I11" s="46">
        <v>90.2</v>
      </c>
      <c r="J11" s="46">
        <v>90.2</v>
      </c>
      <c r="K11" s="46">
        <v>90.2</v>
      </c>
      <c r="L11" s="46">
        <v>90.2</v>
      </c>
      <c r="M11" s="46">
        <v>90.2</v>
      </c>
      <c r="N11" s="46">
        <v>57</v>
      </c>
      <c r="O11" s="46">
        <v>70</v>
      </c>
      <c r="P11" s="46">
        <v>86.4</v>
      </c>
      <c r="Q11" s="46">
        <v>80</v>
      </c>
      <c r="R11" s="46" t="s">
        <v>320</v>
      </c>
      <c r="S11" s="46">
        <v>80</v>
      </c>
      <c r="T11" s="46">
        <v>80</v>
      </c>
      <c r="U11" s="46">
        <v>80</v>
      </c>
      <c r="V11" s="46">
        <v>78.599999999999994</v>
      </c>
      <c r="W11" s="46">
        <v>78.599999999999994</v>
      </c>
      <c r="X11" s="46">
        <v>78.599999999999994</v>
      </c>
      <c r="Y11" s="46">
        <v>78.599999999999994</v>
      </c>
      <c r="Z11" s="46">
        <v>64.599999999999994</v>
      </c>
      <c r="AA11" s="46">
        <v>64.599999999999994</v>
      </c>
      <c r="AB11" s="46">
        <v>66.7</v>
      </c>
      <c r="AC11" s="46">
        <v>66.599999999999994</v>
      </c>
      <c r="AD11" s="46">
        <v>66.599999999999994</v>
      </c>
      <c r="AE11" s="46">
        <v>72.3</v>
      </c>
      <c r="AF11" s="46">
        <v>88.9</v>
      </c>
      <c r="AG11" s="47">
        <v>86</v>
      </c>
      <c r="AH11" s="48">
        <f t="shared" ref="AH11:AH74" si="2">MAX(B11:AF11)</f>
        <v>90.2</v>
      </c>
      <c r="AI11" s="49">
        <f t="shared" ref="AI11:AI74" si="3">MIN(B11:AF11)</f>
        <v>57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36.1</v>
      </c>
      <c r="C12" s="46">
        <v>36.1</v>
      </c>
      <c r="D12" s="46">
        <v>36.1</v>
      </c>
      <c r="E12" s="46">
        <v>36.1</v>
      </c>
      <c r="F12" s="46">
        <v>41.1</v>
      </c>
      <c r="G12" s="46">
        <v>41.1</v>
      </c>
      <c r="H12" s="46">
        <v>66.2</v>
      </c>
      <c r="I12" s="46">
        <v>61.5</v>
      </c>
      <c r="J12" s="46">
        <v>54</v>
      </c>
      <c r="K12" s="46">
        <v>54</v>
      </c>
      <c r="L12" s="46">
        <v>54</v>
      </c>
      <c r="M12" s="46">
        <v>62</v>
      </c>
      <c r="N12" s="46">
        <v>62</v>
      </c>
      <c r="O12" s="46">
        <v>62</v>
      </c>
      <c r="P12" s="46">
        <v>62.7</v>
      </c>
      <c r="Q12" s="46">
        <v>62.7</v>
      </c>
      <c r="R12" s="46" t="s">
        <v>321</v>
      </c>
      <c r="S12" s="46">
        <v>62.7</v>
      </c>
      <c r="T12" s="46">
        <v>62.7</v>
      </c>
      <c r="U12" s="46">
        <v>62.7</v>
      </c>
      <c r="V12" s="46">
        <v>71.8</v>
      </c>
      <c r="W12" s="46">
        <v>71.8</v>
      </c>
      <c r="X12" s="46">
        <v>71.8</v>
      </c>
      <c r="Y12" s="46">
        <v>40.700000000000003</v>
      </c>
      <c r="Z12" s="46">
        <v>70.7</v>
      </c>
      <c r="AA12" s="46">
        <v>71.8</v>
      </c>
      <c r="AB12" s="46">
        <v>71.7</v>
      </c>
      <c r="AC12" s="46">
        <v>71.7</v>
      </c>
      <c r="AD12" s="46">
        <v>71.7</v>
      </c>
      <c r="AE12" s="46">
        <v>71.8</v>
      </c>
      <c r="AF12" s="46">
        <v>83.8</v>
      </c>
      <c r="AG12" s="50">
        <v>77</v>
      </c>
      <c r="AH12" s="48">
        <f t="shared" si="2"/>
        <v>83.8</v>
      </c>
      <c r="AI12" s="49">
        <f t="shared" si="3"/>
        <v>36.1</v>
      </c>
      <c r="AK12" s="51"/>
      <c r="AL12" s="52" t="str">
        <f ca="1">MID(CELL("filename",C7),FIND("]",CELL("filename",C7))+1,600)</f>
        <v>14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 t="s">
        <v>312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0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40.200000000000003</v>
      </c>
      <c r="C14" s="46">
        <v>40.200000000000003</v>
      </c>
      <c r="D14" s="46">
        <v>40.200000000000003</v>
      </c>
      <c r="E14" s="46">
        <v>40.200000000000003</v>
      </c>
      <c r="F14" s="46">
        <v>40.200000000000003</v>
      </c>
      <c r="G14" s="46">
        <v>40.200000000000003</v>
      </c>
      <c r="H14" s="46">
        <v>40.200000000000003</v>
      </c>
      <c r="I14" s="46">
        <v>40.200000000000003</v>
      </c>
      <c r="J14" s="46">
        <v>40.200000000000003</v>
      </c>
      <c r="K14" s="46">
        <v>40.200000000000003</v>
      </c>
      <c r="L14" s="46">
        <v>40.200000000000003</v>
      </c>
      <c r="M14" s="46">
        <v>40.200000000000003</v>
      </c>
      <c r="N14" s="46">
        <v>40.200000000000003</v>
      </c>
      <c r="O14" s="46">
        <v>40.200000000000003</v>
      </c>
      <c r="P14" s="46">
        <v>40.200000000000003</v>
      </c>
      <c r="Q14" s="46">
        <v>20</v>
      </c>
      <c r="R14" s="46" t="s">
        <v>308</v>
      </c>
      <c r="S14" s="46">
        <v>20</v>
      </c>
      <c r="T14" s="46">
        <v>20</v>
      </c>
      <c r="U14" s="46">
        <v>20</v>
      </c>
      <c r="V14" s="46">
        <v>40</v>
      </c>
      <c r="W14" s="46">
        <v>40</v>
      </c>
      <c r="X14" s="46">
        <v>40</v>
      </c>
      <c r="Y14" s="46">
        <v>40</v>
      </c>
      <c r="Z14" s="46">
        <v>40</v>
      </c>
      <c r="AA14" s="46">
        <v>40</v>
      </c>
      <c r="AB14" s="46">
        <v>40</v>
      </c>
      <c r="AC14" s="46">
        <v>40</v>
      </c>
      <c r="AD14" s="46">
        <v>40</v>
      </c>
      <c r="AE14" s="46">
        <v>40</v>
      </c>
      <c r="AF14" s="46">
        <v>40</v>
      </c>
      <c r="AG14" s="50">
        <v>71</v>
      </c>
      <c r="AH14" s="48">
        <f t="shared" si="2"/>
        <v>40.200000000000003</v>
      </c>
      <c r="AI14" s="49">
        <f t="shared" si="3"/>
        <v>20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21</v>
      </c>
      <c r="C15" s="46">
        <v>21</v>
      </c>
      <c r="D15" s="46">
        <v>21</v>
      </c>
      <c r="E15" s="46">
        <v>28.3</v>
      </c>
      <c r="F15" s="46">
        <v>29.1</v>
      </c>
      <c r="G15" s="46">
        <v>29.1</v>
      </c>
      <c r="H15" s="46">
        <v>49.6</v>
      </c>
      <c r="I15" s="46">
        <v>49.6</v>
      </c>
      <c r="J15" s="46">
        <v>33.799999999999997</v>
      </c>
      <c r="K15" s="46">
        <v>33.799999999999997</v>
      </c>
      <c r="L15" s="46">
        <v>33.799999999999997</v>
      </c>
      <c r="M15" s="46">
        <v>45</v>
      </c>
      <c r="N15" s="46">
        <v>45</v>
      </c>
      <c r="O15" s="46">
        <v>45</v>
      </c>
      <c r="P15" s="46">
        <v>45.1</v>
      </c>
      <c r="Q15" s="46">
        <v>45</v>
      </c>
      <c r="R15" s="46" t="s">
        <v>313</v>
      </c>
      <c r="S15" s="46">
        <v>45</v>
      </c>
      <c r="T15" s="46">
        <v>45</v>
      </c>
      <c r="U15" s="46">
        <v>45</v>
      </c>
      <c r="V15" s="46">
        <v>51.3</v>
      </c>
      <c r="W15" s="46">
        <v>51.3</v>
      </c>
      <c r="X15" s="46">
        <v>51.3</v>
      </c>
      <c r="Y15" s="46">
        <v>31.1</v>
      </c>
      <c r="Z15" s="46">
        <v>49.1</v>
      </c>
      <c r="AA15" s="46">
        <v>51.1</v>
      </c>
      <c r="AB15" s="46">
        <v>51.1</v>
      </c>
      <c r="AC15" s="46">
        <v>51.1</v>
      </c>
      <c r="AD15" s="46">
        <v>51.1</v>
      </c>
      <c r="AE15" s="46">
        <v>51.3</v>
      </c>
      <c r="AF15" s="46">
        <v>60.4</v>
      </c>
      <c r="AG15" s="50">
        <v>54</v>
      </c>
      <c r="AH15" s="48">
        <f t="shared" si="2"/>
        <v>60.4</v>
      </c>
      <c r="AI15" s="49">
        <f t="shared" si="3"/>
        <v>21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27.1</v>
      </c>
      <c r="F16" s="46">
        <v>27.1</v>
      </c>
      <c r="G16" s="46">
        <v>27.1</v>
      </c>
      <c r="H16" s="46">
        <v>27.1</v>
      </c>
      <c r="I16" s="46">
        <v>27.1</v>
      </c>
      <c r="J16" s="46">
        <v>27.1</v>
      </c>
      <c r="K16" s="46">
        <v>27.1</v>
      </c>
      <c r="L16" s="46">
        <v>27.1</v>
      </c>
      <c r="M16" s="46">
        <v>27.1</v>
      </c>
      <c r="N16" s="46">
        <v>27.1</v>
      </c>
      <c r="O16" s="46">
        <v>27.1</v>
      </c>
      <c r="P16" s="46">
        <v>27.1</v>
      </c>
      <c r="Q16" s="46">
        <v>27</v>
      </c>
      <c r="R16" s="46" t="s">
        <v>321</v>
      </c>
      <c r="S16" s="46">
        <v>27</v>
      </c>
      <c r="T16" s="46">
        <v>27</v>
      </c>
      <c r="U16" s="46">
        <v>27</v>
      </c>
      <c r="V16" s="46">
        <v>27</v>
      </c>
      <c r="W16" s="46">
        <v>27</v>
      </c>
      <c r="X16" s="46">
        <v>27</v>
      </c>
      <c r="Y16" s="46">
        <v>27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27.2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27</v>
      </c>
      <c r="AK16" s="51"/>
      <c r="AL16" s="54" t="s">
        <v>7</v>
      </c>
      <c r="AM16" s="59">
        <f t="shared" ref="AM16:AR16" si="4">B61</f>
        <v>896.49999999999989</v>
      </c>
      <c r="AN16" s="59">
        <f t="shared" si="4"/>
        <v>896.49999999999989</v>
      </c>
      <c r="AO16" s="59">
        <f t="shared" si="4"/>
        <v>968.39999999999986</v>
      </c>
      <c r="AP16" s="59">
        <f t="shared" si="4"/>
        <v>981.5</v>
      </c>
      <c r="AQ16" s="59">
        <f t="shared" si="4"/>
        <v>1000.1</v>
      </c>
      <c r="AR16" s="59">
        <f t="shared" si="4"/>
        <v>991.89999999999986</v>
      </c>
      <c r="AS16" s="59">
        <f>I61</f>
        <v>1016.8999999999999</v>
      </c>
      <c r="AT16" s="59">
        <f>K61</f>
        <v>993.59999999999991</v>
      </c>
      <c r="AU16" s="59">
        <f t="shared" ref="AU16:BD16" si="5">M61</f>
        <v>1012.8</v>
      </c>
      <c r="AV16" s="59">
        <f t="shared" si="5"/>
        <v>974.69999999999993</v>
      </c>
      <c r="AW16" s="59">
        <f t="shared" si="5"/>
        <v>987.69999999999993</v>
      </c>
      <c r="AX16" s="59">
        <f t="shared" si="5"/>
        <v>1035.3</v>
      </c>
      <c r="AY16" s="59">
        <f t="shared" si="5"/>
        <v>991.10000000000014</v>
      </c>
      <c r="AZ16" s="59">
        <f t="shared" si="5"/>
        <v>150</v>
      </c>
      <c r="BA16" s="59">
        <f t="shared" si="5"/>
        <v>991.10000000000014</v>
      </c>
      <c r="BB16" s="59">
        <f t="shared" si="5"/>
        <v>991.10000000000014</v>
      </c>
      <c r="BC16" s="59">
        <f t="shared" si="5"/>
        <v>991.10000000000014</v>
      </c>
      <c r="BD16" s="59">
        <f t="shared" si="5"/>
        <v>1029.4000000000001</v>
      </c>
      <c r="BE16" s="60">
        <f>X61</f>
        <v>1029.4000000000001</v>
      </c>
      <c r="BF16" s="60">
        <f>Z61</f>
        <v>1003.8000000000001</v>
      </c>
      <c r="BG16" s="60">
        <f>AB61</f>
        <v>1041</v>
      </c>
      <c r="BH16" s="60">
        <f>AD61</f>
        <v>1040.9000000000001</v>
      </c>
      <c r="BI16" s="60">
        <f>AE61</f>
        <v>1079</v>
      </c>
      <c r="BJ16" s="60">
        <f>AF61</f>
        <v>1124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55.6</v>
      </c>
      <c r="C17" s="46">
        <v>55.6</v>
      </c>
      <c r="D17" s="46">
        <v>55.6</v>
      </c>
      <c r="E17" s="46">
        <v>55.6</v>
      </c>
      <c r="F17" s="46">
        <v>55.6</v>
      </c>
      <c r="G17" s="46">
        <v>55.6</v>
      </c>
      <c r="H17" s="46">
        <v>55.6</v>
      </c>
      <c r="I17" s="46">
        <v>55.6</v>
      </c>
      <c r="J17" s="46">
        <v>55.6</v>
      </c>
      <c r="K17" s="46">
        <v>55.6</v>
      </c>
      <c r="L17" s="46">
        <v>55.6</v>
      </c>
      <c r="M17" s="46">
        <v>55.6</v>
      </c>
      <c r="N17" s="46">
        <v>55.6</v>
      </c>
      <c r="O17" s="46">
        <v>55.6</v>
      </c>
      <c r="P17" s="46">
        <v>55.5</v>
      </c>
      <c r="Q17" s="46">
        <v>55.6</v>
      </c>
      <c r="R17" s="46" t="s">
        <v>323</v>
      </c>
      <c r="S17" s="46">
        <v>55.6</v>
      </c>
      <c r="T17" s="46">
        <v>55.6</v>
      </c>
      <c r="U17" s="46">
        <v>55.6</v>
      </c>
      <c r="V17" s="46">
        <v>55.6</v>
      </c>
      <c r="W17" s="46">
        <v>55.6</v>
      </c>
      <c r="X17" s="46">
        <v>55.6</v>
      </c>
      <c r="Y17" s="46">
        <v>55.6</v>
      </c>
      <c r="Z17" s="46">
        <v>55.6</v>
      </c>
      <c r="AA17" s="46">
        <v>55.6</v>
      </c>
      <c r="AB17" s="46">
        <v>55.6</v>
      </c>
      <c r="AC17" s="46">
        <v>55.6</v>
      </c>
      <c r="AD17" s="46">
        <v>55.6</v>
      </c>
      <c r="AE17" s="46">
        <v>55.6</v>
      </c>
      <c r="AF17" s="46">
        <v>60.5</v>
      </c>
      <c r="AG17" s="47">
        <v>52.4</v>
      </c>
      <c r="AH17" s="48">
        <f t="shared" si="2"/>
        <v>60.5</v>
      </c>
      <c r="AI17" s="49">
        <f t="shared" si="3"/>
        <v>55.5</v>
      </c>
      <c r="AK17" s="51"/>
      <c r="AL17" s="54" t="s">
        <v>27</v>
      </c>
      <c r="AM17" s="59">
        <f t="shared" ref="AM17:AR17" si="6">B65</f>
        <v>542.5</v>
      </c>
      <c r="AN17" s="59">
        <f t="shared" si="6"/>
        <v>542.5</v>
      </c>
      <c r="AO17" s="59">
        <f t="shared" si="6"/>
        <v>542.5</v>
      </c>
      <c r="AP17" s="59">
        <f t="shared" si="6"/>
        <v>542.5</v>
      </c>
      <c r="AQ17" s="59">
        <f t="shared" si="6"/>
        <v>542.5</v>
      </c>
      <c r="AR17" s="59">
        <f t="shared" si="6"/>
        <v>542.5</v>
      </c>
      <c r="AS17" s="59">
        <f>I65</f>
        <v>541.9</v>
      </c>
      <c r="AT17" s="59">
        <f>K65</f>
        <v>541.4</v>
      </c>
      <c r="AU17" s="59">
        <f t="shared" ref="AU17:BD17" si="7">M65</f>
        <v>541.4</v>
      </c>
      <c r="AV17" s="59">
        <f t="shared" si="7"/>
        <v>541.4</v>
      </c>
      <c r="AW17" s="59">
        <f t="shared" si="7"/>
        <v>541.4</v>
      </c>
      <c r="AX17" s="59">
        <f t="shared" si="7"/>
        <v>541.4</v>
      </c>
      <c r="AY17" s="59">
        <f t="shared" si="7"/>
        <v>541.29999999999995</v>
      </c>
      <c r="AZ17" s="59">
        <f t="shared" si="7"/>
        <v>0</v>
      </c>
      <c r="BA17" s="59">
        <f t="shared" si="7"/>
        <v>541.29999999999995</v>
      </c>
      <c r="BB17" s="59">
        <f t="shared" si="7"/>
        <v>541.29999999999995</v>
      </c>
      <c r="BC17" s="59">
        <f t="shared" si="7"/>
        <v>541.29999999999995</v>
      </c>
      <c r="BD17" s="59">
        <f t="shared" si="7"/>
        <v>541.29999999999995</v>
      </c>
      <c r="BE17" s="60">
        <f>X65</f>
        <v>541.29999999999995</v>
      </c>
      <c r="BF17" s="60">
        <f>Z65</f>
        <v>541.29999999999995</v>
      </c>
      <c r="BG17" s="60">
        <f>AB65</f>
        <v>541.29999999999995</v>
      </c>
      <c r="BH17" s="60">
        <f>AD65</f>
        <v>541.29999999999995</v>
      </c>
      <c r="BI17" s="60">
        <f>AE65</f>
        <v>541.29999999999995</v>
      </c>
      <c r="BJ17" s="60">
        <f>AF65</f>
        <v>541.70000000000005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50.4</v>
      </c>
      <c r="Q18" s="46">
        <v>50.3</v>
      </c>
      <c r="R18" s="46"/>
      <c r="S18" s="46">
        <v>50.3</v>
      </c>
      <c r="T18" s="46">
        <v>50.3</v>
      </c>
      <c r="U18" s="46">
        <v>50.3</v>
      </c>
      <c r="V18" s="46">
        <v>50.3</v>
      </c>
      <c r="W18" s="46">
        <v>50.3</v>
      </c>
      <c r="X18" s="46">
        <v>50.3</v>
      </c>
      <c r="Y18" s="46">
        <v>50.3</v>
      </c>
      <c r="Z18" s="46">
        <v>50.3</v>
      </c>
      <c r="AA18" s="46">
        <v>50.3</v>
      </c>
      <c r="AB18" s="46">
        <v>50.3</v>
      </c>
      <c r="AC18" s="46">
        <v>50.3</v>
      </c>
      <c r="AD18" s="46">
        <v>50.3</v>
      </c>
      <c r="AE18" s="46">
        <v>50.3</v>
      </c>
      <c r="AF18" s="46">
        <v>50.3</v>
      </c>
      <c r="AG18" s="50">
        <v>50</v>
      </c>
      <c r="AH18" s="48">
        <f t="shared" si="2"/>
        <v>50.4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394.44000000000011</v>
      </c>
      <c r="AN18" s="59">
        <f t="shared" si="8"/>
        <v>394.44000000000011</v>
      </c>
      <c r="AO18" s="59">
        <f t="shared" si="8"/>
        <v>412.04000000000013</v>
      </c>
      <c r="AP18" s="59">
        <f t="shared" si="8"/>
        <v>412.04000000000013</v>
      </c>
      <c r="AQ18" s="59">
        <f t="shared" si="8"/>
        <v>420.64000000000004</v>
      </c>
      <c r="AR18" s="59">
        <f t="shared" si="8"/>
        <v>420.64000000000004</v>
      </c>
      <c r="AS18" s="59">
        <f>I79</f>
        <v>420.64000000000004</v>
      </c>
      <c r="AT18" s="59">
        <f>K79</f>
        <v>421.94</v>
      </c>
      <c r="AU18" s="59">
        <f t="shared" ref="AU18:BD18" si="9">M79</f>
        <v>423.94</v>
      </c>
      <c r="AV18" s="59">
        <f t="shared" si="9"/>
        <v>400.34</v>
      </c>
      <c r="AW18" s="59">
        <f t="shared" si="9"/>
        <v>400.34</v>
      </c>
      <c r="AX18" s="59">
        <f t="shared" si="9"/>
        <v>400.34</v>
      </c>
      <c r="AY18" s="59">
        <f t="shared" si="9"/>
        <v>422.34</v>
      </c>
      <c r="AZ18" s="59">
        <f t="shared" si="9"/>
        <v>3.54</v>
      </c>
      <c r="BA18" s="59">
        <f t="shared" si="9"/>
        <v>421.03999999999996</v>
      </c>
      <c r="BB18" s="59">
        <f t="shared" si="9"/>
        <v>426.94</v>
      </c>
      <c r="BC18" s="59">
        <f t="shared" si="9"/>
        <v>418.14</v>
      </c>
      <c r="BD18" s="59">
        <f t="shared" si="9"/>
        <v>418.64</v>
      </c>
      <c r="BE18" s="60">
        <f>X79</f>
        <v>418.24</v>
      </c>
      <c r="BF18" s="60">
        <f>Z79</f>
        <v>416.64</v>
      </c>
      <c r="BG18" s="60">
        <f>AB79</f>
        <v>418.44</v>
      </c>
      <c r="BH18" s="60">
        <f>AD79</f>
        <v>418.44</v>
      </c>
      <c r="BI18" s="60">
        <f>AE79</f>
        <v>421.44000000000005</v>
      </c>
      <c r="BJ18" s="60">
        <f>AF79</f>
        <v>422.24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 t="s">
        <v>304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47.2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2.5</v>
      </c>
      <c r="AV19" s="59">
        <f t="shared" si="11"/>
        <v>0.7</v>
      </c>
      <c r="AW19" s="59">
        <f t="shared" si="11"/>
        <v>0</v>
      </c>
      <c r="AX19" s="59">
        <f t="shared" si="11"/>
        <v>11.9</v>
      </c>
      <c r="AY19" s="59">
        <f t="shared" si="11"/>
        <v>7.5</v>
      </c>
      <c r="AZ19" s="59">
        <f t="shared" si="11"/>
        <v>0</v>
      </c>
      <c r="BA19" s="59">
        <f t="shared" si="11"/>
        <v>11.7</v>
      </c>
      <c r="BB19" s="59">
        <f t="shared" si="11"/>
        <v>5.9</v>
      </c>
      <c r="BC19" s="59">
        <f t="shared" si="11"/>
        <v>5.3</v>
      </c>
      <c r="BD19" s="59">
        <f t="shared" si="11"/>
        <v>6.3</v>
      </c>
      <c r="BE19" s="60">
        <f>X95</f>
        <v>0</v>
      </c>
      <c r="BF19" s="60">
        <f>Z95</f>
        <v>0</v>
      </c>
      <c r="BG19" s="60">
        <f>AB95</f>
        <v>25.6</v>
      </c>
      <c r="BH19" s="60">
        <f>AD95</f>
        <v>22.2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 t="s">
        <v>310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45</v>
      </c>
      <c r="AC20" s="46">
        <v>45</v>
      </c>
      <c r="AD20" s="46">
        <v>45</v>
      </c>
      <c r="AE20" s="46">
        <v>45</v>
      </c>
      <c r="AF20" s="46">
        <v>45</v>
      </c>
      <c r="AG20" s="50">
        <v>44</v>
      </c>
      <c r="AH20" s="48">
        <f t="shared" si="2"/>
        <v>45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21.299999999999997</v>
      </c>
      <c r="AN20" s="59">
        <f t="shared" si="12"/>
        <v>21.299999999999997</v>
      </c>
      <c r="AO20" s="59">
        <f t="shared" si="12"/>
        <v>21.299999999999997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15</v>
      </c>
      <c r="AV20" s="59">
        <f t="shared" si="13"/>
        <v>15</v>
      </c>
      <c r="AW20" s="59">
        <f t="shared" si="13"/>
        <v>15</v>
      </c>
      <c r="AX20" s="59">
        <f t="shared" si="13"/>
        <v>21.199999999999996</v>
      </c>
      <c r="AY20" s="59">
        <f t="shared" si="13"/>
        <v>21.199999999999996</v>
      </c>
      <c r="AZ20" s="59">
        <f t="shared" si="13"/>
        <v>0</v>
      </c>
      <c r="BA20" s="59">
        <f t="shared" si="13"/>
        <v>21.199999999999996</v>
      </c>
      <c r="BB20" s="59">
        <f t="shared" si="13"/>
        <v>21.199999999999996</v>
      </c>
      <c r="BC20" s="59">
        <f t="shared" si="13"/>
        <v>21.199999999999996</v>
      </c>
      <c r="BD20" s="59">
        <f t="shared" si="13"/>
        <v>21.199999999999996</v>
      </c>
      <c r="BE20" s="60">
        <f>X83</f>
        <v>21.199999999999996</v>
      </c>
      <c r="BF20" s="60">
        <f>Z83</f>
        <v>21.199999999999996</v>
      </c>
      <c r="BG20" s="60">
        <f>AB83</f>
        <v>22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 t="s">
        <v>304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14.5</v>
      </c>
      <c r="E22" s="46">
        <v>14.5</v>
      </c>
      <c r="F22" s="46">
        <v>20</v>
      </c>
      <c r="G22" s="46">
        <v>25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30.9</v>
      </c>
      <c r="Q22" s="46">
        <v>30</v>
      </c>
      <c r="R22" s="46" t="s">
        <v>308</v>
      </c>
      <c r="S22" s="46">
        <v>30</v>
      </c>
      <c r="T22" s="46">
        <v>30</v>
      </c>
      <c r="U22" s="46">
        <v>30</v>
      </c>
      <c r="V22" s="46">
        <v>30</v>
      </c>
      <c r="W22" s="46">
        <v>30</v>
      </c>
      <c r="X22" s="46">
        <v>30</v>
      </c>
      <c r="Y22" s="46">
        <v>30</v>
      </c>
      <c r="Z22" s="46">
        <v>30</v>
      </c>
      <c r="AA22" s="46">
        <v>30</v>
      </c>
      <c r="AB22" s="46">
        <v>31</v>
      </c>
      <c r="AC22" s="46">
        <v>31</v>
      </c>
      <c r="AD22" s="46">
        <v>31</v>
      </c>
      <c r="AE22" s="46">
        <v>39.9</v>
      </c>
      <c r="AF22" s="46">
        <v>39.700000000000003</v>
      </c>
      <c r="AG22" s="50">
        <v>38.46</v>
      </c>
      <c r="AH22" s="48">
        <f t="shared" si="2"/>
        <v>39.9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1901.94</v>
      </c>
      <c r="AN22" s="63">
        <f t="shared" si="16"/>
        <v>1854.74</v>
      </c>
      <c r="AO22" s="63">
        <f t="shared" si="16"/>
        <v>1944.24</v>
      </c>
      <c r="AP22" s="63">
        <f t="shared" si="16"/>
        <v>1936.0400000000002</v>
      </c>
      <c r="AQ22" s="63">
        <f t="shared" si="16"/>
        <v>1963.24</v>
      </c>
      <c r="AR22" s="63">
        <f t="shared" si="16"/>
        <v>1955.04</v>
      </c>
      <c r="AS22" s="63">
        <f t="shared" si="16"/>
        <v>1979.4399999999998</v>
      </c>
      <c r="AT22" s="63">
        <f t="shared" si="16"/>
        <v>1956.94</v>
      </c>
      <c r="AU22" s="63">
        <f t="shared" si="16"/>
        <v>1995.6399999999999</v>
      </c>
      <c r="AV22" s="63">
        <f t="shared" si="16"/>
        <v>1932.1399999999999</v>
      </c>
      <c r="AW22" s="63">
        <f t="shared" si="16"/>
        <v>1944.4399999999998</v>
      </c>
      <c r="AX22" s="63">
        <f t="shared" si="16"/>
        <v>2010.1399999999999</v>
      </c>
      <c r="AY22" s="63">
        <f t="shared" si="16"/>
        <v>1983.44</v>
      </c>
      <c r="AZ22" s="63">
        <f t="shared" si="16"/>
        <v>153.54</v>
      </c>
      <c r="BA22" s="63">
        <f t="shared" si="16"/>
        <v>1986.3400000000001</v>
      </c>
      <c r="BB22" s="63">
        <f t="shared" si="16"/>
        <v>1986.4400000000003</v>
      </c>
      <c r="BC22" s="63">
        <f t="shared" si="16"/>
        <v>1977.04</v>
      </c>
      <c r="BD22" s="63">
        <f t="shared" si="16"/>
        <v>2016.8400000000001</v>
      </c>
      <c r="BE22" s="63">
        <f t="shared" si="16"/>
        <v>2010.14</v>
      </c>
      <c r="BF22" s="63">
        <f t="shared" si="16"/>
        <v>1982.9399999999998</v>
      </c>
      <c r="BG22" s="63">
        <f t="shared" si="16"/>
        <v>2048.34</v>
      </c>
      <c r="BH22" s="63">
        <f t="shared" si="16"/>
        <v>2022.8400000000001</v>
      </c>
      <c r="BI22" s="63">
        <f t="shared" si="16"/>
        <v>2041.74</v>
      </c>
      <c r="BJ22" s="63">
        <f t="shared" si="16"/>
        <v>2087.94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39.4</v>
      </c>
      <c r="C23" s="46">
        <v>39.4</v>
      </c>
      <c r="D23" s="46">
        <v>39.4</v>
      </c>
      <c r="E23" s="46">
        <v>39.4</v>
      </c>
      <c r="F23" s="46">
        <v>39.4</v>
      </c>
      <c r="G23" s="46">
        <v>39.4</v>
      </c>
      <c r="H23" s="46">
        <v>39.4</v>
      </c>
      <c r="I23" s="46">
        <v>39.4</v>
      </c>
      <c r="J23" s="46">
        <v>39.4</v>
      </c>
      <c r="K23" s="46">
        <v>39.4</v>
      </c>
      <c r="L23" s="46">
        <v>39.4</v>
      </c>
      <c r="M23" s="46">
        <v>39.4</v>
      </c>
      <c r="N23" s="46">
        <v>39.4</v>
      </c>
      <c r="O23" s="46">
        <v>39.4</v>
      </c>
      <c r="P23" s="46">
        <v>39.4</v>
      </c>
      <c r="Q23" s="46">
        <v>30</v>
      </c>
      <c r="R23" s="46" t="s">
        <v>311</v>
      </c>
      <c r="S23" s="46">
        <v>30</v>
      </c>
      <c r="T23" s="46">
        <v>30</v>
      </c>
      <c r="U23" s="46">
        <v>30</v>
      </c>
      <c r="V23" s="46">
        <v>30</v>
      </c>
      <c r="W23" s="46">
        <v>30</v>
      </c>
      <c r="X23" s="46">
        <v>30</v>
      </c>
      <c r="Y23" s="46">
        <v>30</v>
      </c>
      <c r="Z23" s="46">
        <v>30</v>
      </c>
      <c r="AA23" s="46">
        <v>30</v>
      </c>
      <c r="AB23" s="46">
        <v>30</v>
      </c>
      <c r="AC23" s="46">
        <v>30</v>
      </c>
      <c r="AD23" s="46">
        <v>30</v>
      </c>
      <c r="AE23" s="46">
        <v>38</v>
      </c>
      <c r="AF23" s="46">
        <v>38</v>
      </c>
      <c r="AG23" s="50">
        <v>38.46</v>
      </c>
      <c r="AH23" s="48">
        <f t="shared" si="2"/>
        <v>39.4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-462.3</v>
      </c>
      <c r="AN23" s="63">
        <f t="shared" si="17"/>
        <v>-446.9</v>
      </c>
      <c r="AO23" s="63">
        <f t="shared" si="17"/>
        <v>-460.4</v>
      </c>
      <c r="AP23" s="63">
        <f t="shared" si="17"/>
        <v>-544.29999999999995</v>
      </c>
      <c r="AQ23" s="63">
        <f t="shared" si="17"/>
        <v>-583</v>
      </c>
      <c r="AR23" s="63">
        <f t="shared" si="17"/>
        <v>-625.70000000000005</v>
      </c>
      <c r="AS23" s="63">
        <f>I110*-1</f>
        <v>-675.3</v>
      </c>
      <c r="AT23" s="63">
        <f>K110*-1</f>
        <v>-581.1</v>
      </c>
      <c r="AU23" s="63">
        <f t="shared" ref="AU23:BD23" si="18">M110*-1</f>
        <v>-490</v>
      </c>
      <c r="AV23" s="63">
        <f t="shared" si="18"/>
        <v>-478</v>
      </c>
      <c r="AW23" s="63">
        <f t="shared" si="18"/>
        <v>-420.7</v>
      </c>
      <c r="AX23" s="63">
        <f t="shared" si="18"/>
        <v>-388</v>
      </c>
      <c r="AY23" s="63">
        <f t="shared" si="18"/>
        <v>-400</v>
      </c>
      <c r="AZ23" s="63">
        <f t="shared" si="18"/>
        <v>0</v>
      </c>
      <c r="BA23" s="63">
        <f t="shared" si="18"/>
        <v>-440.8</v>
      </c>
      <c r="BB23" s="63">
        <f t="shared" si="18"/>
        <v>-385.7</v>
      </c>
      <c r="BC23" s="63">
        <f t="shared" si="18"/>
        <v>-412</v>
      </c>
      <c r="BD23" s="63">
        <f t="shared" si="18"/>
        <v>-437.8</v>
      </c>
      <c r="BE23" s="63">
        <f>X110*-1</f>
        <v>-480.5</v>
      </c>
      <c r="BF23" s="63">
        <f>Z110*-1</f>
        <v>-380.2</v>
      </c>
      <c r="BG23" s="63">
        <f>AB110*-1</f>
        <v>-425</v>
      </c>
      <c r="BH23" s="63">
        <f>AD110*-1</f>
        <v>-441.7</v>
      </c>
      <c r="BI23" s="63">
        <f>AE110*-1</f>
        <v>-478.8</v>
      </c>
      <c r="BJ23" s="63">
        <f>AF110*-1</f>
        <v>-547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0</v>
      </c>
      <c r="C24" s="46">
        <v>0</v>
      </c>
      <c r="D24" s="46">
        <v>29.6</v>
      </c>
      <c r="E24" s="46">
        <v>29.6</v>
      </c>
      <c r="F24" s="46">
        <v>29.6</v>
      </c>
      <c r="G24" s="46">
        <v>29.6</v>
      </c>
      <c r="H24" s="46">
        <v>29.6</v>
      </c>
      <c r="I24" s="46">
        <v>29.6</v>
      </c>
      <c r="J24" s="46">
        <v>29.6</v>
      </c>
      <c r="K24" s="46">
        <v>29.6</v>
      </c>
      <c r="L24" s="46">
        <v>29.6</v>
      </c>
      <c r="M24" s="46">
        <v>29.6</v>
      </c>
      <c r="N24" s="46">
        <v>29.6</v>
      </c>
      <c r="O24" s="46">
        <v>29.6</v>
      </c>
      <c r="P24" s="46">
        <v>29.6</v>
      </c>
      <c r="Q24" s="46">
        <v>29</v>
      </c>
      <c r="R24" s="46" t="s">
        <v>305</v>
      </c>
      <c r="S24" s="46">
        <v>29</v>
      </c>
      <c r="T24" s="46">
        <v>29</v>
      </c>
      <c r="U24" s="46">
        <v>29</v>
      </c>
      <c r="V24" s="46">
        <v>29</v>
      </c>
      <c r="W24" s="46">
        <v>29</v>
      </c>
      <c r="X24" s="46">
        <v>29</v>
      </c>
      <c r="Y24" s="46">
        <v>29</v>
      </c>
      <c r="Z24" s="46">
        <v>29</v>
      </c>
      <c r="AA24" s="46">
        <v>29</v>
      </c>
      <c r="AB24" s="46">
        <v>29</v>
      </c>
      <c r="AC24" s="46">
        <v>29</v>
      </c>
      <c r="AD24" s="46">
        <v>29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1439.64</v>
      </c>
      <c r="AN24" s="63">
        <f t="shared" si="19"/>
        <v>1407.8400000000001</v>
      </c>
      <c r="AO24" s="63">
        <f t="shared" si="19"/>
        <v>1483.8400000000001</v>
      </c>
      <c r="AP24" s="63">
        <f t="shared" si="19"/>
        <v>1391.7400000000002</v>
      </c>
      <c r="AQ24" s="63">
        <f t="shared" si="19"/>
        <v>1380.24</v>
      </c>
      <c r="AR24" s="63">
        <f t="shared" si="19"/>
        <v>1329.34</v>
      </c>
      <c r="AS24" s="63">
        <f t="shared" si="19"/>
        <v>1304.1399999999999</v>
      </c>
      <c r="AT24" s="63">
        <f t="shared" si="19"/>
        <v>1375.8400000000001</v>
      </c>
      <c r="AU24" s="63">
        <f t="shared" si="19"/>
        <v>1505.6399999999999</v>
      </c>
      <c r="AV24" s="63">
        <f t="shared" si="19"/>
        <v>1454.1399999999999</v>
      </c>
      <c r="AW24" s="63">
        <f t="shared" si="19"/>
        <v>1523.7399999999998</v>
      </c>
      <c r="AX24" s="63">
        <f t="shared" si="19"/>
        <v>1622.1399999999999</v>
      </c>
      <c r="AY24" s="63">
        <f t="shared" si="19"/>
        <v>1583.44</v>
      </c>
      <c r="AZ24" s="63">
        <f t="shared" si="19"/>
        <v>153.54</v>
      </c>
      <c r="BA24" s="63">
        <f t="shared" si="19"/>
        <v>1545.5400000000002</v>
      </c>
      <c r="BB24" s="63">
        <f t="shared" si="19"/>
        <v>1600.7400000000002</v>
      </c>
      <c r="BC24" s="63">
        <f t="shared" si="19"/>
        <v>1565.04</v>
      </c>
      <c r="BD24" s="63">
        <f t="shared" si="19"/>
        <v>1579.0400000000002</v>
      </c>
      <c r="BE24" s="63">
        <f t="shared" si="19"/>
        <v>1529.64</v>
      </c>
      <c r="BF24" s="63">
        <f t="shared" si="19"/>
        <v>1602.7399999999998</v>
      </c>
      <c r="BG24" s="63">
        <f t="shared" si="19"/>
        <v>1623.3400000000001</v>
      </c>
      <c r="BH24" s="63">
        <f t="shared" si="19"/>
        <v>1581.14</v>
      </c>
      <c r="BI24" s="63">
        <f t="shared" si="19"/>
        <v>1562.94</v>
      </c>
      <c r="BJ24" s="63">
        <f t="shared" si="19"/>
        <v>1540.94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29.9</v>
      </c>
      <c r="C25" s="46">
        <v>29.9</v>
      </c>
      <c r="D25" s="46">
        <v>29.9</v>
      </c>
      <c r="E25" s="46">
        <v>29.9</v>
      </c>
      <c r="F25" s="46">
        <v>29.9</v>
      </c>
      <c r="G25" s="46">
        <v>29.9</v>
      </c>
      <c r="H25" s="46">
        <v>29.9</v>
      </c>
      <c r="I25" s="46">
        <v>29.9</v>
      </c>
      <c r="J25" s="46">
        <v>29.9</v>
      </c>
      <c r="K25" s="46">
        <v>29.9</v>
      </c>
      <c r="L25" s="46">
        <v>29.9</v>
      </c>
      <c r="M25" s="46">
        <v>29.9</v>
      </c>
      <c r="N25" s="46">
        <v>25</v>
      </c>
      <c r="O25" s="46">
        <v>25</v>
      </c>
      <c r="P25" s="46">
        <v>24.6</v>
      </c>
      <c r="Q25" s="46">
        <v>15</v>
      </c>
      <c r="R25" s="46"/>
      <c r="S25" s="46">
        <v>15</v>
      </c>
      <c r="T25" s="46">
        <v>15</v>
      </c>
      <c r="U25" s="46">
        <v>15</v>
      </c>
      <c r="V25" s="46">
        <v>25.3</v>
      </c>
      <c r="W25" s="46">
        <v>25.3</v>
      </c>
      <c r="X25" s="46">
        <v>25.3</v>
      </c>
      <c r="Y25" s="46">
        <v>15.7</v>
      </c>
      <c r="Z25" s="46">
        <v>15.7</v>
      </c>
      <c r="AA25" s="46">
        <v>20.7</v>
      </c>
      <c r="AB25" s="46">
        <v>25.3</v>
      </c>
      <c r="AC25" s="46">
        <v>25.3</v>
      </c>
      <c r="AD25" s="46">
        <v>25.3</v>
      </c>
      <c r="AE25" s="46">
        <v>30.6</v>
      </c>
      <c r="AF25" s="46">
        <v>30.6</v>
      </c>
      <c r="AG25" s="61">
        <v>30</v>
      </c>
      <c r="AH25" s="48">
        <f t="shared" si="2"/>
        <v>30.6</v>
      </c>
      <c r="AI25" s="49">
        <f t="shared" si="3"/>
        <v>15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15.1</v>
      </c>
      <c r="C26" s="46">
        <v>15.1</v>
      </c>
      <c r="D26" s="46">
        <v>15.1</v>
      </c>
      <c r="E26" s="46">
        <v>15.1</v>
      </c>
      <c r="F26" s="46">
        <v>16.100000000000001</v>
      </c>
      <c r="G26" s="46">
        <v>16.100000000000001</v>
      </c>
      <c r="H26" s="46">
        <v>25.2</v>
      </c>
      <c r="I26" s="46">
        <v>25.2</v>
      </c>
      <c r="J26" s="46">
        <v>25.2</v>
      </c>
      <c r="K26" s="46">
        <v>25.2</v>
      </c>
      <c r="L26" s="46">
        <v>25.2</v>
      </c>
      <c r="M26" s="46">
        <v>25.2</v>
      </c>
      <c r="N26" s="46">
        <v>25.2</v>
      </c>
      <c r="O26" s="46">
        <v>25.2</v>
      </c>
      <c r="P26" s="46">
        <v>25.2</v>
      </c>
      <c r="Q26" s="46">
        <v>33</v>
      </c>
      <c r="R26" s="46" t="s">
        <v>322</v>
      </c>
      <c r="S26" s="46">
        <v>33</v>
      </c>
      <c r="T26" s="46">
        <v>33</v>
      </c>
      <c r="U26" s="46">
        <v>33</v>
      </c>
      <c r="V26" s="46">
        <v>27</v>
      </c>
      <c r="W26" s="46">
        <v>27</v>
      </c>
      <c r="X26" s="46">
        <v>27</v>
      </c>
      <c r="Y26" s="46">
        <v>27</v>
      </c>
      <c r="Z26" s="46">
        <v>27</v>
      </c>
      <c r="AA26" s="46">
        <v>26.9</v>
      </c>
      <c r="AB26" s="46">
        <v>27</v>
      </c>
      <c r="AC26" s="46">
        <v>27</v>
      </c>
      <c r="AD26" s="46">
        <v>27</v>
      </c>
      <c r="AE26" s="46">
        <v>27</v>
      </c>
      <c r="AF26" s="46">
        <v>27</v>
      </c>
      <c r="AG26" s="50">
        <v>24.2</v>
      </c>
      <c r="AH26" s="48">
        <f t="shared" si="2"/>
        <v>33</v>
      </c>
      <c r="AI26" s="49">
        <f t="shared" si="3"/>
        <v>15.1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28.4</v>
      </c>
      <c r="C27" s="46">
        <v>28.4</v>
      </c>
      <c r="D27" s="46">
        <v>28.4</v>
      </c>
      <c r="E27" s="46">
        <v>28.4</v>
      </c>
      <c r="F27" s="46">
        <v>28.4</v>
      </c>
      <c r="G27" s="46">
        <v>28.4</v>
      </c>
      <c r="H27" s="46">
        <v>28.4</v>
      </c>
      <c r="I27" s="46">
        <v>28.4</v>
      </c>
      <c r="J27" s="46">
        <v>28.4</v>
      </c>
      <c r="K27" s="46">
        <v>28.4</v>
      </c>
      <c r="L27" s="46">
        <v>28.4</v>
      </c>
      <c r="M27" s="46">
        <v>28.4</v>
      </c>
      <c r="N27" s="46">
        <v>28.4</v>
      </c>
      <c r="O27" s="46">
        <v>28.4</v>
      </c>
      <c r="P27" s="46">
        <v>28.4</v>
      </c>
      <c r="Q27" s="46">
        <v>28.7</v>
      </c>
      <c r="R27" s="46" t="s">
        <v>324</v>
      </c>
      <c r="S27" s="46">
        <v>28.7</v>
      </c>
      <c r="T27" s="46">
        <v>28.7</v>
      </c>
      <c r="U27" s="46">
        <v>28.7</v>
      </c>
      <c r="V27" s="46">
        <v>28.7</v>
      </c>
      <c r="W27" s="46">
        <v>28.7</v>
      </c>
      <c r="X27" s="46">
        <v>28.7</v>
      </c>
      <c r="Y27" s="46">
        <v>28.7</v>
      </c>
      <c r="Z27" s="46">
        <v>28.7</v>
      </c>
      <c r="AA27" s="46">
        <v>28.7</v>
      </c>
      <c r="AB27" s="46">
        <v>28.7</v>
      </c>
      <c r="AC27" s="46">
        <v>28.7</v>
      </c>
      <c r="AD27" s="46">
        <v>28.7</v>
      </c>
      <c r="AE27" s="46">
        <v>28.7</v>
      </c>
      <c r="AF27" s="46">
        <v>28.7</v>
      </c>
      <c r="AG27" s="50">
        <v>28</v>
      </c>
      <c r="AH27" s="48">
        <f t="shared" si="2"/>
        <v>28.7</v>
      </c>
      <c r="AI27" s="49">
        <f t="shared" si="3"/>
        <v>28.4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28.1</v>
      </c>
      <c r="C28" s="46">
        <v>28.1</v>
      </c>
      <c r="D28" s="46">
        <v>28.1</v>
      </c>
      <c r="E28" s="46">
        <v>28.1</v>
      </c>
      <c r="F28" s="46">
        <v>28.1</v>
      </c>
      <c r="G28" s="46">
        <v>28.1</v>
      </c>
      <c r="H28" s="46">
        <v>28.1</v>
      </c>
      <c r="I28" s="46">
        <v>28.1</v>
      </c>
      <c r="J28" s="46">
        <v>28.1</v>
      </c>
      <c r="K28" s="46">
        <v>28.1</v>
      </c>
      <c r="L28" s="46">
        <v>28.1</v>
      </c>
      <c r="M28" s="46">
        <v>28.1</v>
      </c>
      <c r="N28" s="46">
        <v>28.1</v>
      </c>
      <c r="O28" s="46">
        <v>28.1</v>
      </c>
      <c r="P28" s="46">
        <v>28.1</v>
      </c>
      <c r="Q28" s="46">
        <v>16</v>
      </c>
      <c r="R28" s="46" t="s">
        <v>323</v>
      </c>
      <c r="S28" s="46">
        <v>16</v>
      </c>
      <c r="T28" s="46">
        <v>16</v>
      </c>
      <c r="U28" s="46">
        <v>16</v>
      </c>
      <c r="V28" s="46">
        <v>16</v>
      </c>
      <c r="W28" s="46">
        <v>16</v>
      </c>
      <c r="X28" s="46">
        <v>16</v>
      </c>
      <c r="Y28" s="46">
        <v>16.3</v>
      </c>
      <c r="Z28" s="46">
        <v>16.3</v>
      </c>
      <c r="AA28" s="46">
        <v>18.899999999999999</v>
      </c>
      <c r="AB28" s="46">
        <v>18.899999999999999</v>
      </c>
      <c r="AC28" s="46">
        <v>18.899999999999999</v>
      </c>
      <c r="AD28" s="46">
        <v>18.899999999999999</v>
      </c>
      <c r="AE28" s="46">
        <v>22.4</v>
      </c>
      <c r="AF28" s="46">
        <v>22.4</v>
      </c>
      <c r="AG28" s="61">
        <v>30</v>
      </c>
      <c r="AH28" s="48">
        <f t="shared" si="2"/>
        <v>28.1</v>
      </c>
      <c r="AI28" s="49">
        <f t="shared" si="3"/>
        <v>16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 t="s">
        <v>323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2"/>
        <v>25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 t="s">
        <v>321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 t="s">
        <v>320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50">
        <v>25</v>
      </c>
      <c r="AH31" s="48">
        <f t="shared" si="2"/>
        <v>0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25.8</v>
      </c>
      <c r="C32" s="46">
        <v>25.8</v>
      </c>
      <c r="D32" s="46">
        <v>25.8</v>
      </c>
      <c r="E32" s="46">
        <v>25.8</v>
      </c>
      <c r="F32" s="46">
        <v>25.8</v>
      </c>
      <c r="G32" s="46">
        <v>25.8</v>
      </c>
      <c r="H32" s="46">
        <v>25.8</v>
      </c>
      <c r="I32" s="46">
        <v>25.8</v>
      </c>
      <c r="J32" s="46">
        <v>25.8</v>
      </c>
      <c r="K32" s="46">
        <v>25.8</v>
      </c>
      <c r="L32" s="46">
        <v>25.8</v>
      </c>
      <c r="M32" s="46">
        <v>25.8</v>
      </c>
      <c r="N32" s="46">
        <v>25.8</v>
      </c>
      <c r="O32" s="46">
        <v>25.8</v>
      </c>
      <c r="P32" s="46">
        <v>25.8</v>
      </c>
      <c r="Q32" s="46">
        <v>12</v>
      </c>
      <c r="R32" s="46" t="s">
        <v>304</v>
      </c>
      <c r="S32" s="46">
        <v>12</v>
      </c>
      <c r="T32" s="46">
        <v>12</v>
      </c>
      <c r="U32" s="46">
        <v>12</v>
      </c>
      <c r="V32" s="46">
        <v>12</v>
      </c>
      <c r="W32" s="46">
        <v>12</v>
      </c>
      <c r="X32" s="46">
        <v>12</v>
      </c>
      <c r="Y32" s="46">
        <v>13</v>
      </c>
      <c r="Z32" s="46">
        <v>13</v>
      </c>
      <c r="AA32" s="46">
        <v>19.899999999999999</v>
      </c>
      <c r="AB32" s="46">
        <v>19.899999999999999</v>
      </c>
      <c r="AC32" s="46">
        <v>19.899999999999999</v>
      </c>
      <c r="AD32" s="46">
        <v>19.899999999999999</v>
      </c>
      <c r="AE32" s="46">
        <v>19.100000000000001</v>
      </c>
      <c r="AF32" s="46">
        <v>19.100000000000001</v>
      </c>
      <c r="AG32" s="50">
        <v>25</v>
      </c>
      <c r="AH32" s="48">
        <f t="shared" si="2"/>
        <v>25.8</v>
      </c>
      <c r="AI32" s="49">
        <f t="shared" si="3"/>
        <v>12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0</v>
      </c>
      <c r="C33" s="46">
        <v>0</v>
      </c>
      <c r="D33" s="46">
        <v>23.8</v>
      </c>
      <c r="E33" s="46">
        <v>23.8</v>
      </c>
      <c r="F33" s="46">
        <v>23.8</v>
      </c>
      <c r="G33" s="46">
        <v>23.8</v>
      </c>
      <c r="H33" s="46">
        <v>23.8</v>
      </c>
      <c r="I33" s="46">
        <v>23.8</v>
      </c>
      <c r="J33" s="46">
        <v>23.8</v>
      </c>
      <c r="K33" s="46">
        <v>23.8</v>
      </c>
      <c r="L33" s="46">
        <v>23.8</v>
      </c>
      <c r="M33" s="46">
        <v>23.8</v>
      </c>
      <c r="N33" s="46">
        <v>23.8</v>
      </c>
      <c r="O33" s="46">
        <v>23.8</v>
      </c>
      <c r="P33" s="46">
        <v>23.8</v>
      </c>
      <c r="Q33" s="46">
        <v>23</v>
      </c>
      <c r="R33" s="46" t="s">
        <v>311</v>
      </c>
      <c r="S33" s="46">
        <v>23</v>
      </c>
      <c r="T33" s="46">
        <v>23</v>
      </c>
      <c r="U33" s="46">
        <v>23</v>
      </c>
      <c r="V33" s="46">
        <v>23</v>
      </c>
      <c r="W33" s="46">
        <v>23</v>
      </c>
      <c r="X33" s="46">
        <v>23</v>
      </c>
      <c r="Y33" s="46">
        <v>23</v>
      </c>
      <c r="Z33" s="46">
        <v>23</v>
      </c>
      <c r="AA33" s="46">
        <v>23</v>
      </c>
      <c r="AB33" s="46">
        <v>23</v>
      </c>
      <c r="AC33" s="46">
        <v>23</v>
      </c>
      <c r="AD33" s="46">
        <v>23</v>
      </c>
      <c r="AE33" s="46">
        <v>23</v>
      </c>
      <c r="AF33" s="46">
        <v>23</v>
      </c>
      <c r="AG33" s="50">
        <v>23.5</v>
      </c>
      <c r="AH33" s="48">
        <f t="shared" si="2"/>
        <v>23.8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/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/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/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8.4</v>
      </c>
      <c r="C37" s="46">
        <v>8.4</v>
      </c>
      <c r="D37" s="46">
        <v>8.4</v>
      </c>
      <c r="E37" s="46">
        <v>13.2</v>
      </c>
      <c r="F37" s="46">
        <v>13.2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22</v>
      </c>
      <c r="R37" s="46"/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24.2</v>
      </c>
      <c r="AG37" s="50">
        <v>22</v>
      </c>
      <c r="AH37" s="48">
        <f t="shared" si="2"/>
        <v>24.2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</v>
      </c>
      <c r="C38" s="46">
        <v>20.3</v>
      </c>
      <c r="D38" s="46">
        <v>20.3</v>
      </c>
      <c r="E38" s="46">
        <v>20.3</v>
      </c>
      <c r="F38" s="46">
        <v>20.3</v>
      </c>
      <c r="G38" s="46">
        <v>20.3</v>
      </c>
      <c r="H38" s="46">
        <v>20.3</v>
      </c>
      <c r="I38" s="46">
        <v>20.3</v>
      </c>
      <c r="J38" s="46">
        <v>20.3</v>
      </c>
      <c r="K38" s="46">
        <v>20.3</v>
      </c>
      <c r="L38" s="46">
        <v>20.3</v>
      </c>
      <c r="M38" s="46">
        <v>20.3</v>
      </c>
      <c r="N38" s="46">
        <v>20.3</v>
      </c>
      <c r="O38" s="46">
        <v>20.3</v>
      </c>
      <c r="P38" s="46">
        <v>20.3</v>
      </c>
      <c r="Q38" s="46">
        <v>20</v>
      </c>
      <c r="R38" s="46"/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20.3</v>
      </c>
      <c r="AI38" s="49">
        <f t="shared" si="3"/>
        <v>20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/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7.1</v>
      </c>
      <c r="C40" s="46">
        <v>7.1</v>
      </c>
      <c r="D40" s="46">
        <v>7.1</v>
      </c>
      <c r="E40" s="46">
        <v>7.1</v>
      </c>
      <c r="F40" s="46">
        <v>7.1</v>
      </c>
      <c r="G40" s="46">
        <v>7.1</v>
      </c>
      <c r="H40" s="46">
        <v>7.1</v>
      </c>
      <c r="I40" s="46">
        <v>7.1</v>
      </c>
      <c r="J40" s="46">
        <v>7.1</v>
      </c>
      <c r="K40" s="46">
        <v>7.1</v>
      </c>
      <c r="L40" s="46">
        <v>7.1</v>
      </c>
      <c r="M40" s="46">
        <v>7.1</v>
      </c>
      <c r="N40" s="46">
        <v>7.1</v>
      </c>
      <c r="O40" s="46">
        <v>7.1</v>
      </c>
      <c r="P40" s="46">
        <v>7.1</v>
      </c>
      <c r="Q40" s="46">
        <v>7.1</v>
      </c>
      <c r="R40" s="46"/>
      <c r="S40" s="46">
        <v>7.1</v>
      </c>
      <c r="T40" s="46">
        <v>7.1</v>
      </c>
      <c r="U40" s="46">
        <v>7.1</v>
      </c>
      <c r="V40" s="46">
        <v>7.1</v>
      </c>
      <c r="W40" s="46">
        <v>7.1</v>
      </c>
      <c r="X40" s="46">
        <v>7.1</v>
      </c>
      <c r="Y40" s="46">
        <v>7.1</v>
      </c>
      <c r="Z40" s="46">
        <v>7.1</v>
      </c>
      <c r="AA40" s="46">
        <v>7.1</v>
      </c>
      <c r="AB40" s="46">
        <v>7.1</v>
      </c>
      <c r="AC40" s="46">
        <v>7.1</v>
      </c>
      <c r="AD40" s="46">
        <v>7.1</v>
      </c>
      <c r="AE40" s="46">
        <v>7.1</v>
      </c>
      <c r="AF40" s="46">
        <v>7.5</v>
      </c>
      <c r="AG40" s="50">
        <v>18</v>
      </c>
      <c r="AH40" s="48">
        <f t="shared" si="2"/>
        <v>7.5</v>
      </c>
      <c r="AI40" s="49">
        <f t="shared" si="3"/>
        <v>7.1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8.5</v>
      </c>
      <c r="C41" s="46">
        <v>8.5</v>
      </c>
      <c r="D41" s="46">
        <v>8.5</v>
      </c>
      <c r="E41" s="46">
        <v>8.5</v>
      </c>
      <c r="F41" s="46">
        <v>8.5</v>
      </c>
      <c r="G41" s="46">
        <v>8.5</v>
      </c>
      <c r="H41" s="46">
        <v>8.5</v>
      </c>
      <c r="I41" s="46">
        <v>8.5</v>
      </c>
      <c r="J41" s="46">
        <v>8.5</v>
      </c>
      <c r="K41" s="46">
        <v>8.5</v>
      </c>
      <c r="L41" s="46">
        <v>8.5</v>
      </c>
      <c r="M41" s="46">
        <v>8.5</v>
      </c>
      <c r="N41" s="46">
        <v>8.5</v>
      </c>
      <c r="O41" s="46">
        <v>8.5</v>
      </c>
      <c r="P41" s="46">
        <v>8.5</v>
      </c>
      <c r="Q41" s="46">
        <v>8.5</v>
      </c>
      <c r="R41" s="46"/>
      <c r="S41" s="46">
        <v>8.5</v>
      </c>
      <c r="T41" s="46">
        <v>8.5</v>
      </c>
      <c r="U41" s="46">
        <v>8.5</v>
      </c>
      <c r="V41" s="46">
        <v>8.5</v>
      </c>
      <c r="W41" s="46">
        <v>8.5</v>
      </c>
      <c r="X41" s="46">
        <v>8.5</v>
      </c>
      <c r="Y41" s="46">
        <v>8.5</v>
      </c>
      <c r="Z41" s="46">
        <v>8.5</v>
      </c>
      <c r="AA41" s="46">
        <v>8.5</v>
      </c>
      <c r="AB41" s="46">
        <v>8.5</v>
      </c>
      <c r="AC41" s="46">
        <v>8.5</v>
      </c>
      <c r="AD41" s="46">
        <v>8.5</v>
      </c>
      <c r="AE41" s="46">
        <v>8.5</v>
      </c>
      <c r="AF41" s="46">
        <v>8.5</v>
      </c>
      <c r="AG41" s="50">
        <v>15.33</v>
      </c>
      <c r="AH41" s="48">
        <f t="shared" si="2"/>
        <v>8.5</v>
      </c>
      <c r="AI41" s="49">
        <f t="shared" si="3"/>
        <v>8.5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/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/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>
        <v>7</v>
      </c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>
        <v>7</v>
      </c>
      <c r="L44" s="46">
        <v>7</v>
      </c>
      <c r="M44" s="46">
        <v>7</v>
      </c>
      <c r="N44" s="46">
        <v>7</v>
      </c>
      <c r="O44" s="46">
        <v>7</v>
      </c>
      <c r="P44" s="46">
        <v>7</v>
      </c>
      <c r="Q44" s="46">
        <v>7</v>
      </c>
      <c r="R44" s="46"/>
      <c r="S44" s="46">
        <v>7</v>
      </c>
      <c r="T44" s="46">
        <v>7</v>
      </c>
      <c r="U44" s="46">
        <v>7</v>
      </c>
      <c r="V44" s="46">
        <v>7</v>
      </c>
      <c r="W44" s="46">
        <v>7</v>
      </c>
      <c r="X44" s="46">
        <v>7</v>
      </c>
      <c r="Y44" s="46">
        <v>7</v>
      </c>
      <c r="Z44" s="46">
        <v>7</v>
      </c>
      <c r="AA44" s="46">
        <v>7</v>
      </c>
      <c r="AB44" s="46">
        <v>7</v>
      </c>
      <c r="AC44" s="46">
        <v>7</v>
      </c>
      <c r="AD44" s="46">
        <v>7</v>
      </c>
      <c r="AE44" s="46">
        <v>7</v>
      </c>
      <c r="AF44" s="46">
        <v>7</v>
      </c>
      <c r="AG44" s="50">
        <v>14.8</v>
      </c>
      <c r="AH44" s="48">
        <f t="shared" si="2"/>
        <v>7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/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14.3</v>
      </c>
      <c r="AH45" s="48">
        <f t="shared" si="2"/>
        <v>7</v>
      </c>
      <c r="AI45" s="49">
        <f t="shared" si="3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5.0999999999999996</v>
      </c>
      <c r="C46" s="46">
        <v>5.0999999999999996</v>
      </c>
      <c r="D46" s="46">
        <v>5.0999999999999996</v>
      </c>
      <c r="E46" s="46">
        <v>5.0999999999999996</v>
      </c>
      <c r="F46" s="46">
        <v>5.0999999999999996</v>
      </c>
      <c r="G46" s="46">
        <v>5.0999999999999996</v>
      </c>
      <c r="H46" s="46">
        <v>5.0999999999999996</v>
      </c>
      <c r="I46" s="46">
        <v>5.0999999999999996</v>
      </c>
      <c r="J46" s="46">
        <v>5.0999999999999996</v>
      </c>
      <c r="K46" s="46">
        <v>5.0999999999999996</v>
      </c>
      <c r="L46" s="46">
        <v>5.0999999999999996</v>
      </c>
      <c r="M46" s="46">
        <v>5.0999999999999996</v>
      </c>
      <c r="N46" s="46">
        <v>5.0999999999999996</v>
      </c>
      <c r="O46" s="46">
        <v>5.0999999999999996</v>
      </c>
      <c r="P46" s="46">
        <v>5.0999999999999996</v>
      </c>
      <c r="Q46" s="46">
        <v>5.0999999999999996</v>
      </c>
      <c r="R46" s="46"/>
      <c r="S46" s="46">
        <v>5.0999999999999996</v>
      </c>
      <c r="T46" s="46">
        <v>5.0999999999999996</v>
      </c>
      <c r="U46" s="46">
        <v>5.0999999999999996</v>
      </c>
      <c r="V46" s="46">
        <v>5.0999999999999996</v>
      </c>
      <c r="W46" s="46">
        <v>5.0999999999999996</v>
      </c>
      <c r="X46" s="46">
        <v>5.0999999999999996</v>
      </c>
      <c r="Y46" s="46">
        <v>5.0999999999999996</v>
      </c>
      <c r="Z46" s="46">
        <v>5.0999999999999996</v>
      </c>
      <c r="AA46" s="46">
        <v>5.0999999999999996</v>
      </c>
      <c r="AB46" s="46">
        <v>5.0999999999999996</v>
      </c>
      <c r="AC46" s="46">
        <v>5.0999999999999996</v>
      </c>
      <c r="AD46" s="46">
        <v>5.0999999999999996</v>
      </c>
      <c r="AE46" s="46">
        <v>5.0999999999999996</v>
      </c>
      <c r="AF46" s="46">
        <v>5.0999999999999996</v>
      </c>
      <c r="AG46" s="50">
        <v>14</v>
      </c>
      <c r="AH46" s="48">
        <f t="shared" si="2"/>
        <v>5.0999999999999996</v>
      </c>
      <c r="AI46" s="49">
        <f t="shared" si="3"/>
        <v>5.0999999999999996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/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/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7</v>
      </c>
      <c r="C49" s="46">
        <v>7</v>
      </c>
      <c r="D49" s="46">
        <v>11</v>
      </c>
      <c r="E49" s="46">
        <v>12</v>
      </c>
      <c r="F49" s="46">
        <v>12</v>
      </c>
      <c r="G49" s="46">
        <v>12</v>
      </c>
      <c r="H49" s="46">
        <v>12</v>
      </c>
      <c r="I49" s="46">
        <v>12</v>
      </c>
      <c r="J49" s="46">
        <v>12</v>
      </c>
      <c r="K49" s="46">
        <v>12</v>
      </c>
      <c r="L49" s="46">
        <v>12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/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7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>
        <v>5.0999999999999996</v>
      </c>
      <c r="D50" s="46">
        <v>5.0999999999999996</v>
      </c>
      <c r="E50" s="46">
        <v>5.0999999999999996</v>
      </c>
      <c r="F50" s="46">
        <v>5.0999999999999996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>
        <v>5.0999999999999996</v>
      </c>
      <c r="Q50" s="46">
        <v>5.0999999999999996</v>
      </c>
      <c r="R50" s="46"/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5.0999999999999996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/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/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/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/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/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/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/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/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138.1</v>
      </c>
      <c r="C60" s="68">
        <v>138.1</v>
      </c>
      <c r="D60" s="68">
        <v>138.1</v>
      </c>
      <c r="E60" s="68">
        <f>44.3+97.3</f>
        <v>141.6</v>
      </c>
      <c r="F60" s="68">
        <f>44.5+97.6</f>
        <v>142.1</v>
      </c>
      <c r="G60" s="68">
        <f>44.4+97.5</f>
        <v>141.9</v>
      </c>
      <c r="H60" s="68">
        <f>44.2+97</f>
        <v>141.19999999999999</v>
      </c>
      <c r="I60" s="68">
        <f>44+96.5</f>
        <v>140.5</v>
      </c>
      <c r="J60" s="68">
        <f>43.3+95.7</f>
        <v>139</v>
      </c>
      <c r="K60" s="53">
        <f>43.1+95.6</f>
        <v>138.69999999999999</v>
      </c>
      <c r="L60" s="53">
        <f>43.1+95.6</f>
        <v>138.69999999999999</v>
      </c>
      <c r="M60" s="53">
        <f>43.1+95.6</f>
        <v>138.69999999999999</v>
      </c>
      <c r="N60" s="53">
        <f>43.1+95.6</f>
        <v>138.69999999999999</v>
      </c>
      <c r="O60" s="53">
        <v>86</v>
      </c>
      <c r="P60" s="53">
        <v>86.6</v>
      </c>
      <c r="Q60" s="53">
        <v>91.7</v>
      </c>
      <c r="R60" s="53"/>
      <c r="S60" s="53">
        <v>91.7</v>
      </c>
      <c r="T60" s="53">
        <v>91.7</v>
      </c>
      <c r="U60" s="53">
        <v>91.7</v>
      </c>
      <c r="V60" s="53">
        <v>90.7</v>
      </c>
      <c r="W60" s="53">
        <v>90.6</v>
      </c>
      <c r="X60" s="53">
        <v>90.6</v>
      </c>
      <c r="Y60" s="53">
        <v>94.2</v>
      </c>
      <c r="Z60" s="53">
        <v>94.2</v>
      </c>
      <c r="AA60" s="53">
        <v>94.2</v>
      </c>
      <c r="AB60" s="53">
        <v>94.2</v>
      </c>
      <c r="AC60" s="68">
        <f>92.2+42.6</f>
        <v>134.80000000000001</v>
      </c>
      <c r="AD60" s="68">
        <f>97.6+44.4</f>
        <v>142</v>
      </c>
      <c r="AE60" s="68">
        <f>46+99.4</f>
        <v>145.4</v>
      </c>
      <c r="AF60" s="68">
        <f>46.6+100.3</f>
        <v>146.9</v>
      </c>
      <c r="AG60" s="66">
        <v>240</v>
      </c>
      <c r="AH60" s="48">
        <f t="shared" si="2"/>
        <v>146.9</v>
      </c>
      <c r="AI60" s="49">
        <f t="shared" si="3"/>
        <v>86</v>
      </c>
      <c r="AK60" s="51"/>
    </row>
    <row r="61" spans="1:88" ht="15.75" thickBot="1" x14ac:dyDescent="0.3">
      <c r="A61" s="70" t="s">
        <v>75</v>
      </c>
      <c r="B61" s="71">
        <f>SUM(B11:B59)</f>
        <v>896.49999999999989</v>
      </c>
      <c r="C61" s="71">
        <f>SUM(C11:C59)</f>
        <v>896.49999999999989</v>
      </c>
      <c r="D61" s="71">
        <f>SUM(D11:D59)</f>
        <v>968.39999999999986</v>
      </c>
      <c r="E61" s="71">
        <f t="shared" ref="E61:AG61" si="20">SUM(E11:E59)</f>
        <v>981.5</v>
      </c>
      <c r="F61" s="71">
        <f t="shared" si="20"/>
        <v>1000.1</v>
      </c>
      <c r="G61" s="71">
        <f t="shared" si="20"/>
        <v>991.89999999999986</v>
      </c>
      <c r="H61" s="71">
        <f t="shared" si="20"/>
        <v>1021.5999999999999</v>
      </c>
      <c r="I61" s="71">
        <f t="shared" si="20"/>
        <v>1016.8999999999999</v>
      </c>
      <c r="J61" s="71">
        <f t="shared" si="20"/>
        <v>993.59999999999991</v>
      </c>
      <c r="K61" s="71">
        <f t="shared" si="20"/>
        <v>993.59999999999991</v>
      </c>
      <c r="L61" s="71">
        <f t="shared" si="20"/>
        <v>993.59999999999991</v>
      </c>
      <c r="M61" s="71">
        <f t="shared" si="20"/>
        <v>1012.8</v>
      </c>
      <c r="N61" s="71">
        <f t="shared" si="20"/>
        <v>974.69999999999993</v>
      </c>
      <c r="O61" s="71">
        <f t="shared" si="20"/>
        <v>987.69999999999993</v>
      </c>
      <c r="P61" s="71">
        <f t="shared" si="20"/>
        <v>1035.3</v>
      </c>
      <c r="Q61" s="71">
        <f t="shared" si="20"/>
        <v>991.10000000000014</v>
      </c>
      <c r="R61" s="71">
        <f t="shared" si="20"/>
        <v>150</v>
      </c>
      <c r="S61" s="71">
        <f t="shared" ref="S61:AB61" si="21">SUM(S11:S59)</f>
        <v>991.10000000000014</v>
      </c>
      <c r="T61" s="71">
        <f t="shared" si="21"/>
        <v>991.10000000000014</v>
      </c>
      <c r="U61" s="71">
        <f t="shared" si="21"/>
        <v>991.10000000000014</v>
      </c>
      <c r="V61" s="71">
        <f t="shared" si="21"/>
        <v>1029.4000000000001</v>
      </c>
      <c r="W61" s="71">
        <f t="shared" si="21"/>
        <v>1029.4000000000001</v>
      </c>
      <c r="X61" s="71">
        <f t="shared" si="21"/>
        <v>1029.4000000000001</v>
      </c>
      <c r="Y61" s="71">
        <f t="shared" si="21"/>
        <v>969.80000000000007</v>
      </c>
      <c r="Z61" s="71">
        <f t="shared" si="21"/>
        <v>1003.8000000000001</v>
      </c>
      <c r="AA61" s="71">
        <f t="shared" si="21"/>
        <v>1021.3000000000001</v>
      </c>
      <c r="AB61" s="71">
        <f t="shared" si="21"/>
        <v>1041</v>
      </c>
      <c r="AC61" s="71">
        <f t="shared" si="20"/>
        <v>1040.9000000000001</v>
      </c>
      <c r="AD61" s="71">
        <f t="shared" si="20"/>
        <v>1040.9000000000001</v>
      </c>
      <c r="AE61" s="71">
        <f>SUM(AE11:AE59)</f>
        <v>1079</v>
      </c>
      <c r="AF61" s="71">
        <f>SUM(AF11:AF59)</f>
        <v>1124</v>
      </c>
      <c r="AG61" s="71">
        <f t="shared" si="20"/>
        <v>1466.0300000000002</v>
      </c>
      <c r="AH61" s="48">
        <f t="shared" si="2"/>
        <v>1124</v>
      </c>
      <c r="AI61" s="49">
        <f t="shared" si="3"/>
        <v>150</v>
      </c>
      <c r="AK61" s="51"/>
    </row>
    <row r="62" spans="1:88" x14ac:dyDescent="0.25">
      <c r="A62" s="73" t="s">
        <v>76</v>
      </c>
      <c r="B62" s="46">
        <v>460</v>
      </c>
      <c r="C62" s="46">
        <v>460</v>
      </c>
      <c r="D62" s="46">
        <v>460</v>
      </c>
      <c r="E62" s="46">
        <v>460</v>
      </c>
      <c r="F62" s="46">
        <v>460</v>
      </c>
      <c r="G62" s="46">
        <v>460</v>
      </c>
      <c r="H62" s="46">
        <v>459.4</v>
      </c>
      <c r="I62" s="46">
        <v>459.4</v>
      </c>
      <c r="J62" s="46">
        <v>458.9</v>
      </c>
      <c r="K62" s="46">
        <v>458.9</v>
      </c>
      <c r="L62" s="46">
        <v>458.9</v>
      </c>
      <c r="M62" s="46">
        <v>458.9</v>
      </c>
      <c r="N62" s="46">
        <v>458.9</v>
      </c>
      <c r="O62" s="46">
        <v>458.9</v>
      </c>
      <c r="P62" s="46">
        <v>458.9</v>
      </c>
      <c r="Q62" s="74">
        <v>458.9</v>
      </c>
      <c r="R62" s="74"/>
      <c r="S62" s="74">
        <v>458.9</v>
      </c>
      <c r="T62" s="74">
        <v>458.9</v>
      </c>
      <c r="U62" s="74">
        <v>458.9</v>
      </c>
      <c r="V62" s="74">
        <v>458.9</v>
      </c>
      <c r="W62" s="74">
        <v>458.9</v>
      </c>
      <c r="X62" s="74">
        <v>458.9</v>
      </c>
      <c r="Y62" s="74">
        <v>458.9</v>
      </c>
      <c r="Z62" s="74">
        <v>458.9</v>
      </c>
      <c r="AA62" s="74">
        <v>458.9</v>
      </c>
      <c r="AB62" s="74">
        <v>458.9</v>
      </c>
      <c r="AC62" s="74">
        <v>458.9</v>
      </c>
      <c r="AD62" s="74">
        <v>458.9</v>
      </c>
      <c r="AE62" s="74">
        <v>458.9</v>
      </c>
      <c r="AF62" s="74">
        <v>459</v>
      </c>
      <c r="AG62" s="61">
        <v>456</v>
      </c>
      <c r="AH62" s="48">
        <f t="shared" si="2"/>
        <v>460</v>
      </c>
      <c r="AI62" s="49">
        <f t="shared" si="3"/>
        <v>458.9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/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22.4</v>
      </c>
      <c r="R64" s="78"/>
      <c r="S64" s="78">
        <v>22.4</v>
      </c>
      <c r="T64" s="78">
        <v>22.4</v>
      </c>
      <c r="U64" s="78">
        <v>22.4</v>
      </c>
      <c r="V64" s="78">
        <v>22.4</v>
      </c>
      <c r="W64" s="78">
        <v>22.4</v>
      </c>
      <c r="X64" s="78">
        <v>22.4</v>
      </c>
      <c r="Y64" s="78">
        <v>22.4</v>
      </c>
      <c r="Z64" s="78">
        <v>22.4</v>
      </c>
      <c r="AA64" s="78">
        <v>22.4</v>
      </c>
      <c r="AB64" s="78">
        <v>22.4</v>
      </c>
      <c r="AC64" s="78">
        <v>22.4</v>
      </c>
      <c r="AD64" s="78">
        <v>22.4</v>
      </c>
      <c r="AE64" s="78">
        <v>22.4</v>
      </c>
      <c r="AF64" s="78">
        <v>22.7</v>
      </c>
      <c r="AG64" s="79">
        <v>22.1</v>
      </c>
      <c r="AH64" s="48">
        <f t="shared" si="2"/>
        <v>22.7</v>
      </c>
      <c r="AI64" s="49">
        <f t="shared" si="3"/>
        <v>22.4</v>
      </c>
      <c r="AK64" s="51"/>
    </row>
    <row r="65" spans="1:75" ht="15.75" thickBot="1" x14ac:dyDescent="0.3">
      <c r="A65" s="80" t="s">
        <v>79</v>
      </c>
      <c r="B65" s="71">
        <f>SUM(B62:B64)</f>
        <v>542.5</v>
      </c>
      <c r="C65" s="71">
        <f>SUM(C62:C64)</f>
        <v>542.5</v>
      </c>
      <c r="D65" s="71">
        <f>SUM(D62:D64)</f>
        <v>542.5</v>
      </c>
      <c r="E65" s="71">
        <f t="shared" ref="E65:AG65" si="22">SUM(E62:E64)</f>
        <v>542.5</v>
      </c>
      <c r="F65" s="71">
        <f t="shared" si="22"/>
        <v>542.5</v>
      </c>
      <c r="G65" s="71">
        <f t="shared" si="22"/>
        <v>542.5</v>
      </c>
      <c r="H65" s="71">
        <f t="shared" si="22"/>
        <v>541.9</v>
      </c>
      <c r="I65" s="71">
        <f t="shared" si="22"/>
        <v>541.9</v>
      </c>
      <c r="J65" s="71">
        <f t="shared" si="22"/>
        <v>541.4</v>
      </c>
      <c r="K65" s="71">
        <f t="shared" si="22"/>
        <v>541.4</v>
      </c>
      <c r="L65" s="71">
        <f t="shared" si="22"/>
        <v>541.4</v>
      </c>
      <c r="M65" s="71">
        <f t="shared" si="22"/>
        <v>541.4</v>
      </c>
      <c r="N65" s="71">
        <f t="shared" si="22"/>
        <v>541.4</v>
      </c>
      <c r="O65" s="71">
        <f t="shared" si="22"/>
        <v>541.4</v>
      </c>
      <c r="P65" s="71">
        <f t="shared" si="22"/>
        <v>541.4</v>
      </c>
      <c r="Q65" s="71">
        <f t="shared" si="22"/>
        <v>541.29999999999995</v>
      </c>
      <c r="R65" s="71">
        <f t="shared" si="22"/>
        <v>0</v>
      </c>
      <c r="S65" s="71">
        <f t="shared" ref="S65:AB65" si="23">SUM(S62:S64)</f>
        <v>541.29999999999995</v>
      </c>
      <c r="T65" s="71">
        <f t="shared" si="23"/>
        <v>541.29999999999995</v>
      </c>
      <c r="U65" s="71">
        <f t="shared" si="23"/>
        <v>541.29999999999995</v>
      </c>
      <c r="V65" s="71">
        <f t="shared" si="23"/>
        <v>541.29999999999995</v>
      </c>
      <c r="W65" s="71">
        <f t="shared" si="23"/>
        <v>541.29999999999995</v>
      </c>
      <c r="X65" s="71">
        <f t="shared" si="23"/>
        <v>541.29999999999995</v>
      </c>
      <c r="Y65" s="71">
        <f t="shared" si="23"/>
        <v>541.29999999999995</v>
      </c>
      <c r="Z65" s="71">
        <f t="shared" si="23"/>
        <v>541.29999999999995</v>
      </c>
      <c r="AA65" s="71">
        <f t="shared" si="23"/>
        <v>541.29999999999995</v>
      </c>
      <c r="AB65" s="71">
        <f t="shared" si="23"/>
        <v>541.29999999999995</v>
      </c>
      <c r="AC65" s="71">
        <f t="shared" si="22"/>
        <v>541.29999999999995</v>
      </c>
      <c r="AD65" s="71">
        <f t="shared" si="22"/>
        <v>541.29999999999995</v>
      </c>
      <c r="AE65" s="71">
        <f>SUM(AE62:AE64)</f>
        <v>541.29999999999995</v>
      </c>
      <c r="AF65" s="71">
        <f>SUM(AF62:AF64)</f>
        <v>541.70000000000005</v>
      </c>
      <c r="AG65" s="72">
        <f t="shared" si="22"/>
        <v>538.1</v>
      </c>
      <c r="AH65" s="48">
        <f t="shared" si="2"/>
        <v>542.5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140</v>
      </c>
      <c r="C66" s="46">
        <v>140</v>
      </c>
      <c r="D66" s="46">
        <v>140</v>
      </c>
      <c r="E66" s="46">
        <v>140</v>
      </c>
      <c r="F66" s="46">
        <v>140</v>
      </c>
      <c r="G66" s="46">
        <v>140</v>
      </c>
      <c r="H66" s="46">
        <v>140</v>
      </c>
      <c r="I66" s="46">
        <v>140</v>
      </c>
      <c r="J66" s="46">
        <v>140</v>
      </c>
      <c r="K66" s="46">
        <v>140</v>
      </c>
      <c r="L66" s="46">
        <v>140</v>
      </c>
      <c r="M66" s="46">
        <v>140</v>
      </c>
      <c r="N66" s="46">
        <v>140</v>
      </c>
      <c r="O66" s="46">
        <v>140</v>
      </c>
      <c r="P66" s="46">
        <v>140</v>
      </c>
      <c r="Q66" s="46">
        <v>141</v>
      </c>
      <c r="R66" s="46"/>
      <c r="S66" s="46">
        <v>141</v>
      </c>
      <c r="T66" s="46">
        <v>141</v>
      </c>
      <c r="U66" s="46">
        <v>141</v>
      </c>
      <c r="V66" s="46">
        <v>141</v>
      </c>
      <c r="W66" s="46">
        <v>141</v>
      </c>
      <c r="X66" s="46">
        <v>141</v>
      </c>
      <c r="Y66" s="46">
        <v>141</v>
      </c>
      <c r="Z66" s="46">
        <v>141</v>
      </c>
      <c r="AA66" s="46">
        <v>141</v>
      </c>
      <c r="AB66" s="46">
        <v>141</v>
      </c>
      <c r="AC66" s="46">
        <v>141</v>
      </c>
      <c r="AD66" s="46">
        <v>141</v>
      </c>
      <c r="AE66" s="46">
        <v>141</v>
      </c>
      <c r="AF66" s="46">
        <v>141</v>
      </c>
      <c r="AG66" s="61">
        <v>144</v>
      </c>
      <c r="AH66" s="48">
        <f t="shared" si="2"/>
        <v>141</v>
      </c>
      <c r="AI66" s="49">
        <f t="shared" si="3"/>
        <v>140</v>
      </c>
      <c r="AK66" s="51"/>
      <c r="AY66" s="1" t="s">
        <v>86</v>
      </c>
      <c r="AZ66" s="82">
        <f>ROUND(C84,0)</f>
        <v>-3</v>
      </c>
      <c r="BA66" s="81">
        <f t="shared" ref="BA66:BD70" si="24">D84</f>
        <v>-16</v>
      </c>
      <c r="BB66" s="81">
        <f t="shared" si="24"/>
        <v>-20.3</v>
      </c>
      <c r="BC66" s="81">
        <f t="shared" si="24"/>
        <v>-23</v>
      </c>
      <c r="BD66" s="81">
        <f t="shared" si="24"/>
        <v>-27</v>
      </c>
      <c r="BE66" s="82">
        <f>I84</f>
        <v>-6.3</v>
      </c>
      <c r="BF66" s="82">
        <f>K84</f>
        <v>-10.199999999999999</v>
      </c>
      <c r="BG66" s="82">
        <f t="shared" ref="BG66:BP70" si="25">M84</f>
        <v>2.5</v>
      </c>
      <c r="BH66" s="82">
        <f t="shared" si="25"/>
        <v>0.7</v>
      </c>
      <c r="BI66" s="82">
        <f t="shared" si="25"/>
        <v>-11</v>
      </c>
      <c r="BJ66" s="82">
        <f t="shared" si="25"/>
        <v>11.9</v>
      </c>
      <c r="BK66" s="82">
        <f t="shared" si="25"/>
        <v>7.5</v>
      </c>
      <c r="BL66" s="82">
        <f t="shared" si="25"/>
        <v>0</v>
      </c>
      <c r="BM66" s="82">
        <f t="shared" si="25"/>
        <v>11.7</v>
      </c>
      <c r="BN66" s="82">
        <f t="shared" si="25"/>
        <v>5.9</v>
      </c>
      <c r="BO66" s="82">
        <f t="shared" si="25"/>
        <v>5.3</v>
      </c>
      <c r="BP66" s="82">
        <f t="shared" si="25"/>
        <v>6.3</v>
      </c>
      <c r="BQ66" s="82">
        <f>X84</f>
        <v>-7.6</v>
      </c>
      <c r="BR66" s="82">
        <f>Z84</f>
        <v>-7.7</v>
      </c>
      <c r="BS66" s="81">
        <f>AB84</f>
        <v>25.6</v>
      </c>
      <c r="BT66" s="81">
        <f t="shared" ref="BT66:BV70" si="26">AD84</f>
        <v>22.2</v>
      </c>
      <c r="BU66" s="81">
        <f t="shared" si="26"/>
        <v>-21.8</v>
      </c>
      <c r="BV66" s="81">
        <f t="shared" si="26"/>
        <v>-26</v>
      </c>
      <c r="BW66" s="81">
        <f>B84</f>
        <v>47.2</v>
      </c>
    </row>
    <row r="67" spans="1:75" x14ac:dyDescent="0.25">
      <c r="A67" s="65" t="s">
        <v>81</v>
      </c>
      <c r="B67" s="76">
        <v>69.900000000000006</v>
      </c>
      <c r="C67" s="76">
        <v>69.900000000000006</v>
      </c>
      <c r="D67" s="76">
        <v>69.900000000000006</v>
      </c>
      <c r="E67" s="76">
        <v>69.900000000000006</v>
      </c>
      <c r="F67" s="76">
        <v>69.900000000000006</v>
      </c>
      <c r="G67" s="76">
        <v>69.900000000000006</v>
      </c>
      <c r="H67" s="76">
        <v>69.900000000000006</v>
      </c>
      <c r="I67" s="76">
        <v>69.900000000000006</v>
      </c>
      <c r="J67" s="76">
        <v>69.900000000000006</v>
      </c>
      <c r="K67" s="76">
        <v>71</v>
      </c>
      <c r="L67" s="76">
        <v>71</v>
      </c>
      <c r="M67" s="76">
        <v>71</v>
      </c>
      <c r="N67" s="76">
        <v>71</v>
      </c>
      <c r="O67" s="76">
        <v>71</v>
      </c>
      <c r="P67" s="76">
        <v>71</v>
      </c>
      <c r="Q67" s="76">
        <v>70</v>
      </c>
      <c r="R67" s="76"/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69.7</v>
      </c>
      <c r="AF67" s="76">
        <v>69.7</v>
      </c>
      <c r="AG67" s="66">
        <v>70</v>
      </c>
      <c r="AH67" s="48">
        <f t="shared" si="2"/>
        <v>71</v>
      </c>
      <c r="AI67" s="49">
        <f t="shared" si="3"/>
        <v>69.7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64.7</v>
      </c>
      <c r="C68" s="76">
        <v>64.7</v>
      </c>
      <c r="D68" s="76">
        <v>64.7</v>
      </c>
      <c r="E68" s="76">
        <v>64.7</v>
      </c>
      <c r="F68" s="76">
        <v>64.7</v>
      </c>
      <c r="G68" s="76">
        <v>64.7</v>
      </c>
      <c r="H68" s="76">
        <v>64.7</v>
      </c>
      <c r="I68" s="76">
        <v>64.7</v>
      </c>
      <c r="J68" s="76">
        <v>64.7</v>
      </c>
      <c r="K68" s="76">
        <v>64.900000000000006</v>
      </c>
      <c r="L68" s="76">
        <v>64.900000000000006</v>
      </c>
      <c r="M68" s="76">
        <v>64.900000000000006</v>
      </c>
      <c r="N68" s="76">
        <v>64.900000000000006</v>
      </c>
      <c r="O68" s="76">
        <v>64.900000000000006</v>
      </c>
      <c r="P68" s="76">
        <v>64.900000000000006</v>
      </c>
      <c r="Q68" s="76">
        <v>64.900000000000006</v>
      </c>
      <c r="R68" s="76"/>
      <c r="S68" s="76">
        <v>64.900000000000006</v>
      </c>
      <c r="T68" s="76">
        <v>64.900000000000006</v>
      </c>
      <c r="U68" s="76">
        <v>64.900000000000006</v>
      </c>
      <c r="V68" s="76">
        <v>64.900000000000006</v>
      </c>
      <c r="W68" s="76">
        <v>64.900000000000006</v>
      </c>
      <c r="X68" s="76">
        <v>64.900000000000006</v>
      </c>
      <c r="Y68" s="76">
        <v>64.900000000000006</v>
      </c>
      <c r="Z68" s="76">
        <v>64.900000000000006</v>
      </c>
      <c r="AA68" s="76">
        <v>64.900000000000006</v>
      </c>
      <c r="AB68" s="76">
        <v>64.900000000000006</v>
      </c>
      <c r="AC68" s="76">
        <v>64.900000000000006</v>
      </c>
      <c r="AD68" s="76">
        <v>64.900000000000006</v>
      </c>
      <c r="AE68" s="76">
        <v>65.3</v>
      </c>
      <c r="AF68" s="76">
        <v>66.3</v>
      </c>
      <c r="AG68" s="66">
        <v>69</v>
      </c>
      <c r="AH68" s="48">
        <f t="shared" si="2"/>
        <v>66.3</v>
      </c>
      <c r="AI68" s="49">
        <f t="shared" si="3"/>
        <v>64.7</v>
      </c>
      <c r="AK68" s="51"/>
      <c r="AL68" s="83"/>
      <c r="AO68" s="83"/>
      <c r="AY68" s="1" t="s">
        <v>90</v>
      </c>
      <c r="AZ68" s="82">
        <f>ROUND(C86,0)</f>
        <v>-444</v>
      </c>
      <c r="BA68" s="81">
        <f t="shared" si="24"/>
        <v>-444.4</v>
      </c>
      <c r="BB68" s="81">
        <f t="shared" si="24"/>
        <v>-524</v>
      </c>
      <c r="BC68" s="81">
        <f t="shared" si="24"/>
        <v>-560</v>
      </c>
      <c r="BD68" s="81">
        <f t="shared" si="24"/>
        <v>-598.70000000000005</v>
      </c>
      <c r="BE68" s="82">
        <f>I86</f>
        <v>-669</v>
      </c>
      <c r="BF68" s="82">
        <f>K86</f>
        <v>-570.9</v>
      </c>
      <c r="BG68" s="82">
        <f t="shared" si="25"/>
        <v>-490</v>
      </c>
      <c r="BH68" s="82">
        <f t="shared" si="25"/>
        <v>-478</v>
      </c>
      <c r="BI68" s="82">
        <f t="shared" si="25"/>
        <v>-409.7</v>
      </c>
      <c r="BJ68" s="82">
        <f t="shared" si="25"/>
        <v>-388</v>
      </c>
      <c r="BK68" s="82">
        <f t="shared" si="25"/>
        <v>-400</v>
      </c>
      <c r="BL68" s="82">
        <f t="shared" si="25"/>
        <v>0</v>
      </c>
      <c r="BM68" s="82">
        <f t="shared" si="25"/>
        <v>-440.8</v>
      </c>
      <c r="BN68" s="82">
        <f t="shared" si="25"/>
        <v>-385.7</v>
      </c>
      <c r="BO68" s="82">
        <f t="shared" si="25"/>
        <v>-412</v>
      </c>
      <c r="BP68" s="82">
        <f t="shared" si="25"/>
        <v>-437.8</v>
      </c>
      <c r="BQ68" s="82">
        <f>X86</f>
        <v>-472.9</v>
      </c>
      <c r="BR68" s="82">
        <f>Z86</f>
        <v>-372.5</v>
      </c>
      <c r="BS68" s="81">
        <f>AB86</f>
        <v>-425</v>
      </c>
      <c r="BT68" s="81">
        <f t="shared" si="26"/>
        <v>-441.7</v>
      </c>
      <c r="BU68" s="81">
        <f t="shared" si="26"/>
        <v>-457</v>
      </c>
      <c r="BV68" s="81">
        <f t="shared" si="26"/>
        <v>-521</v>
      </c>
      <c r="BW68" s="81">
        <f>B86</f>
        <v>-462.3</v>
      </c>
    </row>
    <row r="69" spans="1:75" s="83" customFormat="1" x14ac:dyDescent="0.25">
      <c r="A69" s="65" t="s">
        <v>83</v>
      </c>
      <c r="B69" s="76">
        <v>60.4</v>
      </c>
      <c r="C69" s="76">
        <v>60.4</v>
      </c>
      <c r="D69" s="76">
        <v>60.4</v>
      </c>
      <c r="E69" s="76">
        <v>60.4</v>
      </c>
      <c r="F69" s="76">
        <v>60.4</v>
      </c>
      <c r="G69" s="76">
        <v>60.4</v>
      </c>
      <c r="H69" s="76">
        <v>60.4</v>
      </c>
      <c r="I69" s="76">
        <v>60.4</v>
      </c>
      <c r="J69" s="76">
        <v>60.4</v>
      </c>
      <c r="K69" s="76">
        <v>60.4</v>
      </c>
      <c r="L69" s="76">
        <v>60.4</v>
      </c>
      <c r="M69" s="76">
        <v>60.4</v>
      </c>
      <c r="N69" s="76">
        <v>60.4</v>
      </c>
      <c r="O69" s="76">
        <v>60.4</v>
      </c>
      <c r="P69" s="76">
        <v>60.4</v>
      </c>
      <c r="Q69" s="76">
        <v>60.4</v>
      </c>
      <c r="R69" s="76"/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76">
        <v>60.4</v>
      </c>
      <c r="AB69" s="76">
        <v>60.4</v>
      </c>
      <c r="AC69" s="76">
        <v>60.4</v>
      </c>
      <c r="AD69" s="76">
        <v>60.4</v>
      </c>
      <c r="AE69" s="76">
        <v>60.4</v>
      </c>
      <c r="AF69" s="76">
        <v>60</v>
      </c>
      <c r="AG69" s="66">
        <v>60</v>
      </c>
      <c r="AH69" s="48">
        <f t="shared" si="2"/>
        <v>60.4</v>
      </c>
      <c r="AI69" s="49">
        <f t="shared" si="3"/>
        <v>60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10</v>
      </c>
      <c r="C70" s="46">
        <v>10</v>
      </c>
      <c r="D70" s="46">
        <v>27.6</v>
      </c>
      <c r="E70" s="46">
        <v>27.6</v>
      </c>
      <c r="F70" s="46">
        <v>28</v>
      </c>
      <c r="G70" s="46">
        <v>28</v>
      </c>
      <c r="H70" s="46">
        <v>28</v>
      </c>
      <c r="I70" s="46">
        <v>28</v>
      </c>
      <c r="J70" s="46">
        <v>28</v>
      </c>
      <c r="K70" s="46">
        <v>28</v>
      </c>
      <c r="L70" s="46">
        <v>28</v>
      </c>
      <c r="M70" s="46">
        <v>28</v>
      </c>
      <c r="N70" s="46">
        <v>0</v>
      </c>
      <c r="O70" s="46">
        <v>0</v>
      </c>
      <c r="P70" s="46">
        <v>0</v>
      </c>
      <c r="Q70" s="76">
        <v>14</v>
      </c>
      <c r="R70" s="76"/>
      <c r="S70" s="76">
        <v>24.7</v>
      </c>
      <c r="T70" s="76">
        <v>24.7</v>
      </c>
      <c r="U70" s="76">
        <v>24.7</v>
      </c>
      <c r="V70" s="76">
        <v>24.7</v>
      </c>
      <c r="W70" s="76">
        <v>24.7</v>
      </c>
      <c r="X70" s="76">
        <v>24.7</v>
      </c>
      <c r="Y70" s="76">
        <v>24.7</v>
      </c>
      <c r="Z70" s="76">
        <v>24.7</v>
      </c>
      <c r="AA70" s="76">
        <v>26.5</v>
      </c>
      <c r="AB70" s="76">
        <v>26.5</v>
      </c>
      <c r="AC70" s="76">
        <v>26.5</v>
      </c>
      <c r="AD70" s="76">
        <v>26.5</v>
      </c>
      <c r="AE70" s="76">
        <v>28</v>
      </c>
      <c r="AF70" s="76">
        <v>28.2</v>
      </c>
      <c r="AG70" s="66">
        <v>30</v>
      </c>
      <c r="AH70" s="48">
        <f t="shared" si="2"/>
        <v>28.2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2</v>
      </c>
      <c r="N71" s="46">
        <v>6.4</v>
      </c>
      <c r="O71" s="46">
        <v>6.4</v>
      </c>
      <c r="P71" s="46">
        <v>6.4</v>
      </c>
      <c r="Q71" s="76">
        <v>16.399999999999999</v>
      </c>
      <c r="R71" s="76"/>
      <c r="S71" s="76">
        <v>4.4000000000000004</v>
      </c>
      <c r="T71" s="76">
        <v>10.3</v>
      </c>
      <c r="U71" s="76">
        <v>1.5</v>
      </c>
      <c r="V71" s="76">
        <v>2</v>
      </c>
      <c r="W71" s="76">
        <v>1.9</v>
      </c>
      <c r="X71" s="76">
        <v>1.6</v>
      </c>
      <c r="Y71" s="76">
        <v>1.6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16.399999999999999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11.1</v>
      </c>
      <c r="C72" s="76">
        <v>11.1</v>
      </c>
      <c r="D72" s="76">
        <v>11.1</v>
      </c>
      <c r="E72" s="76">
        <v>11.1</v>
      </c>
      <c r="F72" s="76">
        <v>11.9</v>
      </c>
      <c r="G72" s="76">
        <v>11.9</v>
      </c>
      <c r="H72" s="76">
        <v>11.9</v>
      </c>
      <c r="I72" s="76">
        <v>11.9</v>
      </c>
      <c r="J72" s="76">
        <v>11.9</v>
      </c>
      <c r="K72" s="76">
        <v>11.9</v>
      </c>
      <c r="L72" s="76">
        <v>11.9</v>
      </c>
      <c r="M72" s="76">
        <v>11.9</v>
      </c>
      <c r="N72" s="76">
        <v>11.9</v>
      </c>
      <c r="O72" s="76">
        <v>11.9</v>
      </c>
      <c r="P72" s="76">
        <v>11.9</v>
      </c>
      <c r="Q72" s="76">
        <v>11</v>
      </c>
      <c r="R72" s="76"/>
      <c r="S72" s="76">
        <v>11</v>
      </c>
      <c r="T72" s="76">
        <v>11</v>
      </c>
      <c r="U72" s="76">
        <v>11</v>
      </c>
      <c r="V72" s="76">
        <v>11</v>
      </c>
      <c r="W72" s="76">
        <v>11</v>
      </c>
      <c r="X72" s="76">
        <v>11</v>
      </c>
      <c r="Y72" s="76">
        <v>11</v>
      </c>
      <c r="Z72" s="76">
        <v>11</v>
      </c>
      <c r="AA72" s="76">
        <v>11</v>
      </c>
      <c r="AB72" s="76">
        <v>11</v>
      </c>
      <c r="AC72" s="76">
        <v>11</v>
      </c>
      <c r="AD72" s="76">
        <v>11</v>
      </c>
      <c r="AE72" s="76">
        <v>11.6</v>
      </c>
      <c r="AF72" s="76">
        <v>11.7</v>
      </c>
      <c r="AG72" s="66">
        <v>24</v>
      </c>
      <c r="AH72" s="48">
        <f t="shared" si="2"/>
        <v>11.9</v>
      </c>
      <c r="AI72" s="49">
        <f t="shared" si="3"/>
        <v>11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2.1</v>
      </c>
      <c r="C73" s="76">
        <v>2.1</v>
      </c>
      <c r="D73" s="76">
        <v>2.1</v>
      </c>
      <c r="E73" s="76">
        <v>2.1</v>
      </c>
      <c r="F73" s="76">
        <v>2.1</v>
      </c>
      <c r="G73" s="76">
        <v>2.1</v>
      </c>
      <c r="H73" s="76">
        <v>2.1</v>
      </c>
      <c r="I73" s="76">
        <v>2.1</v>
      </c>
      <c r="J73" s="76">
        <v>2.1</v>
      </c>
      <c r="K73" s="76">
        <v>2.1</v>
      </c>
      <c r="L73" s="76">
        <v>2.1</v>
      </c>
      <c r="M73" s="76">
        <v>2.1</v>
      </c>
      <c r="N73" s="76">
        <v>2.1</v>
      </c>
      <c r="O73" s="76">
        <v>2.1</v>
      </c>
      <c r="P73" s="76">
        <v>2.1</v>
      </c>
      <c r="Q73" s="76">
        <v>2.1</v>
      </c>
      <c r="R73" s="76"/>
      <c r="S73" s="76">
        <v>2.1</v>
      </c>
      <c r="T73" s="76">
        <v>2.1</v>
      </c>
      <c r="U73" s="76">
        <v>2.1</v>
      </c>
      <c r="V73" s="76">
        <v>2.1</v>
      </c>
      <c r="W73" s="76">
        <v>2.1</v>
      </c>
      <c r="X73" s="76">
        <v>2.1</v>
      </c>
      <c r="Y73" s="76">
        <v>2.1</v>
      </c>
      <c r="Z73" s="76">
        <v>2.1</v>
      </c>
      <c r="AA73" s="76">
        <v>2.1</v>
      </c>
      <c r="AB73" s="76">
        <v>2.1</v>
      </c>
      <c r="AC73" s="76">
        <v>2.1</v>
      </c>
      <c r="AD73" s="76">
        <v>2.1</v>
      </c>
      <c r="AE73" s="76">
        <v>2.1</v>
      </c>
      <c r="AF73" s="76">
        <v>2.1</v>
      </c>
      <c r="AG73" s="66">
        <v>15</v>
      </c>
      <c r="AH73" s="48">
        <f t="shared" si="2"/>
        <v>2.1</v>
      </c>
      <c r="AI73" s="49">
        <f t="shared" si="3"/>
        <v>2.1</v>
      </c>
      <c r="AK73" s="51"/>
      <c r="AZ73" s="82">
        <f t="shared" ref="AZ73:BW78" si="28">VALUE(AZ66)</f>
        <v>-3</v>
      </c>
      <c r="BA73" s="82">
        <f t="shared" si="28"/>
        <v>-16</v>
      </c>
      <c r="BB73" s="82">
        <f t="shared" si="28"/>
        <v>-20.3</v>
      </c>
      <c r="BC73" s="82">
        <f t="shared" si="28"/>
        <v>-23</v>
      </c>
      <c r="BD73" s="82">
        <f t="shared" si="28"/>
        <v>-27</v>
      </c>
      <c r="BE73" s="82">
        <f t="shared" si="28"/>
        <v>-6.3</v>
      </c>
      <c r="BF73" s="82">
        <f t="shared" si="28"/>
        <v>-10.199999999999999</v>
      </c>
      <c r="BG73" s="82">
        <f t="shared" si="28"/>
        <v>2.5</v>
      </c>
      <c r="BH73" s="82">
        <f t="shared" si="28"/>
        <v>0.7</v>
      </c>
      <c r="BI73" s="82">
        <f t="shared" si="28"/>
        <v>-11</v>
      </c>
      <c r="BJ73" s="82">
        <f t="shared" si="28"/>
        <v>11.9</v>
      </c>
      <c r="BK73" s="82">
        <f t="shared" si="28"/>
        <v>7.5</v>
      </c>
      <c r="BL73" s="82">
        <f t="shared" si="28"/>
        <v>0</v>
      </c>
      <c r="BM73" s="82">
        <f t="shared" si="28"/>
        <v>11.7</v>
      </c>
      <c r="BN73" s="82">
        <f t="shared" si="28"/>
        <v>5.9</v>
      </c>
      <c r="BO73" s="82">
        <f t="shared" si="28"/>
        <v>5.3</v>
      </c>
      <c r="BP73" s="82">
        <f t="shared" si="28"/>
        <v>6.3</v>
      </c>
      <c r="BQ73" s="82">
        <f t="shared" si="28"/>
        <v>-7.6</v>
      </c>
      <c r="BR73" s="82">
        <f t="shared" si="28"/>
        <v>-7.7</v>
      </c>
      <c r="BS73" s="82">
        <f t="shared" si="28"/>
        <v>25.6</v>
      </c>
      <c r="BT73" s="82">
        <f t="shared" si="28"/>
        <v>22.2</v>
      </c>
      <c r="BU73" s="82">
        <f t="shared" si="28"/>
        <v>-21.8</v>
      </c>
      <c r="BV73" s="82">
        <f t="shared" si="28"/>
        <v>-26</v>
      </c>
      <c r="BW73" s="82">
        <f t="shared" si="28"/>
        <v>47.2</v>
      </c>
    </row>
    <row r="74" spans="1:75" x14ac:dyDescent="0.25">
      <c r="A74" s="65" t="s">
        <v>91</v>
      </c>
      <c r="B74" s="76">
        <v>9.1</v>
      </c>
      <c r="C74" s="76">
        <v>9.1</v>
      </c>
      <c r="D74" s="76">
        <v>9.1</v>
      </c>
      <c r="E74" s="76">
        <v>9.1</v>
      </c>
      <c r="F74" s="76">
        <v>9.1</v>
      </c>
      <c r="G74" s="76">
        <v>9.1</v>
      </c>
      <c r="H74" s="76">
        <v>9.1</v>
      </c>
      <c r="I74" s="76">
        <v>9.1</v>
      </c>
      <c r="J74" s="76">
        <v>9.1</v>
      </c>
      <c r="K74" s="76">
        <v>9.1</v>
      </c>
      <c r="L74" s="76">
        <v>9.1</v>
      </c>
      <c r="M74" s="76">
        <v>9.1</v>
      </c>
      <c r="N74" s="76">
        <v>9.1</v>
      </c>
      <c r="O74" s="76">
        <v>9.1</v>
      </c>
      <c r="P74" s="76">
        <v>9.1</v>
      </c>
      <c r="Q74" s="76">
        <v>8</v>
      </c>
      <c r="R74" s="76"/>
      <c r="S74" s="76">
        <v>8</v>
      </c>
      <c r="T74" s="76">
        <v>8</v>
      </c>
      <c r="U74" s="76">
        <v>8</v>
      </c>
      <c r="V74" s="76">
        <v>8</v>
      </c>
      <c r="W74" s="76">
        <v>8</v>
      </c>
      <c r="X74" s="76">
        <v>8</v>
      </c>
      <c r="Y74" s="76">
        <v>8</v>
      </c>
      <c r="Z74" s="76">
        <v>8</v>
      </c>
      <c r="AA74" s="76">
        <v>8</v>
      </c>
      <c r="AB74" s="76">
        <v>8</v>
      </c>
      <c r="AC74" s="76">
        <v>8</v>
      </c>
      <c r="AD74" s="76">
        <v>8</v>
      </c>
      <c r="AE74" s="76">
        <v>8.8000000000000007</v>
      </c>
      <c r="AF74" s="76">
        <v>8.6999999999999993</v>
      </c>
      <c r="AG74" s="66">
        <v>14.1</v>
      </c>
      <c r="AH74" s="48">
        <f t="shared" si="2"/>
        <v>9.1</v>
      </c>
      <c r="AI74" s="49">
        <f t="shared" si="3"/>
        <v>8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7.1</v>
      </c>
      <c r="C75" s="76">
        <v>7.1</v>
      </c>
      <c r="D75" s="76">
        <v>7.1</v>
      </c>
      <c r="E75" s="76">
        <v>7.1</v>
      </c>
      <c r="F75" s="76">
        <v>14.5</v>
      </c>
      <c r="G75" s="76">
        <v>14.5</v>
      </c>
      <c r="H75" s="76">
        <v>14.5</v>
      </c>
      <c r="I75" s="76">
        <v>14.5</v>
      </c>
      <c r="J75" s="76">
        <v>14.5</v>
      </c>
      <c r="K75" s="76">
        <v>14.5</v>
      </c>
      <c r="L75" s="76">
        <v>14.5</v>
      </c>
      <c r="M75" s="76">
        <v>14.5</v>
      </c>
      <c r="N75" s="76">
        <v>14.5</v>
      </c>
      <c r="O75" s="76">
        <v>14.5</v>
      </c>
      <c r="P75" s="76">
        <v>14.5</v>
      </c>
      <c r="Q75" s="76">
        <v>14.5</v>
      </c>
      <c r="R75" s="76"/>
      <c r="S75" s="76">
        <v>14.5</v>
      </c>
      <c r="T75" s="76">
        <v>14.5</v>
      </c>
      <c r="U75" s="76">
        <v>14.5</v>
      </c>
      <c r="V75" s="76">
        <v>14.5</v>
      </c>
      <c r="W75" s="76">
        <v>14.5</v>
      </c>
      <c r="X75" s="76">
        <v>14.5</v>
      </c>
      <c r="Y75" s="76">
        <v>14.5</v>
      </c>
      <c r="Z75" s="76">
        <v>14.5</v>
      </c>
      <c r="AA75" s="76">
        <v>14.5</v>
      </c>
      <c r="AB75" s="76">
        <v>14.5</v>
      </c>
      <c r="AC75" s="76">
        <v>14.5</v>
      </c>
      <c r="AD75" s="76">
        <v>14.5</v>
      </c>
      <c r="AE75" s="76">
        <v>14.5</v>
      </c>
      <c r="AF75" s="76">
        <v>14.5</v>
      </c>
      <c r="AG75" s="66">
        <v>14</v>
      </c>
      <c r="AH75" s="48">
        <f t="shared" ref="AH75:AH128" si="29">MAX(B75:AF75)</f>
        <v>14.5</v>
      </c>
      <c r="AI75" s="49">
        <f t="shared" ref="AI75:AI128" si="30">MIN(B75:AF75)</f>
        <v>7.1</v>
      </c>
      <c r="AK75" s="51"/>
      <c r="AZ75" s="82">
        <f t="shared" si="28"/>
        <v>-444</v>
      </c>
      <c r="BA75" s="82">
        <f t="shared" si="28"/>
        <v>-444.4</v>
      </c>
      <c r="BB75" s="82">
        <f t="shared" si="28"/>
        <v>-524</v>
      </c>
      <c r="BC75" s="82">
        <f t="shared" si="28"/>
        <v>-560</v>
      </c>
      <c r="BD75" s="82">
        <f t="shared" si="28"/>
        <v>-598.70000000000005</v>
      </c>
      <c r="BE75" s="82">
        <f t="shared" si="28"/>
        <v>-669</v>
      </c>
      <c r="BF75" s="82">
        <f t="shared" si="28"/>
        <v>-570.9</v>
      </c>
      <c r="BG75" s="82">
        <f t="shared" si="28"/>
        <v>-490</v>
      </c>
      <c r="BH75" s="82">
        <f t="shared" si="28"/>
        <v>-478</v>
      </c>
      <c r="BI75" s="82">
        <f t="shared" si="28"/>
        <v>-409.7</v>
      </c>
      <c r="BJ75" s="82">
        <f t="shared" si="28"/>
        <v>-388</v>
      </c>
      <c r="BK75" s="82">
        <f t="shared" si="28"/>
        <v>-400</v>
      </c>
      <c r="BL75" s="82">
        <f t="shared" si="28"/>
        <v>0</v>
      </c>
      <c r="BM75" s="82">
        <f t="shared" si="28"/>
        <v>-440.8</v>
      </c>
      <c r="BN75" s="82">
        <f t="shared" si="28"/>
        <v>-385.7</v>
      </c>
      <c r="BO75" s="82">
        <f t="shared" si="28"/>
        <v>-412</v>
      </c>
      <c r="BP75" s="82">
        <f t="shared" si="28"/>
        <v>-437.8</v>
      </c>
      <c r="BQ75" s="82">
        <f t="shared" si="28"/>
        <v>-472.9</v>
      </c>
      <c r="BR75" s="82">
        <f t="shared" si="28"/>
        <v>-372.5</v>
      </c>
      <c r="BS75" s="82">
        <f t="shared" si="28"/>
        <v>-425</v>
      </c>
      <c r="BT75" s="82">
        <f t="shared" si="28"/>
        <v>-441.7</v>
      </c>
      <c r="BU75" s="82">
        <f t="shared" si="28"/>
        <v>-457</v>
      </c>
      <c r="BV75" s="82">
        <f t="shared" si="28"/>
        <v>-521</v>
      </c>
      <c r="BW75" s="82">
        <f t="shared" si="28"/>
        <v>-462.3</v>
      </c>
    </row>
    <row r="76" spans="1:75" x14ac:dyDescent="0.25">
      <c r="A76" s="65" t="s">
        <v>95</v>
      </c>
      <c r="B76" s="76">
        <v>10.5</v>
      </c>
      <c r="C76" s="76">
        <v>10.5</v>
      </c>
      <c r="D76" s="76">
        <v>10.5</v>
      </c>
      <c r="E76" s="76">
        <v>10.5</v>
      </c>
      <c r="F76" s="76">
        <v>10.5</v>
      </c>
      <c r="G76" s="76">
        <v>10.5</v>
      </c>
      <c r="H76" s="76">
        <v>10.5</v>
      </c>
      <c r="I76" s="76">
        <v>10.5</v>
      </c>
      <c r="J76" s="76">
        <v>10.5</v>
      </c>
      <c r="K76" s="76">
        <v>10.5</v>
      </c>
      <c r="L76" s="76">
        <v>10.5</v>
      </c>
      <c r="M76" s="76">
        <v>10.5</v>
      </c>
      <c r="N76" s="76">
        <v>10.5</v>
      </c>
      <c r="O76" s="76">
        <v>10.5</v>
      </c>
      <c r="P76" s="76">
        <v>10.5</v>
      </c>
      <c r="Q76" s="76">
        <v>10.5</v>
      </c>
      <c r="R76" s="76"/>
      <c r="S76" s="76">
        <v>10.5</v>
      </c>
      <c r="T76" s="76">
        <v>10.5</v>
      </c>
      <c r="U76" s="76">
        <v>10.5</v>
      </c>
      <c r="V76" s="76">
        <v>10.5</v>
      </c>
      <c r="W76" s="76">
        <v>10.5</v>
      </c>
      <c r="X76" s="76">
        <v>10.5</v>
      </c>
      <c r="Y76" s="76">
        <v>10.5</v>
      </c>
      <c r="Z76" s="76">
        <v>10.5</v>
      </c>
      <c r="AA76" s="76">
        <v>10.5</v>
      </c>
      <c r="AB76" s="76">
        <v>10.5</v>
      </c>
      <c r="AC76" s="76">
        <v>10.5</v>
      </c>
      <c r="AD76" s="76">
        <v>10.5</v>
      </c>
      <c r="AE76" s="76">
        <v>10.5</v>
      </c>
      <c r="AF76" s="76">
        <v>10.5</v>
      </c>
      <c r="AG76" s="66">
        <v>10.050000000000001</v>
      </c>
      <c r="AH76" s="48">
        <f t="shared" si="29"/>
        <v>10.5</v>
      </c>
      <c r="AI76" s="49">
        <f t="shared" si="30"/>
        <v>10.5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/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9"/>
        <v>6</v>
      </c>
      <c r="AI77" s="49">
        <f t="shared" si="30"/>
        <v>6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9"/>
        <v>3.54</v>
      </c>
      <c r="AI78" s="49">
        <f t="shared" si="30"/>
        <v>3.54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f>SUM(B66:B78)</f>
        <v>394.44000000000011</v>
      </c>
      <c r="C79" s="71">
        <f>SUM(C66:C78)</f>
        <v>394.44000000000011</v>
      </c>
      <c r="D79" s="71">
        <f>SUM(D66:D78)</f>
        <v>412.04000000000013</v>
      </c>
      <c r="E79" s="71">
        <f t="shared" ref="E79:AG79" si="31">SUM(E66:E78)</f>
        <v>412.04000000000013</v>
      </c>
      <c r="F79" s="71">
        <f t="shared" si="31"/>
        <v>420.64000000000004</v>
      </c>
      <c r="G79" s="71">
        <f t="shared" si="31"/>
        <v>420.64000000000004</v>
      </c>
      <c r="H79" s="71">
        <f t="shared" si="31"/>
        <v>420.64000000000004</v>
      </c>
      <c r="I79" s="71">
        <f t="shared" si="31"/>
        <v>420.64000000000004</v>
      </c>
      <c r="J79" s="71">
        <f t="shared" si="31"/>
        <v>420.64000000000004</v>
      </c>
      <c r="K79" s="71">
        <f t="shared" si="31"/>
        <v>421.94</v>
      </c>
      <c r="L79" s="71">
        <f t="shared" si="31"/>
        <v>421.94</v>
      </c>
      <c r="M79" s="71">
        <f t="shared" si="31"/>
        <v>423.94</v>
      </c>
      <c r="N79" s="71">
        <f t="shared" si="31"/>
        <v>400.34</v>
      </c>
      <c r="O79" s="71">
        <f t="shared" si="31"/>
        <v>400.34</v>
      </c>
      <c r="P79" s="71">
        <f t="shared" si="31"/>
        <v>400.34</v>
      </c>
      <c r="Q79" s="71">
        <f t="shared" si="31"/>
        <v>422.34</v>
      </c>
      <c r="R79" s="71">
        <f t="shared" si="31"/>
        <v>3.54</v>
      </c>
      <c r="S79" s="71">
        <f t="shared" ref="S79:AA79" si="32">SUM(S66:S78)</f>
        <v>421.03999999999996</v>
      </c>
      <c r="T79" s="71">
        <f t="shared" si="32"/>
        <v>426.94</v>
      </c>
      <c r="U79" s="71">
        <f t="shared" si="32"/>
        <v>418.14</v>
      </c>
      <c r="V79" s="71">
        <f t="shared" si="32"/>
        <v>418.64</v>
      </c>
      <c r="W79" s="71">
        <f t="shared" si="32"/>
        <v>418.53999999999996</v>
      </c>
      <c r="X79" s="71">
        <f t="shared" si="32"/>
        <v>418.24</v>
      </c>
      <c r="Y79" s="71">
        <f t="shared" si="32"/>
        <v>418.24</v>
      </c>
      <c r="Z79" s="71">
        <f t="shared" si="32"/>
        <v>416.64</v>
      </c>
      <c r="AA79" s="71">
        <f t="shared" si="32"/>
        <v>418.44</v>
      </c>
      <c r="AB79" s="71">
        <f t="shared" si="31"/>
        <v>418.44</v>
      </c>
      <c r="AC79" s="71">
        <f t="shared" si="31"/>
        <v>418.44</v>
      </c>
      <c r="AD79" s="71">
        <f t="shared" si="31"/>
        <v>418.44</v>
      </c>
      <c r="AE79" s="71">
        <f>SUM(AE66:AE78)</f>
        <v>421.44000000000005</v>
      </c>
      <c r="AF79" s="71">
        <f>SUM(AF66:AF78)</f>
        <v>422.24</v>
      </c>
      <c r="AG79" s="72">
        <f t="shared" si="31"/>
        <v>489.91</v>
      </c>
      <c r="AH79" s="48">
        <f t="shared" si="29"/>
        <v>426.94</v>
      </c>
      <c r="AI79" s="49">
        <f t="shared" si="30"/>
        <v>3.54</v>
      </c>
      <c r="AK79" s="51"/>
      <c r="AY79" s="82"/>
    </row>
    <row r="80" spans="1:75" x14ac:dyDescent="0.25">
      <c r="A80" s="45" t="s">
        <v>100</v>
      </c>
      <c r="B80" s="46">
        <v>14.3</v>
      </c>
      <c r="C80" s="46">
        <v>14.3</v>
      </c>
      <c r="D80" s="46">
        <v>14.3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10.1</v>
      </c>
      <c r="N80" s="46">
        <v>10.1</v>
      </c>
      <c r="O80" s="46">
        <v>10.1</v>
      </c>
      <c r="P80" s="46">
        <v>14.2</v>
      </c>
      <c r="Q80" s="46">
        <v>14.2</v>
      </c>
      <c r="R80" s="46"/>
      <c r="S80" s="46">
        <v>14.2</v>
      </c>
      <c r="T80" s="46">
        <v>14.2</v>
      </c>
      <c r="U80" s="46">
        <v>14.2</v>
      </c>
      <c r="V80" s="46">
        <v>14.2</v>
      </c>
      <c r="W80" s="46">
        <v>14.2</v>
      </c>
      <c r="X80" s="46">
        <v>14.2</v>
      </c>
      <c r="Y80" s="46">
        <v>14.2</v>
      </c>
      <c r="Z80" s="46">
        <v>14.2</v>
      </c>
      <c r="AA80" s="46">
        <v>14.2</v>
      </c>
      <c r="AB80" s="46">
        <v>14.2</v>
      </c>
      <c r="AC80" s="46">
        <v>14.2</v>
      </c>
      <c r="AD80" s="46">
        <v>0</v>
      </c>
      <c r="AE80" s="46">
        <v>0</v>
      </c>
      <c r="AF80" s="46">
        <v>0</v>
      </c>
      <c r="AG80" s="61">
        <v>60</v>
      </c>
      <c r="AH80" s="48">
        <f t="shared" si="29"/>
        <v>14.3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5.0999999999999996</v>
      </c>
      <c r="C81" s="76">
        <v>5.0999999999999996</v>
      </c>
      <c r="D81" s="76">
        <v>5.0999999999999996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3.6</v>
      </c>
      <c r="N81" s="76">
        <v>3.6</v>
      </c>
      <c r="O81" s="76">
        <v>3.6</v>
      </c>
      <c r="P81" s="76">
        <v>5.0999999999999996</v>
      </c>
      <c r="Q81" s="76">
        <v>5.0999999999999996</v>
      </c>
      <c r="R81" s="76"/>
      <c r="S81" s="76">
        <v>5.0999999999999996</v>
      </c>
      <c r="T81" s="76">
        <v>5.0999999999999996</v>
      </c>
      <c r="U81" s="76">
        <v>5.0999999999999996</v>
      </c>
      <c r="V81" s="76">
        <v>5.0999999999999996</v>
      </c>
      <c r="W81" s="76">
        <v>5.0999999999999996</v>
      </c>
      <c r="X81" s="76">
        <v>5.0999999999999996</v>
      </c>
      <c r="Y81" s="76">
        <v>5.0999999999999996</v>
      </c>
      <c r="Z81" s="76">
        <v>5.0999999999999996</v>
      </c>
      <c r="AA81" s="76">
        <v>5.0999999999999996</v>
      </c>
      <c r="AB81" s="76">
        <v>5.7</v>
      </c>
      <c r="AC81" s="76">
        <v>5.7</v>
      </c>
      <c r="AD81" s="76">
        <v>0</v>
      </c>
      <c r="AE81" s="76">
        <v>0</v>
      </c>
      <c r="AF81" s="76">
        <v>0</v>
      </c>
      <c r="AG81" s="66">
        <v>32</v>
      </c>
      <c r="AH81" s="48">
        <f t="shared" si="29"/>
        <v>5.7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1.9</v>
      </c>
      <c r="C82" s="78">
        <v>1.9</v>
      </c>
      <c r="D82" s="78">
        <v>1.9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1.3</v>
      </c>
      <c r="N82" s="78">
        <v>1.3</v>
      </c>
      <c r="O82" s="78">
        <v>1.3</v>
      </c>
      <c r="P82" s="78">
        <v>1.9</v>
      </c>
      <c r="Q82" s="78">
        <v>1.9</v>
      </c>
      <c r="R82" s="78"/>
      <c r="S82" s="78">
        <v>1.9</v>
      </c>
      <c r="T82" s="78">
        <v>1.9</v>
      </c>
      <c r="U82" s="78">
        <v>1.9</v>
      </c>
      <c r="V82" s="78">
        <v>1.9</v>
      </c>
      <c r="W82" s="78">
        <v>1.9</v>
      </c>
      <c r="X82" s="78">
        <v>1.9</v>
      </c>
      <c r="Y82" s="78">
        <v>1.9</v>
      </c>
      <c r="Z82" s="78">
        <v>1.9</v>
      </c>
      <c r="AA82" s="78">
        <v>1.9</v>
      </c>
      <c r="AB82" s="78">
        <v>2.1</v>
      </c>
      <c r="AC82" s="78">
        <v>2.1</v>
      </c>
      <c r="AD82" s="78">
        <v>0</v>
      </c>
      <c r="AE82" s="78">
        <v>0</v>
      </c>
      <c r="AF82" s="78">
        <v>0</v>
      </c>
      <c r="AG82" s="79">
        <v>14</v>
      </c>
      <c r="AH82" s="48">
        <f t="shared" si="29"/>
        <v>2.1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-3</v>
      </c>
      <c r="BH82" s="82">
        <v>0</v>
      </c>
      <c r="BI82" s="82">
        <v>-444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21.299999999999997</v>
      </c>
      <c r="C83" s="71">
        <f>C80+C81+C82</f>
        <v>21.299999999999997</v>
      </c>
      <c r="D83" s="71">
        <f>D80+D81+D82</f>
        <v>21.299999999999997</v>
      </c>
      <c r="E83" s="71">
        <f t="shared" ref="E83:AD83" si="33">E80+E81+E82</f>
        <v>0</v>
      </c>
      <c r="F83" s="71">
        <f t="shared" si="33"/>
        <v>0</v>
      </c>
      <c r="G83" s="71">
        <f t="shared" si="33"/>
        <v>0</v>
      </c>
      <c r="H83" s="71">
        <f t="shared" si="33"/>
        <v>0</v>
      </c>
      <c r="I83" s="71">
        <f t="shared" si="33"/>
        <v>0</v>
      </c>
      <c r="J83" s="71">
        <f t="shared" si="33"/>
        <v>0</v>
      </c>
      <c r="K83" s="71">
        <f t="shared" si="33"/>
        <v>0</v>
      </c>
      <c r="L83" s="71">
        <f t="shared" si="33"/>
        <v>0</v>
      </c>
      <c r="M83" s="71">
        <f t="shared" si="33"/>
        <v>15</v>
      </c>
      <c r="N83" s="71">
        <f t="shared" si="33"/>
        <v>15</v>
      </c>
      <c r="O83" s="71">
        <f t="shared" si="33"/>
        <v>15</v>
      </c>
      <c r="P83" s="71">
        <f t="shared" si="33"/>
        <v>21.199999999999996</v>
      </c>
      <c r="Q83" s="71">
        <f t="shared" si="33"/>
        <v>21.199999999999996</v>
      </c>
      <c r="R83" s="71">
        <f t="shared" si="33"/>
        <v>0</v>
      </c>
      <c r="S83" s="71">
        <f t="shared" ref="S83:AA83" si="34">S80+S81+S82</f>
        <v>21.199999999999996</v>
      </c>
      <c r="T83" s="71">
        <f t="shared" si="34"/>
        <v>21.199999999999996</v>
      </c>
      <c r="U83" s="71">
        <f t="shared" si="34"/>
        <v>21.199999999999996</v>
      </c>
      <c r="V83" s="71">
        <f t="shared" si="34"/>
        <v>21.199999999999996</v>
      </c>
      <c r="W83" s="71">
        <f t="shared" si="34"/>
        <v>21.199999999999996</v>
      </c>
      <c r="X83" s="71">
        <f t="shared" si="34"/>
        <v>21.199999999999996</v>
      </c>
      <c r="Y83" s="71">
        <f t="shared" si="34"/>
        <v>21.199999999999996</v>
      </c>
      <c r="Z83" s="71">
        <f t="shared" si="34"/>
        <v>21.199999999999996</v>
      </c>
      <c r="AA83" s="71">
        <f t="shared" si="34"/>
        <v>21.199999999999996</v>
      </c>
      <c r="AB83" s="71">
        <f t="shared" si="33"/>
        <v>22</v>
      </c>
      <c r="AC83" s="71">
        <f>AC80+AC81+AC82</f>
        <v>22</v>
      </c>
      <c r="AD83" s="71">
        <f t="shared" si="33"/>
        <v>0</v>
      </c>
      <c r="AE83" s="71">
        <f>AE80+AE81+AE82</f>
        <v>0</v>
      </c>
      <c r="AF83" s="71">
        <f>AF80+AF81+AF82</f>
        <v>0</v>
      </c>
      <c r="AG83" s="72">
        <f>SUM(AG80:AG82)</f>
        <v>106</v>
      </c>
      <c r="AH83" s="48">
        <f t="shared" si="29"/>
        <v>22</v>
      </c>
      <c r="AI83" s="49">
        <f t="shared" si="30"/>
        <v>0</v>
      </c>
      <c r="AK83" s="51"/>
      <c r="AY83" s="82"/>
      <c r="BF83" s="81"/>
      <c r="BG83" s="82">
        <v>-16</v>
      </c>
      <c r="BH83" s="82">
        <v>0</v>
      </c>
      <c r="BI83" s="82">
        <v>-444.4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47.2</v>
      </c>
      <c r="C84" s="46">
        <v>-2.5</v>
      </c>
      <c r="D84" s="46">
        <v>-16</v>
      </c>
      <c r="E84" s="46">
        <v>-20.3</v>
      </c>
      <c r="F84" s="46">
        <v>-23</v>
      </c>
      <c r="G84" s="46">
        <v>-27</v>
      </c>
      <c r="H84" s="46">
        <v>-5</v>
      </c>
      <c r="I84" s="46">
        <v>-6.3</v>
      </c>
      <c r="J84" s="46">
        <v>-10</v>
      </c>
      <c r="K84" s="46">
        <v>-10.199999999999999</v>
      </c>
      <c r="L84" s="46">
        <v>-10.199999999999999</v>
      </c>
      <c r="M84" s="46">
        <v>2.5</v>
      </c>
      <c r="N84" s="46">
        <v>0.7</v>
      </c>
      <c r="O84" s="46">
        <v>-11</v>
      </c>
      <c r="P84" s="46">
        <v>11.9</v>
      </c>
      <c r="Q84" s="46">
        <v>7.5</v>
      </c>
      <c r="R84" s="46"/>
      <c r="S84" s="46">
        <v>11.7</v>
      </c>
      <c r="T84" s="46">
        <v>5.9</v>
      </c>
      <c r="U84" s="46">
        <v>5.3</v>
      </c>
      <c r="V84" s="46">
        <v>6.3</v>
      </c>
      <c r="W84" s="46">
        <v>5.2</v>
      </c>
      <c r="X84" s="46">
        <v>-7.6</v>
      </c>
      <c r="Y84" s="46">
        <v>-7.6</v>
      </c>
      <c r="Z84" s="46">
        <v>-7.7</v>
      </c>
      <c r="AA84" s="46">
        <v>1.6</v>
      </c>
      <c r="AB84" s="46">
        <v>25.6</v>
      </c>
      <c r="AC84" s="46">
        <v>27.8</v>
      </c>
      <c r="AD84" s="46">
        <v>22.2</v>
      </c>
      <c r="AE84" s="46">
        <v>-21.8</v>
      </c>
      <c r="AF84" s="46">
        <v>-26</v>
      </c>
      <c r="AG84" s="61"/>
      <c r="AH84" s="48">
        <f t="shared" si="29"/>
        <v>47.2</v>
      </c>
      <c r="AI84" s="49">
        <f t="shared" si="30"/>
        <v>-27</v>
      </c>
      <c r="AK84" s="51"/>
      <c r="AY84" s="82"/>
      <c r="BF84" s="81"/>
      <c r="BG84" s="82">
        <v>-20.3</v>
      </c>
      <c r="BH84" s="82">
        <v>0</v>
      </c>
      <c r="BI84" s="82">
        <v>-524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-23</v>
      </c>
      <c r="BH85" s="82">
        <v>0</v>
      </c>
      <c r="BI85" s="82">
        <v>-560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-462.3</v>
      </c>
      <c r="C86" s="76">
        <v>-444.4</v>
      </c>
      <c r="D86" s="76">
        <v>-444.4</v>
      </c>
      <c r="E86" s="76">
        <v>-524</v>
      </c>
      <c r="F86" s="76">
        <v>-560</v>
      </c>
      <c r="G86" s="76">
        <v>-598.70000000000005</v>
      </c>
      <c r="H86" s="76">
        <v>-612</v>
      </c>
      <c r="I86" s="76">
        <v>-669</v>
      </c>
      <c r="J86" s="76">
        <v>-580.6</v>
      </c>
      <c r="K86" s="76">
        <v>-570.9</v>
      </c>
      <c r="L86" s="76">
        <v>-570.9</v>
      </c>
      <c r="M86" s="76">
        <v>-490</v>
      </c>
      <c r="N86" s="76">
        <v>-478</v>
      </c>
      <c r="O86" s="76">
        <v>-409.7</v>
      </c>
      <c r="P86" s="76">
        <v>-388</v>
      </c>
      <c r="Q86" s="76">
        <v>-400</v>
      </c>
      <c r="R86" s="76"/>
      <c r="S86" s="76">
        <v>-440.8</v>
      </c>
      <c r="T86" s="76">
        <v>-385.7</v>
      </c>
      <c r="U86" s="76">
        <v>-412</v>
      </c>
      <c r="V86" s="76">
        <v>-437.8</v>
      </c>
      <c r="W86" s="76">
        <v>-419.1</v>
      </c>
      <c r="X86" s="76">
        <v>-472.9</v>
      </c>
      <c r="Y86" s="76">
        <v>-472.9</v>
      </c>
      <c r="Z86" s="76">
        <v>-372.5</v>
      </c>
      <c r="AA86" s="76">
        <v>-395.8</v>
      </c>
      <c r="AB86" s="76">
        <v>-425</v>
      </c>
      <c r="AC86" s="76">
        <v>-402.2</v>
      </c>
      <c r="AD86" s="76">
        <v>-441.7</v>
      </c>
      <c r="AE86" s="76">
        <v>-457</v>
      </c>
      <c r="AF86" s="76">
        <v>-521</v>
      </c>
      <c r="AG86" s="88"/>
      <c r="AH86" s="48">
        <f t="shared" si="29"/>
        <v>-372.5</v>
      </c>
      <c r="AI86" s="49">
        <f t="shared" si="30"/>
        <v>-669</v>
      </c>
      <c r="AK86" s="92"/>
      <c r="AL86" s="93"/>
      <c r="AM86" s="93"/>
      <c r="AN86" s="94"/>
      <c r="AY86" s="82"/>
      <c r="BF86" s="82"/>
      <c r="BG86" s="82">
        <v>-27</v>
      </c>
      <c r="BH86" s="82">
        <v>0</v>
      </c>
      <c r="BI86" s="82">
        <v>-598.70000000000005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9"/>
        <v>0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-6.3</v>
      </c>
      <c r="BH87" s="82">
        <v>0</v>
      </c>
      <c r="BI87" s="82">
        <v>-669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9"/>
        <v>0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-10.199999999999999</v>
      </c>
      <c r="BH88" s="82">
        <v>0</v>
      </c>
      <c r="BI88" s="82">
        <v>-570.9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2.5</v>
      </c>
      <c r="BH89" s="82">
        <v>0</v>
      </c>
      <c r="BI89" s="82">
        <v>-490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4"/>
      <c r="AY90" s="82"/>
      <c r="BF90" s="82"/>
      <c r="BG90" s="82">
        <v>0.7</v>
      </c>
      <c r="BH90" s="82">
        <v>0</v>
      </c>
      <c r="BI90" s="82">
        <v>-478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 t="s">
        <v>326</v>
      </c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5"/>
      <c r="BF91" s="82"/>
      <c r="BG91" s="82">
        <v>-11</v>
      </c>
      <c r="BH91" s="82">
        <v>0</v>
      </c>
      <c r="BI91" s="82">
        <v>-409.7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11.9</v>
      </c>
      <c r="BH92" s="82">
        <v>0</v>
      </c>
      <c r="BI92" s="82">
        <v>-388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7.5</v>
      </c>
      <c r="BH93" s="82">
        <v>0</v>
      </c>
      <c r="BI93" s="82">
        <v>-400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47.2</v>
      </c>
      <c r="C95" s="71">
        <f>SUMIF(C84:C94,"&gt;0")</f>
        <v>0</v>
      </c>
      <c r="D95" s="71">
        <f>SUMIF(D84:D94,"&gt;0")</f>
        <v>0</v>
      </c>
      <c r="E95" s="71">
        <f t="shared" ref="E95:AD95" si="35">SUMIF(E84:E94,"&gt;0")</f>
        <v>0</v>
      </c>
      <c r="F95" s="71">
        <f t="shared" si="35"/>
        <v>0</v>
      </c>
      <c r="G95" s="71">
        <f t="shared" si="35"/>
        <v>0</v>
      </c>
      <c r="H95" s="71">
        <f t="shared" si="35"/>
        <v>0</v>
      </c>
      <c r="I95" s="71">
        <f t="shared" si="35"/>
        <v>0</v>
      </c>
      <c r="J95" s="71">
        <f t="shared" si="35"/>
        <v>0</v>
      </c>
      <c r="K95" s="71">
        <f t="shared" si="35"/>
        <v>0</v>
      </c>
      <c r="L95" s="71">
        <f t="shared" si="35"/>
        <v>0</v>
      </c>
      <c r="M95" s="71">
        <f t="shared" si="35"/>
        <v>2.5</v>
      </c>
      <c r="N95" s="71">
        <f t="shared" si="35"/>
        <v>0.7</v>
      </c>
      <c r="O95" s="71">
        <f t="shared" si="35"/>
        <v>0</v>
      </c>
      <c r="P95" s="71">
        <f t="shared" si="35"/>
        <v>11.9</v>
      </c>
      <c r="Q95" s="71">
        <f t="shared" si="35"/>
        <v>7.5</v>
      </c>
      <c r="R95" s="71">
        <f t="shared" si="35"/>
        <v>0</v>
      </c>
      <c r="S95" s="71">
        <f t="shared" ref="S95:AA95" si="36">SUMIF(S84:S94,"&gt;0")</f>
        <v>11.7</v>
      </c>
      <c r="T95" s="71">
        <f t="shared" si="36"/>
        <v>5.9</v>
      </c>
      <c r="U95" s="71">
        <f t="shared" si="36"/>
        <v>5.3</v>
      </c>
      <c r="V95" s="71">
        <f t="shared" si="36"/>
        <v>6.3</v>
      </c>
      <c r="W95" s="71">
        <f t="shared" si="36"/>
        <v>5.2</v>
      </c>
      <c r="X95" s="71">
        <f t="shared" si="36"/>
        <v>0</v>
      </c>
      <c r="Y95" s="71">
        <f t="shared" si="36"/>
        <v>0</v>
      </c>
      <c r="Z95" s="71">
        <f t="shared" si="36"/>
        <v>0</v>
      </c>
      <c r="AA95" s="71">
        <f t="shared" si="36"/>
        <v>1.6</v>
      </c>
      <c r="AB95" s="71">
        <f t="shared" si="35"/>
        <v>25.6</v>
      </c>
      <c r="AC95" s="71">
        <f t="shared" si="35"/>
        <v>27.8</v>
      </c>
      <c r="AD95" s="71">
        <f t="shared" si="35"/>
        <v>22.2</v>
      </c>
      <c r="AE95" s="71">
        <f>SUMIF(AE84:AE94,"&gt;0")</f>
        <v>0</v>
      </c>
      <c r="AF95" s="71">
        <f>SUMIF(AF84:AF94,"&gt;0")</f>
        <v>0</v>
      </c>
      <c r="AG95" s="101">
        <f>SUM(AG84:AG94)</f>
        <v>0</v>
      </c>
      <c r="AH95" s="48">
        <f t="shared" si="29"/>
        <v>47.2</v>
      </c>
      <c r="AI95" s="49">
        <f t="shared" si="30"/>
        <v>0</v>
      </c>
      <c r="BF95" s="82"/>
      <c r="BG95" s="82">
        <v>11.7</v>
      </c>
      <c r="BH95" s="82">
        <v>0</v>
      </c>
      <c r="BI95" s="82">
        <v>-440.8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5.9</v>
      </c>
      <c r="BH96" s="82">
        <v>0</v>
      </c>
      <c r="BI96" s="82">
        <v>-385.7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5.3</v>
      </c>
      <c r="BH97" s="82">
        <v>0</v>
      </c>
      <c r="BI97" s="82">
        <v>-412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6.3</v>
      </c>
      <c r="BH98" s="82">
        <v>0</v>
      </c>
      <c r="BI98" s="82">
        <v>-437.8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-7.6</v>
      </c>
      <c r="BH99" s="82">
        <v>0</v>
      </c>
      <c r="BI99" s="82">
        <v>-472.9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1901.94</v>
      </c>
      <c r="C100" s="108">
        <f>C61+C65+C83+C79+C95+C99</f>
        <v>1854.74</v>
      </c>
      <c r="D100" s="108">
        <f>D61+D65+D83+D79+D95+D99</f>
        <v>1944.24</v>
      </c>
      <c r="E100" s="108">
        <f t="shared" ref="E100:AG100" si="37">E61+E65+E83+E79+E95+E99</f>
        <v>1936.0400000000002</v>
      </c>
      <c r="F100" s="108">
        <f t="shared" si="37"/>
        <v>1963.24</v>
      </c>
      <c r="G100" s="108">
        <f t="shared" si="37"/>
        <v>1955.04</v>
      </c>
      <c r="H100" s="108">
        <f t="shared" si="37"/>
        <v>1984.14</v>
      </c>
      <c r="I100" s="108">
        <f t="shared" si="37"/>
        <v>1979.4399999999998</v>
      </c>
      <c r="J100" s="108">
        <f t="shared" si="37"/>
        <v>1955.64</v>
      </c>
      <c r="K100" s="108">
        <f t="shared" si="37"/>
        <v>1956.94</v>
      </c>
      <c r="L100" s="108">
        <f t="shared" si="37"/>
        <v>1956.94</v>
      </c>
      <c r="M100" s="108">
        <f t="shared" si="37"/>
        <v>1995.6399999999999</v>
      </c>
      <c r="N100" s="108">
        <f t="shared" si="37"/>
        <v>1932.1399999999999</v>
      </c>
      <c r="O100" s="108">
        <f t="shared" si="37"/>
        <v>1944.4399999999998</v>
      </c>
      <c r="P100" s="108">
        <f t="shared" si="37"/>
        <v>2010.1399999999999</v>
      </c>
      <c r="Q100" s="108">
        <f t="shared" si="37"/>
        <v>1983.44</v>
      </c>
      <c r="R100" s="108">
        <f t="shared" si="37"/>
        <v>153.54</v>
      </c>
      <c r="S100" s="108">
        <f t="shared" ref="S100:AA100" si="38">S61+S65+S83+S79+S95+S99</f>
        <v>1986.3400000000001</v>
      </c>
      <c r="T100" s="108">
        <f t="shared" si="38"/>
        <v>1986.4400000000003</v>
      </c>
      <c r="U100" s="108">
        <f t="shared" si="38"/>
        <v>1977.0400000000002</v>
      </c>
      <c r="V100" s="108">
        <f t="shared" si="38"/>
        <v>2016.84</v>
      </c>
      <c r="W100" s="108">
        <f t="shared" si="38"/>
        <v>2015.64</v>
      </c>
      <c r="X100" s="108">
        <f t="shared" si="38"/>
        <v>2010.14</v>
      </c>
      <c r="Y100" s="108">
        <f t="shared" si="38"/>
        <v>1950.54</v>
      </c>
      <c r="Z100" s="108">
        <f t="shared" si="38"/>
        <v>1982.94</v>
      </c>
      <c r="AA100" s="108">
        <f t="shared" si="38"/>
        <v>2003.84</v>
      </c>
      <c r="AB100" s="108">
        <f t="shared" si="37"/>
        <v>2048.34</v>
      </c>
      <c r="AC100" s="108">
        <f t="shared" si="37"/>
        <v>2050.44</v>
      </c>
      <c r="AD100" s="108">
        <f t="shared" si="37"/>
        <v>2022.8400000000001</v>
      </c>
      <c r="AE100" s="108">
        <f>AE61+AE65+AE83+AE79+AE95+AE99</f>
        <v>2041.74</v>
      </c>
      <c r="AF100" s="108">
        <f>AF61+AF65+AF83+AF79+AF95+AF99</f>
        <v>2087.94</v>
      </c>
      <c r="AG100" s="72">
        <f t="shared" si="37"/>
        <v>2655.44</v>
      </c>
      <c r="AH100" s="48">
        <f t="shared" si="29"/>
        <v>2087.94</v>
      </c>
      <c r="AI100" s="49">
        <f t="shared" si="30"/>
        <v>153.54</v>
      </c>
      <c r="BF100" s="81"/>
      <c r="BG100" s="82">
        <v>-7.7</v>
      </c>
      <c r="BH100" s="82">
        <v>0</v>
      </c>
      <c r="BI100" s="82">
        <v>-372.5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9"/>
        <v>0</v>
      </c>
      <c r="AI101" s="49">
        <f t="shared" si="30"/>
        <v>0</v>
      </c>
      <c r="BF101" s="81"/>
      <c r="BG101" s="82">
        <v>25.6</v>
      </c>
      <c r="BH101" s="82">
        <v>0</v>
      </c>
      <c r="BI101" s="82">
        <v>-425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1901.94</v>
      </c>
      <c r="C102" s="108">
        <f>C100+C101</f>
        <v>1854.74</v>
      </c>
      <c r="D102" s="108">
        <f>D100+D101</f>
        <v>1944.24</v>
      </c>
      <c r="E102" s="108">
        <f t="shared" ref="E102:AD102" si="39">E100+E101</f>
        <v>1936.0400000000002</v>
      </c>
      <c r="F102" s="108">
        <f t="shared" si="39"/>
        <v>1963.24</v>
      </c>
      <c r="G102" s="108">
        <f t="shared" si="39"/>
        <v>1955.04</v>
      </c>
      <c r="H102" s="108">
        <f t="shared" si="39"/>
        <v>1984.14</v>
      </c>
      <c r="I102" s="108">
        <f t="shared" si="39"/>
        <v>1979.4399999999998</v>
      </c>
      <c r="J102" s="108">
        <f t="shared" si="39"/>
        <v>1955.64</v>
      </c>
      <c r="K102" s="108">
        <f t="shared" si="39"/>
        <v>1956.94</v>
      </c>
      <c r="L102" s="108">
        <f t="shared" si="39"/>
        <v>1956.94</v>
      </c>
      <c r="M102" s="108">
        <f t="shared" si="39"/>
        <v>1995.6399999999999</v>
      </c>
      <c r="N102" s="108">
        <f t="shared" si="39"/>
        <v>1932.1399999999999</v>
      </c>
      <c r="O102" s="108">
        <f t="shared" si="39"/>
        <v>1944.4399999999998</v>
      </c>
      <c r="P102" s="108">
        <f t="shared" si="39"/>
        <v>2010.1399999999999</v>
      </c>
      <c r="Q102" s="108">
        <f t="shared" si="39"/>
        <v>1983.44</v>
      </c>
      <c r="R102" s="108">
        <f t="shared" si="39"/>
        <v>153.54</v>
      </c>
      <c r="S102" s="108">
        <f t="shared" ref="S102:AA102" si="40">S100+S101</f>
        <v>1986.3400000000001</v>
      </c>
      <c r="T102" s="108">
        <f t="shared" si="40"/>
        <v>1986.4400000000003</v>
      </c>
      <c r="U102" s="108">
        <f t="shared" si="40"/>
        <v>1977.0400000000002</v>
      </c>
      <c r="V102" s="108">
        <f t="shared" si="40"/>
        <v>2016.84</v>
      </c>
      <c r="W102" s="108">
        <f t="shared" si="40"/>
        <v>2015.64</v>
      </c>
      <c r="X102" s="108">
        <f t="shared" si="40"/>
        <v>2010.14</v>
      </c>
      <c r="Y102" s="108">
        <f t="shared" si="40"/>
        <v>1950.54</v>
      </c>
      <c r="Z102" s="108">
        <f t="shared" si="40"/>
        <v>1982.94</v>
      </c>
      <c r="AA102" s="108">
        <f t="shared" si="40"/>
        <v>2003.84</v>
      </c>
      <c r="AB102" s="108">
        <f t="shared" si="39"/>
        <v>2048.34</v>
      </c>
      <c r="AC102" s="108">
        <f t="shared" si="39"/>
        <v>2050.44</v>
      </c>
      <c r="AD102" s="108">
        <f t="shared" si="39"/>
        <v>2022.8400000000001</v>
      </c>
      <c r="AE102" s="108">
        <f>AE100+AE101</f>
        <v>2041.74</v>
      </c>
      <c r="AF102" s="108">
        <f>AF100+AF101</f>
        <v>2087.94</v>
      </c>
      <c r="AG102" s="101">
        <f>AG99+AG95+AG83+AG79+AG61+AG101</f>
        <v>2117.34</v>
      </c>
      <c r="AH102" s="48">
        <f t="shared" si="29"/>
        <v>2087.94</v>
      </c>
      <c r="AI102" s="49">
        <f t="shared" si="30"/>
        <v>153.54</v>
      </c>
      <c r="BF102" s="81"/>
      <c r="BG102" s="82">
        <v>22.2</v>
      </c>
      <c r="BH102" s="82">
        <v>0</v>
      </c>
      <c r="BI102" s="82">
        <v>-441.7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1439.64</v>
      </c>
      <c r="C103" s="108">
        <f>C102-(C110)</f>
        <v>1407.8400000000001</v>
      </c>
      <c r="D103" s="108">
        <f>D102-(D110)</f>
        <v>1483.8400000000001</v>
      </c>
      <c r="E103" s="108">
        <f t="shared" ref="E103:AD103" si="41">E102-(E110)</f>
        <v>1391.7400000000002</v>
      </c>
      <c r="F103" s="108">
        <f t="shared" si="41"/>
        <v>1380.24</v>
      </c>
      <c r="G103" s="108">
        <f t="shared" si="41"/>
        <v>1329.34</v>
      </c>
      <c r="H103" s="108">
        <f t="shared" si="41"/>
        <v>1367.14</v>
      </c>
      <c r="I103" s="108">
        <f t="shared" si="41"/>
        <v>1304.1399999999999</v>
      </c>
      <c r="J103" s="108">
        <f t="shared" si="41"/>
        <v>1365.04</v>
      </c>
      <c r="K103" s="108">
        <f t="shared" si="41"/>
        <v>1375.8400000000001</v>
      </c>
      <c r="L103" s="108">
        <f t="shared" si="41"/>
        <v>1375.8400000000001</v>
      </c>
      <c r="M103" s="108">
        <f t="shared" si="41"/>
        <v>1505.6399999999999</v>
      </c>
      <c r="N103" s="108">
        <f t="shared" si="41"/>
        <v>1454.1399999999999</v>
      </c>
      <c r="O103" s="108">
        <f t="shared" si="41"/>
        <v>1523.7399999999998</v>
      </c>
      <c r="P103" s="108">
        <f t="shared" si="41"/>
        <v>1622.1399999999999</v>
      </c>
      <c r="Q103" s="108">
        <f t="shared" si="41"/>
        <v>1583.44</v>
      </c>
      <c r="R103" s="108">
        <f t="shared" si="41"/>
        <v>153.54</v>
      </c>
      <c r="S103" s="108">
        <f t="shared" ref="S103:AA103" si="42">S102-(S110)</f>
        <v>1545.5400000000002</v>
      </c>
      <c r="T103" s="108">
        <f t="shared" si="42"/>
        <v>1600.7400000000002</v>
      </c>
      <c r="U103" s="108">
        <f t="shared" si="42"/>
        <v>1565.0400000000002</v>
      </c>
      <c r="V103" s="108">
        <f t="shared" si="42"/>
        <v>1579.04</v>
      </c>
      <c r="W103" s="108">
        <f t="shared" si="42"/>
        <v>1596.54</v>
      </c>
      <c r="X103" s="108">
        <f t="shared" si="42"/>
        <v>1529.64</v>
      </c>
      <c r="Y103" s="108">
        <f t="shared" si="42"/>
        <v>1470.04</v>
      </c>
      <c r="Z103" s="108">
        <f t="shared" si="42"/>
        <v>1602.74</v>
      </c>
      <c r="AA103" s="108">
        <f t="shared" si="42"/>
        <v>1608.04</v>
      </c>
      <c r="AB103" s="108">
        <f t="shared" si="41"/>
        <v>1623.3400000000001</v>
      </c>
      <c r="AC103" s="108">
        <f t="shared" si="41"/>
        <v>1648.24</v>
      </c>
      <c r="AD103" s="108">
        <f t="shared" si="41"/>
        <v>1581.14</v>
      </c>
      <c r="AE103" s="108">
        <f>AE102-(AE110)</f>
        <v>1562.94</v>
      </c>
      <c r="AF103" s="108">
        <f>AF102-(AF110)</f>
        <v>1540.94</v>
      </c>
      <c r="AG103" s="101"/>
      <c r="AH103" s="48">
        <f t="shared" si="29"/>
        <v>1648.24</v>
      </c>
      <c r="AI103" s="49">
        <f t="shared" si="30"/>
        <v>153.54</v>
      </c>
      <c r="BF103" s="81"/>
      <c r="BG103" s="82">
        <v>-21.8</v>
      </c>
      <c r="BH103" s="82">
        <v>0</v>
      </c>
      <c r="BI103" s="82">
        <v>-457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43">IF(B84&lt;0,B84*-1,0)</f>
        <v>0</v>
      </c>
      <c r="C104" s="89">
        <f t="shared" si="43"/>
        <v>2.5</v>
      </c>
      <c r="D104" s="89">
        <f t="shared" ref="D104:D109" si="44">IF(D84&lt;0,D84*-1,0)</f>
        <v>16</v>
      </c>
      <c r="E104" s="89">
        <f t="shared" ref="E104:AD109" si="45">IF(E84&lt;0,E84*-1,0)</f>
        <v>20.3</v>
      </c>
      <c r="F104" s="89">
        <f t="shared" si="45"/>
        <v>23</v>
      </c>
      <c r="G104" s="89">
        <f t="shared" si="45"/>
        <v>27</v>
      </c>
      <c r="H104" s="89">
        <f t="shared" si="45"/>
        <v>5</v>
      </c>
      <c r="I104" s="89">
        <f t="shared" si="45"/>
        <v>6.3</v>
      </c>
      <c r="J104" s="89">
        <f t="shared" si="45"/>
        <v>10</v>
      </c>
      <c r="K104" s="89">
        <f t="shared" si="45"/>
        <v>10.199999999999999</v>
      </c>
      <c r="L104" s="89">
        <f t="shared" si="45"/>
        <v>10.199999999999999</v>
      </c>
      <c r="M104" s="89">
        <f t="shared" si="45"/>
        <v>0</v>
      </c>
      <c r="N104" s="89">
        <f t="shared" si="45"/>
        <v>0</v>
      </c>
      <c r="O104" s="89">
        <f t="shared" si="45"/>
        <v>11</v>
      </c>
      <c r="P104" s="89">
        <f t="shared" si="45"/>
        <v>0</v>
      </c>
      <c r="Q104" s="89">
        <f t="shared" si="45"/>
        <v>0</v>
      </c>
      <c r="R104" s="89">
        <f t="shared" si="45"/>
        <v>0</v>
      </c>
      <c r="S104" s="89">
        <f t="shared" ref="S104:AA104" si="46">IF(S84&lt;0,S84*-1,0)</f>
        <v>0</v>
      </c>
      <c r="T104" s="89">
        <f t="shared" si="46"/>
        <v>0</v>
      </c>
      <c r="U104" s="89">
        <f t="shared" si="46"/>
        <v>0</v>
      </c>
      <c r="V104" s="89">
        <f t="shared" si="46"/>
        <v>0</v>
      </c>
      <c r="W104" s="89">
        <f t="shared" si="46"/>
        <v>0</v>
      </c>
      <c r="X104" s="89">
        <f t="shared" si="46"/>
        <v>7.6</v>
      </c>
      <c r="Y104" s="89">
        <f t="shared" si="46"/>
        <v>7.6</v>
      </c>
      <c r="Z104" s="89">
        <f t="shared" si="46"/>
        <v>7.7</v>
      </c>
      <c r="AA104" s="89">
        <f t="shared" si="46"/>
        <v>0</v>
      </c>
      <c r="AB104" s="89">
        <f t="shared" si="45"/>
        <v>0</v>
      </c>
      <c r="AC104" s="89">
        <f t="shared" si="45"/>
        <v>0</v>
      </c>
      <c r="AD104" s="89">
        <f t="shared" si="45"/>
        <v>0</v>
      </c>
      <c r="AE104" s="89">
        <f t="shared" ref="AE104:AF109" si="47">IF(AE84&lt;0,AE84*-1,0)</f>
        <v>21.8</v>
      </c>
      <c r="AF104" s="89">
        <f t="shared" si="47"/>
        <v>26</v>
      </c>
      <c r="AG104" s="61"/>
      <c r="AH104" s="48">
        <f t="shared" si="29"/>
        <v>27</v>
      </c>
      <c r="AI104" s="49">
        <f t="shared" si="30"/>
        <v>0</v>
      </c>
      <c r="BG104" s="82">
        <v>-26</v>
      </c>
      <c r="BH104" s="82">
        <v>0</v>
      </c>
      <c r="BI104" s="82">
        <v>-521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3"/>
        <v>0</v>
      </c>
      <c r="C105" s="89">
        <f t="shared" si="43"/>
        <v>0</v>
      </c>
      <c r="D105" s="89">
        <f t="shared" si="44"/>
        <v>0</v>
      </c>
      <c r="E105" s="89">
        <f t="shared" ref="E105:Q105" si="48">IF(E85&lt;0,E85*-1,0)</f>
        <v>0</v>
      </c>
      <c r="F105" s="89">
        <f t="shared" si="48"/>
        <v>0</v>
      </c>
      <c r="G105" s="89">
        <f t="shared" si="48"/>
        <v>0</v>
      </c>
      <c r="H105" s="89">
        <f t="shared" si="48"/>
        <v>0</v>
      </c>
      <c r="I105" s="89">
        <f t="shared" si="48"/>
        <v>0</v>
      </c>
      <c r="J105" s="89">
        <f t="shared" si="48"/>
        <v>0</v>
      </c>
      <c r="K105" s="89">
        <f t="shared" si="48"/>
        <v>0</v>
      </c>
      <c r="L105" s="89">
        <f t="shared" si="48"/>
        <v>0</v>
      </c>
      <c r="M105" s="89">
        <f t="shared" si="48"/>
        <v>0</v>
      </c>
      <c r="N105" s="89">
        <f t="shared" si="48"/>
        <v>0</v>
      </c>
      <c r="O105" s="89">
        <f t="shared" si="48"/>
        <v>0</v>
      </c>
      <c r="P105" s="89">
        <f t="shared" si="48"/>
        <v>0</v>
      </c>
      <c r="Q105" s="89">
        <f t="shared" si="48"/>
        <v>0</v>
      </c>
      <c r="R105" s="89">
        <f t="shared" si="45"/>
        <v>0</v>
      </c>
      <c r="S105" s="89">
        <f t="shared" si="45"/>
        <v>0</v>
      </c>
      <c r="T105" s="89">
        <f t="shared" ref="T105:AA109" si="49">IF(T85&lt;0,T85*-1,0)</f>
        <v>0</v>
      </c>
      <c r="U105" s="89">
        <f t="shared" si="49"/>
        <v>0</v>
      </c>
      <c r="V105" s="89">
        <f t="shared" si="49"/>
        <v>0</v>
      </c>
      <c r="W105" s="89">
        <f t="shared" si="49"/>
        <v>0</v>
      </c>
      <c r="X105" s="89">
        <f t="shared" si="49"/>
        <v>0</v>
      </c>
      <c r="Y105" s="89">
        <f t="shared" si="49"/>
        <v>0</v>
      </c>
      <c r="Z105" s="89">
        <f t="shared" si="49"/>
        <v>0</v>
      </c>
      <c r="AA105" s="89">
        <f t="shared" si="49"/>
        <v>0</v>
      </c>
      <c r="AB105" s="89">
        <f t="shared" si="45"/>
        <v>0</v>
      </c>
      <c r="AC105" s="89">
        <f t="shared" si="45"/>
        <v>0</v>
      </c>
      <c r="AD105" s="89">
        <f t="shared" si="45"/>
        <v>0</v>
      </c>
      <c r="AE105" s="89">
        <f t="shared" si="47"/>
        <v>0</v>
      </c>
      <c r="AF105" s="89">
        <f t="shared" si="47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47.2</v>
      </c>
      <c r="BH105" s="82">
        <v>0</v>
      </c>
      <c r="BI105" s="82">
        <v>-462.3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3"/>
        <v>462.3</v>
      </c>
      <c r="C106" s="89">
        <f t="shared" si="43"/>
        <v>444.4</v>
      </c>
      <c r="D106" s="89">
        <f t="shared" si="44"/>
        <v>444.4</v>
      </c>
      <c r="E106" s="89">
        <f t="shared" si="45"/>
        <v>524</v>
      </c>
      <c r="F106" s="89">
        <f t="shared" si="45"/>
        <v>560</v>
      </c>
      <c r="G106" s="89">
        <f t="shared" si="45"/>
        <v>598.70000000000005</v>
      </c>
      <c r="H106" s="89">
        <f t="shared" si="45"/>
        <v>612</v>
      </c>
      <c r="I106" s="89">
        <f t="shared" si="45"/>
        <v>669</v>
      </c>
      <c r="J106" s="89">
        <f t="shared" si="45"/>
        <v>580.6</v>
      </c>
      <c r="K106" s="89">
        <f t="shared" si="45"/>
        <v>570.9</v>
      </c>
      <c r="L106" s="89">
        <f t="shared" si="45"/>
        <v>570.9</v>
      </c>
      <c r="M106" s="89">
        <f t="shared" si="45"/>
        <v>490</v>
      </c>
      <c r="N106" s="89">
        <f t="shared" si="45"/>
        <v>478</v>
      </c>
      <c r="O106" s="89">
        <f t="shared" si="45"/>
        <v>409.7</v>
      </c>
      <c r="P106" s="89">
        <f t="shared" si="45"/>
        <v>388</v>
      </c>
      <c r="Q106" s="89">
        <f t="shared" si="45"/>
        <v>400</v>
      </c>
      <c r="R106" s="89">
        <f t="shared" si="45"/>
        <v>0</v>
      </c>
      <c r="S106" s="89">
        <f>IF(S86&lt;0,S86*-1,0)</f>
        <v>440.8</v>
      </c>
      <c r="T106" s="89">
        <f t="shared" si="49"/>
        <v>385.7</v>
      </c>
      <c r="U106" s="89">
        <f t="shared" si="49"/>
        <v>412</v>
      </c>
      <c r="V106" s="89">
        <f t="shared" si="49"/>
        <v>437.8</v>
      </c>
      <c r="W106" s="89">
        <f t="shared" si="49"/>
        <v>419.1</v>
      </c>
      <c r="X106" s="89">
        <f t="shared" si="49"/>
        <v>472.9</v>
      </c>
      <c r="Y106" s="89">
        <f t="shared" si="49"/>
        <v>472.9</v>
      </c>
      <c r="Z106" s="89">
        <f t="shared" si="49"/>
        <v>372.5</v>
      </c>
      <c r="AA106" s="89">
        <f t="shared" si="49"/>
        <v>395.8</v>
      </c>
      <c r="AB106" s="89">
        <f t="shared" si="45"/>
        <v>425</v>
      </c>
      <c r="AC106" s="89">
        <f t="shared" si="45"/>
        <v>402.2</v>
      </c>
      <c r="AD106" s="89">
        <f t="shared" si="45"/>
        <v>441.7</v>
      </c>
      <c r="AE106" s="89">
        <f t="shared" si="47"/>
        <v>457</v>
      </c>
      <c r="AF106" s="89">
        <f t="shared" si="47"/>
        <v>521</v>
      </c>
      <c r="AG106" s="111"/>
      <c r="AH106" s="48">
        <f t="shared" si="29"/>
        <v>669</v>
      </c>
      <c r="AI106" s="49">
        <f t="shared" si="30"/>
        <v>0</v>
      </c>
    </row>
    <row r="107" spans="1:64" x14ac:dyDescent="0.25">
      <c r="A107" s="97" t="s">
        <v>107</v>
      </c>
      <c r="B107" s="89">
        <f t="shared" si="43"/>
        <v>0</v>
      </c>
      <c r="C107" s="89">
        <f t="shared" si="43"/>
        <v>0</v>
      </c>
      <c r="D107" s="89">
        <f t="shared" si="44"/>
        <v>0</v>
      </c>
      <c r="E107" s="89">
        <f t="shared" si="45"/>
        <v>0</v>
      </c>
      <c r="F107" s="89">
        <f t="shared" si="45"/>
        <v>0</v>
      </c>
      <c r="G107" s="89">
        <f t="shared" si="45"/>
        <v>0</v>
      </c>
      <c r="H107" s="89">
        <f t="shared" si="45"/>
        <v>0</v>
      </c>
      <c r="I107" s="89">
        <f t="shared" si="45"/>
        <v>0</v>
      </c>
      <c r="J107" s="89">
        <f t="shared" si="45"/>
        <v>0</v>
      </c>
      <c r="K107" s="89">
        <f t="shared" si="45"/>
        <v>0</v>
      </c>
      <c r="L107" s="89">
        <f t="shared" si="45"/>
        <v>0</v>
      </c>
      <c r="M107" s="89">
        <f t="shared" si="45"/>
        <v>0</v>
      </c>
      <c r="N107" s="89">
        <f t="shared" si="45"/>
        <v>0</v>
      </c>
      <c r="O107" s="89">
        <f t="shared" si="45"/>
        <v>0</v>
      </c>
      <c r="P107" s="89">
        <f t="shared" si="45"/>
        <v>0</v>
      </c>
      <c r="Q107" s="89">
        <f t="shared" si="45"/>
        <v>0</v>
      </c>
      <c r="R107" s="89">
        <f t="shared" si="45"/>
        <v>0</v>
      </c>
      <c r="S107" s="89">
        <f>IF(S87&lt;0,S87*-1,0)</f>
        <v>0</v>
      </c>
      <c r="T107" s="89">
        <f t="shared" si="49"/>
        <v>0</v>
      </c>
      <c r="U107" s="89">
        <f t="shared" si="49"/>
        <v>0</v>
      </c>
      <c r="V107" s="89">
        <f t="shared" si="49"/>
        <v>0</v>
      </c>
      <c r="W107" s="89">
        <f t="shared" si="49"/>
        <v>0</v>
      </c>
      <c r="X107" s="89">
        <f t="shared" si="49"/>
        <v>0</v>
      </c>
      <c r="Y107" s="89">
        <f t="shared" si="49"/>
        <v>0</v>
      </c>
      <c r="Z107" s="89">
        <f t="shared" si="49"/>
        <v>0</v>
      </c>
      <c r="AA107" s="89">
        <f t="shared" si="49"/>
        <v>0</v>
      </c>
      <c r="AB107" s="89">
        <f t="shared" si="45"/>
        <v>0</v>
      </c>
      <c r="AC107" s="89">
        <f t="shared" si="45"/>
        <v>0</v>
      </c>
      <c r="AD107" s="89">
        <f t="shared" si="45"/>
        <v>0</v>
      </c>
      <c r="AE107" s="89">
        <f t="shared" si="47"/>
        <v>0</v>
      </c>
      <c r="AF107" s="89">
        <f t="shared" si="47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43"/>
        <v>0</v>
      </c>
      <c r="C108" s="89">
        <f t="shared" si="43"/>
        <v>0</v>
      </c>
      <c r="D108" s="89">
        <f t="shared" si="44"/>
        <v>0</v>
      </c>
      <c r="E108" s="89">
        <f t="shared" si="45"/>
        <v>0</v>
      </c>
      <c r="F108" s="89">
        <f t="shared" si="45"/>
        <v>0</v>
      </c>
      <c r="G108" s="89">
        <f t="shared" si="45"/>
        <v>0</v>
      </c>
      <c r="H108" s="89">
        <f t="shared" si="45"/>
        <v>0</v>
      </c>
      <c r="I108" s="89">
        <f t="shared" si="45"/>
        <v>0</v>
      </c>
      <c r="J108" s="89">
        <f t="shared" si="45"/>
        <v>0</v>
      </c>
      <c r="K108" s="89">
        <f t="shared" si="45"/>
        <v>0</v>
      </c>
      <c r="L108" s="89">
        <f t="shared" si="45"/>
        <v>0</v>
      </c>
      <c r="M108" s="89">
        <f t="shared" si="45"/>
        <v>0</v>
      </c>
      <c r="N108" s="89">
        <f t="shared" si="45"/>
        <v>0</v>
      </c>
      <c r="O108" s="89">
        <f t="shared" si="45"/>
        <v>0</v>
      </c>
      <c r="P108" s="89">
        <f t="shared" si="45"/>
        <v>0</v>
      </c>
      <c r="Q108" s="89">
        <f t="shared" si="45"/>
        <v>0</v>
      </c>
      <c r="R108" s="89">
        <f t="shared" si="45"/>
        <v>0</v>
      </c>
      <c r="S108" s="89">
        <f>IF(S88&lt;0,S88*-1,0)</f>
        <v>0</v>
      </c>
      <c r="T108" s="89">
        <f t="shared" si="49"/>
        <v>0</v>
      </c>
      <c r="U108" s="89">
        <f t="shared" si="49"/>
        <v>0</v>
      </c>
      <c r="V108" s="89">
        <f t="shared" si="49"/>
        <v>0</v>
      </c>
      <c r="W108" s="89">
        <f t="shared" si="49"/>
        <v>0</v>
      </c>
      <c r="X108" s="89">
        <f t="shared" si="49"/>
        <v>0</v>
      </c>
      <c r="Y108" s="89">
        <f t="shared" si="49"/>
        <v>0</v>
      </c>
      <c r="Z108" s="89">
        <f t="shared" si="49"/>
        <v>0</v>
      </c>
      <c r="AA108" s="89">
        <f t="shared" si="49"/>
        <v>0</v>
      </c>
      <c r="AB108" s="89">
        <f t="shared" si="45"/>
        <v>0</v>
      </c>
      <c r="AC108" s="89">
        <f t="shared" si="45"/>
        <v>0</v>
      </c>
      <c r="AD108" s="89">
        <f t="shared" si="45"/>
        <v>0</v>
      </c>
      <c r="AE108" s="89">
        <f t="shared" si="47"/>
        <v>0</v>
      </c>
      <c r="AF108" s="89">
        <f t="shared" si="47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43"/>
        <v>0</v>
      </c>
      <c r="C109" s="89">
        <f t="shared" si="43"/>
        <v>0</v>
      </c>
      <c r="D109" s="89">
        <f t="shared" si="44"/>
        <v>0</v>
      </c>
      <c r="E109" s="89">
        <f t="shared" si="45"/>
        <v>0</v>
      </c>
      <c r="F109" s="89">
        <f t="shared" si="45"/>
        <v>0</v>
      </c>
      <c r="G109" s="89">
        <f t="shared" si="45"/>
        <v>0</v>
      </c>
      <c r="H109" s="89">
        <f t="shared" si="45"/>
        <v>0</v>
      </c>
      <c r="I109" s="89">
        <f t="shared" si="45"/>
        <v>0</v>
      </c>
      <c r="J109" s="89">
        <f t="shared" si="45"/>
        <v>0</v>
      </c>
      <c r="K109" s="89">
        <f t="shared" si="45"/>
        <v>0</v>
      </c>
      <c r="L109" s="89">
        <f t="shared" si="45"/>
        <v>0</v>
      </c>
      <c r="M109" s="89">
        <f t="shared" si="45"/>
        <v>0</v>
      </c>
      <c r="N109" s="89">
        <f t="shared" si="45"/>
        <v>0</v>
      </c>
      <c r="O109" s="89">
        <f t="shared" si="45"/>
        <v>0</v>
      </c>
      <c r="P109" s="89">
        <f t="shared" si="45"/>
        <v>0</v>
      </c>
      <c r="Q109" s="89">
        <f t="shared" si="45"/>
        <v>0</v>
      </c>
      <c r="R109" s="89">
        <f t="shared" si="45"/>
        <v>0</v>
      </c>
      <c r="S109" s="89">
        <f>IF(S89&lt;0,S89*-1,0)</f>
        <v>0</v>
      </c>
      <c r="T109" s="89">
        <f t="shared" si="49"/>
        <v>0</v>
      </c>
      <c r="U109" s="89">
        <f t="shared" si="49"/>
        <v>0</v>
      </c>
      <c r="V109" s="89">
        <f t="shared" si="49"/>
        <v>0</v>
      </c>
      <c r="W109" s="89">
        <f t="shared" si="49"/>
        <v>0</v>
      </c>
      <c r="X109" s="89">
        <f t="shared" si="49"/>
        <v>0</v>
      </c>
      <c r="Y109" s="89">
        <f t="shared" si="49"/>
        <v>0</v>
      </c>
      <c r="Z109" s="89">
        <f t="shared" si="49"/>
        <v>0</v>
      </c>
      <c r="AA109" s="89">
        <f t="shared" si="49"/>
        <v>0</v>
      </c>
      <c r="AB109" s="89">
        <f t="shared" si="45"/>
        <v>0</v>
      </c>
      <c r="AC109" s="89">
        <f t="shared" si="45"/>
        <v>0</v>
      </c>
      <c r="AD109" s="89">
        <f t="shared" si="45"/>
        <v>0</v>
      </c>
      <c r="AE109" s="89">
        <f t="shared" si="47"/>
        <v>0</v>
      </c>
      <c r="AF109" s="89">
        <f t="shared" si="47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462.3</v>
      </c>
      <c r="C110" s="71">
        <f>SUM(C104:C109)</f>
        <v>446.9</v>
      </c>
      <c r="D110" s="71">
        <f>SUM(D104:D109)</f>
        <v>460.4</v>
      </c>
      <c r="E110" s="71">
        <f t="shared" ref="E110:AD110" si="50">SUM(E104:E109)</f>
        <v>544.29999999999995</v>
      </c>
      <c r="F110" s="71">
        <f t="shared" si="50"/>
        <v>583</v>
      </c>
      <c r="G110" s="71">
        <f t="shared" si="50"/>
        <v>625.70000000000005</v>
      </c>
      <c r="H110" s="71">
        <f t="shared" si="50"/>
        <v>617</v>
      </c>
      <c r="I110" s="71">
        <f t="shared" si="50"/>
        <v>675.3</v>
      </c>
      <c r="J110" s="71">
        <f t="shared" si="50"/>
        <v>590.6</v>
      </c>
      <c r="K110" s="71">
        <f t="shared" si="50"/>
        <v>581.1</v>
      </c>
      <c r="L110" s="71">
        <f t="shared" si="50"/>
        <v>581.1</v>
      </c>
      <c r="M110" s="71">
        <f t="shared" si="50"/>
        <v>490</v>
      </c>
      <c r="N110" s="71">
        <f t="shared" si="50"/>
        <v>478</v>
      </c>
      <c r="O110" s="71">
        <f t="shared" si="50"/>
        <v>420.7</v>
      </c>
      <c r="P110" s="71">
        <f t="shared" si="50"/>
        <v>388</v>
      </c>
      <c r="Q110" s="71">
        <f t="shared" si="50"/>
        <v>400</v>
      </c>
      <c r="R110" s="71">
        <f t="shared" si="50"/>
        <v>0</v>
      </c>
      <c r="S110" s="71">
        <f t="shared" ref="S110:AA110" si="51">SUM(S104:S109)</f>
        <v>440.8</v>
      </c>
      <c r="T110" s="71">
        <f t="shared" si="51"/>
        <v>385.7</v>
      </c>
      <c r="U110" s="71">
        <f t="shared" si="51"/>
        <v>412</v>
      </c>
      <c r="V110" s="71">
        <f t="shared" si="51"/>
        <v>437.8</v>
      </c>
      <c r="W110" s="71">
        <f t="shared" si="51"/>
        <v>419.1</v>
      </c>
      <c r="X110" s="71">
        <f t="shared" si="51"/>
        <v>480.5</v>
      </c>
      <c r="Y110" s="71">
        <f t="shared" si="51"/>
        <v>480.5</v>
      </c>
      <c r="Z110" s="71">
        <f t="shared" si="51"/>
        <v>380.2</v>
      </c>
      <c r="AA110" s="71">
        <f t="shared" si="51"/>
        <v>395.8</v>
      </c>
      <c r="AB110" s="71">
        <f t="shared" si="50"/>
        <v>425</v>
      </c>
      <c r="AC110" s="71">
        <f t="shared" si="50"/>
        <v>402.2</v>
      </c>
      <c r="AD110" s="71">
        <f t="shared" si="50"/>
        <v>441.7</v>
      </c>
      <c r="AE110" s="71">
        <f>SUM(AE104:AE109)</f>
        <v>478.8</v>
      </c>
      <c r="AF110" s="71">
        <f>SUM(AF104:AF109)</f>
        <v>547</v>
      </c>
      <c r="AG110" s="101"/>
      <c r="AH110" s="48">
        <f t="shared" si="29"/>
        <v>675.3</v>
      </c>
      <c r="AI110" s="49">
        <f t="shared" si="30"/>
        <v>0</v>
      </c>
    </row>
    <row r="111" spans="1:64" ht="15.75" thickBot="1" x14ac:dyDescent="0.3">
      <c r="A111" s="87" t="s">
        <v>131</v>
      </c>
      <c r="B111" s="71">
        <f>B95-B110</f>
        <v>-415.1</v>
      </c>
      <c r="C111" s="71">
        <f>C95-C110</f>
        <v>-446.9</v>
      </c>
      <c r="D111" s="71">
        <f>D95-D110</f>
        <v>-460.4</v>
      </c>
      <c r="E111" s="71">
        <f t="shared" ref="E111:AD111" si="52">E95-E110</f>
        <v>-544.29999999999995</v>
      </c>
      <c r="F111" s="71">
        <f t="shared" si="52"/>
        <v>-583</v>
      </c>
      <c r="G111" s="71">
        <f t="shared" si="52"/>
        <v>-625.70000000000005</v>
      </c>
      <c r="H111" s="71">
        <f t="shared" si="52"/>
        <v>-617</v>
      </c>
      <c r="I111" s="71">
        <f t="shared" si="52"/>
        <v>-675.3</v>
      </c>
      <c r="J111" s="71">
        <f t="shared" si="52"/>
        <v>-590.6</v>
      </c>
      <c r="K111" s="71">
        <f t="shared" si="52"/>
        <v>-581.1</v>
      </c>
      <c r="L111" s="71">
        <f t="shared" si="52"/>
        <v>-581.1</v>
      </c>
      <c r="M111" s="71">
        <f t="shared" si="52"/>
        <v>-487.5</v>
      </c>
      <c r="N111" s="71">
        <f t="shared" si="52"/>
        <v>-477.3</v>
      </c>
      <c r="O111" s="71">
        <f t="shared" si="52"/>
        <v>-420.7</v>
      </c>
      <c r="P111" s="71">
        <f t="shared" si="52"/>
        <v>-376.1</v>
      </c>
      <c r="Q111" s="71">
        <f t="shared" si="52"/>
        <v>-392.5</v>
      </c>
      <c r="R111" s="71">
        <f t="shared" si="52"/>
        <v>0</v>
      </c>
      <c r="S111" s="71">
        <f t="shared" ref="S111:AA111" si="53">S95-S110</f>
        <v>-429.1</v>
      </c>
      <c r="T111" s="71">
        <f t="shared" si="53"/>
        <v>-379.8</v>
      </c>
      <c r="U111" s="71">
        <f t="shared" si="53"/>
        <v>-406.7</v>
      </c>
      <c r="V111" s="71">
        <f t="shared" si="53"/>
        <v>-431.5</v>
      </c>
      <c r="W111" s="71">
        <f t="shared" si="53"/>
        <v>-413.90000000000003</v>
      </c>
      <c r="X111" s="71">
        <f t="shared" si="53"/>
        <v>-480.5</v>
      </c>
      <c r="Y111" s="71">
        <f t="shared" si="53"/>
        <v>-480.5</v>
      </c>
      <c r="Z111" s="71">
        <f t="shared" si="53"/>
        <v>-380.2</v>
      </c>
      <c r="AA111" s="71">
        <f t="shared" si="53"/>
        <v>-394.2</v>
      </c>
      <c r="AB111" s="71">
        <f t="shared" si="52"/>
        <v>-399.4</v>
      </c>
      <c r="AC111" s="71">
        <f t="shared" si="52"/>
        <v>-374.4</v>
      </c>
      <c r="AD111" s="71">
        <f t="shared" si="52"/>
        <v>-419.5</v>
      </c>
      <c r="AE111" s="71">
        <f>AE95-AE110</f>
        <v>-478.8</v>
      </c>
      <c r="AF111" s="71">
        <f>AF95-AF110</f>
        <v>-547</v>
      </c>
      <c r="AG111" s="101"/>
      <c r="AH111" s="48">
        <f t="shared" si="29"/>
        <v>0</v>
      </c>
      <c r="AI111" s="49">
        <f t="shared" si="30"/>
        <v>-675.3</v>
      </c>
    </row>
    <row r="112" spans="1:64" x14ac:dyDescent="0.25">
      <c r="A112" s="113" t="s">
        <v>132</v>
      </c>
      <c r="B112" s="114">
        <v>50.03</v>
      </c>
      <c r="C112" s="114">
        <v>49.97</v>
      </c>
      <c r="D112" s="114">
        <v>49.97</v>
      </c>
      <c r="E112" s="114">
        <v>50.027999999999999</v>
      </c>
      <c r="F112" s="114">
        <v>50.055</v>
      </c>
      <c r="G112" s="114">
        <v>50</v>
      </c>
      <c r="H112" s="114">
        <v>49.947000000000003</v>
      </c>
      <c r="I112" s="114">
        <v>49.878</v>
      </c>
      <c r="J112" s="114">
        <v>49.917000000000002</v>
      </c>
      <c r="K112" s="114">
        <v>49.947000000000003</v>
      </c>
      <c r="L112" s="114">
        <v>49.947000000000003</v>
      </c>
      <c r="M112" s="114">
        <v>50</v>
      </c>
      <c r="N112" s="114">
        <v>49.982999999999997</v>
      </c>
      <c r="O112" s="114">
        <v>49.972999999999999</v>
      </c>
      <c r="P112" s="114">
        <v>50.033000000000001</v>
      </c>
      <c r="Q112" s="114">
        <v>50.05</v>
      </c>
      <c r="R112" s="114"/>
      <c r="S112" s="114">
        <v>49.99</v>
      </c>
      <c r="T112" s="114">
        <v>49.94</v>
      </c>
      <c r="U112" s="114">
        <v>49.96</v>
      </c>
      <c r="V112" s="114">
        <v>50</v>
      </c>
      <c r="W112" s="114">
        <v>50.02</v>
      </c>
      <c r="X112" s="114">
        <v>49.99</v>
      </c>
      <c r="Y112" s="114">
        <v>50.03</v>
      </c>
      <c r="Z112" s="114">
        <v>50.05</v>
      </c>
      <c r="AA112" s="114">
        <v>50.02</v>
      </c>
      <c r="AB112" s="114">
        <v>50.064999999999998</v>
      </c>
      <c r="AC112" s="114">
        <v>50.079000000000001</v>
      </c>
      <c r="AD112" s="114">
        <v>49.966000000000001</v>
      </c>
      <c r="AE112" s="114">
        <v>50.04</v>
      </c>
      <c r="AF112" s="114">
        <v>50.05</v>
      </c>
      <c r="AG112" s="115"/>
      <c r="AH112" s="48">
        <f t="shared" si="29"/>
        <v>50.079000000000001</v>
      </c>
      <c r="AI112" s="49">
        <f t="shared" si="30"/>
        <v>49.878</v>
      </c>
    </row>
    <row r="113" spans="1:35" x14ac:dyDescent="0.25">
      <c r="A113" s="116" t="s">
        <v>133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29"/>
        <v>0</v>
      </c>
      <c r="AI113" s="49">
        <f t="shared" si="30"/>
        <v>0</v>
      </c>
    </row>
    <row r="114" spans="1:35" x14ac:dyDescent="0.25">
      <c r="A114" s="116" t="s">
        <v>134</v>
      </c>
      <c r="B114" s="76">
        <v>124.2</v>
      </c>
      <c r="C114" s="76">
        <v>123.6</v>
      </c>
      <c r="D114" s="76">
        <v>123.6</v>
      </c>
      <c r="E114" s="76">
        <v>124.3</v>
      </c>
      <c r="F114" s="76">
        <v>125.6</v>
      </c>
      <c r="G114" s="76">
        <v>124.5</v>
      </c>
      <c r="H114" s="76">
        <v>126.2</v>
      </c>
      <c r="I114" s="76">
        <v>125.4</v>
      </c>
      <c r="J114" s="76">
        <v>123.5</v>
      </c>
      <c r="K114" s="76">
        <v>124.9</v>
      </c>
      <c r="L114" s="76">
        <v>124.9</v>
      </c>
      <c r="M114" s="76">
        <v>124.9</v>
      </c>
      <c r="N114" s="76">
        <v>121.5</v>
      </c>
      <c r="O114" s="76">
        <v>122</v>
      </c>
      <c r="P114" s="76">
        <v>120.8</v>
      </c>
      <c r="Q114" s="76">
        <v>122.8</v>
      </c>
      <c r="R114" s="76"/>
      <c r="S114" s="76">
        <v>120.5</v>
      </c>
      <c r="T114" s="76">
        <v>120.1</v>
      </c>
      <c r="U114" s="76">
        <v>123.9</v>
      </c>
      <c r="V114" s="76">
        <v>122.4</v>
      </c>
      <c r="W114" s="76">
        <v>122.4</v>
      </c>
      <c r="X114" s="76">
        <v>125.9</v>
      </c>
      <c r="Y114" s="76">
        <v>125.9</v>
      </c>
      <c r="Z114" s="76">
        <v>125.4</v>
      </c>
      <c r="AA114" s="76">
        <v>127.4</v>
      </c>
      <c r="AB114" s="76">
        <v>126.7</v>
      </c>
      <c r="AC114" s="76">
        <v>126.5</v>
      </c>
      <c r="AD114" s="76">
        <v>125.7</v>
      </c>
      <c r="AE114" s="76">
        <v>124.6</v>
      </c>
      <c r="AF114" s="76">
        <v>124.2</v>
      </c>
      <c r="AG114" s="117"/>
      <c r="AH114" s="48">
        <f t="shared" si="29"/>
        <v>127.4</v>
      </c>
      <c r="AI114" s="49">
        <f t="shared" si="30"/>
        <v>120.1</v>
      </c>
    </row>
    <row r="115" spans="1:35" x14ac:dyDescent="0.25">
      <c r="A115" s="116" t="s">
        <v>135</v>
      </c>
      <c r="B115" s="76">
        <v>130</v>
      </c>
      <c r="C115" s="76">
        <v>130.1</v>
      </c>
      <c r="D115" s="76">
        <v>130.1</v>
      </c>
      <c r="E115" s="76">
        <v>129.69999999999999</v>
      </c>
      <c r="F115" s="76">
        <v>130.30000000000001</v>
      </c>
      <c r="G115" s="76">
        <v>129.9</v>
      </c>
      <c r="H115" s="76">
        <v>131.19999999999999</v>
      </c>
      <c r="I115" s="76">
        <v>129.80000000000001</v>
      </c>
      <c r="J115" s="76">
        <v>129.30000000000001</v>
      </c>
      <c r="K115" s="76">
        <v>129.69999999999999</v>
      </c>
      <c r="L115" s="76">
        <v>129.69999999999999</v>
      </c>
      <c r="M115" s="76">
        <v>129.69999999999999</v>
      </c>
      <c r="N115" s="76">
        <v>128.5</v>
      </c>
      <c r="O115" s="76">
        <v>128.80000000000001</v>
      </c>
      <c r="P115" s="76">
        <v>129.30000000000001</v>
      </c>
      <c r="Q115" s="76">
        <v>129</v>
      </c>
      <c r="R115" s="76"/>
      <c r="S115" s="76">
        <v>127.8</v>
      </c>
      <c r="T115" s="76">
        <v>128.19999999999999</v>
      </c>
      <c r="U115" s="76">
        <v>128.5</v>
      </c>
      <c r="V115" s="76">
        <v>130.4</v>
      </c>
      <c r="W115" s="76">
        <v>130.4</v>
      </c>
      <c r="X115" s="76">
        <v>131.5</v>
      </c>
      <c r="Y115" s="76">
        <v>132.5</v>
      </c>
      <c r="Z115" s="76">
        <v>130.19999999999999</v>
      </c>
      <c r="AA115" s="76">
        <v>130.80000000000001</v>
      </c>
      <c r="AB115" s="76">
        <v>130.4</v>
      </c>
      <c r="AC115" s="76">
        <v>130.1</v>
      </c>
      <c r="AD115" s="76">
        <v>129.4</v>
      </c>
      <c r="AE115" s="76">
        <v>127.5</v>
      </c>
      <c r="AF115" s="76">
        <v>129.19999999999999</v>
      </c>
      <c r="AG115" s="117"/>
      <c r="AH115" s="48">
        <f t="shared" si="29"/>
        <v>132.5</v>
      </c>
      <c r="AI115" s="49">
        <f t="shared" si="30"/>
        <v>127.5</v>
      </c>
    </row>
    <row r="116" spans="1:35" x14ac:dyDescent="0.25">
      <c r="A116" s="118" t="s">
        <v>136</v>
      </c>
      <c r="B116" s="76">
        <v>130.6</v>
      </c>
      <c r="C116" s="76">
        <v>132.1</v>
      </c>
      <c r="D116" s="76">
        <v>132.1</v>
      </c>
      <c r="E116" s="76">
        <v>133.1</v>
      </c>
      <c r="F116" s="76">
        <v>135.1</v>
      </c>
      <c r="G116" s="76">
        <v>131.6</v>
      </c>
      <c r="H116" s="76">
        <v>132.69999999999999</v>
      </c>
      <c r="I116" s="76">
        <v>131.4</v>
      </c>
      <c r="J116" s="76">
        <v>129.9</v>
      </c>
      <c r="K116" s="76">
        <v>129.9</v>
      </c>
      <c r="L116" s="76">
        <v>129.9</v>
      </c>
      <c r="M116" s="76">
        <v>129.9</v>
      </c>
      <c r="N116" s="76">
        <v>129.6</v>
      </c>
      <c r="O116" s="76">
        <v>126.8</v>
      </c>
      <c r="P116" s="76">
        <v>128</v>
      </c>
      <c r="Q116" s="76">
        <v>128</v>
      </c>
      <c r="R116" s="76"/>
      <c r="S116" s="76">
        <v>127.3</v>
      </c>
      <c r="T116" s="76">
        <v>127.6</v>
      </c>
      <c r="U116" s="76">
        <v>126.9</v>
      </c>
      <c r="V116" s="76">
        <v>128.80000000000001</v>
      </c>
      <c r="W116" s="76">
        <v>128.80000000000001</v>
      </c>
      <c r="X116" s="76">
        <v>129.5</v>
      </c>
      <c r="Y116" s="76">
        <v>131.1</v>
      </c>
      <c r="Z116" s="76">
        <v>126.1</v>
      </c>
      <c r="AA116" s="76">
        <v>131.1</v>
      </c>
      <c r="AB116" s="76">
        <v>131.1</v>
      </c>
      <c r="AC116" s="76">
        <v>130.80000000000001</v>
      </c>
      <c r="AD116" s="76">
        <v>130.30000000000001</v>
      </c>
      <c r="AE116" s="76">
        <v>128.9</v>
      </c>
      <c r="AF116" s="76">
        <v>130.5</v>
      </c>
      <c r="AG116" s="117"/>
      <c r="AH116" s="48">
        <f t="shared" si="29"/>
        <v>135.1</v>
      </c>
      <c r="AI116" s="49">
        <f t="shared" si="30"/>
        <v>126.1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9"/>
        <v>0</v>
      </c>
      <c r="AI117" s="49">
        <f t="shared" si="30"/>
        <v>0</v>
      </c>
    </row>
    <row r="118" spans="1:35" x14ac:dyDescent="0.25">
      <c r="A118" s="116" t="s">
        <v>138</v>
      </c>
      <c r="B118" s="76">
        <v>125.6</v>
      </c>
      <c r="C118" s="76">
        <v>119.8</v>
      </c>
      <c r="D118" s="76">
        <v>119.8</v>
      </c>
      <c r="E118" s="76">
        <v>124</v>
      </c>
      <c r="F118" s="76">
        <v>125</v>
      </c>
      <c r="G118" s="76">
        <v>124.2</v>
      </c>
      <c r="H118" s="76">
        <v>129.5</v>
      </c>
      <c r="I118" s="76">
        <v>127.7</v>
      </c>
      <c r="J118" s="76">
        <v>128.19999999999999</v>
      </c>
      <c r="K118" s="76">
        <v>127.9</v>
      </c>
      <c r="L118" s="76">
        <v>127.9</v>
      </c>
      <c r="M118" s="76">
        <v>127.9</v>
      </c>
      <c r="N118" s="76">
        <v>125.4</v>
      </c>
      <c r="O118" s="76">
        <v>121.4</v>
      </c>
      <c r="P118" s="76">
        <v>119.8</v>
      </c>
      <c r="Q118" s="76">
        <v>125.8</v>
      </c>
      <c r="R118" s="76"/>
      <c r="S118" s="76">
        <v>115</v>
      </c>
      <c r="T118" s="76">
        <v>116</v>
      </c>
      <c r="U118" s="76">
        <v>125.7</v>
      </c>
      <c r="V118" s="76">
        <v>126.8</v>
      </c>
      <c r="W118" s="76">
        <v>126.8</v>
      </c>
      <c r="X118" s="76">
        <v>130.4</v>
      </c>
      <c r="Y118" s="76">
        <v>130.4</v>
      </c>
      <c r="Z118" s="76">
        <v>128.80000000000001</v>
      </c>
      <c r="AA118" s="76">
        <v>129.4</v>
      </c>
      <c r="AB118" s="76">
        <v>124.9</v>
      </c>
      <c r="AC118" s="76">
        <v>123.9</v>
      </c>
      <c r="AD118" s="76">
        <v>122.9</v>
      </c>
      <c r="AE118" s="76">
        <v>133.30000000000001</v>
      </c>
      <c r="AF118" s="76">
        <v>124.3</v>
      </c>
      <c r="AG118" s="117"/>
      <c r="AH118" s="48">
        <f t="shared" si="29"/>
        <v>133.30000000000001</v>
      </c>
      <c r="AI118" s="49">
        <f t="shared" si="30"/>
        <v>115</v>
      </c>
    </row>
    <row r="119" spans="1:35" ht="15.75" thickBot="1" x14ac:dyDescent="0.3">
      <c r="A119" s="116" t="s">
        <v>139</v>
      </c>
      <c r="B119" s="105">
        <v>62.9</v>
      </c>
      <c r="C119" s="105">
        <v>62.8</v>
      </c>
      <c r="D119" s="105">
        <v>62.8</v>
      </c>
      <c r="E119" s="105">
        <v>62.7</v>
      </c>
      <c r="F119" s="105">
        <v>63.6</v>
      </c>
      <c r="G119" s="105">
        <v>63.1</v>
      </c>
      <c r="H119" s="105">
        <v>63.8</v>
      </c>
      <c r="I119" s="105">
        <v>63.4</v>
      </c>
      <c r="J119" s="105">
        <v>62.2</v>
      </c>
      <c r="K119" s="105">
        <v>62.6</v>
      </c>
      <c r="L119" s="105">
        <v>62.6</v>
      </c>
      <c r="M119" s="105">
        <v>62.6</v>
      </c>
      <c r="N119" s="105">
        <v>60.8</v>
      </c>
      <c r="O119" s="105">
        <v>60.6</v>
      </c>
      <c r="P119" s="105">
        <v>60.6</v>
      </c>
      <c r="Q119" s="105">
        <v>60.6</v>
      </c>
      <c r="R119" s="105"/>
      <c r="S119" s="105">
        <v>59.9</v>
      </c>
      <c r="T119" s="105">
        <v>59.9</v>
      </c>
      <c r="U119" s="105">
        <v>61.9</v>
      </c>
      <c r="V119" s="105">
        <v>61.2</v>
      </c>
      <c r="W119" s="105">
        <v>61.2</v>
      </c>
      <c r="X119" s="105">
        <v>63.1</v>
      </c>
      <c r="Y119" s="105">
        <v>63.3</v>
      </c>
      <c r="Z119" s="105">
        <v>63.1</v>
      </c>
      <c r="AA119" s="105">
        <v>63.8</v>
      </c>
      <c r="AB119" s="105">
        <v>64</v>
      </c>
      <c r="AC119" s="105">
        <v>63.5</v>
      </c>
      <c r="AD119" s="105">
        <v>63.4</v>
      </c>
      <c r="AE119" s="105">
        <v>62.9</v>
      </c>
      <c r="AF119" s="105">
        <v>62.4</v>
      </c>
      <c r="AG119" s="121"/>
      <c r="AH119" s="48">
        <f t="shared" si="29"/>
        <v>64</v>
      </c>
      <c r="AI119" s="49">
        <f t="shared" si="30"/>
        <v>59.9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90.139999999999972</v>
      </c>
      <c r="C121" s="124">
        <f>SUM(C25,C31,C34:C35,C69,C71:C72,C74,C76,C122:C126,C158,C164,C170,C179,C181,C193,C200,C203:C204,C211,C213,C215,C219:C221,C223:C225,C230,C236:C237,C239:C241,C249,C254)</f>
        <v>69.339999999999975</v>
      </c>
      <c r="D121" s="124">
        <f>SUM(D25,D31,D34:D35,D69,D71:D72,D74,D76,D122:D126,D158,D164,D170,D179,D181,D193,D200,D203:D204,D211,D213,D215,D219:D221,D223:D225,D230,D236:D237,D239:D241,D249,D254)</f>
        <v>69.339999999999975</v>
      </c>
      <c r="E121" s="124">
        <f t="shared" ref="E121:O121" si="54">SUM(E25,E31,E34:E35,E69,E71:E72,E74,E76,E122:E126,E158,E164,E170,E179,E181,E193,E200,E203:E204,E211,E213,E215,E219:E221,E223:E225,E230,E236:E237,E239:E241,E249,E254)</f>
        <v>48.440000000000012</v>
      </c>
      <c r="F121" s="124">
        <f t="shared" si="54"/>
        <v>50.239999999999952</v>
      </c>
      <c r="G121" s="124">
        <f t="shared" si="54"/>
        <v>51.139999999999986</v>
      </c>
      <c r="H121" s="124">
        <f t="shared" si="54"/>
        <v>107.73999999999995</v>
      </c>
      <c r="I121" s="124">
        <f t="shared" si="54"/>
        <v>106.94000000000003</v>
      </c>
      <c r="J121" s="124">
        <f t="shared" si="54"/>
        <v>149.74</v>
      </c>
      <c r="K121" s="124">
        <f t="shared" si="54"/>
        <v>162.94</v>
      </c>
      <c r="L121" s="124">
        <f t="shared" si="54"/>
        <v>162.94</v>
      </c>
      <c r="M121" s="124">
        <f t="shared" si="54"/>
        <v>164.94</v>
      </c>
      <c r="N121" s="124">
        <f t="shared" si="54"/>
        <v>228.33999999999997</v>
      </c>
      <c r="O121" s="124">
        <f t="shared" si="54"/>
        <v>233.94</v>
      </c>
      <c r="P121" s="124">
        <v>42</v>
      </c>
      <c r="Q121" s="124">
        <f t="shared" ref="Q121:AA121" si="55">SUM(Q25,Q31,Q34:Q35,Q69,Q71:Q72,Q74,Q76,Q122:Q126,Q158,Q164,Q170,Q179,Q181,Q193,Q200,Q203:Q204,Q211,Q213,Q215,Q219:Q221,Q223:Q225,Q230,Q236:Q237,Q239:Q241,Q249,Q254)</f>
        <v>201.84000000000003</v>
      </c>
      <c r="R121" s="124">
        <f t="shared" si="55"/>
        <v>0.94</v>
      </c>
      <c r="S121" s="124">
        <f t="shared" si="55"/>
        <v>206.44</v>
      </c>
      <c r="T121" s="124">
        <f t="shared" si="55"/>
        <v>212.33999999999997</v>
      </c>
      <c r="U121" s="124">
        <f t="shared" si="55"/>
        <v>179.94000000000003</v>
      </c>
      <c r="V121" s="124">
        <f t="shared" si="55"/>
        <v>203.34000000000003</v>
      </c>
      <c r="W121" s="124">
        <f t="shared" si="55"/>
        <v>200.33999999999997</v>
      </c>
      <c r="X121" s="124">
        <f t="shared" si="55"/>
        <v>171.64</v>
      </c>
      <c r="Y121" s="124">
        <f t="shared" si="55"/>
        <v>185.54000000000002</v>
      </c>
      <c r="Z121" s="124">
        <f t="shared" si="55"/>
        <v>207.53999999999996</v>
      </c>
      <c r="AA121" s="124">
        <f t="shared" si="55"/>
        <v>229.64</v>
      </c>
      <c r="AB121" s="124">
        <f t="shared" ref="AB121:AF121" si="56">SUM(AB25,AB31,AB34:AB35,AB69,AB71:AB72,AB74,AB76,AB122:AB126,AB158,AB164,AB170,AB179,AB181,AB193,AB200,AB203:AB204,AB211,AB213,AB215,AB219:AB221,AB223:AB225,AB230,AB236:AB237,AB239:AB241,AB249,AB254)</f>
        <v>211.73999999999995</v>
      </c>
      <c r="AC121" s="124">
        <f t="shared" si="56"/>
        <v>190.43999999999997</v>
      </c>
      <c r="AD121" s="124">
        <f t="shared" si="56"/>
        <v>181.83999999999997</v>
      </c>
      <c r="AE121" s="124">
        <f t="shared" si="56"/>
        <v>139.53999999999996</v>
      </c>
      <c r="AF121" s="124">
        <f t="shared" si="56"/>
        <v>90.039999999999964</v>
      </c>
      <c r="AG121" s="125"/>
      <c r="AH121" s="48">
        <f t="shared" si="29"/>
        <v>233.94</v>
      </c>
      <c r="AI121" s="49">
        <f t="shared" si="30"/>
        <v>0.94</v>
      </c>
    </row>
    <row r="122" spans="1:35" x14ac:dyDescent="0.25">
      <c r="A122" s="126" t="s">
        <v>142</v>
      </c>
      <c r="B122" s="127">
        <v>74.099999999999994</v>
      </c>
      <c r="C122" s="127">
        <v>62.3</v>
      </c>
      <c r="D122" s="127">
        <v>62.3</v>
      </c>
      <c r="E122" s="127">
        <v>65.8</v>
      </c>
      <c r="F122" s="127">
        <v>70.400000000000006</v>
      </c>
      <c r="G122" s="127">
        <v>72.099999999999994</v>
      </c>
      <c r="H122" s="127">
        <v>69.099999999999994</v>
      </c>
      <c r="I122" s="127">
        <v>77.400000000000006</v>
      </c>
      <c r="J122" s="127">
        <v>78.099999999999994</v>
      </c>
      <c r="K122" s="127">
        <v>76.2</v>
      </c>
      <c r="L122" s="127">
        <v>76.2</v>
      </c>
      <c r="M122" s="127">
        <v>76.2</v>
      </c>
      <c r="N122" s="127">
        <v>66.099999999999994</v>
      </c>
      <c r="O122" s="127">
        <v>53.4</v>
      </c>
      <c r="P122" s="127">
        <v>80.400000000000006</v>
      </c>
      <c r="Q122" s="127">
        <v>48.3</v>
      </c>
      <c r="R122" s="127"/>
      <c r="S122" s="127">
        <v>63.4</v>
      </c>
      <c r="T122" s="127">
        <v>63.4</v>
      </c>
      <c r="U122" s="127">
        <v>63.6</v>
      </c>
      <c r="V122" s="127">
        <v>71.599999999999994</v>
      </c>
      <c r="W122" s="127">
        <v>72.8</v>
      </c>
      <c r="X122" s="127">
        <v>84.1</v>
      </c>
      <c r="Y122" s="127">
        <v>67.900000000000006</v>
      </c>
      <c r="Z122" s="127">
        <v>68.099999999999994</v>
      </c>
      <c r="AA122" s="127">
        <v>63.3</v>
      </c>
      <c r="AB122" s="127">
        <v>67.099999999999994</v>
      </c>
      <c r="AC122" s="127">
        <v>65.900000000000006</v>
      </c>
      <c r="AD122" s="127">
        <v>70.5</v>
      </c>
      <c r="AE122" s="127">
        <v>53.8</v>
      </c>
      <c r="AF122" s="127">
        <v>65.2</v>
      </c>
      <c r="AG122" s="128">
        <v>75</v>
      </c>
      <c r="AH122" s="48">
        <f t="shared" si="29"/>
        <v>84.1</v>
      </c>
      <c r="AI122" s="49">
        <f t="shared" si="30"/>
        <v>48.3</v>
      </c>
    </row>
    <row r="123" spans="1:35" x14ac:dyDescent="0.25">
      <c r="A123" s="129" t="s">
        <v>143</v>
      </c>
      <c r="B123" s="130">
        <v>106.5</v>
      </c>
      <c r="C123" s="130">
        <v>97.1</v>
      </c>
      <c r="D123" s="130">
        <v>97.1</v>
      </c>
      <c r="E123" s="130">
        <v>94.7</v>
      </c>
      <c r="F123" s="130">
        <v>99.6</v>
      </c>
      <c r="G123" s="130">
        <v>102.5</v>
      </c>
      <c r="H123" s="130">
        <v>100.8</v>
      </c>
      <c r="I123" s="130">
        <v>111.4</v>
      </c>
      <c r="J123" s="130">
        <v>110.1</v>
      </c>
      <c r="K123" s="130">
        <v>107.1</v>
      </c>
      <c r="L123" s="130">
        <v>107.1</v>
      </c>
      <c r="M123" s="130">
        <v>107.1</v>
      </c>
      <c r="N123" s="130">
        <v>93.5</v>
      </c>
      <c r="O123" s="130">
        <v>76.8</v>
      </c>
      <c r="P123" s="130">
        <v>110.9</v>
      </c>
      <c r="Q123" s="130">
        <v>72.7</v>
      </c>
      <c r="R123" s="130"/>
      <c r="S123" s="130">
        <v>88.6</v>
      </c>
      <c r="T123" s="130">
        <v>88.6</v>
      </c>
      <c r="U123" s="130">
        <v>90.6</v>
      </c>
      <c r="V123" s="130">
        <v>100.9</v>
      </c>
      <c r="W123" s="130">
        <v>106.4</v>
      </c>
      <c r="X123" s="130">
        <v>121</v>
      </c>
      <c r="Y123" s="130">
        <v>100</v>
      </c>
      <c r="Z123" s="130">
        <v>99.6</v>
      </c>
      <c r="AA123" s="130">
        <v>88.9</v>
      </c>
      <c r="AB123" s="130">
        <v>100.5</v>
      </c>
      <c r="AC123" s="130">
        <v>97.3</v>
      </c>
      <c r="AD123" s="130">
        <v>105.7</v>
      </c>
      <c r="AE123" s="130">
        <v>83.6</v>
      </c>
      <c r="AF123" s="130">
        <v>96.7</v>
      </c>
      <c r="AG123" s="128">
        <v>240</v>
      </c>
      <c r="AH123" s="48">
        <f t="shared" si="29"/>
        <v>121</v>
      </c>
      <c r="AI123" s="49">
        <f t="shared" si="30"/>
        <v>72.7</v>
      </c>
    </row>
    <row r="124" spans="1:35" x14ac:dyDescent="0.25">
      <c r="A124" s="129" t="s">
        <v>144</v>
      </c>
      <c r="B124" s="130">
        <v>-166.1</v>
      </c>
      <c r="C124" s="130">
        <v>-156.69999999999999</v>
      </c>
      <c r="D124" s="130">
        <v>-156.69999999999999</v>
      </c>
      <c r="E124" s="130">
        <f>-82.1-86</f>
        <v>-168.1</v>
      </c>
      <c r="F124" s="130">
        <f>-85.7-89.6</f>
        <v>-175.3</v>
      </c>
      <c r="G124" s="130">
        <f>-82.9-85.6</f>
        <v>-168.5</v>
      </c>
      <c r="H124" s="130">
        <f>-82.9-87.2</f>
        <v>-170.10000000000002</v>
      </c>
      <c r="I124" s="130">
        <f>-87.1-89.3</f>
        <v>-176.39999999999998</v>
      </c>
      <c r="J124" s="130">
        <f>-78.8-82.9</f>
        <v>-161.69999999999999</v>
      </c>
      <c r="K124" s="130">
        <f>-71.4-75.2</f>
        <v>-146.60000000000002</v>
      </c>
      <c r="L124" s="130">
        <f>-71.4-75.2</f>
        <v>-146.60000000000002</v>
      </c>
      <c r="M124" s="130">
        <f>-71.4-75.2</f>
        <v>-146.60000000000002</v>
      </c>
      <c r="N124" s="130">
        <v>-164</v>
      </c>
      <c r="O124" s="130">
        <v>-122</v>
      </c>
      <c r="P124" s="130">
        <v>-160</v>
      </c>
      <c r="Q124" s="130">
        <v>-132</v>
      </c>
      <c r="R124" s="130"/>
      <c r="S124" s="130">
        <v>-138.9</v>
      </c>
      <c r="T124" s="130">
        <v>-138.9</v>
      </c>
      <c r="U124" s="130">
        <v>-141.1</v>
      </c>
      <c r="V124" s="130">
        <v>-150.1</v>
      </c>
      <c r="W124" s="130">
        <v>-158.9</v>
      </c>
      <c r="X124" s="130">
        <v>-163.19999999999999</v>
      </c>
      <c r="Y124" s="130">
        <v>-139.4</v>
      </c>
      <c r="Z124" s="130">
        <v>-133.80000000000001</v>
      </c>
      <c r="AA124" s="130">
        <v>-89.1</v>
      </c>
      <c r="AB124" s="130">
        <f>-52-58</f>
        <v>-110</v>
      </c>
      <c r="AC124" s="130">
        <f>-54-59</f>
        <v>-113</v>
      </c>
      <c r="AD124" s="130">
        <f>-61-66</f>
        <v>-127</v>
      </c>
      <c r="AE124" s="130">
        <f>-70.7-73.8</f>
        <v>-144.5</v>
      </c>
      <c r="AF124" s="130">
        <f>-88.8-94.5</f>
        <v>-183.3</v>
      </c>
      <c r="AG124" s="128">
        <v>240</v>
      </c>
      <c r="AH124" s="48">
        <f t="shared" si="29"/>
        <v>-89.1</v>
      </c>
      <c r="AI124" s="49">
        <f t="shared" si="30"/>
        <v>-183.3</v>
      </c>
    </row>
    <row r="125" spans="1:35" ht="15.75" thickBot="1" x14ac:dyDescent="0.3">
      <c r="A125" s="129" t="s">
        <v>145</v>
      </c>
      <c r="B125" s="130">
        <v>23</v>
      </c>
      <c r="C125" s="130">
        <v>27.6</v>
      </c>
      <c r="D125" s="130">
        <v>27.6</v>
      </c>
      <c r="E125" s="130">
        <v>12.4</v>
      </c>
      <c r="F125" s="130">
        <v>12.8</v>
      </c>
      <c r="G125" s="130">
        <v>1.8</v>
      </c>
      <c r="H125" s="130">
        <v>1.6</v>
      </c>
      <c r="I125" s="130">
        <v>1.2</v>
      </c>
      <c r="J125" s="130">
        <v>1</v>
      </c>
      <c r="K125" s="130">
        <v>1</v>
      </c>
      <c r="L125" s="130">
        <v>1</v>
      </c>
      <c r="M125" s="130">
        <v>1</v>
      </c>
      <c r="N125" s="130">
        <v>31.4</v>
      </c>
      <c r="O125" s="130">
        <v>0.7</v>
      </c>
      <c r="P125" s="130">
        <v>1.3</v>
      </c>
      <c r="Q125" s="130">
        <v>10.7</v>
      </c>
      <c r="R125" s="130"/>
      <c r="S125" s="130">
        <v>3.1</v>
      </c>
      <c r="T125" s="130">
        <v>3.1</v>
      </c>
      <c r="U125" s="130">
        <v>5.5</v>
      </c>
      <c r="V125" s="130">
        <v>-2.5</v>
      </c>
      <c r="W125" s="130">
        <v>-3.3</v>
      </c>
      <c r="X125" s="130">
        <v>2.1</v>
      </c>
      <c r="Y125" s="130">
        <v>9.4</v>
      </c>
      <c r="Z125" s="130">
        <v>11.9</v>
      </c>
      <c r="AA125" s="130">
        <v>18.8</v>
      </c>
      <c r="AB125" s="130">
        <v>11.1</v>
      </c>
      <c r="AC125" s="130">
        <v>4</v>
      </c>
      <c r="AD125" s="130">
        <v>1.5</v>
      </c>
      <c r="AE125" s="130">
        <v>8.8000000000000007</v>
      </c>
      <c r="AF125" s="130">
        <v>-26</v>
      </c>
      <c r="AG125" s="128">
        <v>60</v>
      </c>
      <c r="AH125" s="48">
        <f t="shared" si="29"/>
        <v>31.4</v>
      </c>
      <c r="AI125" s="49">
        <f t="shared" si="30"/>
        <v>-26</v>
      </c>
    </row>
    <row r="126" spans="1:35" x14ac:dyDescent="0.25">
      <c r="A126" s="126" t="s">
        <v>146</v>
      </c>
      <c r="B126" s="131">
        <v>-73.3</v>
      </c>
      <c r="C126" s="131">
        <v>-86.9</v>
      </c>
      <c r="D126" s="131">
        <v>-86.9</v>
      </c>
      <c r="E126" s="131">
        <v>-82.3</v>
      </c>
      <c r="F126" s="131">
        <v>-84</v>
      </c>
      <c r="G126" s="131">
        <v>-83.5</v>
      </c>
      <c r="H126" s="131">
        <v>-20.399999999999999</v>
      </c>
      <c r="I126" s="131">
        <v>-33.4</v>
      </c>
      <c r="J126" s="131">
        <v>-4.5</v>
      </c>
      <c r="K126" s="131">
        <v>-1.5</v>
      </c>
      <c r="L126" s="131">
        <v>-1.5</v>
      </c>
      <c r="M126" s="131">
        <v>-1.5</v>
      </c>
      <c r="N126" s="131">
        <v>73.099999999999994</v>
      </c>
      <c r="O126" s="131">
        <v>96.8</v>
      </c>
      <c r="P126" s="131">
        <v>46.3</v>
      </c>
      <c r="Q126" s="131">
        <v>75.900000000000006</v>
      </c>
      <c r="R126" s="131"/>
      <c r="S126" s="131">
        <v>76</v>
      </c>
      <c r="T126" s="131">
        <v>76</v>
      </c>
      <c r="U126" s="131">
        <v>50</v>
      </c>
      <c r="V126" s="131">
        <v>61.3</v>
      </c>
      <c r="W126" s="131">
        <v>61.3</v>
      </c>
      <c r="X126" s="131">
        <v>5.9</v>
      </c>
      <c r="Y126" s="131">
        <v>35.5</v>
      </c>
      <c r="Z126" s="131">
        <v>51.2</v>
      </c>
      <c r="AA126" s="131">
        <v>32.200000000000003</v>
      </c>
      <c r="AB126" s="131">
        <v>11.9</v>
      </c>
      <c r="AC126" s="131">
        <v>5.0999999999999996</v>
      </c>
      <c r="AD126" s="131"/>
      <c r="AE126" s="131">
        <v>0</v>
      </c>
      <c r="AF126" s="131">
        <v>0</v>
      </c>
      <c r="AG126" s="132">
        <v>120</v>
      </c>
      <c r="AH126" s="48">
        <f t="shared" si="29"/>
        <v>96.8</v>
      </c>
      <c r="AI126" s="49">
        <f t="shared" si="30"/>
        <v>-86.9</v>
      </c>
    </row>
    <row r="127" spans="1:35" x14ac:dyDescent="0.25">
      <c r="A127" s="129" t="s">
        <v>147</v>
      </c>
      <c r="B127" s="131">
        <v>60.8</v>
      </c>
      <c r="C127" s="131">
        <v>24.3</v>
      </c>
      <c r="D127" s="131">
        <v>24.3</v>
      </c>
      <c r="E127" s="131">
        <v>22.1</v>
      </c>
      <c r="F127" s="131">
        <v>21.6</v>
      </c>
      <c r="G127" s="131">
        <v>22.1</v>
      </c>
      <c r="H127" s="131">
        <v>43.8</v>
      </c>
      <c r="I127" s="131">
        <v>45.4</v>
      </c>
      <c r="J127" s="131">
        <v>60.2</v>
      </c>
      <c r="K127" s="131">
        <v>61.6</v>
      </c>
      <c r="L127" s="131">
        <v>61.6</v>
      </c>
      <c r="M127" s="131">
        <v>61.6</v>
      </c>
      <c r="N127" s="131">
        <v>92.9</v>
      </c>
      <c r="O127" s="131">
        <v>106.7</v>
      </c>
      <c r="P127" s="131">
        <v>94.7</v>
      </c>
      <c r="Q127" s="131">
        <v>112</v>
      </c>
      <c r="R127" s="131"/>
      <c r="S127" s="131">
        <v>104.6</v>
      </c>
      <c r="T127" s="131">
        <v>104.6</v>
      </c>
      <c r="U127" s="131">
        <v>96.7</v>
      </c>
      <c r="V127" s="131">
        <v>94.3</v>
      </c>
      <c r="W127" s="131">
        <v>87.9</v>
      </c>
      <c r="X127" s="131">
        <v>76.8</v>
      </c>
      <c r="Y127" s="131">
        <v>90.1</v>
      </c>
      <c r="Z127" s="131">
        <v>98.5</v>
      </c>
      <c r="AA127" s="131">
        <v>88.5</v>
      </c>
      <c r="AB127" s="131">
        <v>86.1</v>
      </c>
      <c r="AC127" s="131">
        <v>82.8</v>
      </c>
      <c r="AD127" s="131">
        <v>80.3</v>
      </c>
      <c r="AE127" s="131">
        <v>81.5</v>
      </c>
      <c r="AF127" s="131">
        <v>81.8</v>
      </c>
      <c r="AG127" s="132"/>
      <c r="AH127" s="48">
        <f t="shared" si="29"/>
        <v>112</v>
      </c>
      <c r="AI127" s="49">
        <f t="shared" si="30"/>
        <v>21.6</v>
      </c>
    </row>
    <row r="128" spans="1:35" x14ac:dyDescent="0.25">
      <c r="A128" s="129" t="s">
        <v>148</v>
      </c>
      <c r="B128" s="131">
        <v>-28.9</v>
      </c>
      <c r="C128" s="131">
        <v>-16.7</v>
      </c>
      <c r="D128" s="131">
        <v>-16.7</v>
      </c>
      <c r="E128" s="131">
        <v>-14.2</v>
      </c>
      <c r="F128" s="131">
        <v>-14.1</v>
      </c>
      <c r="G128" s="131">
        <v>-21</v>
      </c>
      <c r="H128" s="131">
        <v>-7</v>
      </c>
      <c r="I128" s="131">
        <v>-9.6</v>
      </c>
      <c r="J128" s="131">
        <v>-12.7</v>
      </c>
      <c r="K128" s="131">
        <v>-14.5</v>
      </c>
      <c r="L128" s="131">
        <v>-14.5</v>
      </c>
      <c r="M128" s="131">
        <v>-14.5</v>
      </c>
      <c r="N128" s="131">
        <v>28</v>
      </c>
      <c r="O128" s="131">
        <v>45.9</v>
      </c>
      <c r="P128" s="131">
        <v>19.600000000000001</v>
      </c>
      <c r="Q128" s="131">
        <v>52.6</v>
      </c>
      <c r="R128" s="131"/>
      <c r="S128" s="131">
        <v>39.4</v>
      </c>
      <c r="T128" s="131">
        <v>39.4</v>
      </c>
      <c r="U128" s="131">
        <v>30.8</v>
      </c>
      <c r="V128" s="131">
        <v>29.1</v>
      </c>
      <c r="W128" s="131">
        <v>21.7</v>
      </c>
      <c r="X128" s="131">
        <v>-5.8</v>
      </c>
      <c r="Y128" s="131">
        <v>9.4</v>
      </c>
      <c r="Z128" s="131">
        <v>9.4</v>
      </c>
      <c r="AA128" s="131">
        <v>-19.5</v>
      </c>
      <c r="AB128" s="131">
        <v>-19.399999999999999</v>
      </c>
      <c r="AC128" s="131">
        <v>-19.2</v>
      </c>
      <c r="AD128" s="131">
        <v>-15.3</v>
      </c>
      <c r="AE128" s="131">
        <v>25.3</v>
      </c>
      <c r="AF128" s="131">
        <v>27.4</v>
      </c>
      <c r="AG128" s="132"/>
      <c r="AH128" s="48">
        <f t="shared" si="29"/>
        <v>52.6</v>
      </c>
      <c r="AI128" s="49">
        <f t="shared" si="30"/>
        <v>-28.9</v>
      </c>
    </row>
    <row r="129" spans="1:37" ht="15.75" thickBot="1" x14ac:dyDescent="0.3">
      <c r="A129" s="129" t="s">
        <v>149</v>
      </c>
      <c r="B129" s="131">
        <v>77.5</v>
      </c>
      <c r="C129" s="131">
        <v>85.5</v>
      </c>
      <c r="D129" s="131">
        <v>85.5</v>
      </c>
      <c r="E129" s="131">
        <v>70</v>
      </c>
      <c r="F129" s="131">
        <v>66.7</v>
      </c>
      <c r="G129" s="131">
        <v>64.400000000000006</v>
      </c>
      <c r="H129" s="131">
        <v>61.4</v>
      </c>
      <c r="I129" s="131">
        <v>40.1</v>
      </c>
      <c r="J129" s="131">
        <v>48.1</v>
      </c>
      <c r="K129" s="131">
        <v>72</v>
      </c>
      <c r="L129" s="131">
        <v>72</v>
      </c>
      <c r="M129" s="131">
        <v>72</v>
      </c>
      <c r="N129" s="131">
        <v>53.7</v>
      </c>
      <c r="O129" s="131">
        <v>65.7</v>
      </c>
      <c r="P129" s="131">
        <v>43.5</v>
      </c>
      <c r="Q129" s="131">
        <v>65.8</v>
      </c>
      <c r="R129" s="131"/>
      <c r="S129" s="131">
        <v>59.5</v>
      </c>
      <c r="T129" s="131">
        <v>59.5</v>
      </c>
      <c r="U129" s="131">
        <v>57.4</v>
      </c>
      <c r="V129" s="131">
        <v>60.1</v>
      </c>
      <c r="W129" s="131">
        <v>52.9</v>
      </c>
      <c r="X129" s="131">
        <v>29.4</v>
      </c>
      <c r="Y129" s="131">
        <v>49.9</v>
      </c>
      <c r="Z129" s="131">
        <v>49.3</v>
      </c>
      <c r="AA129" s="131">
        <v>81</v>
      </c>
      <c r="AB129" s="131">
        <v>77.2</v>
      </c>
      <c r="AC129" s="131">
        <v>77.7</v>
      </c>
      <c r="AD129" s="131">
        <v>63.9</v>
      </c>
      <c r="AE129" s="131">
        <v>75.3</v>
      </c>
      <c r="AF129" s="131">
        <v>56.4</v>
      </c>
      <c r="AG129" s="128"/>
      <c r="AH129" s="48">
        <f>MAX(B129:AF129)</f>
        <v>85.5</v>
      </c>
      <c r="AI129" s="49">
        <f>MIN(B129:AF129)</f>
        <v>29.4</v>
      </c>
    </row>
    <row r="130" spans="1:37" x14ac:dyDescent="0.25">
      <c r="A130" s="126" t="s">
        <v>150</v>
      </c>
      <c r="B130" s="131">
        <v>-369.4</v>
      </c>
      <c r="C130" s="131">
        <v>-374.6</v>
      </c>
      <c r="D130" s="131">
        <v>-374.6</v>
      </c>
      <c r="E130" s="131">
        <v>-378</v>
      </c>
      <c r="F130" s="131">
        <v>-382</v>
      </c>
      <c r="G130" s="131">
        <v>-380.6</v>
      </c>
      <c r="H130" s="131">
        <v>-377</v>
      </c>
      <c r="I130" s="131">
        <v>-379</v>
      </c>
      <c r="J130" s="131">
        <v>-355.8</v>
      </c>
      <c r="K130" s="131">
        <v>-354.1</v>
      </c>
      <c r="L130" s="131">
        <v>-354.1</v>
      </c>
      <c r="M130" s="131">
        <v>-354.1</v>
      </c>
      <c r="N130" s="131">
        <v>-332.6</v>
      </c>
      <c r="O130" s="131">
        <v>-320.39999999999998</v>
      </c>
      <c r="P130" s="131">
        <v>-342.7</v>
      </c>
      <c r="Q130" s="131">
        <v>-328.8</v>
      </c>
      <c r="R130" s="131"/>
      <c r="S130" s="131">
        <v>-344.1</v>
      </c>
      <c r="T130" s="131">
        <v>-344.1</v>
      </c>
      <c r="U130" s="131">
        <v>-331.8</v>
      </c>
      <c r="V130" s="131">
        <v>-341.6</v>
      </c>
      <c r="W130" s="131">
        <v>-337</v>
      </c>
      <c r="X130" s="131">
        <v>-339.7</v>
      </c>
      <c r="Y130" s="131">
        <v>-324.3</v>
      </c>
      <c r="Z130" s="131">
        <v>-342.1</v>
      </c>
      <c r="AA130" s="131">
        <v>-355</v>
      </c>
      <c r="AB130" s="131">
        <v>-365</v>
      </c>
      <c r="AC130" s="131">
        <v>-368</v>
      </c>
      <c r="AD130" s="131">
        <v>-371.7</v>
      </c>
      <c r="AE130" s="131">
        <v>-383.2</v>
      </c>
      <c r="AF130" s="131">
        <v>-384</v>
      </c>
      <c r="AG130" s="128"/>
      <c r="AH130" s="48">
        <f>MAX(B130:AF130)</f>
        <v>-320.39999999999998</v>
      </c>
      <c r="AI130" s="49">
        <f>MIN(B130:AF130)</f>
        <v>-384</v>
      </c>
    </row>
    <row r="131" spans="1:37" x14ac:dyDescent="0.25">
      <c r="A131" s="129" t="s">
        <v>151</v>
      </c>
      <c r="B131" s="119">
        <v>54.8</v>
      </c>
      <c r="C131" s="119">
        <v>58.7</v>
      </c>
      <c r="D131" s="119">
        <v>58.7</v>
      </c>
      <c r="E131" s="119">
        <v>64.099999999999994</v>
      </c>
      <c r="F131" s="119">
        <v>68</v>
      </c>
      <c r="G131" s="119">
        <v>89</v>
      </c>
      <c r="H131" s="119">
        <v>95.7</v>
      </c>
      <c r="I131" s="119">
        <v>96.1</v>
      </c>
      <c r="J131" s="119">
        <v>89.9</v>
      </c>
      <c r="K131" s="119">
        <v>82.3</v>
      </c>
      <c r="L131" s="119">
        <v>82.3</v>
      </c>
      <c r="M131" s="119">
        <v>82.3</v>
      </c>
      <c r="N131" s="119">
        <v>27.4</v>
      </c>
      <c r="O131" s="119">
        <v>13.2</v>
      </c>
      <c r="P131" s="119">
        <v>18.899999999999999</v>
      </c>
      <c r="Q131" s="119">
        <v>32.700000000000003</v>
      </c>
      <c r="R131" s="119"/>
      <c r="S131" s="119">
        <v>28.7</v>
      </c>
      <c r="T131" s="119">
        <v>28.7</v>
      </c>
      <c r="U131" s="119">
        <v>23.5</v>
      </c>
      <c r="V131" s="119">
        <v>20.100000000000001</v>
      </c>
      <c r="W131" s="119">
        <v>8.1</v>
      </c>
      <c r="X131" s="119">
        <v>13.1</v>
      </c>
      <c r="Y131" s="119">
        <v>17</v>
      </c>
      <c r="Z131" s="119">
        <v>-1.4</v>
      </c>
      <c r="AA131" s="119">
        <v>42.7</v>
      </c>
      <c r="AB131" s="119">
        <v>39.799999999999997</v>
      </c>
      <c r="AC131" s="119">
        <v>42.4</v>
      </c>
      <c r="AD131" s="119">
        <v>47.4</v>
      </c>
      <c r="AE131" s="119">
        <v>55</v>
      </c>
      <c r="AF131" s="119">
        <v>62.9</v>
      </c>
      <c r="AG131" s="128"/>
      <c r="AH131" s="48">
        <f>MAX(B131:AF131)</f>
        <v>96.1</v>
      </c>
      <c r="AI131" s="49">
        <f>MIN(B131:AF131)</f>
        <v>-1.4</v>
      </c>
    </row>
    <row r="132" spans="1:37" x14ac:dyDescent="0.25">
      <c r="A132" s="129" t="s">
        <v>152</v>
      </c>
      <c r="B132" s="119">
        <v>-3.5</v>
      </c>
      <c r="C132" s="119">
        <v>-2.2999999999999998</v>
      </c>
      <c r="D132" s="119">
        <v>-2.2999999999999998</v>
      </c>
      <c r="E132" s="119">
        <v>-6.3</v>
      </c>
      <c r="F132" s="119">
        <v>-8.8000000000000007</v>
      </c>
      <c r="G132" s="119">
        <v>-11.6</v>
      </c>
      <c r="H132" s="119">
        <v>-15.9</v>
      </c>
      <c r="I132" s="119">
        <v>-13.4</v>
      </c>
      <c r="J132" s="119">
        <v>-12.9</v>
      </c>
      <c r="K132" s="119">
        <v>-17.600000000000001</v>
      </c>
      <c r="L132" s="119">
        <v>-17.600000000000001</v>
      </c>
      <c r="M132" s="119">
        <v>-17.600000000000001</v>
      </c>
      <c r="N132" s="119">
        <v>2.1</v>
      </c>
      <c r="O132" s="119">
        <v>0</v>
      </c>
      <c r="P132" s="119">
        <v>1</v>
      </c>
      <c r="Q132" s="119">
        <v>-5.0999999999999996</v>
      </c>
      <c r="R132" s="119"/>
      <c r="S132" s="119">
        <v>1</v>
      </c>
      <c r="T132" s="119">
        <v>1</v>
      </c>
      <c r="U132" s="119">
        <v>0</v>
      </c>
      <c r="V132" s="119">
        <v>2.6</v>
      </c>
      <c r="W132" s="119">
        <v>4.5</v>
      </c>
      <c r="X132" s="119">
        <v>8.5</v>
      </c>
      <c r="Y132" s="119">
        <v>4.8</v>
      </c>
      <c r="Z132" s="119">
        <v>9.3000000000000007</v>
      </c>
      <c r="AA132" s="119">
        <v>2.5</v>
      </c>
      <c r="AB132" s="119">
        <v>1.3</v>
      </c>
      <c r="AC132" s="119">
        <v>5.0999999999999996</v>
      </c>
      <c r="AD132" s="119">
        <v>6.5</v>
      </c>
      <c r="AE132" s="119">
        <v>1.1000000000000001</v>
      </c>
      <c r="AF132" s="119">
        <v>-1.3</v>
      </c>
      <c r="AG132" s="128"/>
      <c r="AH132" s="48">
        <f>MAX(B132:AF132)</f>
        <v>9.3000000000000007</v>
      </c>
      <c r="AI132" s="49">
        <f>MIN(B132:AF132)</f>
        <v>-17.600000000000001</v>
      </c>
    </row>
    <row r="133" spans="1:37" ht="15.75" thickBot="1" x14ac:dyDescent="0.3">
      <c r="A133" s="129" t="s">
        <v>153</v>
      </c>
      <c r="B133" s="119">
        <v>58</v>
      </c>
      <c r="C133" s="119">
        <v>52.7</v>
      </c>
      <c r="D133" s="119">
        <v>52.7</v>
      </c>
      <c r="E133" s="119">
        <v>51.6</v>
      </c>
      <c r="F133" s="119">
        <v>49.5</v>
      </c>
      <c r="G133" s="119">
        <v>48.2</v>
      </c>
      <c r="H133" s="119">
        <v>44.4</v>
      </c>
      <c r="I133" s="119">
        <v>43.7</v>
      </c>
      <c r="J133" s="119">
        <v>45</v>
      </c>
      <c r="K133" s="119">
        <v>46.6</v>
      </c>
      <c r="L133" s="119">
        <v>46.6</v>
      </c>
      <c r="M133" s="119">
        <v>46.6</v>
      </c>
      <c r="N133" s="119">
        <v>43.6</v>
      </c>
      <c r="O133" s="119">
        <v>51</v>
      </c>
      <c r="P133" s="119">
        <v>53.1</v>
      </c>
      <c r="Q133" s="119">
        <v>48.3</v>
      </c>
      <c r="R133" s="119"/>
      <c r="S133" s="119">
        <v>52.8</v>
      </c>
      <c r="T133" s="119">
        <v>52.8</v>
      </c>
      <c r="U133" s="119">
        <v>55.4</v>
      </c>
      <c r="V133" s="119">
        <v>54.2</v>
      </c>
      <c r="W133" s="119">
        <v>55.5</v>
      </c>
      <c r="X133" s="119">
        <v>51</v>
      </c>
      <c r="Y133" s="119">
        <v>47.5</v>
      </c>
      <c r="Z133" s="119">
        <v>54.3</v>
      </c>
      <c r="AA133" s="119">
        <v>49.6</v>
      </c>
      <c r="AB133" s="119">
        <v>50.9</v>
      </c>
      <c r="AC133" s="119">
        <v>54.3</v>
      </c>
      <c r="AD133" s="119">
        <v>55.7</v>
      </c>
      <c r="AE133" s="119">
        <v>56.4</v>
      </c>
      <c r="AF133" s="119">
        <v>58.5</v>
      </c>
      <c r="AG133" s="128"/>
      <c r="AH133" s="48">
        <f>MAX(B133:AF133)</f>
        <v>58.5</v>
      </c>
      <c r="AI133" s="49">
        <f>MIN(B133:AF133)</f>
        <v>43.6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>
        <v>1483.94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7">SUM(B142:B246)</f>
        <v>0</v>
      </c>
      <c r="C247" s="161">
        <f t="shared" si="57"/>
        <v>0</v>
      </c>
      <c r="D247" s="161">
        <f t="shared" si="57"/>
        <v>0</v>
      </c>
      <c r="E247" s="161">
        <f t="shared" si="57"/>
        <v>0</v>
      </c>
      <c r="F247" s="161">
        <f t="shared" si="57"/>
        <v>0</v>
      </c>
      <c r="G247" s="161">
        <f t="shared" si="57"/>
        <v>0</v>
      </c>
      <c r="H247" s="161">
        <f t="shared" si="57"/>
        <v>0</v>
      </c>
      <c r="I247" s="161">
        <f t="shared" si="57"/>
        <v>0</v>
      </c>
      <c r="J247" s="161">
        <f t="shared" si="57"/>
        <v>0</v>
      </c>
      <c r="K247" s="161">
        <f t="shared" si="57"/>
        <v>0</v>
      </c>
      <c r="L247" s="161">
        <f t="shared" si="57"/>
        <v>0</v>
      </c>
      <c r="M247" s="161">
        <f t="shared" si="57"/>
        <v>0</v>
      </c>
      <c r="N247" s="161">
        <f t="shared" si="57"/>
        <v>0</v>
      </c>
      <c r="O247" s="161">
        <f t="shared" si="57"/>
        <v>0</v>
      </c>
      <c r="P247" s="161">
        <f t="shared" si="57"/>
        <v>0</v>
      </c>
      <c r="Q247" s="161">
        <f t="shared" si="57"/>
        <v>0</v>
      </c>
      <c r="R247" s="161">
        <f t="shared" si="57"/>
        <v>0</v>
      </c>
      <c r="S247" s="161">
        <f t="shared" si="57"/>
        <v>0</v>
      </c>
      <c r="T247" s="161">
        <f t="shared" si="57"/>
        <v>0</v>
      </c>
      <c r="U247" s="161">
        <f t="shared" si="57"/>
        <v>0</v>
      </c>
      <c r="V247" s="161">
        <f t="shared" si="57"/>
        <v>0</v>
      </c>
      <c r="W247" s="161">
        <f t="shared" si="57"/>
        <v>0</v>
      </c>
      <c r="X247" s="161">
        <f t="shared" si="57"/>
        <v>0</v>
      </c>
      <c r="Y247" s="161">
        <f t="shared" si="57"/>
        <v>0</v>
      </c>
      <c r="Z247" s="161">
        <f t="shared" si="57"/>
        <v>0</v>
      </c>
      <c r="AA247" s="161">
        <f t="shared" si="57"/>
        <v>0</v>
      </c>
      <c r="AB247" s="161">
        <f t="shared" si="57"/>
        <v>0</v>
      </c>
      <c r="AC247" s="161">
        <f t="shared" si="57"/>
        <v>0</v>
      </c>
      <c r="AD247" s="161">
        <f t="shared" si="57"/>
        <v>0</v>
      </c>
      <c r="AE247" s="161">
        <f t="shared" si="57"/>
        <v>0</v>
      </c>
      <c r="AF247" s="162">
        <f t="shared" si="57"/>
        <v>0</v>
      </c>
      <c r="AG247" s="163">
        <f t="shared" si="57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8">AF249</f>
        <v>0.3</v>
      </c>
      <c r="C249" s="166">
        <v>0.3</v>
      </c>
      <c r="D249" s="166">
        <f t="shared" ref="D249:S254" si="59">C249</f>
        <v>0.3</v>
      </c>
      <c r="E249" s="166">
        <f t="shared" si="59"/>
        <v>0.3</v>
      </c>
      <c r="F249" s="166">
        <f t="shared" si="59"/>
        <v>0.3</v>
      </c>
      <c r="G249" s="166">
        <f t="shared" si="59"/>
        <v>0.3</v>
      </c>
      <c r="H249" s="166">
        <f t="shared" si="59"/>
        <v>0.3</v>
      </c>
      <c r="I249" s="166">
        <f t="shared" si="59"/>
        <v>0.3</v>
      </c>
      <c r="J249" s="166">
        <f t="shared" si="59"/>
        <v>0.3</v>
      </c>
      <c r="K249" s="166">
        <f t="shared" si="59"/>
        <v>0.3</v>
      </c>
      <c r="L249" s="166">
        <f t="shared" si="59"/>
        <v>0.3</v>
      </c>
      <c r="M249" s="166">
        <f t="shared" si="59"/>
        <v>0.3</v>
      </c>
      <c r="N249" s="166">
        <f t="shared" si="59"/>
        <v>0.3</v>
      </c>
      <c r="O249" s="166">
        <f t="shared" si="59"/>
        <v>0.3</v>
      </c>
      <c r="P249" s="166">
        <f t="shared" si="59"/>
        <v>0.3</v>
      </c>
      <c r="Q249" s="166">
        <f t="shared" si="59"/>
        <v>0.3</v>
      </c>
      <c r="R249" s="166">
        <f t="shared" si="59"/>
        <v>0.3</v>
      </c>
      <c r="S249" s="166">
        <f t="shared" si="59"/>
        <v>0.3</v>
      </c>
      <c r="T249" s="166">
        <f t="shared" ref="T249:AF254" si="60">S249</f>
        <v>0.3</v>
      </c>
      <c r="U249" s="166">
        <f t="shared" si="60"/>
        <v>0.3</v>
      </c>
      <c r="V249" s="166">
        <f t="shared" si="60"/>
        <v>0.3</v>
      </c>
      <c r="W249" s="166">
        <f t="shared" si="60"/>
        <v>0.3</v>
      </c>
      <c r="X249" s="166">
        <f t="shared" si="60"/>
        <v>0.3</v>
      </c>
      <c r="Y249" s="166">
        <f t="shared" si="60"/>
        <v>0.3</v>
      </c>
      <c r="Z249" s="166">
        <f t="shared" si="60"/>
        <v>0.3</v>
      </c>
      <c r="AA249" s="166">
        <f t="shared" si="60"/>
        <v>0.3</v>
      </c>
      <c r="AB249" s="166">
        <f t="shared" si="60"/>
        <v>0.3</v>
      </c>
      <c r="AC249" s="166">
        <f t="shared" si="60"/>
        <v>0.3</v>
      </c>
      <c r="AD249" s="166">
        <f t="shared" si="60"/>
        <v>0.3</v>
      </c>
      <c r="AE249" s="166">
        <f t="shared" si="60"/>
        <v>0.3</v>
      </c>
      <c r="AF249" s="166">
        <f t="shared" si="60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8"/>
        <v>0.4</v>
      </c>
      <c r="C250" s="152">
        <v>0.4</v>
      </c>
      <c r="D250" s="152">
        <f t="shared" si="59"/>
        <v>0.4</v>
      </c>
      <c r="E250" s="152">
        <f t="shared" si="59"/>
        <v>0.4</v>
      </c>
      <c r="F250" s="152">
        <f t="shared" si="59"/>
        <v>0.4</v>
      </c>
      <c r="G250" s="152">
        <f t="shared" si="59"/>
        <v>0.4</v>
      </c>
      <c r="H250" s="152">
        <f t="shared" si="59"/>
        <v>0.4</v>
      </c>
      <c r="I250" s="152">
        <f t="shared" si="59"/>
        <v>0.4</v>
      </c>
      <c r="J250" s="152">
        <f t="shared" si="59"/>
        <v>0.4</v>
      </c>
      <c r="K250" s="152">
        <f t="shared" si="59"/>
        <v>0.4</v>
      </c>
      <c r="L250" s="152">
        <f t="shared" si="59"/>
        <v>0.4</v>
      </c>
      <c r="M250" s="152">
        <f t="shared" si="59"/>
        <v>0.4</v>
      </c>
      <c r="N250" s="152">
        <f t="shared" si="59"/>
        <v>0.4</v>
      </c>
      <c r="O250" s="152">
        <f t="shared" si="59"/>
        <v>0.4</v>
      </c>
      <c r="P250" s="152">
        <f t="shared" si="59"/>
        <v>0.4</v>
      </c>
      <c r="Q250" s="152">
        <f t="shared" si="59"/>
        <v>0.4</v>
      </c>
      <c r="R250" s="152">
        <f t="shared" si="59"/>
        <v>0.4</v>
      </c>
      <c r="S250" s="152">
        <f t="shared" si="59"/>
        <v>0.4</v>
      </c>
      <c r="T250" s="152">
        <f t="shared" si="60"/>
        <v>0.4</v>
      </c>
      <c r="U250" s="152">
        <f t="shared" si="60"/>
        <v>0.4</v>
      </c>
      <c r="V250" s="152">
        <f t="shared" si="60"/>
        <v>0.4</v>
      </c>
      <c r="W250" s="152">
        <f t="shared" si="60"/>
        <v>0.4</v>
      </c>
      <c r="X250" s="152">
        <f t="shared" si="60"/>
        <v>0.4</v>
      </c>
      <c r="Y250" s="152">
        <f t="shared" si="60"/>
        <v>0.4</v>
      </c>
      <c r="Z250" s="152">
        <f t="shared" si="60"/>
        <v>0.4</v>
      </c>
      <c r="AA250" s="152">
        <f t="shared" si="60"/>
        <v>0.4</v>
      </c>
      <c r="AB250" s="152">
        <f t="shared" si="60"/>
        <v>0.4</v>
      </c>
      <c r="AC250" s="152">
        <f t="shared" si="60"/>
        <v>0.4</v>
      </c>
      <c r="AD250" s="152">
        <f t="shared" si="60"/>
        <v>0.4</v>
      </c>
      <c r="AE250" s="152">
        <f t="shared" si="60"/>
        <v>0.4</v>
      </c>
      <c r="AF250" s="152">
        <f t="shared" si="60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8"/>
        <v>1.5</v>
      </c>
      <c r="C251" s="152">
        <v>1.5</v>
      </c>
      <c r="D251" s="152">
        <f t="shared" si="59"/>
        <v>1.5</v>
      </c>
      <c r="E251" s="152">
        <f t="shared" si="59"/>
        <v>1.5</v>
      </c>
      <c r="F251" s="152">
        <f t="shared" si="59"/>
        <v>1.5</v>
      </c>
      <c r="G251" s="152">
        <f t="shared" si="59"/>
        <v>1.5</v>
      </c>
      <c r="H251" s="152">
        <f t="shared" si="59"/>
        <v>1.5</v>
      </c>
      <c r="I251" s="152">
        <f t="shared" si="59"/>
        <v>1.5</v>
      </c>
      <c r="J251" s="152">
        <f t="shared" si="59"/>
        <v>1.5</v>
      </c>
      <c r="K251" s="152">
        <f t="shared" si="59"/>
        <v>1.5</v>
      </c>
      <c r="L251" s="152">
        <f t="shared" si="59"/>
        <v>1.5</v>
      </c>
      <c r="M251" s="152">
        <f t="shared" si="59"/>
        <v>1.5</v>
      </c>
      <c r="N251" s="152">
        <f t="shared" si="59"/>
        <v>1.5</v>
      </c>
      <c r="O251" s="152">
        <f t="shared" si="59"/>
        <v>1.5</v>
      </c>
      <c r="P251" s="152">
        <f t="shared" si="59"/>
        <v>1.5</v>
      </c>
      <c r="Q251" s="152">
        <f t="shared" si="59"/>
        <v>1.5</v>
      </c>
      <c r="R251" s="152">
        <f t="shared" si="59"/>
        <v>1.5</v>
      </c>
      <c r="S251" s="152">
        <f t="shared" si="59"/>
        <v>1.5</v>
      </c>
      <c r="T251" s="152">
        <f t="shared" si="60"/>
        <v>1.5</v>
      </c>
      <c r="U251" s="152">
        <f t="shared" si="60"/>
        <v>1.5</v>
      </c>
      <c r="V251" s="152">
        <f t="shared" si="60"/>
        <v>1.5</v>
      </c>
      <c r="W251" s="152">
        <f t="shared" si="60"/>
        <v>1.5</v>
      </c>
      <c r="X251" s="152">
        <f t="shared" si="60"/>
        <v>1.5</v>
      </c>
      <c r="Y251" s="152">
        <f t="shared" si="60"/>
        <v>1.5</v>
      </c>
      <c r="Z251" s="152">
        <f t="shared" si="60"/>
        <v>1.5</v>
      </c>
      <c r="AA251" s="152">
        <f t="shared" si="60"/>
        <v>1.5</v>
      </c>
      <c r="AB251" s="152">
        <f t="shared" si="60"/>
        <v>1.5</v>
      </c>
      <c r="AC251" s="152">
        <f t="shared" si="60"/>
        <v>1.5</v>
      </c>
      <c r="AD251" s="152">
        <f t="shared" si="60"/>
        <v>1.5</v>
      </c>
      <c r="AE251" s="152">
        <f t="shared" si="60"/>
        <v>1.5</v>
      </c>
      <c r="AF251" s="152">
        <f t="shared" si="60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8"/>
        <v>0.3</v>
      </c>
      <c r="C252" s="152">
        <v>0.3</v>
      </c>
      <c r="D252" s="152">
        <f t="shared" si="59"/>
        <v>0.3</v>
      </c>
      <c r="E252" s="152">
        <f t="shared" si="59"/>
        <v>0.3</v>
      </c>
      <c r="F252" s="152">
        <f t="shared" si="59"/>
        <v>0.3</v>
      </c>
      <c r="G252" s="152">
        <f t="shared" si="59"/>
        <v>0.3</v>
      </c>
      <c r="H252" s="152">
        <f t="shared" si="59"/>
        <v>0.3</v>
      </c>
      <c r="I252" s="152">
        <f t="shared" si="59"/>
        <v>0.3</v>
      </c>
      <c r="J252" s="152">
        <f t="shared" si="59"/>
        <v>0.3</v>
      </c>
      <c r="K252" s="152">
        <f t="shared" si="59"/>
        <v>0.3</v>
      </c>
      <c r="L252" s="152">
        <f t="shared" si="59"/>
        <v>0.3</v>
      </c>
      <c r="M252" s="152">
        <f t="shared" si="59"/>
        <v>0.3</v>
      </c>
      <c r="N252" s="152">
        <f t="shared" si="59"/>
        <v>0.3</v>
      </c>
      <c r="O252" s="152">
        <f t="shared" si="59"/>
        <v>0.3</v>
      </c>
      <c r="P252" s="152">
        <f t="shared" si="59"/>
        <v>0.3</v>
      </c>
      <c r="Q252" s="152">
        <f t="shared" si="59"/>
        <v>0.3</v>
      </c>
      <c r="R252" s="152">
        <f t="shared" si="59"/>
        <v>0.3</v>
      </c>
      <c r="S252" s="152">
        <f t="shared" si="59"/>
        <v>0.3</v>
      </c>
      <c r="T252" s="152">
        <f t="shared" si="60"/>
        <v>0.3</v>
      </c>
      <c r="U252" s="152">
        <f t="shared" si="60"/>
        <v>0.3</v>
      </c>
      <c r="V252" s="152">
        <f t="shared" si="60"/>
        <v>0.3</v>
      </c>
      <c r="W252" s="152">
        <f t="shared" si="60"/>
        <v>0.3</v>
      </c>
      <c r="X252" s="152">
        <f t="shared" si="60"/>
        <v>0.3</v>
      </c>
      <c r="Y252" s="152">
        <f t="shared" si="60"/>
        <v>0.3</v>
      </c>
      <c r="Z252" s="152">
        <f t="shared" si="60"/>
        <v>0.3</v>
      </c>
      <c r="AA252" s="152">
        <f t="shared" si="60"/>
        <v>0.3</v>
      </c>
      <c r="AB252" s="152">
        <f t="shared" si="60"/>
        <v>0.3</v>
      </c>
      <c r="AC252" s="152">
        <f t="shared" si="60"/>
        <v>0.3</v>
      </c>
      <c r="AD252" s="152">
        <f t="shared" si="60"/>
        <v>0.3</v>
      </c>
      <c r="AE252" s="152">
        <f t="shared" si="60"/>
        <v>0.3</v>
      </c>
      <c r="AF252" s="152">
        <f t="shared" si="60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8"/>
        <v>0.4</v>
      </c>
      <c r="C253" s="152">
        <v>0.4</v>
      </c>
      <c r="D253" s="152">
        <f t="shared" si="59"/>
        <v>0.4</v>
      </c>
      <c r="E253" s="152">
        <f t="shared" si="59"/>
        <v>0.4</v>
      </c>
      <c r="F253" s="152">
        <f t="shared" si="59"/>
        <v>0.4</v>
      </c>
      <c r="G253" s="152">
        <f t="shared" si="59"/>
        <v>0.4</v>
      </c>
      <c r="H253" s="152">
        <f t="shared" si="59"/>
        <v>0.4</v>
      </c>
      <c r="I253" s="152">
        <f t="shared" si="59"/>
        <v>0.4</v>
      </c>
      <c r="J253" s="152">
        <f t="shared" si="59"/>
        <v>0.4</v>
      </c>
      <c r="K253" s="152">
        <f t="shared" si="59"/>
        <v>0.4</v>
      </c>
      <c r="L253" s="152">
        <f t="shared" si="59"/>
        <v>0.4</v>
      </c>
      <c r="M253" s="152">
        <f t="shared" si="59"/>
        <v>0.4</v>
      </c>
      <c r="N253" s="152">
        <f t="shared" si="59"/>
        <v>0.4</v>
      </c>
      <c r="O253" s="152">
        <f t="shared" si="59"/>
        <v>0.4</v>
      </c>
      <c r="P253" s="152">
        <f t="shared" si="59"/>
        <v>0.4</v>
      </c>
      <c r="Q253" s="152">
        <f t="shared" si="59"/>
        <v>0.4</v>
      </c>
      <c r="R253" s="152">
        <f t="shared" si="59"/>
        <v>0.4</v>
      </c>
      <c r="S253" s="152">
        <f t="shared" si="59"/>
        <v>0.4</v>
      </c>
      <c r="T253" s="152">
        <f t="shared" si="60"/>
        <v>0.4</v>
      </c>
      <c r="U253" s="152">
        <f t="shared" si="60"/>
        <v>0.4</v>
      </c>
      <c r="V253" s="152">
        <f t="shared" si="60"/>
        <v>0.4</v>
      </c>
      <c r="W253" s="152">
        <f t="shared" si="60"/>
        <v>0.4</v>
      </c>
      <c r="X253" s="152">
        <f t="shared" si="60"/>
        <v>0.4</v>
      </c>
      <c r="Y253" s="152">
        <f t="shared" si="60"/>
        <v>0.4</v>
      </c>
      <c r="Z253" s="152">
        <f t="shared" si="60"/>
        <v>0.4</v>
      </c>
      <c r="AA253" s="152">
        <f t="shared" si="60"/>
        <v>0.4</v>
      </c>
      <c r="AB253" s="152">
        <f t="shared" si="60"/>
        <v>0.4</v>
      </c>
      <c r="AC253" s="152">
        <f t="shared" si="60"/>
        <v>0.4</v>
      </c>
      <c r="AD253" s="152">
        <f t="shared" si="60"/>
        <v>0.4</v>
      </c>
      <c r="AE253" s="152">
        <f t="shared" si="60"/>
        <v>0.4</v>
      </c>
      <c r="AF253" s="152">
        <f t="shared" si="60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8"/>
        <v>0.64</v>
      </c>
      <c r="C254" s="157">
        <v>0.64</v>
      </c>
      <c r="D254" s="157">
        <f t="shared" si="59"/>
        <v>0.64</v>
      </c>
      <c r="E254" s="157">
        <f t="shared" si="59"/>
        <v>0.64</v>
      </c>
      <c r="F254" s="157">
        <f t="shared" si="59"/>
        <v>0.64</v>
      </c>
      <c r="G254" s="157">
        <f t="shared" si="59"/>
        <v>0.64</v>
      </c>
      <c r="H254" s="157">
        <f t="shared" si="59"/>
        <v>0.64</v>
      </c>
      <c r="I254" s="157">
        <f t="shared" si="59"/>
        <v>0.64</v>
      </c>
      <c r="J254" s="157">
        <f t="shared" si="59"/>
        <v>0.64</v>
      </c>
      <c r="K254" s="157">
        <f t="shared" si="59"/>
        <v>0.64</v>
      </c>
      <c r="L254" s="157">
        <f t="shared" si="59"/>
        <v>0.64</v>
      </c>
      <c r="M254" s="157">
        <f t="shared" si="59"/>
        <v>0.64</v>
      </c>
      <c r="N254" s="157">
        <f t="shared" si="59"/>
        <v>0.64</v>
      </c>
      <c r="O254" s="157">
        <f t="shared" si="59"/>
        <v>0.64</v>
      </c>
      <c r="P254" s="157">
        <f t="shared" si="59"/>
        <v>0.64</v>
      </c>
      <c r="Q254" s="157">
        <f t="shared" si="59"/>
        <v>0.64</v>
      </c>
      <c r="R254" s="157">
        <f t="shared" si="59"/>
        <v>0.64</v>
      </c>
      <c r="S254" s="157">
        <f t="shared" si="59"/>
        <v>0.64</v>
      </c>
      <c r="T254" s="157">
        <f t="shared" si="60"/>
        <v>0.64</v>
      </c>
      <c r="U254" s="157">
        <f t="shared" si="60"/>
        <v>0.64</v>
      </c>
      <c r="V254" s="157">
        <f t="shared" si="60"/>
        <v>0.64</v>
      </c>
      <c r="W254" s="157">
        <f t="shared" si="60"/>
        <v>0.64</v>
      </c>
      <c r="X254" s="157">
        <f t="shared" si="60"/>
        <v>0.64</v>
      </c>
      <c r="Y254" s="157">
        <f t="shared" si="60"/>
        <v>0.64</v>
      </c>
      <c r="Z254" s="157">
        <f t="shared" si="60"/>
        <v>0.64</v>
      </c>
      <c r="AA254" s="157">
        <f t="shared" si="60"/>
        <v>0.64</v>
      </c>
      <c r="AB254" s="157">
        <f t="shared" si="60"/>
        <v>0.64</v>
      </c>
      <c r="AC254" s="157">
        <f t="shared" si="60"/>
        <v>0.64</v>
      </c>
      <c r="AD254" s="157">
        <f t="shared" si="60"/>
        <v>0.64</v>
      </c>
      <c r="AE254" s="157">
        <f t="shared" si="60"/>
        <v>0.64</v>
      </c>
      <c r="AF254" s="157">
        <f t="shared" si="60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61">SUM(B249:B254)</f>
        <v>3.54</v>
      </c>
      <c r="C255" s="161">
        <f t="shared" si="61"/>
        <v>3.54</v>
      </c>
      <c r="D255" s="161">
        <f t="shared" si="61"/>
        <v>3.54</v>
      </c>
      <c r="E255" s="161">
        <f t="shared" si="61"/>
        <v>3.54</v>
      </c>
      <c r="F255" s="161">
        <f t="shared" si="61"/>
        <v>3.54</v>
      </c>
      <c r="G255" s="161">
        <f t="shared" si="61"/>
        <v>3.54</v>
      </c>
      <c r="H255" s="161">
        <f t="shared" si="61"/>
        <v>3.54</v>
      </c>
      <c r="I255" s="161">
        <f t="shared" si="61"/>
        <v>3.54</v>
      </c>
      <c r="J255" s="161">
        <f t="shared" si="61"/>
        <v>3.54</v>
      </c>
      <c r="K255" s="161">
        <f t="shared" si="61"/>
        <v>3.54</v>
      </c>
      <c r="L255" s="161">
        <f t="shared" si="61"/>
        <v>3.54</v>
      </c>
      <c r="M255" s="161">
        <f t="shared" si="61"/>
        <v>3.54</v>
      </c>
      <c r="N255" s="161">
        <f t="shared" si="61"/>
        <v>3.54</v>
      </c>
      <c r="O255" s="161">
        <f t="shared" si="61"/>
        <v>3.54</v>
      </c>
      <c r="P255" s="161">
        <f t="shared" si="61"/>
        <v>3.54</v>
      </c>
      <c r="Q255" s="161">
        <f t="shared" si="61"/>
        <v>3.54</v>
      </c>
      <c r="R255" s="161">
        <f t="shared" si="61"/>
        <v>3.54</v>
      </c>
      <c r="S255" s="161">
        <f t="shared" si="61"/>
        <v>3.54</v>
      </c>
      <c r="T255" s="161">
        <f t="shared" si="61"/>
        <v>3.54</v>
      </c>
      <c r="U255" s="161">
        <f t="shared" si="61"/>
        <v>3.54</v>
      </c>
      <c r="V255" s="161">
        <f t="shared" si="61"/>
        <v>3.54</v>
      </c>
      <c r="W255" s="161">
        <f t="shared" si="61"/>
        <v>3.54</v>
      </c>
      <c r="X255" s="161">
        <f t="shared" si="61"/>
        <v>3.54</v>
      </c>
      <c r="Y255" s="161">
        <f t="shared" si="61"/>
        <v>3.54</v>
      </c>
      <c r="Z255" s="161">
        <f t="shared" si="61"/>
        <v>3.54</v>
      </c>
      <c r="AA255" s="161">
        <f t="shared" si="61"/>
        <v>3.54</v>
      </c>
      <c r="AB255" s="161">
        <f t="shared" si="61"/>
        <v>3.54</v>
      </c>
      <c r="AC255" s="161">
        <f t="shared" si="61"/>
        <v>3.54</v>
      </c>
      <c r="AD255" s="161">
        <f t="shared" si="61"/>
        <v>3.54</v>
      </c>
      <c r="AE255" s="161">
        <f t="shared" si="61"/>
        <v>3.54</v>
      </c>
      <c r="AF255" s="161">
        <f t="shared" si="61"/>
        <v>3.54</v>
      </c>
      <c r="AG255" s="171">
        <f t="shared" si="61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1995.6399999999999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2080/10/14)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2626" priority="80">
      <formula>$AH11=0</formula>
    </cfRule>
  </conditionalFormatting>
  <conditionalFormatting sqref="A89">
    <cfRule type="expression" dxfId="2625" priority="138">
      <formula>$AH94=0</formula>
    </cfRule>
  </conditionalFormatting>
  <conditionalFormatting sqref="A90:A94">
    <cfRule type="expression" dxfId="2624" priority="81">
      <formula>$AH89=0</formula>
    </cfRule>
  </conditionalFormatting>
  <conditionalFormatting sqref="B8">
    <cfRule type="expression" dxfId="2623" priority="134">
      <formula>AND(C$9&gt;=14/24,C$9&lt;20/24)</formula>
    </cfRule>
    <cfRule type="expression" dxfId="2622" priority="135">
      <formula>AND(C$9&gt;=8/24,C$9&lt;14/24)</formula>
    </cfRule>
    <cfRule type="expression" dxfId="2621" priority="136">
      <formula>C$9&lt;8/24</formula>
    </cfRule>
    <cfRule type="expression" dxfId="2620" priority="137">
      <formula>C$9&gt;=20/24</formula>
    </cfRule>
  </conditionalFormatting>
  <conditionalFormatting sqref="B11:P57 Q15:AF57 E62:G64 B62:D77 H63:I64 E66:J77 K69:P77 E72:AF77 B80:AF102 B9:AF10 B104:AF120 B122:AF140 B247:AF247 B249:B255">
    <cfRule type="expression" dxfId="2619" priority="41">
      <formula>B$9&gt;=20/24</formula>
    </cfRule>
  </conditionalFormatting>
  <conditionalFormatting sqref="B9:AF10 B11:P57 Q15:AF57 E62:G64 B62:D77 H63:I64 E66:J77 K69:P77 E72:AF77 B80:AF102 B104:AF120 B122:AF140 B247:AF247 B249:B255">
    <cfRule type="expression" dxfId="2618" priority="42">
      <formula>AND(B$9&gt;=14/24,B$9&lt;20/24)</formula>
    </cfRule>
    <cfRule type="expression" dxfId="2617" priority="43">
      <formula>AND(B$9&gt;=8/24,B$9&lt;14/24)</formula>
    </cfRule>
    <cfRule type="expression" dxfId="2616" priority="44">
      <formula>B$9&lt;8/24</formula>
    </cfRule>
  </conditionalFormatting>
  <conditionalFormatting sqref="B58:AF60">
    <cfRule type="expression" dxfId="2615" priority="37">
      <formula>B$9&gt;=20/24</formula>
    </cfRule>
    <cfRule type="expression" dxfId="2614" priority="38">
      <formula>AND(B$9&gt;=14/24,B$9&lt;20/24)</formula>
    </cfRule>
    <cfRule type="expression" dxfId="2613" priority="39">
      <formula>AND(B$9&gt;=8/24,B$9&lt;14/24)</formula>
    </cfRule>
    <cfRule type="expression" dxfId="2612" priority="49">
      <formula>B$9&lt;8/24</formula>
    </cfRule>
  </conditionalFormatting>
  <conditionalFormatting sqref="D249:AF255">
    <cfRule type="expression" dxfId="2611" priority="119">
      <formula>D$9&gt;=20/24</formula>
    </cfRule>
    <cfRule type="expression" dxfId="2610" priority="120">
      <formula>AND(D$9&gt;=14/24,D$9&lt;20/24)</formula>
    </cfRule>
    <cfRule type="expression" dxfId="2609" priority="121">
      <formula>AND(D$9&gt;=8/24,D$9&lt;14/24)</formula>
    </cfRule>
    <cfRule type="expression" dxfId="2608" priority="122">
      <formula>D$9&lt;8/24</formula>
    </cfRule>
  </conditionalFormatting>
  <conditionalFormatting sqref="E66:J70 K69:P70 D70">
    <cfRule type="expression" dxfId="2607" priority="50">
      <formula>D$9&gt;=20/24</formula>
    </cfRule>
    <cfRule type="expression" dxfId="2606" priority="51">
      <formula>AND(D$9&gt;=14/24,D$9&lt;20/24)</formula>
    </cfRule>
    <cfRule type="expression" dxfId="2605" priority="52">
      <formula>AND(D$9&gt;=8/24,D$9&lt;14/24)</formula>
    </cfRule>
    <cfRule type="expression" dxfId="2604" priority="53">
      <formula>D$9&lt;8/24</formula>
    </cfRule>
  </conditionalFormatting>
  <conditionalFormatting sqref="E11:P60 B11:D83 Q15:S60 T15:AF83 AG61 E61:S83 AG65 AG83">
    <cfRule type="expression" dxfId="2603" priority="40">
      <formula>B11&gt;$AG11</formula>
    </cfRule>
  </conditionalFormatting>
  <conditionalFormatting sqref="E71:P71">
    <cfRule type="expression" dxfId="2602" priority="45">
      <formula>E$9&gt;=20/24</formula>
    </cfRule>
    <cfRule type="expression" dxfId="2601" priority="46">
      <formula>AND(E$9&gt;=14/24,E$9&lt;20/24)</formula>
    </cfRule>
    <cfRule type="expression" dxfId="2600" priority="47">
      <formula>AND(E$9&gt;=8/24,E$9&lt;14/24)</formula>
    </cfRule>
    <cfRule type="expression" dxfId="2599" priority="48">
      <formula>E$9&lt;8/24</formula>
    </cfRule>
  </conditionalFormatting>
  <conditionalFormatting sqref="E62:AF65">
    <cfRule type="expression" dxfId="2598" priority="60">
      <formula>E$9&gt;=20/24</formula>
    </cfRule>
    <cfRule type="expression" dxfId="2597" priority="61">
      <formula>AND(E$9&gt;=14/24,E$9&lt;20/24)</formula>
    </cfRule>
    <cfRule type="expression" dxfId="2596" priority="62">
      <formula>AND(E$9&gt;=8/24,E$9&lt;14/24)</formula>
    </cfRule>
    <cfRule type="expression" dxfId="2595" priority="63">
      <formula>E$9&lt;8/24</formula>
    </cfRule>
  </conditionalFormatting>
  <conditionalFormatting sqref="F66:P68">
    <cfRule type="expression" dxfId="2594" priority="72">
      <formula>F$9&gt;=20/24</formula>
    </cfRule>
    <cfRule type="expression" dxfId="2593" priority="73">
      <formula>AND(F$9&gt;=14/24,F$9&lt;20/24)</formula>
    </cfRule>
    <cfRule type="expression" dxfId="2592" priority="74">
      <formula>AND(F$9&gt;=8/24,F$9&lt;14/24)</formula>
    </cfRule>
    <cfRule type="expression" dxfId="2591" priority="75">
      <formula>F$9&lt;8/24</formula>
    </cfRule>
  </conditionalFormatting>
  <conditionalFormatting sqref="L71:AF71">
    <cfRule type="expression" dxfId="2590" priority="68">
      <formula>L$9&gt;=20/24</formula>
    </cfRule>
    <cfRule type="expression" dxfId="2589" priority="69">
      <formula>AND(L$9&gt;=14/24,L$9&lt;20/24)</formula>
    </cfRule>
    <cfRule type="expression" dxfId="2588" priority="70">
      <formula>AND(L$9&gt;=8/24,L$9&lt;14/24)</formula>
    </cfRule>
    <cfRule type="expression" dxfId="2587" priority="71">
      <formula>L$9&lt;8/24</formula>
    </cfRule>
  </conditionalFormatting>
  <conditionalFormatting sqref="M8 S8 AB8">
    <cfRule type="expression" dxfId="2586" priority="126">
      <formula>AND(N$9&gt;=14/24,N$9&lt;20/24)</formula>
    </cfRule>
    <cfRule type="expression" dxfId="2585" priority="127">
      <formula>AND(N$9&gt;=8/24,N$9&lt;14/24)</formula>
    </cfRule>
    <cfRule type="expression" dxfId="2584" priority="128">
      <formula>N$9&lt;8/24</formula>
    </cfRule>
  </conditionalFormatting>
  <conditionalFormatting sqref="M66:AF70">
    <cfRule type="expression" dxfId="2583" priority="76">
      <formula>M$9&gt;=20/24</formula>
    </cfRule>
    <cfRule type="expression" dxfId="2582" priority="77">
      <formula>AND(M$9&gt;=14/24,M$9&lt;20/24)</formula>
    </cfRule>
    <cfRule type="expression" dxfId="2581" priority="78">
      <formula>AND(M$9&gt;=8/24,M$9&lt;14/24)</formula>
    </cfRule>
    <cfRule type="expression" dxfId="2580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Q11:AF14">
    <cfRule type="expression" dxfId="2579" priority="54">
      <formula>Q11&gt;$AG11</formula>
    </cfRule>
    <cfRule type="expression" dxfId="2578" priority="55">
      <formula>Q$9&gt;=20/24</formula>
    </cfRule>
    <cfRule type="expression" dxfId="2577" priority="56">
      <formula>AND(Q$9&gt;=14/24,Q$9&lt;20/24)</formula>
    </cfRule>
    <cfRule type="expression" dxfId="2576" priority="57">
      <formula>AND(Q$9&gt;=8/24,Q$9&lt;14/24)</formula>
    </cfRule>
    <cfRule type="expression" dxfId="2575" priority="58">
      <formula>Q$9&lt;8/24</formula>
    </cfRule>
  </conditionalFormatting>
  <conditionalFormatting sqref="S8 AB8 M8">
    <cfRule type="expression" dxfId="2574" priority="125">
      <formula>N$9&gt;=20/24</formula>
    </cfRule>
  </conditionalFormatting>
  <conditionalFormatting sqref="S8">
    <cfRule type="expression" dxfId="2573" priority="112">
      <formula>U$9&gt;=20/24</formula>
    </cfRule>
    <cfRule type="expression" dxfId="2572" priority="113">
      <formula>AND(U$9&gt;=14/24,U$9&lt;20/24)</formula>
    </cfRule>
    <cfRule type="expression" dxfId="2571" priority="114">
      <formula>AND(U$9&gt;=8/24,U$9&lt;14/24)</formula>
    </cfRule>
    <cfRule type="expression" dxfId="2570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569" priority="108">
      <formula>AD$9&gt;=20/24</formula>
    </cfRule>
    <cfRule type="expression" dxfId="2568" priority="109">
      <formula>AND(AD$9&gt;=14/24,AD$9&lt;20/24)</formula>
    </cfRule>
    <cfRule type="expression" dxfId="2567" priority="110">
      <formula>AND(AD$9&gt;=8/24,AD$9&lt;14/24)</formula>
    </cfRule>
    <cfRule type="expression" dxfId="2566" priority="111">
      <formula>AD$9&lt;8/24</formula>
    </cfRule>
  </conditionalFormatting>
  <conditionalFormatting sqref="AC66:AF71">
    <cfRule type="expression" dxfId="2565" priority="64">
      <formula>AC$9&gt;=20/24</formula>
    </cfRule>
    <cfRule type="expression" dxfId="2564" priority="65">
      <formula>AND(AC$9&gt;=14/24,AC$9&lt;20/24)</formula>
    </cfRule>
    <cfRule type="expression" dxfId="2563" priority="66">
      <formula>AND(AC$9&gt;=8/24,AC$9&lt;14/24)</formula>
    </cfRule>
    <cfRule type="expression" dxfId="2562" priority="67">
      <formula>AC$9&lt;8/24</formula>
    </cfRule>
  </conditionalFormatting>
  <conditionalFormatting sqref="AG65">
    <cfRule type="expression" dxfId="2561" priority="87">
      <formula>AG$9&gt;=20/24</formula>
    </cfRule>
    <cfRule type="expression" dxfId="2560" priority="88">
      <formula>AND(AG$9&gt;=14/24,AG$9&lt;20/24)</formula>
    </cfRule>
    <cfRule type="expression" dxfId="2559" priority="89">
      <formula>AND(AG$9&gt;=8/24,AG$9&lt;14/24)</formula>
    </cfRule>
    <cfRule type="expression" dxfId="2558" priority="90">
      <formula>AG$9&lt;8/24</formula>
    </cfRule>
  </conditionalFormatting>
  <conditionalFormatting sqref="AG78:AG79">
    <cfRule type="expression" dxfId="2557" priority="82">
      <formula>AG78&gt;$AG78</formula>
    </cfRule>
  </conditionalFormatting>
  <conditionalFormatting sqref="AG83">
    <cfRule type="expression" dxfId="2556" priority="83">
      <formula>AG$9&gt;=20/24</formula>
    </cfRule>
    <cfRule type="expression" dxfId="2555" priority="84">
      <formula>AND(AG$9&gt;=14/24,AG$9&lt;20/24)</formula>
    </cfRule>
    <cfRule type="expression" dxfId="2554" priority="85">
      <formula>AND(AG$9&gt;=8/24,AG$9&lt;14/24)</formula>
    </cfRule>
    <cfRule type="expression" dxfId="2553" priority="86">
      <formula>AG$9&lt;8/24</formula>
    </cfRule>
  </conditionalFormatting>
  <conditionalFormatting sqref="AG100">
    <cfRule type="expression" dxfId="2552" priority="104">
      <formula>AG$9&gt;=20/24</formula>
    </cfRule>
    <cfRule type="expression" dxfId="2551" priority="105">
      <formula>AND(AG$9&gt;=14/24,AG$9&lt;20/24)</formula>
    </cfRule>
    <cfRule type="expression" dxfId="2550" priority="106">
      <formula>AND(AG$9&gt;=8/24,AG$9&lt;14/24)</formula>
    </cfRule>
    <cfRule type="expression" dxfId="2549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548" priority="129">
      <formula>AJ$9&gt;=20/24</formula>
    </cfRule>
    <cfRule type="expression" dxfId="2547" priority="130">
      <formula>AND(AJ$9&gt;=14/24,AJ$9&lt;20/24)</formula>
    </cfRule>
    <cfRule type="expression" dxfId="2546" priority="131">
      <formula>AND(AJ$9&gt;=8/24,AJ$9&lt;14/24)</formula>
    </cfRule>
    <cfRule type="expression" dxfId="2545" priority="132">
      <formula>AJ$9&lt;8/24</formula>
    </cfRule>
  </conditionalFormatting>
  <conditionalFormatting sqref="AL86:AN86 AL92:AN92">
    <cfRule type="expression" dxfId="2544" priority="97">
      <formula>AL$9&gt;=20/24</formula>
    </cfRule>
    <cfRule type="expression" dxfId="2543" priority="98">
      <formula>AND(AL$9&gt;=14/24,AL$9&lt;20/24)</formula>
    </cfRule>
    <cfRule type="expression" dxfId="2542" priority="99">
      <formula>AND(AL$9&gt;=8/24,AL$9&lt;14/24)</formula>
    </cfRule>
    <cfRule type="expression" dxfId="2541" priority="100">
      <formula>AL$9&lt;8/24</formula>
    </cfRule>
  </conditionalFormatting>
  <conditionalFormatting sqref="AM15:AM21 AN16:AR21">
    <cfRule type="expression" dxfId="2540" priority="13">
      <formula>AX$9&gt;=20/24</formula>
    </cfRule>
    <cfRule type="expression" dxfId="2539" priority="14">
      <formula>AND(AX$9&gt;=14/24,AX$9&lt;20/24)</formula>
    </cfRule>
    <cfRule type="expression" dxfId="2538" priority="15">
      <formula>AND(AX$9&gt;=8/24,AX$9&lt;14/24)</formula>
    </cfRule>
    <cfRule type="expression" dxfId="2537" priority="16">
      <formula>AX$9&lt;8/24</formula>
    </cfRule>
  </conditionalFormatting>
  <conditionalFormatting sqref="AN87:AN90">
    <cfRule type="expression" dxfId="2536" priority="93">
      <formula>AN$9&gt;=20/24</formula>
    </cfRule>
    <cfRule type="expression" dxfId="2535" priority="94">
      <formula>AND(AN$9&gt;=14/24,AN$9&lt;20/24)</formula>
    </cfRule>
    <cfRule type="expression" dxfId="2534" priority="95">
      <formula>AND(AN$9&gt;=8/24,AN$9&lt;14/24)</formula>
    </cfRule>
    <cfRule type="expression" dxfId="2533" priority="96">
      <formula>AN$9&lt;8/24</formula>
    </cfRule>
  </conditionalFormatting>
  <conditionalFormatting sqref="AN15:AR15">
    <cfRule type="expression" dxfId="2532" priority="1">
      <formula>U$9&gt;=20/24</formula>
    </cfRule>
    <cfRule type="expression" dxfId="2531" priority="2">
      <formula>AND(U$9&gt;=14/24,U$9&lt;20/24)</formula>
    </cfRule>
    <cfRule type="expression" dxfId="2530" priority="3">
      <formula>AND(U$9&gt;=8/24,U$9&lt;14/24)</formula>
    </cfRule>
    <cfRule type="expression" dxfId="2529" priority="4">
      <formula>U$9&lt;8/24</formula>
    </cfRule>
  </conditionalFormatting>
  <conditionalFormatting sqref="AS15">
    <cfRule type="expression" dxfId="2528" priority="9">
      <formula>AA$9&gt;=20/24</formula>
    </cfRule>
    <cfRule type="expression" dxfId="2527" priority="10">
      <formula>AND(AA$9&gt;=14/24,AA$9&lt;20/24)</formula>
    </cfRule>
    <cfRule type="expression" dxfId="2526" priority="11">
      <formula>AND(AA$9&gt;=8/24,AA$9&lt;14/24)</formula>
    </cfRule>
    <cfRule type="expression" dxfId="2525" priority="12">
      <formula>AA$9&lt;8/24</formula>
    </cfRule>
  </conditionalFormatting>
  <conditionalFormatting sqref="AS16:AS21">
    <cfRule type="expression" dxfId="2524" priority="17">
      <formula>BE$9&gt;=20/24</formula>
    </cfRule>
    <cfRule type="expression" dxfId="2523" priority="18">
      <formula>AND(BE$9&gt;=14/24,BE$9&lt;20/24)</formula>
    </cfRule>
    <cfRule type="expression" dxfId="2522" priority="19">
      <formula>AND(BE$9&gt;=8/24,BE$9&lt;14/24)</formula>
    </cfRule>
    <cfRule type="expression" dxfId="2521" priority="20">
      <formula>BE$9&lt;8/24</formula>
    </cfRule>
  </conditionalFormatting>
  <conditionalFormatting sqref="AT15 AX15:BJ15">
    <cfRule type="expression" dxfId="2520" priority="21">
      <formula>AC$9&gt;=20/24</formula>
    </cfRule>
    <cfRule type="expression" dxfId="2519" priority="22">
      <formula>AND(AC$9&gt;=14/24,AC$9&lt;20/24)</formula>
    </cfRule>
    <cfRule type="expression" dxfId="2518" priority="23">
      <formula>AND(AC$9&gt;=8/24,AC$9&lt;14/24)</formula>
    </cfRule>
    <cfRule type="expression" dxfId="2517" priority="24">
      <formula>AC$9&lt;8/24</formula>
    </cfRule>
  </conditionalFormatting>
  <conditionalFormatting sqref="AT16:AT21">
    <cfRule type="expression" dxfId="2516" priority="25">
      <formula>BG$9&gt;=20/24</formula>
    </cfRule>
    <cfRule type="expression" dxfId="2515" priority="26">
      <formula>AND(BG$9&gt;=14/24,BG$9&lt;20/24)</formula>
    </cfRule>
    <cfRule type="expression" dxfId="2514" priority="27">
      <formula>AND(BG$9&gt;=8/24,BG$9&lt;14/24)</formula>
    </cfRule>
    <cfRule type="expression" dxfId="2513" priority="28">
      <formula>BG$9&lt;8/24</formula>
    </cfRule>
  </conditionalFormatting>
  <conditionalFormatting sqref="AU15:AV15">
    <cfRule type="expression" dxfId="2512" priority="29">
      <formula>AE$9&gt;=20/24</formula>
    </cfRule>
    <cfRule type="expression" dxfId="2511" priority="30">
      <formula>AND(AE$9&gt;=14/24,AE$9&lt;20/24)</formula>
    </cfRule>
    <cfRule type="expression" dxfId="2510" priority="31">
      <formula>AND(AE$9&gt;=8/24,AE$9&lt;14/24)</formula>
    </cfRule>
    <cfRule type="expression" dxfId="2509" priority="32">
      <formula>AE$9&lt;8/24</formula>
    </cfRule>
  </conditionalFormatting>
  <conditionalFormatting sqref="AU16:BJ21">
    <cfRule type="expression" dxfId="2508" priority="33">
      <formula>BI$9&gt;=20/24</formula>
    </cfRule>
    <cfRule type="expression" dxfId="2507" priority="34">
      <formula>AND(BI$9&gt;=14/24,BI$9&lt;20/24)</formula>
    </cfRule>
    <cfRule type="expression" dxfId="2506" priority="35">
      <formula>AND(BI$9&gt;=8/24,BI$9&lt;14/24)</formula>
    </cfRule>
    <cfRule type="expression" dxfId="2505" priority="36">
      <formula>BI$9&lt;8/24</formula>
    </cfRule>
  </conditionalFormatting>
  <conditionalFormatting sqref="AW15">
    <cfRule type="expression" dxfId="2504" priority="5">
      <formula>B$9&gt;=20/24</formula>
    </cfRule>
    <cfRule type="expression" dxfId="2503" priority="6">
      <formula>AND(B$9&gt;=14/24,B$9&lt;20/24)</formula>
    </cfRule>
    <cfRule type="expression" dxfId="2502" priority="7">
      <formula>AND(B$9&gt;=8/24,B$9&lt;14/24)</formula>
    </cfRule>
    <cfRule type="expression" dxfId="250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7CA0-07BB-4B66-95ED-2A3F5F7EFB3B}">
  <dimension ref="A1:CJ297"/>
  <sheetViews>
    <sheetView zoomScale="106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Q54" sqref="Q5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2080/10/15</v>
      </c>
      <c r="C4" s="189"/>
      <c r="D4" s="189"/>
      <c r="E4" s="190" t="str">
        <f ca="1">"2080/"&amp;"10/"&amp;INT(MID(CELL("filename",G6),FIND("]",CELL("filename",G6))+1,200))</f>
        <v>2080/10/15</v>
      </c>
      <c r="F4" s="190"/>
      <c r="G4" s="190"/>
      <c r="H4" s="190" t="str">
        <f ca="1">TEXT(E4,"dddd")</f>
        <v>Tuesday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14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10</v>
      </c>
      <c r="K5" s="30">
        <f t="shared" si="0"/>
        <v>4</v>
      </c>
      <c r="L5" s="30">
        <f t="shared" si="0"/>
        <v>3.8</v>
      </c>
      <c r="M5" s="30">
        <f t="shared" si="0"/>
        <v>14</v>
      </c>
      <c r="N5" s="30">
        <f t="shared" si="0"/>
        <v>10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1835MW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Load=166</v>
      </c>
      <c r="B7" s="35">
        <f t="shared" ref="B7:AF7" si="1">B103</f>
        <v>1521.04</v>
      </c>
      <c r="C7" s="35">
        <f t="shared" si="1"/>
        <v>166.04</v>
      </c>
      <c r="D7" s="35">
        <f t="shared" si="1"/>
        <v>1281.2400000000002</v>
      </c>
      <c r="E7" s="35">
        <f t="shared" si="1"/>
        <v>1367.3400000000001</v>
      </c>
      <c r="F7" s="35">
        <f t="shared" si="1"/>
        <v>1349.9400000000003</v>
      </c>
      <c r="G7" s="35">
        <f t="shared" si="1"/>
        <v>1170.6400000000001</v>
      </c>
      <c r="H7" s="35">
        <f t="shared" si="1"/>
        <v>1192.7400000000002</v>
      </c>
      <c r="I7" s="35">
        <f t="shared" si="1"/>
        <v>1235.4400000000003</v>
      </c>
      <c r="J7" s="35">
        <f t="shared" si="1"/>
        <v>1199.1400000000001</v>
      </c>
      <c r="K7" s="35">
        <f t="shared" si="1"/>
        <v>1277.3400000000001</v>
      </c>
      <c r="L7" s="35">
        <f t="shared" si="1"/>
        <v>1173.1399999999999</v>
      </c>
      <c r="M7" s="35">
        <f t="shared" si="1"/>
        <v>1311.8400000000001</v>
      </c>
      <c r="N7" s="35">
        <f t="shared" si="1"/>
        <v>1371.0400000000002</v>
      </c>
      <c r="O7" s="35">
        <f t="shared" si="1"/>
        <v>1389.0400000000002</v>
      </c>
      <c r="P7" s="35">
        <f t="shared" si="1"/>
        <v>1351.04</v>
      </c>
      <c r="Q7" s="35">
        <f t="shared" si="1"/>
        <v>1332.8400000000001</v>
      </c>
      <c r="R7" s="35">
        <f t="shared" si="1"/>
        <v>1378.8400000000001</v>
      </c>
      <c r="S7" s="35">
        <f t="shared" si="1"/>
        <v>1391.1400000000003</v>
      </c>
      <c r="T7" s="35">
        <f t="shared" si="1"/>
        <v>1383.2100000000003</v>
      </c>
      <c r="U7" s="35">
        <f t="shared" si="1"/>
        <v>1347.8100000000002</v>
      </c>
      <c r="V7" s="35">
        <f t="shared" si="1"/>
        <v>1354.4400000000003</v>
      </c>
      <c r="W7" s="35">
        <f t="shared" si="1"/>
        <v>1382.1400000000003</v>
      </c>
      <c r="X7" s="35">
        <f t="shared" si="1"/>
        <v>1329.0400000000002</v>
      </c>
      <c r="Y7" s="35">
        <f t="shared" si="1"/>
        <v>1312.6400000000003</v>
      </c>
      <c r="Z7" s="35">
        <f t="shared" si="1"/>
        <v>1411.9400000000003</v>
      </c>
      <c r="AA7" s="35">
        <f t="shared" si="1"/>
        <v>1572.3400000000001</v>
      </c>
      <c r="AB7" s="35">
        <f t="shared" si="1"/>
        <v>1603.1400000000003</v>
      </c>
      <c r="AC7" s="35">
        <f t="shared" si="1"/>
        <v>1620.4400000000005</v>
      </c>
      <c r="AD7" s="35">
        <f t="shared" si="1"/>
        <v>1606.4400000000005</v>
      </c>
      <c r="AE7" s="35">
        <f t="shared" si="1"/>
        <v>1535.7400000000002</v>
      </c>
      <c r="AF7" s="35">
        <f t="shared" si="1"/>
        <v>1478.7400000000002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2122.04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1606.44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85.8</v>
      </c>
      <c r="C11" s="46" t="s">
        <v>327</v>
      </c>
      <c r="D11" s="46">
        <v>86.6</v>
      </c>
      <c r="E11" s="46">
        <v>89.9</v>
      </c>
      <c r="F11" s="46">
        <v>90</v>
      </c>
      <c r="G11" s="46">
        <v>82.5</v>
      </c>
      <c r="H11" s="46">
        <v>82.6</v>
      </c>
      <c r="I11" s="46">
        <v>76.3</v>
      </c>
      <c r="J11" s="46">
        <v>50</v>
      </c>
      <c r="K11" s="46">
        <v>73.900000000000006</v>
      </c>
      <c r="L11" s="46">
        <v>73.8</v>
      </c>
      <c r="M11" s="46">
        <v>68.7</v>
      </c>
      <c r="N11" s="46">
        <v>68.7</v>
      </c>
      <c r="O11" s="46">
        <v>68.7</v>
      </c>
      <c r="P11" s="46">
        <v>65</v>
      </c>
      <c r="Q11" s="46">
        <v>65</v>
      </c>
      <c r="R11" s="46">
        <v>65</v>
      </c>
      <c r="S11" s="46">
        <v>60.8</v>
      </c>
      <c r="T11" s="46">
        <v>51</v>
      </c>
      <c r="U11" s="46">
        <v>0</v>
      </c>
      <c r="V11" s="46">
        <v>0</v>
      </c>
      <c r="W11" s="46">
        <v>0</v>
      </c>
      <c r="X11" s="46">
        <v>0</v>
      </c>
      <c r="Y11" s="46">
        <v>51.3</v>
      </c>
      <c r="Z11" s="46">
        <v>51.4</v>
      </c>
      <c r="AA11" s="46">
        <v>90.4</v>
      </c>
      <c r="AB11" s="46">
        <v>90.4</v>
      </c>
      <c r="AC11" s="46">
        <v>90.4</v>
      </c>
      <c r="AD11" s="46">
        <v>90.4</v>
      </c>
      <c r="AE11" s="46">
        <v>90.4</v>
      </c>
      <c r="AF11" s="46">
        <v>90.4</v>
      </c>
      <c r="AG11" s="47">
        <v>86</v>
      </c>
      <c r="AH11" s="48">
        <f>MAX(B11:AF11)</f>
        <v>90.4</v>
      </c>
      <c r="AI11" s="49">
        <f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83.9</v>
      </c>
      <c r="C12" s="46" t="s">
        <v>311</v>
      </c>
      <c r="D12" s="46">
        <v>0</v>
      </c>
      <c r="E12" s="46">
        <v>0</v>
      </c>
      <c r="F12" s="46">
        <v>0</v>
      </c>
      <c r="G12" s="46">
        <v>0</v>
      </c>
      <c r="H12" s="46">
        <v>27</v>
      </c>
      <c r="I12" s="46">
        <v>27</v>
      </c>
      <c r="J12" s="46">
        <v>28</v>
      </c>
      <c r="K12" s="46">
        <v>28</v>
      </c>
      <c r="L12" s="46">
        <v>28</v>
      </c>
      <c r="M12" s="46">
        <v>33.1</v>
      </c>
      <c r="N12" s="46">
        <v>33.1</v>
      </c>
      <c r="O12" s="46">
        <v>33.1</v>
      </c>
      <c r="P12" s="46">
        <v>0</v>
      </c>
      <c r="Q12" s="46">
        <v>0</v>
      </c>
      <c r="R12" s="46">
        <v>0</v>
      </c>
      <c r="S12" s="46">
        <v>45</v>
      </c>
      <c r="T12" s="46">
        <v>53.77</v>
      </c>
      <c r="U12" s="46">
        <v>53.77</v>
      </c>
      <c r="V12" s="46">
        <v>52.7</v>
      </c>
      <c r="W12" s="46">
        <v>52.8</v>
      </c>
      <c r="X12" s="46">
        <v>52.8</v>
      </c>
      <c r="Y12" s="46">
        <v>52.8</v>
      </c>
      <c r="Z12" s="46">
        <v>52.8</v>
      </c>
      <c r="AA12" s="46">
        <v>82.2</v>
      </c>
      <c r="AB12" s="46">
        <v>82.2</v>
      </c>
      <c r="AC12" s="46">
        <v>82.2</v>
      </c>
      <c r="AD12" s="46">
        <v>82.2</v>
      </c>
      <c r="AE12" s="46">
        <v>72</v>
      </c>
      <c r="AF12" s="46">
        <v>72</v>
      </c>
      <c r="AG12" s="50">
        <v>77</v>
      </c>
      <c r="AH12" s="48">
        <f t="shared" ref="AH12:AH75" si="2">MAX(B12:AF12)</f>
        <v>83.9</v>
      </c>
      <c r="AI12" s="49">
        <f t="shared" ref="AI12:AI75" si="3">MIN(B12:AF12)</f>
        <v>0</v>
      </c>
      <c r="AK12" s="51"/>
      <c r="AL12" s="52" t="str">
        <f ca="1">MID(CELL("filename",C7),FIND("]",CELL("filename",C7))+1,600)</f>
        <v>15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 t="s">
        <v>304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0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15</v>
      </c>
      <c r="C14" s="46" t="s">
        <v>308</v>
      </c>
      <c r="D14" s="46">
        <v>15</v>
      </c>
      <c r="E14" s="46">
        <v>15</v>
      </c>
      <c r="F14" s="46">
        <v>40</v>
      </c>
      <c r="G14" s="46">
        <v>40</v>
      </c>
      <c r="H14" s="46">
        <v>40</v>
      </c>
      <c r="I14" s="46">
        <v>40</v>
      </c>
      <c r="J14" s="46">
        <v>40</v>
      </c>
      <c r="K14" s="46">
        <v>40</v>
      </c>
      <c r="L14" s="46">
        <v>40</v>
      </c>
      <c r="M14" s="46">
        <v>40</v>
      </c>
      <c r="N14" s="46">
        <v>40</v>
      </c>
      <c r="O14" s="46">
        <v>40</v>
      </c>
      <c r="P14" s="46">
        <v>40.5</v>
      </c>
      <c r="Q14" s="46">
        <v>40.5</v>
      </c>
      <c r="R14" s="46">
        <v>40.5</v>
      </c>
      <c r="S14" s="46">
        <v>40</v>
      </c>
      <c r="T14" s="46">
        <v>20</v>
      </c>
      <c r="U14" s="46">
        <v>20</v>
      </c>
      <c r="V14" s="46">
        <v>20</v>
      </c>
      <c r="W14" s="46">
        <v>20</v>
      </c>
      <c r="X14" s="46">
        <v>20</v>
      </c>
      <c r="Y14" s="46">
        <v>20</v>
      </c>
      <c r="Z14" s="46">
        <v>20</v>
      </c>
      <c r="AA14" s="46">
        <v>40</v>
      </c>
      <c r="AB14" s="46">
        <v>40</v>
      </c>
      <c r="AC14" s="46">
        <v>40</v>
      </c>
      <c r="AD14" s="46">
        <v>40</v>
      </c>
      <c r="AE14" s="46">
        <v>20</v>
      </c>
      <c r="AF14" s="46">
        <v>15</v>
      </c>
      <c r="AG14" s="50">
        <v>71</v>
      </c>
      <c r="AH14" s="48">
        <f t="shared" si="2"/>
        <v>40.5</v>
      </c>
      <c r="AI14" s="49">
        <f t="shared" si="3"/>
        <v>15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60.5</v>
      </c>
      <c r="C15" s="46" t="s">
        <v>311</v>
      </c>
      <c r="D15" s="46">
        <v>7</v>
      </c>
      <c r="E15" s="46">
        <v>23</v>
      </c>
      <c r="F15" s="46">
        <v>23</v>
      </c>
      <c r="G15" s="46">
        <v>23</v>
      </c>
      <c r="H15" s="46">
        <v>23</v>
      </c>
      <c r="I15" s="46">
        <v>23</v>
      </c>
      <c r="J15" s="46">
        <v>23</v>
      </c>
      <c r="K15" s="46">
        <v>23</v>
      </c>
      <c r="L15" s="46">
        <v>34.799999999999997</v>
      </c>
      <c r="M15" s="46">
        <v>31.1</v>
      </c>
      <c r="N15" s="46">
        <v>31.1</v>
      </c>
      <c r="O15" s="46">
        <v>31.1</v>
      </c>
      <c r="P15" s="46">
        <v>51</v>
      </c>
      <c r="Q15" s="46">
        <v>51</v>
      </c>
      <c r="R15" s="46">
        <v>51</v>
      </c>
      <c r="S15" s="46">
        <v>51</v>
      </c>
      <c r="T15" s="46">
        <v>26.1</v>
      </c>
      <c r="U15" s="46">
        <v>26.1</v>
      </c>
      <c r="V15" s="46">
        <v>46.5</v>
      </c>
      <c r="W15" s="46">
        <v>46.5</v>
      </c>
      <c r="X15" s="46">
        <v>46.5</v>
      </c>
      <c r="Y15" s="46">
        <v>46.5</v>
      </c>
      <c r="Z15" s="46">
        <v>36</v>
      </c>
      <c r="AA15" s="46">
        <v>36.5</v>
      </c>
      <c r="AB15" s="46">
        <v>36.5</v>
      </c>
      <c r="AC15" s="46">
        <v>36.5</v>
      </c>
      <c r="AD15" s="46">
        <v>36.5</v>
      </c>
      <c r="AE15" s="46">
        <v>49</v>
      </c>
      <c r="AF15" s="46">
        <v>49</v>
      </c>
      <c r="AG15" s="50">
        <v>54</v>
      </c>
      <c r="AH15" s="48">
        <f t="shared" si="2"/>
        <v>60.5</v>
      </c>
      <c r="AI15" s="49">
        <f t="shared" si="3"/>
        <v>7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27.2</v>
      </c>
      <c r="C16" s="46" t="s">
        <v>312</v>
      </c>
      <c r="D16" s="46">
        <v>16.899999999999999</v>
      </c>
      <c r="E16" s="46">
        <v>27</v>
      </c>
      <c r="F16" s="46">
        <v>27</v>
      </c>
      <c r="G16" s="46">
        <v>27</v>
      </c>
      <c r="H16" s="46">
        <v>27</v>
      </c>
      <c r="I16" s="46">
        <v>27</v>
      </c>
      <c r="J16" s="46">
        <v>27</v>
      </c>
      <c r="K16" s="46">
        <v>27</v>
      </c>
      <c r="L16" s="46">
        <v>27.1</v>
      </c>
      <c r="M16" s="46">
        <v>27</v>
      </c>
      <c r="N16" s="46">
        <v>27</v>
      </c>
      <c r="O16" s="46">
        <v>27</v>
      </c>
      <c r="P16" s="46">
        <v>10.8</v>
      </c>
      <c r="Q16" s="46">
        <v>10.8</v>
      </c>
      <c r="R16" s="46">
        <v>10.8</v>
      </c>
      <c r="S16" s="46">
        <v>27</v>
      </c>
      <c r="T16" s="46">
        <v>18</v>
      </c>
      <c r="U16" s="46">
        <v>18</v>
      </c>
      <c r="V16" s="46">
        <v>18.399999999999999</v>
      </c>
      <c r="W16" s="46">
        <v>18.399999999999999</v>
      </c>
      <c r="X16" s="46">
        <v>18.399999999999999</v>
      </c>
      <c r="Y16" s="46">
        <v>18.399999999999999</v>
      </c>
      <c r="Z16" s="46">
        <v>18.399999999999999</v>
      </c>
      <c r="AA16" s="46">
        <v>27.1</v>
      </c>
      <c r="AB16" s="46">
        <v>27.1</v>
      </c>
      <c r="AC16" s="46">
        <v>27.1</v>
      </c>
      <c r="AD16" s="46">
        <v>27.1</v>
      </c>
      <c r="AE16" s="46">
        <v>27.1</v>
      </c>
      <c r="AF16" s="46">
        <v>27.1</v>
      </c>
      <c r="AG16" s="50">
        <v>54</v>
      </c>
      <c r="AH16" s="48">
        <f t="shared" si="2"/>
        <v>27.2</v>
      </c>
      <c r="AI16" s="49">
        <f t="shared" si="3"/>
        <v>10.8</v>
      </c>
      <c r="AK16" s="51"/>
      <c r="AL16" s="54" t="s">
        <v>7</v>
      </c>
      <c r="AM16" s="59">
        <f t="shared" ref="AM16:AR16" si="4">B61</f>
        <v>1111.1000000000001</v>
      </c>
      <c r="AN16" s="59">
        <f t="shared" si="4"/>
        <v>162.5</v>
      </c>
      <c r="AO16" s="59">
        <f t="shared" si="4"/>
        <v>899.50000000000011</v>
      </c>
      <c r="AP16" s="59">
        <f t="shared" si="4"/>
        <v>897.20000000000016</v>
      </c>
      <c r="AQ16" s="59">
        <f t="shared" si="4"/>
        <v>910.6</v>
      </c>
      <c r="AR16" s="59">
        <f t="shared" si="4"/>
        <v>896.3</v>
      </c>
      <c r="AS16" s="59">
        <f>I61</f>
        <v>923.1</v>
      </c>
      <c r="AT16" s="59">
        <f>K61</f>
        <v>865.5</v>
      </c>
      <c r="AU16" s="59">
        <f t="shared" ref="AU16:BD16" si="5">M61</f>
        <v>961.90000000000009</v>
      </c>
      <c r="AV16" s="59">
        <f t="shared" si="5"/>
        <v>961.90000000000009</v>
      </c>
      <c r="AW16" s="59">
        <f t="shared" si="5"/>
        <v>984.90000000000009</v>
      </c>
      <c r="AX16" s="59">
        <f t="shared" si="5"/>
        <v>985.9</v>
      </c>
      <c r="AY16" s="59">
        <f t="shared" si="5"/>
        <v>985.9</v>
      </c>
      <c r="AZ16" s="59">
        <f t="shared" si="5"/>
        <v>985.9</v>
      </c>
      <c r="BA16" s="59">
        <f t="shared" si="5"/>
        <v>1056.7000000000003</v>
      </c>
      <c r="BB16" s="59">
        <f t="shared" si="5"/>
        <v>1009.9700000000001</v>
      </c>
      <c r="BC16" s="59">
        <f t="shared" si="5"/>
        <v>914.97000000000014</v>
      </c>
      <c r="BD16" s="59">
        <f t="shared" si="5"/>
        <v>922.10000000000014</v>
      </c>
      <c r="BE16" s="60">
        <f>X61</f>
        <v>914.2</v>
      </c>
      <c r="BF16" s="60">
        <f>Z61</f>
        <v>989.2</v>
      </c>
      <c r="BG16" s="60">
        <f>AB61</f>
        <v>1164.6000000000001</v>
      </c>
      <c r="BH16" s="60">
        <f>AD61</f>
        <v>1156.6000000000001</v>
      </c>
      <c r="BI16" s="60">
        <f>AE61</f>
        <v>1139.3000000000002</v>
      </c>
      <c r="BJ16" s="60">
        <f>AF61</f>
        <v>1134.3000000000002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55.8</v>
      </c>
      <c r="C17" s="46" t="s">
        <v>328</v>
      </c>
      <c r="D17" s="46">
        <v>56.2</v>
      </c>
      <c r="E17" s="46">
        <v>56.2</v>
      </c>
      <c r="F17" s="46">
        <v>56.2</v>
      </c>
      <c r="G17" s="46">
        <v>56.2</v>
      </c>
      <c r="H17" s="46">
        <v>56.2</v>
      </c>
      <c r="I17" s="46">
        <v>56.2</v>
      </c>
      <c r="J17" s="46">
        <v>56.2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55.9</v>
      </c>
      <c r="Q17" s="46">
        <v>55.9</v>
      </c>
      <c r="R17" s="46">
        <v>55.9</v>
      </c>
      <c r="S17" s="46">
        <v>55</v>
      </c>
      <c r="T17" s="46">
        <v>55</v>
      </c>
      <c r="U17" s="46">
        <v>55</v>
      </c>
      <c r="V17" s="46">
        <v>55.6</v>
      </c>
      <c r="W17" s="46">
        <v>55.6</v>
      </c>
      <c r="X17" s="46">
        <v>55.6</v>
      </c>
      <c r="Y17" s="46">
        <v>55.6</v>
      </c>
      <c r="Z17" s="46">
        <v>55.6</v>
      </c>
      <c r="AA17" s="46">
        <v>55.6</v>
      </c>
      <c r="AB17" s="46">
        <v>55.6</v>
      </c>
      <c r="AC17" s="46">
        <v>55.6</v>
      </c>
      <c r="AD17" s="46">
        <v>55.6</v>
      </c>
      <c r="AE17" s="46">
        <v>56</v>
      </c>
      <c r="AF17" s="46">
        <v>56</v>
      </c>
      <c r="AG17" s="47">
        <v>52.4</v>
      </c>
      <c r="AH17" s="48">
        <f t="shared" si="2"/>
        <v>56.2</v>
      </c>
      <c r="AI17" s="49">
        <f t="shared" si="3"/>
        <v>0</v>
      </c>
      <c r="AK17" s="51"/>
      <c r="AL17" s="54" t="s">
        <v>27</v>
      </c>
      <c r="AM17" s="59">
        <f t="shared" ref="AM17:AR17" si="6">B65</f>
        <v>541.70000000000005</v>
      </c>
      <c r="AN17" s="59">
        <f t="shared" si="6"/>
        <v>0</v>
      </c>
      <c r="AO17" s="59">
        <f t="shared" si="6"/>
        <v>541.70000000000005</v>
      </c>
      <c r="AP17" s="59">
        <f t="shared" si="6"/>
        <v>541.70000000000005</v>
      </c>
      <c r="AQ17" s="59">
        <f t="shared" si="6"/>
        <v>541.70000000000005</v>
      </c>
      <c r="AR17" s="59">
        <f t="shared" si="6"/>
        <v>541.70000000000005</v>
      </c>
      <c r="AS17" s="59">
        <f>I65</f>
        <v>541.70000000000005</v>
      </c>
      <c r="AT17" s="59">
        <f>K65</f>
        <v>541.70000000000005</v>
      </c>
      <c r="AU17" s="59">
        <f t="shared" ref="AU17:BD17" si="7">M65</f>
        <v>541.70000000000005</v>
      </c>
      <c r="AV17" s="59">
        <f t="shared" si="7"/>
        <v>541.70000000000005</v>
      </c>
      <c r="AW17" s="59">
        <f t="shared" si="7"/>
        <v>541.70000000000005</v>
      </c>
      <c r="AX17" s="59">
        <f t="shared" si="7"/>
        <v>541.70000000000005</v>
      </c>
      <c r="AY17" s="59">
        <f t="shared" si="7"/>
        <v>542.5</v>
      </c>
      <c r="AZ17" s="59">
        <f t="shared" si="7"/>
        <v>542.5</v>
      </c>
      <c r="BA17" s="59">
        <f t="shared" si="7"/>
        <v>541.70000000000005</v>
      </c>
      <c r="BB17" s="59">
        <f t="shared" si="7"/>
        <v>541.70000000000005</v>
      </c>
      <c r="BC17" s="59">
        <f t="shared" si="7"/>
        <v>541.70000000000005</v>
      </c>
      <c r="BD17" s="59">
        <f t="shared" si="7"/>
        <v>541.70000000000005</v>
      </c>
      <c r="BE17" s="60">
        <f>X65</f>
        <v>541.70000000000005</v>
      </c>
      <c r="BF17" s="60">
        <f>Z65</f>
        <v>541.70000000000005</v>
      </c>
      <c r="BG17" s="60">
        <f>AB65</f>
        <v>541.70000000000005</v>
      </c>
      <c r="BH17" s="60">
        <f>AD65</f>
        <v>541.70000000000005</v>
      </c>
      <c r="BI17" s="60">
        <f>AE65</f>
        <v>541.70000000000005</v>
      </c>
      <c r="BJ17" s="60">
        <f>AF65</f>
        <v>541.70000000000005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/>
      <c r="D18" s="46">
        <v>50.3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50.4</v>
      </c>
      <c r="Q18" s="46">
        <v>50.4</v>
      </c>
      <c r="R18" s="46">
        <v>50.4</v>
      </c>
      <c r="S18" s="46">
        <v>50.6</v>
      </c>
      <c r="T18" s="46">
        <v>50.6</v>
      </c>
      <c r="U18" s="46">
        <v>50.6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46">
        <v>50.5</v>
      </c>
      <c r="AB18" s="46">
        <v>50.5</v>
      </c>
      <c r="AC18" s="46">
        <v>50.5</v>
      </c>
      <c r="AD18" s="46">
        <v>50.5</v>
      </c>
      <c r="AE18" s="46">
        <v>50.5</v>
      </c>
      <c r="AF18" s="46">
        <v>50.5</v>
      </c>
      <c r="AG18" s="50">
        <v>50</v>
      </c>
      <c r="AH18" s="48">
        <f t="shared" si="2"/>
        <v>50.6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411.24</v>
      </c>
      <c r="AN18" s="59">
        <f t="shared" si="8"/>
        <v>3.54</v>
      </c>
      <c r="AO18" s="59">
        <f t="shared" si="8"/>
        <v>404.34</v>
      </c>
      <c r="AP18" s="59">
        <f t="shared" si="8"/>
        <v>259.44</v>
      </c>
      <c r="AQ18" s="59">
        <f t="shared" si="8"/>
        <v>305.64000000000004</v>
      </c>
      <c r="AR18" s="59">
        <f t="shared" si="8"/>
        <v>354.64000000000004</v>
      </c>
      <c r="AS18" s="59">
        <f>I79</f>
        <v>338.64000000000004</v>
      </c>
      <c r="AT18" s="59">
        <f>K79</f>
        <v>240.14</v>
      </c>
      <c r="AU18" s="59">
        <f t="shared" ref="AU18:BD18" si="9">M79</f>
        <v>317.44000000000005</v>
      </c>
      <c r="AV18" s="59">
        <f t="shared" si="9"/>
        <v>317.44000000000005</v>
      </c>
      <c r="AW18" s="59">
        <f t="shared" si="9"/>
        <v>317.44000000000005</v>
      </c>
      <c r="AX18" s="59">
        <f t="shared" si="9"/>
        <v>312.44000000000005</v>
      </c>
      <c r="AY18" s="59">
        <f t="shared" si="9"/>
        <v>337.44000000000005</v>
      </c>
      <c r="AZ18" s="59">
        <f t="shared" si="9"/>
        <v>337.44000000000005</v>
      </c>
      <c r="BA18" s="59">
        <f t="shared" si="9"/>
        <v>324.74000000000007</v>
      </c>
      <c r="BB18" s="59">
        <f t="shared" si="9"/>
        <v>341.84000000000003</v>
      </c>
      <c r="BC18" s="59">
        <f t="shared" si="9"/>
        <v>412.14000000000004</v>
      </c>
      <c r="BD18" s="59">
        <f t="shared" si="9"/>
        <v>411.14000000000004</v>
      </c>
      <c r="BE18" s="60">
        <f>X79</f>
        <v>409.14000000000004</v>
      </c>
      <c r="BF18" s="60">
        <f>Z79</f>
        <v>390.64000000000004</v>
      </c>
      <c r="BG18" s="60">
        <f>AB79</f>
        <v>415.74000000000007</v>
      </c>
      <c r="BH18" s="60">
        <f>AD79</f>
        <v>399.74000000000007</v>
      </c>
      <c r="BI18" s="60">
        <f>AE79</f>
        <v>399.74000000000007</v>
      </c>
      <c r="BJ18" s="60">
        <f>AF79</f>
        <v>399.74000000000007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/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14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10</v>
      </c>
      <c r="AU19" s="59">
        <f t="shared" ref="AU19:BD19" si="11">M95</f>
        <v>3.8</v>
      </c>
      <c r="AV19" s="59">
        <f t="shared" si="11"/>
        <v>14</v>
      </c>
      <c r="AW19" s="59">
        <f t="shared" si="11"/>
        <v>10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/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/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150</v>
      </c>
      <c r="AQ21" s="59">
        <f t="shared" si="14"/>
        <v>150</v>
      </c>
      <c r="AR21" s="59">
        <f t="shared" si="14"/>
        <v>0</v>
      </c>
      <c r="AS21" s="59">
        <f>I101</f>
        <v>0</v>
      </c>
      <c r="AT21" s="59">
        <f>K101</f>
        <v>100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39.799999999999997</v>
      </c>
      <c r="C22" s="46" t="s">
        <v>307</v>
      </c>
      <c r="D22" s="46">
        <v>39.5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39.799999999999997</v>
      </c>
      <c r="N22" s="46">
        <v>39.799999999999997</v>
      </c>
      <c r="O22" s="46">
        <v>39.799999999999997</v>
      </c>
      <c r="P22" s="46">
        <v>39.799999999999997</v>
      </c>
      <c r="Q22" s="46">
        <v>39.799999999999997</v>
      </c>
      <c r="R22" s="46">
        <v>39.799999999999997</v>
      </c>
      <c r="S22" s="46">
        <v>39.799999999999997</v>
      </c>
      <c r="T22" s="46">
        <v>39.799999999999997</v>
      </c>
      <c r="U22" s="46">
        <v>39.799999999999997</v>
      </c>
      <c r="V22" s="46">
        <v>39.799999999999997</v>
      </c>
      <c r="W22" s="46">
        <v>39.799999999999997</v>
      </c>
      <c r="X22" s="46">
        <v>39.799999999999997</v>
      </c>
      <c r="Y22" s="46">
        <v>30</v>
      </c>
      <c r="Z22" s="46">
        <v>30</v>
      </c>
      <c r="AA22" s="46">
        <v>40</v>
      </c>
      <c r="AB22" s="46">
        <v>40</v>
      </c>
      <c r="AC22" s="46">
        <v>40</v>
      </c>
      <c r="AD22" s="46">
        <v>40</v>
      </c>
      <c r="AE22" s="46">
        <v>40</v>
      </c>
      <c r="AF22" s="46">
        <v>40</v>
      </c>
      <c r="AG22" s="50">
        <v>38.46</v>
      </c>
      <c r="AH22" s="48">
        <f t="shared" si="2"/>
        <v>40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2064.04</v>
      </c>
      <c r="AN22" s="63">
        <f t="shared" si="16"/>
        <v>166.04</v>
      </c>
      <c r="AO22" s="63">
        <f t="shared" si="16"/>
        <v>1845.5400000000002</v>
      </c>
      <c r="AP22" s="63">
        <f t="shared" si="16"/>
        <v>1862.3400000000001</v>
      </c>
      <c r="AQ22" s="63">
        <f t="shared" si="16"/>
        <v>1907.9400000000003</v>
      </c>
      <c r="AR22" s="63">
        <f t="shared" si="16"/>
        <v>1792.64</v>
      </c>
      <c r="AS22" s="63">
        <f t="shared" si="16"/>
        <v>1803.4400000000003</v>
      </c>
      <c r="AT22" s="63">
        <f t="shared" si="16"/>
        <v>1757.3400000000001</v>
      </c>
      <c r="AU22" s="63">
        <f t="shared" si="16"/>
        <v>1824.8400000000001</v>
      </c>
      <c r="AV22" s="63">
        <f t="shared" si="16"/>
        <v>1835.0400000000002</v>
      </c>
      <c r="AW22" s="63">
        <f t="shared" si="16"/>
        <v>1854.0400000000002</v>
      </c>
      <c r="AX22" s="63">
        <f t="shared" si="16"/>
        <v>1840.04</v>
      </c>
      <c r="AY22" s="63">
        <f t="shared" si="16"/>
        <v>1865.8400000000001</v>
      </c>
      <c r="AZ22" s="63">
        <f t="shared" si="16"/>
        <v>1865.8400000000001</v>
      </c>
      <c r="BA22" s="63">
        <f t="shared" si="16"/>
        <v>1923.1400000000003</v>
      </c>
      <c r="BB22" s="63">
        <f t="shared" si="16"/>
        <v>1893.5100000000002</v>
      </c>
      <c r="BC22" s="63">
        <f t="shared" si="16"/>
        <v>1868.8100000000002</v>
      </c>
      <c r="BD22" s="63">
        <f t="shared" si="16"/>
        <v>1874.9400000000003</v>
      </c>
      <c r="BE22" s="63">
        <f t="shared" si="16"/>
        <v>1865.0400000000002</v>
      </c>
      <c r="BF22" s="63">
        <f t="shared" si="16"/>
        <v>1921.5400000000002</v>
      </c>
      <c r="BG22" s="63">
        <f t="shared" si="16"/>
        <v>2122.0400000000004</v>
      </c>
      <c r="BH22" s="63">
        <f t="shared" si="16"/>
        <v>2098.0400000000004</v>
      </c>
      <c r="BI22" s="63">
        <f t="shared" si="16"/>
        <v>2080.7400000000002</v>
      </c>
      <c r="BJ22" s="63">
        <f t="shared" si="16"/>
        <v>2075.7400000000002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 t="s">
        <v>313</v>
      </c>
      <c r="D23" s="46">
        <v>38</v>
      </c>
      <c r="E23" s="46">
        <v>38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38</v>
      </c>
      <c r="O23" s="46">
        <v>38</v>
      </c>
      <c r="P23" s="46">
        <v>38</v>
      </c>
      <c r="Q23" s="46">
        <v>38</v>
      </c>
      <c r="R23" s="46">
        <v>38</v>
      </c>
      <c r="S23" s="46">
        <v>38</v>
      </c>
      <c r="T23" s="46">
        <v>38</v>
      </c>
      <c r="U23" s="46">
        <v>38</v>
      </c>
      <c r="V23" s="46">
        <v>30</v>
      </c>
      <c r="W23" s="46">
        <v>30</v>
      </c>
      <c r="X23" s="46">
        <v>30</v>
      </c>
      <c r="Y23" s="46">
        <v>30</v>
      </c>
      <c r="Z23" s="46">
        <v>30</v>
      </c>
      <c r="AA23" s="46">
        <v>38</v>
      </c>
      <c r="AB23" s="46">
        <v>38</v>
      </c>
      <c r="AC23" s="46">
        <v>38</v>
      </c>
      <c r="AD23" s="46">
        <v>38</v>
      </c>
      <c r="AE23" s="46">
        <v>38</v>
      </c>
      <c r="AF23" s="46">
        <v>38</v>
      </c>
      <c r="AG23" s="50">
        <v>38.46</v>
      </c>
      <c r="AH23" s="48">
        <f t="shared" si="2"/>
        <v>38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-543</v>
      </c>
      <c r="AN23" s="63">
        <f t="shared" si="17"/>
        <v>0</v>
      </c>
      <c r="AO23" s="63">
        <f t="shared" si="17"/>
        <v>-564.29999999999995</v>
      </c>
      <c r="AP23" s="63">
        <f t="shared" si="17"/>
        <v>-495</v>
      </c>
      <c r="AQ23" s="63">
        <f t="shared" si="17"/>
        <v>-558</v>
      </c>
      <c r="AR23" s="63">
        <f t="shared" si="17"/>
        <v>-622</v>
      </c>
      <c r="AS23" s="63">
        <f>I110*-1</f>
        <v>-568</v>
      </c>
      <c r="AT23" s="63">
        <f>K110*-1</f>
        <v>-480</v>
      </c>
      <c r="AU23" s="63">
        <f t="shared" ref="AU23:BD23" si="18">M110*-1</f>
        <v>-513</v>
      </c>
      <c r="AV23" s="63">
        <f t="shared" si="18"/>
        <v>-464</v>
      </c>
      <c r="AW23" s="63">
        <f t="shared" si="18"/>
        <v>-465</v>
      </c>
      <c r="AX23" s="63">
        <f t="shared" si="18"/>
        <v>-489</v>
      </c>
      <c r="AY23" s="63">
        <f t="shared" si="18"/>
        <v>-533</v>
      </c>
      <c r="AZ23" s="63">
        <f t="shared" si="18"/>
        <v>-487</v>
      </c>
      <c r="BA23" s="63">
        <f t="shared" si="18"/>
        <v>-532</v>
      </c>
      <c r="BB23" s="63">
        <f t="shared" si="18"/>
        <v>-510.3</v>
      </c>
      <c r="BC23" s="63">
        <f t="shared" si="18"/>
        <v>-521</v>
      </c>
      <c r="BD23" s="63">
        <f t="shared" si="18"/>
        <v>-520.5</v>
      </c>
      <c r="BE23" s="63">
        <f>X110*-1</f>
        <v>-536</v>
      </c>
      <c r="BF23" s="63">
        <f>Z110*-1</f>
        <v>-509.59999999999997</v>
      </c>
      <c r="BG23" s="63">
        <f>AB110*-1</f>
        <v>-518.9</v>
      </c>
      <c r="BH23" s="63">
        <f>AD110*-1</f>
        <v>-491.6</v>
      </c>
      <c r="BI23" s="63">
        <f>AE110*-1</f>
        <v>-545</v>
      </c>
      <c r="BJ23" s="63">
        <f>AF110*-1</f>
        <v>-597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 t="s">
        <v>304</v>
      </c>
      <c r="D24" s="46">
        <v>36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23</v>
      </c>
      <c r="P24" s="46">
        <v>23</v>
      </c>
      <c r="Q24" s="46">
        <v>23</v>
      </c>
      <c r="R24" s="46">
        <v>23</v>
      </c>
      <c r="S24" s="46">
        <v>6.4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1521.04</v>
      </c>
      <c r="AN24" s="63">
        <f t="shared" si="19"/>
        <v>166.04</v>
      </c>
      <c r="AO24" s="63">
        <f t="shared" si="19"/>
        <v>1281.2400000000002</v>
      </c>
      <c r="AP24" s="63">
        <f t="shared" si="19"/>
        <v>1367.3400000000001</v>
      </c>
      <c r="AQ24" s="63">
        <f t="shared" si="19"/>
        <v>1349.9400000000003</v>
      </c>
      <c r="AR24" s="63">
        <f t="shared" si="19"/>
        <v>1170.6400000000001</v>
      </c>
      <c r="AS24" s="63">
        <f t="shared" si="19"/>
        <v>1235.4400000000003</v>
      </c>
      <c r="AT24" s="63">
        <f t="shared" si="19"/>
        <v>1277.3400000000001</v>
      </c>
      <c r="AU24" s="63">
        <f t="shared" si="19"/>
        <v>1311.8400000000001</v>
      </c>
      <c r="AV24" s="63">
        <f t="shared" si="19"/>
        <v>1371.0400000000002</v>
      </c>
      <c r="AW24" s="63">
        <f t="shared" si="19"/>
        <v>1389.0400000000002</v>
      </c>
      <c r="AX24" s="63">
        <f t="shared" si="19"/>
        <v>1351.04</v>
      </c>
      <c r="AY24" s="63">
        <f t="shared" si="19"/>
        <v>1332.8400000000001</v>
      </c>
      <c r="AZ24" s="63">
        <f t="shared" si="19"/>
        <v>1378.8400000000001</v>
      </c>
      <c r="BA24" s="63">
        <f t="shared" si="19"/>
        <v>1391.1400000000003</v>
      </c>
      <c r="BB24" s="63">
        <f t="shared" si="19"/>
        <v>1383.2100000000003</v>
      </c>
      <c r="BC24" s="63">
        <f t="shared" si="19"/>
        <v>1347.8100000000002</v>
      </c>
      <c r="BD24" s="63">
        <f t="shared" si="19"/>
        <v>1354.4400000000003</v>
      </c>
      <c r="BE24" s="63">
        <f t="shared" si="19"/>
        <v>1329.0400000000002</v>
      </c>
      <c r="BF24" s="63">
        <f t="shared" si="19"/>
        <v>1411.9400000000003</v>
      </c>
      <c r="BG24" s="63">
        <f t="shared" si="19"/>
        <v>1603.1400000000003</v>
      </c>
      <c r="BH24" s="63">
        <f t="shared" si="19"/>
        <v>1606.4400000000005</v>
      </c>
      <c r="BI24" s="63">
        <f t="shared" si="19"/>
        <v>1535.7400000000002</v>
      </c>
      <c r="BJ24" s="63">
        <f t="shared" si="19"/>
        <v>1478.7400000000002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25</v>
      </c>
      <c r="C25" s="46" t="s">
        <v>308</v>
      </c>
      <c r="D25" s="46">
        <v>10.9</v>
      </c>
      <c r="E25" s="46">
        <v>30</v>
      </c>
      <c r="F25" s="46">
        <v>24</v>
      </c>
      <c r="G25" s="46">
        <v>24</v>
      </c>
      <c r="H25" s="46">
        <v>24</v>
      </c>
      <c r="I25" s="46">
        <v>27</v>
      </c>
      <c r="J25" s="46">
        <v>30</v>
      </c>
      <c r="K25" s="46">
        <v>30</v>
      </c>
      <c r="L25" s="46">
        <v>30</v>
      </c>
      <c r="M25" s="46">
        <v>30.1</v>
      </c>
      <c r="N25" s="46">
        <v>30.1</v>
      </c>
      <c r="O25" s="46">
        <v>30.1</v>
      </c>
      <c r="P25" s="46">
        <v>15</v>
      </c>
      <c r="Q25" s="46">
        <v>15</v>
      </c>
      <c r="R25" s="46">
        <v>15</v>
      </c>
      <c r="S25" s="46">
        <v>15</v>
      </c>
      <c r="T25" s="46">
        <v>10</v>
      </c>
      <c r="U25" s="46">
        <v>10</v>
      </c>
      <c r="V25" s="46">
        <v>10</v>
      </c>
      <c r="W25" s="46">
        <v>10</v>
      </c>
      <c r="X25" s="46">
        <v>10</v>
      </c>
      <c r="Y25" s="46">
        <v>10</v>
      </c>
      <c r="Z25" s="46">
        <v>10</v>
      </c>
      <c r="AA25" s="46">
        <v>30</v>
      </c>
      <c r="AB25" s="46">
        <v>30</v>
      </c>
      <c r="AC25" s="46">
        <v>30</v>
      </c>
      <c r="AD25" s="46">
        <v>30</v>
      </c>
      <c r="AE25" s="46">
        <v>30</v>
      </c>
      <c r="AF25" s="46">
        <v>30</v>
      </c>
      <c r="AG25" s="61">
        <v>30</v>
      </c>
      <c r="AH25" s="48">
        <f t="shared" si="2"/>
        <v>30.1</v>
      </c>
      <c r="AI25" s="49">
        <f t="shared" si="3"/>
        <v>10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 t="s">
        <v>306</v>
      </c>
      <c r="D26" s="46">
        <v>25</v>
      </c>
      <c r="E26" s="46">
        <v>25</v>
      </c>
      <c r="F26" s="46">
        <v>25</v>
      </c>
      <c r="G26" s="46">
        <v>15</v>
      </c>
      <c r="H26" s="46">
        <v>15</v>
      </c>
      <c r="I26" s="46">
        <v>15</v>
      </c>
      <c r="J26" s="46">
        <v>15</v>
      </c>
      <c r="K26" s="46">
        <v>15</v>
      </c>
      <c r="L26" s="46">
        <v>15</v>
      </c>
      <c r="M26" s="46">
        <v>15.6</v>
      </c>
      <c r="N26" s="46">
        <v>15.6</v>
      </c>
      <c r="O26" s="46">
        <v>15.6</v>
      </c>
      <c r="P26" s="46">
        <v>19.8</v>
      </c>
      <c r="Q26" s="46">
        <v>19.8</v>
      </c>
      <c r="R26" s="46">
        <v>19.8</v>
      </c>
      <c r="S26" s="46">
        <v>33</v>
      </c>
      <c r="T26" s="46">
        <v>27.8</v>
      </c>
      <c r="U26" s="46">
        <v>27.8</v>
      </c>
      <c r="V26" s="46">
        <v>27</v>
      </c>
      <c r="W26" s="46">
        <v>27</v>
      </c>
      <c r="X26" s="46">
        <v>27</v>
      </c>
      <c r="Y26" s="46">
        <v>27</v>
      </c>
      <c r="Z26" s="46">
        <v>27</v>
      </c>
      <c r="AA26" s="46">
        <v>27</v>
      </c>
      <c r="AB26" s="46">
        <v>27</v>
      </c>
      <c r="AC26" s="46">
        <v>27</v>
      </c>
      <c r="AD26" s="46">
        <v>27</v>
      </c>
      <c r="AE26" s="46">
        <v>27</v>
      </c>
      <c r="AF26" s="46">
        <v>27</v>
      </c>
      <c r="AG26" s="50">
        <v>24.2</v>
      </c>
      <c r="AH26" s="48">
        <f t="shared" si="2"/>
        <v>33</v>
      </c>
      <c r="AI26" s="49">
        <f t="shared" si="3"/>
        <v>15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28.7</v>
      </c>
      <c r="C27" s="46" t="s">
        <v>312</v>
      </c>
      <c r="D27" s="46">
        <v>28.8</v>
      </c>
      <c r="E27" s="46">
        <v>28</v>
      </c>
      <c r="F27" s="46">
        <v>28</v>
      </c>
      <c r="G27" s="46">
        <v>28</v>
      </c>
      <c r="H27" s="46">
        <v>28</v>
      </c>
      <c r="I27" s="46">
        <v>28</v>
      </c>
      <c r="J27" s="46">
        <v>28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28.8</v>
      </c>
      <c r="Q27" s="46">
        <v>28.8</v>
      </c>
      <c r="R27" s="46">
        <v>28.8</v>
      </c>
      <c r="S27" s="46">
        <v>28.6</v>
      </c>
      <c r="T27" s="46">
        <v>28.6</v>
      </c>
      <c r="U27" s="46">
        <v>28.6</v>
      </c>
      <c r="V27" s="46">
        <v>28.6</v>
      </c>
      <c r="W27" s="46">
        <v>28.6</v>
      </c>
      <c r="X27" s="46">
        <v>28.6</v>
      </c>
      <c r="Y27" s="46">
        <v>28.6</v>
      </c>
      <c r="Z27" s="46">
        <v>28.6</v>
      </c>
      <c r="AA27" s="46">
        <v>28.6</v>
      </c>
      <c r="AB27" s="46">
        <v>28.6</v>
      </c>
      <c r="AC27" s="46">
        <v>28.6</v>
      </c>
      <c r="AD27" s="46">
        <v>28.6</v>
      </c>
      <c r="AE27" s="46">
        <v>28.6</v>
      </c>
      <c r="AF27" s="46">
        <v>28.6</v>
      </c>
      <c r="AG27" s="50">
        <v>28</v>
      </c>
      <c r="AH27" s="48">
        <f t="shared" si="2"/>
        <v>28.8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22.4</v>
      </c>
      <c r="C28" s="46" t="s">
        <v>309</v>
      </c>
      <c r="D28" s="46">
        <v>8.6999999999999993</v>
      </c>
      <c r="E28" s="46">
        <v>16.600000000000001</v>
      </c>
      <c r="F28" s="46">
        <v>23</v>
      </c>
      <c r="G28" s="46">
        <v>23</v>
      </c>
      <c r="H28" s="46">
        <v>23</v>
      </c>
      <c r="I28" s="46">
        <v>23</v>
      </c>
      <c r="J28" s="46">
        <v>23</v>
      </c>
      <c r="K28" s="46">
        <v>23</v>
      </c>
      <c r="L28" s="46">
        <v>23</v>
      </c>
      <c r="M28" s="46">
        <v>28.6</v>
      </c>
      <c r="N28" s="46">
        <v>28.6</v>
      </c>
      <c r="O28" s="46">
        <v>28.6</v>
      </c>
      <c r="P28" s="46">
        <v>10.8</v>
      </c>
      <c r="Q28" s="46">
        <v>10.8</v>
      </c>
      <c r="R28" s="46">
        <v>10.8</v>
      </c>
      <c r="S28" s="46">
        <v>14.7</v>
      </c>
      <c r="T28" s="46">
        <v>9</v>
      </c>
      <c r="U28" s="46">
        <v>9</v>
      </c>
      <c r="V28" s="46">
        <v>9.6999999999999993</v>
      </c>
      <c r="W28" s="46">
        <v>9.6999999999999993</v>
      </c>
      <c r="X28" s="46">
        <v>9.6999999999999993</v>
      </c>
      <c r="Y28" s="46">
        <v>9.6999999999999993</v>
      </c>
      <c r="Z28" s="46">
        <v>9.6999999999999993</v>
      </c>
      <c r="AA28" s="46">
        <v>18.5</v>
      </c>
      <c r="AB28" s="46">
        <v>25</v>
      </c>
      <c r="AC28" s="46">
        <v>22.4</v>
      </c>
      <c r="AD28" s="46">
        <v>22.4</v>
      </c>
      <c r="AE28" s="46">
        <v>22.4</v>
      </c>
      <c r="AF28" s="46">
        <v>22.4</v>
      </c>
      <c r="AG28" s="61">
        <v>30</v>
      </c>
      <c r="AH28" s="48">
        <f t="shared" si="2"/>
        <v>28.6</v>
      </c>
      <c r="AI28" s="49">
        <f t="shared" si="3"/>
        <v>8.6999999999999993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 t="s">
        <v>311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25.8</v>
      </c>
      <c r="N29" s="46">
        <v>25.8</v>
      </c>
      <c r="O29" s="46">
        <v>25.8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2"/>
        <v>25.8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 t="s">
        <v>307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0</v>
      </c>
      <c r="C31" s="46"/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22</v>
      </c>
      <c r="N31" s="46">
        <v>22</v>
      </c>
      <c r="O31" s="46">
        <v>22</v>
      </c>
      <c r="P31" s="46">
        <v>22</v>
      </c>
      <c r="Q31" s="46">
        <v>22</v>
      </c>
      <c r="R31" s="46">
        <v>22</v>
      </c>
      <c r="S31" s="46">
        <v>22</v>
      </c>
      <c r="T31" s="46">
        <v>22</v>
      </c>
      <c r="U31" s="46">
        <v>22</v>
      </c>
      <c r="V31" s="46">
        <v>22</v>
      </c>
      <c r="W31" s="46">
        <v>22</v>
      </c>
      <c r="X31" s="46">
        <v>22</v>
      </c>
      <c r="Y31" s="46">
        <v>22</v>
      </c>
      <c r="Z31" s="46">
        <v>22</v>
      </c>
      <c r="AA31" s="46">
        <v>22</v>
      </c>
      <c r="AB31" s="46">
        <v>22</v>
      </c>
      <c r="AC31" s="46">
        <v>22</v>
      </c>
      <c r="AD31" s="46">
        <v>22</v>
      </c>
      <c r="AE31" s="46">
        <v>22</v>
      </c>
      <c r="AF31" s="46">
        <v>22</v>
      </c>
      <c r="AG31" s="50">
        <v>25</v>
      </c>
      <c r="AH31" s="48">
        <f t="shared" si="2"/>
        <v>22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19.2</v>
      </c>
      <c r="C32" s="46"/>
      <c r="D32" s="46">
        <v>8</v>
      </c>
      <c r="E32" s="46">
        <v>25.5</v>
      </c>
      <c r="F32" s="46">
        <f>0.8*25</f>
        <v>20</v>
      </c>
      <c r="G32" s="46">
        <f>0.8*25</f>
        <v>20</v>
      </c>
      <c r="H32" s="46">
        <f>0.8*25</f>
        <v>20</v>
      </c>
      <c r="I32" s="46">
        <f>0.8*25</f>
        <v>20</v>
      </c>
      <c r="J32" s="46">
        <v>25</v>
      </c>
      <c r="K32" s="46">
        <v>25</v>
      </c>
      <c r="L32" s="46">
        <v>25</v>
      </c>
      <c r="M32" s="46">
        <v>25</v>
      </c>
      <c r="N32" s="46">
        <v>25</v>
      </c>
      <c r="O32" s="46">
        <v>25</v>
      </c>
      <c r="P32" s="46">
        <v>10.4</v>
      </c>
      <c r="Q32" s="46">
        <v>10.4</v>
      </c>
      <c r="R32" s="46">
        <v>10.4</v>
      </c>
      <c r="S32" s="46">
        <v>20.399999999999999</v>
      </c>
      <c r="T32" s="46">
        <v>8</v>
      </c>
      <c r="U32" s="46">
        <v>8</v>
      </c>
      <c r="V32" s="46">
        <v>8.5</v>
      </c>
      <c r="W32" s="46">
        <v>8.5</v>
      </c>
      <c r="X32" s="46">
        <v>8.5</v>
      </c>
      <c r="Y32" s="46">
        <v>8.5</v>
      </c>
      <c r="Z32" s="46">
        <v>8.5</v>
      </c>
      <c r="AA32" s="46">
        <v>21.8</v>
      </c>
      <c r="AB32" s="46">
        <v>25</v>
      </c>
      <c r="AC32" s="46">
        <v>20.6</v>
      </c>
      <c r="AD32" s="46">
        <v>20.6</v>
      </c>
      <c r="AE32" s="46">
        <v>20.6</v>
      </c>
      <c r="AF32" s="46">
        <v>20.6</v>
      </c>
      <c r="AG32" s="50">
        <v>25</v>
      </c>
      <c r="AH32" s="48">
        <f t="shared" si="2"/>
        <v>25.5</v>
      </c>
      <c r="AI32" s="49">
        <f t="shared" si="3"/>
        <v>8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25.5</v>
      </c>
      <c r="C33" s="46"/>
      <c r="D33" s="46">
        <v>25.1</v>
      </c>
      <c r="E33" s="46">
        <v>25.1</v>
      </c>
      <c r="F33" s="46">
        <v>25.1</v>
      </c>
      <c r="G33" s="46">
        <v>25.1</v>
      </c>
      <c r="H33" s="46">
        <v>25.1</v>
      </c>
      <c r="I33" s="46">
        <v>25.1</v>
      </c>
      <c r="J33" s="46">
        <v>25.1</v>
      </c>
      <c r="K33" s="46">
        <v>25.1</v>
      </c>
      <c r="L33" s="46">
        <v>25.1</v>
      </c>
      <c r="M33" s="46">
        <v>24.5</v>
      </c>
      <c r="N33" s="46">
        <v>24.5</v>
      </c>
      <c r="O33" s="46">
        <v>24.5</v>
      </c>
      <c r="P33" s="46">
        <v>17.5</v>
      </c>
      <c r="Q33" s="46">
        <v>17.5</v>
      </c>
      <c r="R33" s="46">
        <v>17.5</v>
      </c>
      <c r="S33" s="46">
        <v>17.5</v>
      </c>
      <c r="T33" s="46">
        <v>24.4</v>
      </c>
      <c r="U33" s="46">
        <v>0</v>
      </c>
      <c r="V33" s="46">
        <v>0</v>
      </c>
      <c r="W33" s="46">
        <v>0</v>
      </c>
      <c r="X33" s="46">
        <v>0</v>
      </c>
      <c r="Y33" s="46">
        <v>24.9</v>
      </c>
      <c r="Z33" s="46">
        <v>24.9</v>
      </c>
      <c r="AA33" s="46">
        <v>24.9</v>
      </c>
      <c r="AB33" s="46">
        <v>24.9</v>
      </c>
      <c r="AC33" s="46">
        <v>24.9</v>
      </c>
      <c r="AD33" s="46">
        <v>24.9</v>
      </c>
      <c r="AE33" s="46">
        <v>24.9</v>
      </c>
      <c r="AF33" s="46">
        <v>24.9</v>
      </c>
      <c r="AG33" s="50">
        <v>23.5</v>
      </c>
      <c r="AH33" s="48">
        <f t="shared" si="2"/>
        <v>25.5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/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/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/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24.2</v>
      </c>
      <c r="C37" s="46"/>
      <c r="D37" s="46">
        <v>23.4</v>
      </c>
      <c r="E37" s="46">
        <v>23.4</v>
      </c>
      <c r="F37" s="46">
        <v>23.4</v>
      </c>
      <c r="G37" s="46">
        <v>23.4</v>
      </c>
      <c r="H37" s="46">
        <v>23.4</v>
      </c>
      <c r="I37" s="46">
        <v>23.4</v>
      </c>
      <c r="J37" s="46">
        <v>23.4</v>
      </c>
      <c r="K37" s="46">
        <v>23.4</v>
      </c>
      <c r="L37" s="46">
        <v>23.4</v>
      </c>
      <c r="M37" s="46">
        <v>24</v>
      </c>
      <c r="N37" s="46">
        <v>24</v>
      </c>
      <c r="O37" s="46">
        <v>24</v>
      </c>
      <c r="P37" s="46">
        <v>24</v>
      </c>
      <c r="Q37" s="46">
        <v>24</v>
      </c>
      <c r="R37" s="46">
        <v>24</v>
      </c>
      <c r="S37" s="46">
        <v>21.6</v>
      </c>
      <c r="T37" s="46">
        <v>21.6</v>
      </c>
      <c r="U37" s="46">
        <v>21.6</v>
      </c>
      <c r="V37" s="46">
        <v>21.6</v>
      </c>
      <c r="W37" s="46">
        <v>21.6</v>
      </c>
      <c r="X37" s="46">
        <v>21.6</v>
      </c>
      <c r="Y37" s="46">
        <v>21.6</v>
      </c>
      <c r="Z37" s="46">
        <v>21.6</v>
      </c>
      <c r="AA37" s="46">
        <v>21.6</v>
      </c>
      <c r="AB37" s="46">
        <v>21.6</v>
      </c>
      <c r="AC37" s="46">
        <v>21.6</v>
      </c>
      <c r="AD37" s="46">
        <v>21.6</v>
      </c>
      <c r="AE37" s="46">
        <v>21.6</v>
      </c>
      <c r="AF37" s="46">
        <v>21.6</v>
      </c>
      <c r="AG37" s="50">
        <v>22</v>
      </c>
      <c r="AH37" s="48">
        <f t="shared" si="2"/>
        <v>24.2</v>
      </c>
      <c r="AI37" s="49">
        <f t="shared" si="3"/>
        <v>21.6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/>
      <c r="D38" s="46">
        <v>6.6</v>
      </c>
      <c r="E38" s="46">
        <v>6.6</v>
      </c>
      <c r="F38" s="46">
        <v>0</v>
      </c>
      <c r="G38" s="46">
        <v>0</v>
      </c>
      <c r="H38" s="46">
        <v>0</v>
      </c>
      <c r="I38" s="46">
        <v>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19.600000000000001</v>
      </c>
      <c r="C39" s="46"/>
      <c r="D39" s="46">
        <v>19.600000000000001</v>
      </c>
      <c r="E39" s="46">
        <v>19.600000000000001</v>
      </c>
      <c r="F39" s="46">
        <v>19.600000000000001</v>
      </c>
      <c r="G39" s="46">
        <v>19.600000000000001</v>
      </c>
      <c r="H39" s="46">
        <v>19.600000000000001</v>
      </c>
      <c r="I39" s="46">
        <v>19.600000000000001</v>
      </c>
      <c r="J39" s="46">
        <v>19.600000000000001</v>
      </c>
      <c r="K39" s="46">
        <v>19.600000000000001</v>
      </c>
      <c r="L39" s="46">
        <v>19.600000000000001</v>
      </c>
      <c r="M39" s="46">
        <v>19.600000000000001</v>
      </c>
      <c r="N39" s="46">
        <v>19.600000000000001</v>
      </c>
      <c r="O39" s="46">
        <v>19.600000000000001</v>
      </c>
      <c r="P39" s="46">
        <v>19.600000000000001</v>
      </c>
      <c r="Q39" s="46">
        <v>19.600000000000001</v>
      </c>
      <c r="R39" s="46">
        <v>19.600000000000001</v>
      </c>
      <c r="S39" s="46">
        <v>19.600000000000001</v>
      </c>
      <c r="T39" s="46">
        <v>19.600000000000001</v>
      </c>
      <c r="U39" s="46">
        <v>0</v>
      </c>
      <c r="V39" s="46">
        <v>0</v>
      </c>
      <c r="W39" s="46">
        <v>0</v>
      </c>
      <c r="X39" s="46">
        <v>0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19.600000000000001</v>
      </c>
      <c r="AI39" s="49">
        <f t="shared" si="3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7.5</v>
      </c>
      <c r="C40" s="46"/>
      <c r="D40" s="46">
        <v>4.2</v>
      </c>
      <c r="E40" s="46">
        <v>4.2</v>
      </c>
      <c r="F40" s="46">
        <v>4.2</v>
      </c>
      <c r="G40" s="46">
        <v>7.4</v>
      </c>
      <c r="H40" s="46">
        <v>7.4</v>
      </c>
      <c r="I40" s="46">
        <v>7.4</v>
      </c>
      <c r="J40" s="46">
        <v>7.4</v>
      </c>
      <c r="K40" s="46">
        <v>7.4</v>
      </c>
      <c r="L40" s="46">
        <v>7.4</v>
      </c>
      <c r="M40" s="46">
        <v>14.4</v>
      </c>
      <c r="N40" s="46">
        <v>14.4</v>
      </c>
      <c r="O40" s="46">
        <v>14.4</v>
      </c>
      <c r="P40" s="46">
        <v>14.4</v>
      </c>
      <c r="Q40" s="46">
        <v>14.4</v>
      </c>
      <c r="R40" s="46">
        <v>14.4</v>
      </c>
      <c r="S40" s="46">
        <v>7.5</v>
      </c>
      <c r="T40" s="46">
        <v>7.5</v>
      </c>
      <c r="U40" s="46">
        <v>7.5</v>
      </c>
      <c r="V40" s="46">
        <v>7.5</v>
      </c>
      <c r="W40" s="46">
        <v>7.5</v>
      </c>
      <c r="X40" s="46">
        <v>7.5</v>
      </c>
      <c r="Y40" s="46">
        <v>7.5</v>
      </c>
      <c r="Z40" s="46">
        <v>7.5</v>
      </c>
      <c r="AA40" s="46">
        <v>7.5</v>
      </c>
      <c r="AB40" s="46">
        <v>7.5</v>
      </c>
      <c r="AC40" s="46">
        <v>7.5</v>
      </c>
      <c r="AD40" s="46">
        <v>7.5</v>
      </c>
      <c r="AE40" s="46">
        <v>7.5</v>
      </c>
      <c r="AF40" s="46">
        <v>7.5</v>
      </c>
      <c r="AG40" s="50">
        <v>18</v>
      </c>
      <c r="AH40" s="48">
        <f t="shared" si="2"/>
        <v>14.4</v>
      </c>
      <c r="AI40" s="49">
        <f t="shared" si="3"/>
        <v>4.2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12.5</v>
      </c>
      <c r="C41" s="46">
        <v>12.5</v>
      </c>
      <c r="D41" s="46">
        <v>12.5</v>
      </c>
      <c r="E41" s="46">
        <v>12.5</v>
      </c>
      <c r="F41" s="46">
        <v>12.5</v>
      </c>
      <c r="G41" s="46">
        <v>12.5</v>
      </c>
      <c r="H41" s="46">
        <v>12.5</v>
      </c>
      <c r="I41" s="46">
        <v>15.5</v>
      </c>
      <c r="J41" s="46">
        <v>15.5</v>
      </c>
      <c r="K41" s="46">
        <v>15.5</v>
      </c>
      <c r="L41" s="46">
        <v>15.5</v>
      </c>
      <c r="M41" s="46">
        <v>15.5</v>
      </c>
      <c r="N41" s="46">
        <v>15.5</v>
      </c>
      <c r="O41" s="46">
        <v>15.5</v>
      </c>
      <c r="P41" s="46">
        <v>15.5</v>
      </c>
      <c r="Q41" s="46">
        <v>15.5</v>
      </c>
      <c r="R41" s="46">
        <v>15.5</v>
      </c>
      <c r="S41" s="46">
        <v>15.5</v>
      </c>
      <c r="T41" s="46">
        <v>15.5</v>
      </c>
      <c r="U41" s="46">
        <v>15.5</v>
      </c>
      <c r="V41" s="46">
        <v>10</v>
      </c>
      <c r="W41" s="46">
        <v>10</v>
      </c>
      <c r="X41" s="46">
        <v>10</v>
      </c>
      <c r="Y41" s="46">
        <v>10</v>
      </c>
      <c r="Z41" s="46">
        <v>10</v>
      </c>
      <c r="AA41" s="46">
        <v>10</v>
      </c>
      <c r="AB41" s="46">
        <v>10</v>
      </c>
      <c r="AC41" s="46">
        <v>10</v>
      </c>
      <c r="AD41" s="46">
        <v>10</v>
      </c>
      <c r="AE41" s="46">
        <v>10</v>
      </c>
      <c r="AF41" s="46">
        <v>10</v>
      </c>
      <c r="AG41" s="50">
        <v>15.33</v>
      </c>
      <c r="AH41" s="48">
        <f t="shared" si="2"/>
        <v>15.5</v>
      </c>
      <c r="AI41" s="49">
        <f t="shared" si="3"/>
        <v>10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/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4</v>
      </c>
      <c r="C43" s="46"/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15.5</v>
      </c>
      <c r="N43" s="46">
        <v>15.5</v>
      </c>
      <c r="O43" s="46">
        <v>15.5</v>
      </c>
      <c r="P43" s="46">
        <v>15.5</v>
      </c>
      <c r="Q43" s="46">
        <v>15.5</v>
      </c>
      <c r="R43" s="46">
        <v>15.5</v>
      </c>
      <c r="S43" s="46">
        <v>15.5</v>
      </c>
      <c r="T43" s="46">
        <v>15.5</v>
      </c>
      <c r="U43" s="46">
        <v>15.5</v>
      </c>
      <c r="V43" s="46">
        <v>15.5</v>
      </c>
      <c r="W43" s="46">
        <v>15.5</v>
      </c>
      <c r="X43" s="46">
        <v>15.5</v>
      </c>
      <c r="Y43" s="46">
        <v>15.5</v>
      </c>
      <c r="Z43" s="46">
        <v>15.5</v>
      </c>
      <c r="AA43" s="46">
        <v>15.5</v>
      </c>
      <c r="AB43" s="46">
        <v>15.5</v>
      </c>
      <c r="AC43" s="46">
        <v>15.5</v>
      </c>
      <c r="AD43" s="46">
        <v>15.5</v>
      </c>
      <c r="AE43" s="46">
        <v>15.5</v>
      </c>
      <c r="AF43" s="46">
        <v>15.5</v>
      </c>
      <c r="AG43" s="50">
        <v>14.9</v>
      </c>
      <c r="AH43" s="48">
        <f t="shared" si="2"/>
        <v>15.5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7</v>
      </c>
      <c r="C44" s="46"/>
      <c r="D44" s="46">
        <v>7</v>
      </c>
      <c r="E44" s="46">
        <v>7</v>
      </c>
      <c r="F44" s="46">
        <v>7</v>
      </c>
      <c r="G44" s="46">
        <v>7</v>
      </c>
      <c r="H44" s="46">
        <v>7</v>
      </c>
      <c r="I44" s="46">
        <v>7</v>
      </c>
      <c r="J44" s="46">
        <v>7</v>
      </c>
      <c r="K44" s="46">
        <v>7</v>
      </c>
      <c r="L44" s="46">
        <v>7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7</v>
      </c>
      <c r="C45" s="46"/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14.3</v>
      </c>
      <c r="AH45" s="48">
        <f t="shared" si="2"/>
        <v>7</v>
      </c>
      <c r="AI45" s="49">
        <f t="shared" si="3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5.0999999999999996</v>
      </c>
      <c r="C46" s="46"/>
      <c r="D46" s="46">
        <v>5.0999999999999996</v>
      </c>
      <c r="E46" s="46">
        <v>5.0999999999999996</v>
      </c>
      <c r="F46" s="46">
        <v>5.0999999999999996</v>
      </c>
      <c r="G46" s="46">
        <v>5.0999999999999996</v>
      </c>
      <c r="H46" s="46">
        <v>5.0999999999999996</v>
      </c>
      <c r="I46" s="46">
        <v>5.0999999999999996</v>
      </c>
      <c r="J46" s="46">
        <v>5.0999999999999996</v>
      </c>
      <c r="K46" s="46">
        <v>5.0999999999999996</v>
      </c>
      <c r="L46" s="46">
        <v>5.0999999999999996</v>
      </c>
      <c r="M46" s="46">
        <v>5.0999999999999996</v>
      </c>
      <c r="N46" s="46">
        <v>5.0999999999999996</v>
      </c>
      <c r="O46" s="46">
        <v>5.0999999999999996</v>
      </c>
      <c r="P46" s="46">
        <v>5.0999999999999996</v>
      </c>
      <c r="Q46" s="46">
        <v>5.0999999999999996</v>
      </c>
      <c r="R46" s="46">
        <v>5.0999999999999996</v>
      </c>
      <c r="S46" s="46">
        <v>5.0999999999999996</v>
      </c>
      <c r="T46" s="46">
        <v>5.0999999999999996</v>
      </c>
      <c r="U46" s="46">
        <v>5.0999999999999996</v>
      </c>
      <c r="V46" s="46">
        <v>5.0999999999999996</v>
      </c>
      <c r="W46" s="46">
        <v>5.0999999999999996</v>
      </c>
      <c r="X46" s="46">
        <v>5.0999999999999996</v>
      </c>
      <c r="Y46" s="46">
        <v>5.0999999999999996</v>
      </c>
      <c r="Z46" s="46">
        <v>5.0999999999999996</v>
      </c>
      <c r="AA46" s="46">
        <v>5.0999999999999996</v>
      </c>
      <c r="AB46" s="46">
        <v>5.0999999999999996</v>
      </c>
      <c r="AC46" s="46">
        <v>5.0999999999999996</v>
      </c>
      <c r="AD46" s="46">
        <v>5.0999999999999996</v>
      </c>
      <c r="AE46" s="46">
        <v>5.0999999999999996</v>
      </c>
      <c r="AF46" s="46">
        <v>5.0999999999999996</v>
      </c>
      <c r="AG46" s="50">
        <v>14</v>
      </c>
      <c r="AH46" s="48">
        <f t="shared" si="2"/>
        <v>5.0999999999999996</v>
      </c>
      <c r="AI46" s="49">
        <f t="shared" si="3"/>
        <v>5.0999999999999996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/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/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12</v>
      </c>
      <c r="C49" s="46"/>
      <c r="D49" s="46">
        <v>12</v>
      </c>
      <c r="E49" s="46">
        <v>12</v>
      </c>
      <c r="F49" s="46">
        <v>12</v>
      </c>
      <c r="G49" s="46">
        <v>12</v>
      </c>
      <c r="H49" s="46">
        <v>12</v>
      </c>
      <c r="I49" s="46">
        <v>12</v>
      </c>
      <c r="J49" s="46">
        <v>12</v>
      </c>
      <c r="K49" s="46">
        <v>12</v>
      </c>
      <c r="L49" s="46">
        <v>12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4</v>
      </c>
      <c r="Y49" s="46">
        <v>4</v>
      </c>
      <c r="Z49" s="46">
        <v>4</v>
      </c>
      <c r="AA49" s="46">
        <v>12</v>
      </c>
      <c r="AB49" s="46">
        <v>12</v>
      </c>
      <c r="AC49" s="46">
        <v>11</v>
      </c>
      <c r="AD49" s="46">
        <v>11</v>
      </c>
      <c r="AE49" s="46">
        <v>11</v>
      </c>
      <c r="AF49" s="46">
        <v>11</v>
      </c>
      <c r="AG49" s="50">
        <v>12</v>
      </c>
      <c r="AH49" s="48">
        <f t="shared" si="2"/>
        <v>12</v>
      </c>
      <c r="AI49" s="49">
        <f t="shared" si="3"/>
        <v>4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/>
      <c r="D50" s="46">
        <v>5.0999999999999996</v>
      </c>
      <c r="E50" s="46">
        <v>5.0999999999999996</v>
      </c>
      <c r="F50" s="46">
        <v>5.0999999999999996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>
        <v>5.0999999999999996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5.0999999999999996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/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/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/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/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/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/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0</v>
      </c>
      <c r="C57" s="46"/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5</v>
      </c>
      <c r="C58" s="46"/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46.3+100</f>
        <v>146.30000000000001</v>
      </c>
      <c r="C60" s="68"/>
      <c r="D60" s="68">
        <f>49.7+103.4</f>
        <v>153.10000000000002</v>
      </c>
      <c r="E60" s="68">
        <f>49.7+103.4</f>
        <v>153.10000000000002</v>
      </c>
      <c r="F60" s="68">
        <f>102.9+49.7</f>
        <v>152.60000000000002</v>
      </c>
      <c r="G60" s="68">
        <f>148</f>
        <v>148</v>
      </c>
      <c r="H60" s="68">
        <f>148.3</f>
        <v>148.30000000000001</v>
      </c>
      <c r="I60" s="68">
        <f>148.3</f>
        <v>148.30000000000001</v>
      </c>
      <c r="J60" s="68">
        <f>99.8+46.6</f>
        <v>146.4</v>
      </c>
      <c r="K60" s="53">
        <f t="shared" ref="K60:P60" si="20">99.7+46.4</f>
        <v>146.1</v>
      </c>
      <c r="L60" s="53">
        <f t="shared" si="20"/>
        <v>146.1</v>
      </c>
      <c r="M60" s="53">
        <f t="shared" si="20"/>
        <v>146.1</v>
      </c>
      <c r="N60" s="53">
        <f t="shared" si="20"/>
        <v>146.1</v>
      </c>
      <c r="O60" s="53">
        <f t="shared" si="20"/>
        <v>146.1</v>
      </c>
      <c r="P60" s="53">
        <f t="shared" si="20"/>
        <v>146.1</v>
      </c>
      <c r="Q60" s="53">
        <v>151</v>
      </c>
      <c r="R60" s="53">
        <v>151</v>
      </c>
      <c r="S60" s="53">
        <v>153.6</v>
      </c>
      <c r="T60" s="53">
        <f>48.8+101.9</f>
        <v>150.69999999999999</v>
      </c>
      <c r="U60" s="53">
        <f>48.8+101.9</f>
        <v>150.69999999999999</v>
      </c>
      <c r="V60" s="53">
        <v>123</v>
      </c>
      <c r="W60" s="53">
        <v>135.6</v>
      </c>
      <c r="X60" s="53">
        <v>133</v>
      </c>
      <c r="Y60" s="53">
        <v>133</v>
      </c>
      <c r="Z60" s="53">
        <v>133</v>
      </c>
      <c r="AA60" s="53">
        <v>133</v>
      </c>
      <c r="AB60" s="53">
        <v>133</v>
      </c>
      <c r="AC60" s="53">
        <v>133</v>
      </c>
      <c r="AD60" s="53">
        <v>133</v>
      </c>
      <c r="AE60" s="53">
        <v>133</v>
      </c>
      <c r="AF60" s="53">
        <v>133</v>
      </c>
      <c r="AG60" s="66">
        <v>240</v>
      </c>
      <c r="AH60" s="48">
        <f t="shared" si="2"/>
        <v>153.6</v>
      </c>
      <c r="AI60" s="49">
        <f t="shared" si="3"/>
        <v>123</v>
      </c>
      <c r="AK60" s="51"/>
    </row>
    <row r="61" spans="1:88" ht="15.75" thickBot="1" x14ac:dyDescent="0.3">
      <c r="A61" s="70" t="s">
        <v>75</v>
      </c>
      <c r="B61" s="71">
        <f>SUM(B11:B59)</f>
        <v>1111.1000000000001</v>
      </c>
      <c r="C61" s="71">
        <f t="shared" ref="C61:AG61" si="21">SUM(C11:C59)</f>
        <v>162.5</v>
      </c>
      <c r="D61" s="71">
        <f t="shared" si="21"/>
        <v>899.50000000000011</v>
      </c>
      <c r="E61" s="71">
        <f>SUM(E11:E59)</f>
        <v>897.20000000000016</v>
      </c>
      <c r="F61" s="71">
        <f t="shared" si="21"/>
        <v>910.6</v>
      </c>
      <c r="G61" s="71">
        <f t="shared" si="21"/>
        <v>896.3</v>
      </c>
      <c r="H61" s="71">
        <f t="shared" si="21"/>
        <v>923.40000000000009</v>
      </c>
      <c r="I61" s="71">
        <f>SUM(I11:I59)</f>
        <v>923.1</v>
      </c>
      <c r="J61" s="71">
        <f t="shared" si="21"/>
        <v>925.8</v>
      </c>
      <c r="K61" s="71">
        <f t="shared" si="21"/>
        <v>865.5</v>
      </c>
      <c r="L61" s="71">
        <f t="shared" si="21"/>
        <v>877.30000000000007</v>
      </c>
      <c r="M61" s="71">
        <f t="shared" si="21"/>
        <v>961.90000000000009</v>
      </c>
      <c r="N61" s="71">
        <f t="shared" si="21"/>
        <v>961.90000000000009</v>
      </c>
      <c r="O61" s="71">
        <f t="shared" si="21"/>
        <v>984.90000000000009</v>
      </c>
      <c r="P61" s="71">
        <f>SUM(P11:P59)</f>
        <v>985.9</v>
      </c>
      <c r="Q61" s="71">
        <f t="shared" si="21"/>
        <v>985.9</v>
      </c>
      <c r="R61" s="71">
        <f t="shared" si="21"/>
        <v>985.9</v>
      </c>
      <c r="S61" s="71">
        <f t="shared" si="21"/>
        <v>1056.7000000000003</v>
      </c>
      <c r="T61" s="71">
        <f t="shared" si="21"/>
        <v>1009.9700000000001</v>
      </c>
      <c r="U61" s="71">
        <f t="shared" si="21"/>
        <v>914.97000000000014</v>
      </c>
      <c r="V61" s="71">
        <f t="shared" si="21"/>
        <v>922.10000000000014</v>
      </c>
      <c r="W61" s="71">
        <f t="shared" si="21"/>
        <v>922.2</v>
      </c>
      <c r="X61" s="71">
        <f t="shared" si="21"/>
        <v>914.2</v>
      </c>
      <c r="Y61" s="71">
        <f t="shared" si="21"/>
        <v>999.60000000000014</v>
      </c>
      <c r="Z61" s="71">
        <f t="shared" si="21"/>
        <v>989.2</v>
      </c>
      <c r="AA61" s="71">
        <f t="shared" si="21"/>
        <v>1154.9000000000001</v>
      </c>
      <c r="AB61" s="71">
        <f>SUM(AB11:AB59)</f>
        <v>1164.6000000000001</v>
      </c>
      <c r="AC61" s="71">
        <f>SUM(AC11:AC59)</f>
        <v>1156.6000000000001</v>
      </c>
      <c r="AD61" s="71">
        <f>SUM(AD11:AD59)</f>
        <v>1156.6000000000001</v>
      </c>
      <c r="AE61" s="71">
        <f>SUM(AE11:AE59)</f>
        <v>1139.3000000000002</v>
      </c>
      <c r="AF61" s="71">
        <f>SUM(AF11:AF59)</f>
        <v>1134.3000000000002</v>
      </c>
      <c r="AG61" s="71">
        <f t="shared" si="21"/>
        <v>1466.0300000000002</v>
      </c>
      <c r="AH61" s="48">
        <f t="shared" si="2"/>
        <v>1164.6000000000001</v>
      </c>
      <c r="AI61" s="49">
        <f t="shared" si="3"/>
        <v>162.5</v>
      </c>
      <c r="AK61" s="51"/>
    </row>
    <row r="62" spans="1:88" x14ac:dyDescent="0.25">
      <c r="A62" s="73" t="s">
        <v>76</v>
      </c>
      <c r="B62" s="74">
        <v>459</v>
      </c>
      <c r="C62" s="46"/>
      <c r="D62" s="74">
        <v>459</v>
      </c>
      <c r="E62" s="74">
        <v>459</v>
      </c>
      <c r="F62" s="74">
        <v>459</v>
      </c>
      <c r="G62" s="74">
        <v>459</v>
      </c>
      <c r="H62" s="74">
        <v>459</v>
      </c>
      <c r="I62" s="74">
        <v>459</v>
      </c>
      <c r="J62" s="74">
        <v>459</v>
      </c>
      <c r="K62" s="74">
        <v>459</v>
      </c>
      <c r="L62" s="74">
        <v>459</v>
      </c>
      <c r="M62" s="74">
        <v>459</v>
      </c>
      <c r="N62" s="74">
        <v>459</v>
      </c>
      <c r="O62" s="74">
        <v>459</v>
      </c>
      <c r="P62" s="74">
        <v>459</v>
      </c>
      <c r="Q62" s="74">
        <v>459.8</v>
      </c>
      <c r="R62" s="74">
        <v>459.8</v>
      </c>
      <c r="S62" s="74">
        <v>459</v>
      </c>
      <c r="T62" s="74">
        <v>459</v>
      </c>
      <c r="U62" s="74">
        <v>459</v>
      </c>
      <c r="V62" s="74">
        <v>459</v>
      </c>
      <c r="W62" s="74">
        <v>459</v>
      </c>
      <c r="X62" s="74">
        <v>459</v>
      </c>
      <c r="Y62" s="74">
        <v>459</v>
      </c>
      <c r="Z62" s="74">
        <v>459</v>
      </c>
      <c r="AA62" s="74">
        <v>459</v>
      </c>
      <c r="AB62" s="74">
        <v>459</v>
      </c>
      <c r="AC62" s="74">
        <v>459</v>
      </c>
      <c r="AD62" s="74">
        <v>459</v>
      </c>
      <c r="AE62" s="74">
        <v>459</v>
      </c>
      <c r="AF62" s="74">
        <v>459</v>
      </c>
      <c r="AG62" s="61">
        <v>456</v>
      </c>
      <c r="AH62" s="48">
        <f t="shared" si="2"/>
        <v>459.8</v>
      </c>
      <c r="AI62" s="49">
        <f t="shared" si="3"/>
        <v>459</v>
      </c>
      <c r="AK62" s="51"/>
    </row>
    <row r="63" spans="1:88" x14ac:dyDescent="0.25">
      <c r="A63" s="75" t="s">
        <v>77</v>
      </c>
      <c r="B63" s="76">
        <v>60</v>
      </c>
      <c r="C63" s="76"/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22.7</v>
      </c>
      <c r="C64" s="78"/>
      <c r="D64" s="78">
        <v>22.7</v>
      </c>
      <c r="E64" s="78">
        <v>22.7</v>
      </c>
      <c r="F64" s="78">
        <v>22.7</v>
      </c>
      <c r="G64" s="78">
        <v>22.7</v>
      </c>
      <c r="H64" s="78">
        <v>22.7</v>
      </c>
      <c r="I64" s="78">
        <v>22.7</v>
      </c>
      <c r="J64" s="78">
        <v>22.7</v>
      </c>
      <c r="K64" s="78">
        <v>22.7</v>
      </c>
      <c r="L64" s="78">
        <v>22.7</v>
      </c>
      <c r="M64" s="78">
        <v>22.7</v>
      </c>
      <c r="N64" s="78">
        <v>22.7</v>
      </c>
      <c r="O64" s="78">
        <v>22.7</v>
      </c>
      <c r="P64" s="78">
        <v>22.7</v>
      </c>
      <c r="Q64" s="78">
        <v>22.7</v>
      </c>
      <c r="R64" s="78">
        <v>22.7</v>
      </c>
      <c r="S64" s="78">
        <v>22.7</v>
      </c>
      <c r="T64" s="78">
        <v>22.7</v>
      </c>
      <c r="U64" s="78">
        <v>22.7</v>
      </c>
      <c r="V64" s="78">
        <v>22.7</v>
      </c>
      <c r="W64" s="78">
        <v>22.7</v>
      </c>
      <c r="X64" s="78">
        <v>22.7</v>
      </c>
      <c r="Y64" s="78">
        <v>22.7</v>
      </c>
      <c r="Z64" s="78">
        <v>22.7</v>
      </c>
      <c r="AA64" s="78">
        <v>22.7</v>
      </c>
      <c r="AB64" s="78">
        <v>22.7</v>
      </c>
      <c r="AC64" s="78">
        <v>22.7</v>
      </c>
      <c r="AD64" s="78">
        <v>22.7</v>
      </c>
      <c r="AE64" s="78">
        <v>22.7</v>
      </c>
      <c r="AF64" s="78">
        <v>22.7</v>
      </c>
      <c r="AG64" s="79">
        <v>22.1</v>
      </c>
      <c r="AH64" s="48">
        <f t="shared" si="2"/>
        <v>22.7</v>
      </c>
      <c r="AI64" s="49">
        <f t="shared" si="3"/>
        <v>22.7</v>
      </c>
      <c r="AK64" s="51"/>
    </row>
    <row r="65" spans="1:75" ht="15.75" thickBot="1" x14ac:dyDescent="0.3">
      <c r="A65" s="80" t="s">
        <v>79</v>
      </c>
      <c r="B65" s="71">
        <f>SUM(B62:B64)</f>
        <v>541.70000000000005</v>
      </c>
      <c r="C65" s="71">
        <f t="shared" ref="C65:AG65" si="22">SUM(C62:C64)</f>
        <v>0</v>
      </c>
      <c r="D65" s="71">
        <f t="shared" si="22"/>
        <v>541.70000000000005</v>
      </c>
      <c r="E65" s="71">
        <f>SUM(E62:E64)</f>
        <v>541.70000000000005</v>
      </c>
      <c r="F65" s="71">
        <f t="shared" si="22"/>
        <v>541.70000000000005</v>
      </c>
      <c r="G65" s="71">
        <f t="shared" si="22"/>
        <v>541.70000000000005</v>
      </c>
      <c r="H65" s="71">
        <f t="shared" si="22"/>
        <v>541.70000000000005</v>
      </c>
      <c r="I65" s="71">
        <f>SUM(I62:I64)</f>
        <v>541.70000000000005</v>
      </c>
      <c r="J65" s="71">
        <f t="shared" si="22"/>
        <v>541.70000000000005</v>
      </c>
      <c r="K65" s="71">
        <f t="shared" si="22"/>
        <v>541.70000000000005</v>
      </c>
      <c r="L65" s="71">
        <f t="shared" si="22"/>
        <v>541.70000000000005</v>
      </c>
      <c r="M65" s="71">
        <f t="shared" si="22"/>
        <v>541.70000000000005</v>
      </c>
      <c r="N65" s="71">
        <f t="shared" si="22"/>
        <v>541.70000000000005</v>
      </c>
      <c r="O65" s="71">
        <f t="shared" si="22"/>
        <v>541.70000000000005</v>
      </c>
      <c r="P65" s="71">
        <f>SUM(P62:P64)</f>
        <v>541.70000000000005</v>
      </c>
      <c r="Q65" s="71">
        <f t="shared" si="22"/>
        <v>542.5</v>
      </c>
      <c r="R65" s="71">
        <f t="shared" si="22"/>
        <v>542.5</v>
      </c>
      <c r="S65" s="71">
        <f t="shared" si="22"/>
        <v>541.70000000000005</v>
      </c>
      <c r="T65" s="71">
        <f t="shared" si="22"/>
        <v>541.70000000000005</v>
      </c>
      <c r="U65" s="71">
        <f>SUM(U62:U64)</f>
        <v>541.70000000000005</v>
      </c>
      <c r="V65" s="71">
        <f t="shared" si="22"/>
        <v>541.70000000000005</v>
      </c>
      <c r="W65" s="71">
        <f t="shared" si="22"/>
        <v>541.70000000000005</v>
      </c>
      <c r="X65" s="71">
        <f t="shared" si="22"/>
        <v>541.70000000000005</v>
      </c>
      <c r="Y65" s="71">
        <f t="shared" si="22"/>
        <v>541.70000000000005</v>
      </c>
      <c r="Z65" s="71">
        <f t="shared" si="22"/>
        <v>541.70000000000005</v>
      </c>
      <c r="AA65" s="71">
        <f t="shared" si="22"/>
        <v>541.70000000000005</v>
      </c>
      <c r="AB65" s="71">
        <f>SUM(AB62:AB64)</f>
        <v>541.70000000000005</v>
      </c>
      <c r="AC65" s="71">
        <f>SUM(AC62:AC64)</f>
        <v>541.70000000000005</v>
      </c>
      <c r="AD65" s="71">
        <f>SUM(AD62:AD64)</f>
        <v>541.70000000000005</v>
      </c>
      <c r="AE65" s="71">
        <f>SUM(AE62:AE64)</f>
        <v>541.70000000000005</v>
      </c>
      <c r="AF65" s="71">
        <f>SUM(AF62:AF64)</f>
        <v>541.70000000000005</v>
      </c>
      <c r="AG65" s="72">
        <f t="shared" si="22"/>
        <v>538.1</v>
      </c>
      <c r="AH65" s="48">
        <f t="shared" si="2"/>
        <v>542.5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130</v>
      </c>
      <c r="C66" s="46"/>
      <c r="D66" s="46">
        <v>140</v>
      </c>
      <c r="E66" s="46">
        <v>0</v>
      </c>
      <c r="F66" s="46">
        <v>47</v>
      </c>
      <c r="G66" s="46">
        <v>96</v>
      </c>
      <c r="H66" s="46">
        <v>80</v>
      </c>
      <c r="I66" s="46">
        <v>80</v>
      </c>
      <c r="J66" s="46">
        <v>0</v>
      </c>
      <c r="K66" s="46">
        <v>0</v>
      </c>
      <c r="L66" s="46">
        <v>0</v>
      </c>
      <c r="M66" s="46">
        <v>70</v>
      </c>
      <c r="N66" s="46">
        <v>70</v>
      </c>
      <c r="O66" s="46">
        <v>70</v>
      </c>
      <c r="P66" s="46">
        <v>65</v>
      </c>
      <c r="Q66" s="46">
        <v>90</v>
      </c>
      <c r="R66" s="46">
        <v>90</v>
      </c>
      <c r="S66" s="46">
        <v>105</v>
      </c>
      <c r="T66" s="46">
        <v>120.8</v>
      </c>
      <c r="U66" s="46">
        <v>131.30000000000001</v>
      </c>
      <c r="V66" s="46">
        <v>131.30000000000001</v>
      </c>
      <c r="W66" s="46">
        <v>131.30000000000001</v>
      </c>
      <c r="X66" s="46">
        <v>131.30000000000001</v>
      </c>
      <c r="Y66" s="46">
        <v>123.8</v>
      </c>
      <c r="Z66" s="46">
        <v>123.8</v>
      </c>
      <c r="AA66" s="46">
        <v>123.8</v>
      </c>
      <c r="AB66" s="46">
        <v>137</v>
      </c>
      <c r="AC66" s="46">
        <v>135</v>
      </c>
      <c r="AD66" s="46">
        <v>121</v>
      </c>
      <c r="AE66" s="46">
        <v>121</v>
      </c>
      <c r="AF66" s="46">
        <v>121</v>
      </c>
      <c r="AG66" s="61">
        <v>144</v>
      </c>
      <c r="AH66" s="48">
        <f t="shared" si="2"/>
        <v>140</v>
      </c>
      <c r="AI66" s="49">
        <f t="shared" si="3"/>
        <v>0</v>
      </c>
      <c r="AK66" s="51"/>
      <c r="AY66" s="1" t="s">
        <v>86</v>
      </c>
      <c r="AZ66" s="82">
        <f>ROUND(C84,0)</f>
        <v>0</v>
      </c>
      <c r="BA66" s="81">
        <f t="shared" ref="BA66:BD70" si="23">D84</f>
        <v>-32</v>
      </c>
      <c r="BB66" s="81">
        <f t="shared" si="23"/>
        <v>14</v>
      </c>
      <c r="BC66" s="81">
        <f t="shared" si="23"/>
        <v>-18</v>
      </c>
      <c r="BD66" s="81">
        <f t="shared" si="23"/>
        <v>-29</v>
      </c>
      <c r="BE66" s="82">
        <f>I84</f>
        <v>-28</v>
      </c>
      <c r="BF66" s="82">
        <f>K84</f>
        <v>10</v>
      </c>
      <c r="BG66" s="82">
        <f t="shared" ref="BG66:BP70" si="24">M84</f>
        <v>3.8</v>
      </c>
      <c r="BH66" s="82">
        <f t="shared" si="24"/>
        <v>14</v>
      </c>
      <c r="BI66" s="82">
        <f t="shared" si="24"/>
        <v>10</v>
      </c>
      <c r="BJ66" s="82">
        <f t="shared" si="24"/>
        <v>-19</v>
      </c>
      <c r="BK66" s="82">
        <f t="shared" si="24"/>
        <v>-27</v>
      </c>
      <c r="BL66" s="82">
        <f t="shared" si="24"/>
        <v>-28</v>
      </c>
      <c r="BM66" s="82">
        <f t="shared" si="24"/>
        <v>-33</v>
      </c>
      <c r="BN66" s="82">
        <f t="shared" si="24"/>
        <v>-33.299999999999997</v>
      </c>
      <c r="BO66" s="82">
        <f t="shared" si="24"/>
        <v>-47.3</v>
      </c>
      <c r="BP66" s="82">
        <f t="shared" si="24"/>
        <v>-42.5</v>
      </c>
      <c r="BQ66" s="82">
        <f>X84</f>
        <v>-46</v>
      </c>
      <c r="BR66" s="82">
        <f>Z84</f>
        <v>-17.399999999999999</v>
      </c>
      <c r="BS66" s="81">
        <f>AB84</f>
        <v>-41.9</v>
      </c>
      <c r="BT66" s="81">
        <f t="shared" ref="BT66:BV70" si="25">AD84</f>
        <v>-40.6</v>
      </c>
      <c r="BU66" s="81">
        <f t="shared" si="25"/>
        <v>-35</v>
      </c>
      <c r="BV66" s="81">
        <f t="shared" si="25"/>
        <v>-30</v>
      </c>
      <c r="BW66" s="81">
        <f>B84</f>
        <v>-28</v>
      </c>
    </row>
    <row r="67" spans="1:75" x14ac:dyDescent="0.25">
      <c r="A67" s="65" t="s">
        <v>81</v>
      </c>
      <c r="B67" s="76">
        <v>69.7</v>
      </c>
      <c r="C67" s="76"/>
      <c r="D67" s="76">
        <v>70.099999999999994</v>
      </c>
      <c r="E67" s="76">
        <v>70.099999999999994</v>
      </c>
      <c r="F67" s="76">
        <v>69.3</v>
      </c>
      <c r="G67" s="76">
        <v>69.3</v>
      </c>
      <c r="H67" s="76">
        <v>69.3</v>
      </c>
      <c r="I67" s="76">
        <v>69.3</v>
      </c>
      <c r="J67" s="76">
        <v>69.3</v>
      </c>
      <c r="K67" s="76">
        <v>70.5</v>
      </c>
      <c r="L67" s="76">
        <v>70.5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71.099999999999994</v>
      </c>
      <c r="U67" s="76">
        <v>71.099999999999994</v>
      </c>
      <c r="V67" s="76">
        <v>71.099999999999994</v>
      </c>
      <c r="W67" s="76">
        <v>71.099999999999994</v>
      </c>
      <c r="X67" s="76">
        <v>71.099999999999994</v>
      </c>
      <c r="Y67" s="76">
        <v>60.7</v>
      </c>
      <c r="Z67" s="76">
        <v>60.7</v>
      </c>
      <c r="AA67" s="76">
        <v>60.7</v>
      </c>
      <c r="AB67" s="76">
        <v>69.5</v>
      </c>
      <c r="AC67" s="76">
        <v>69.5</v>
      </c>
      <c r="AD67" s="76">
        <v>69.5</v>
      </c>
      <c r="AE67" s="76">
        <v>69.5</v>
      </c>
      <c r="AF67" s="76">
        <v>69.5</v>
      </c>
      <c r="AG67" s="66">
        <v>70</v>
      </c>
      <c r="AH67" s="48">
        <f t="shared" si="2"/>
        <v>71.099999999999994</v>
      </c>
      <c r="AI67" s="49">
        <f t="shared" si="3"/>
        <v>60.7</v>
      </c>
      <c r="AK67" s="51"/>
      <c r="AY67" s="1" t="s">
        <v>88</v>
      </c>
      <c r="AZ67" s="82">
        <f>ROUND(C85,0)</f>
        <v>0</v>
      </c>
      <c r="BA67" s="81">
        <f t="shared" si="23"/>
        <v>0</v>
      </c>
      <c r="BB67" s="81">
        <f t="shared" si="23"/>
        <v>0</v>
      </c>
      <c r="BC67" s="81">
        <f t="shared" si="23"/>
        <v>0</v>
      </c>
      <c r="BD67" s="81">
        <f t="shared" si="23"/>
        <v>0</v>
      </c>
      <c r="BE67" s="82">
        <f>I85</f>
        <v>0</v>
      </c>
      <c r="BF67" s="82">
        <f>K85</f>
        <v>0</v>
      </c>
      <c r="BG67" s="82">
        <f t="shared" si="24"/>
        <v>0</v>
      </c>
      <c r="BH67" s="82">
        <f t="shared" si="24"/>
        <v>0</v>
      </c>
      <c r="BI67" s="82">
        <f t="shared" si="24"/>
        <v>0</v>
      </c>
      <c r="BJ67" s="82">
        <f t="shared" si="24"/>
        <v>0</v>
      </c>
      <c r="BK67" s="82">
        <f t="shared" si="24"/>
        <v>0</v>
      </c>
      <c r="BL67" s="82">
        <f t="shared" si="24"/>
        <v>0</v>
      </c>
      <c r="BM67" s="82">
        <f t="shared" si="24"/>
        <v>0</v>
      </c>
      <c r="BN67" s="82">
        <f t="shared" si="24"/>
        <v>0</v>
      </c>
      <c r="BO67" s="82">
        <f t="shared" si="24"/>
        <v>0</v>
      </c>
      <c r="BP67" s="82">
        <f t="shared" si="24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5"/>
        <v>0</v>
      </c>
      <c r="BU67" s="81">
        <f t="shared" si="25"/>
        <v>0</v>
      </c>
      <c r="BV67" s="81">
        <f t="shared" si="25"/>
        <v>0</v>
      </c>
      <c r="BW67" s="81">
        <f>B85</f>
        <v>0</v>
      </c>
    </row>
    <row r="68" spans="1:75" x14ac:dyDescent="0.25">
      <c r="A68" s="65" t="s">
        <v>82</v>
      </c>
      <c r="B68" s="76">
        <v>66.3</v>
      </c>
      <c r="C68" s="76"/>
      <c r="D68" s="76">
        <v>65.099999999999994</v>
      </c>
      <c r="E68" s="76">
        <v>65.099999999999994</v>
      </c>
      <c r="F68" s="76">
        <v>64.5</v>
      </c>
      <c r="G68" s="76">
        <v>64.5</v>
      </c>
      <c r="H68" s="76">
        <v>64.5</v>
      </c>
      <c r="I68" s="76">
        <v>64.5</v>
      </c>
      <c r="J68" s="76">
        <v>64.5</v>
      </c>
      <c r="K68" s="76">
        <v>64.7</v>
      </c>
      <c r="L68" s="76">
        <v>64.7</v>
      </c>
      <c r="M68" s="76">
        <v>64.8</v>
      </c>
      <c r="N68" s="76">
        <v>64.8</v>
      </c>
      <c r="O68" s="76">
        <v>64.8</v>
      </c>
      <c r="P68" s="76">
        <v>64.8</v>
      </c>
      <c r="Q68" s="76">
        <v>64.8</v>
      </c>
      <c r="R68" s="76">
        <v>64.8</v>
      </c>
      <c r="S68" s="76">
        <v>62</v>
      </c>
      <c r="T68" s="76">
        <v>62</v>
      </c>
      <c r="U68" s="76">
        <v>62</v>
      </c>
      <c r="V68" s="76">
        <v>62</v>
      </c>
      <c r="W68" s="76">
        <v>62</v>
      </c>
      <c r="X68" s="76">
        <v>62</v>
      </c>
      <c r="Y68" s="76">
        <v>61.8</v>
      </c>
      <c r="Z68" s="76">
        <v>61.8</v>
      </c>
      <c r="AA68" s="76">
        <v>61.8</v>
      </c>
      <c r="AB68" s="76">
        <v>65.5</v>
      </c>
      <c r="AC68" s="76">
        <v>65.5</v>
      </c>
      <c r="AD68" s="76">
        <v>65.5</v>
      </c>
      <c r="AE68" s="76">
        <v>65.5</v>
      </c>
      <c r="AF68" s="76">
        <v>65.5</v>
      </c>
      <c r="AG68" s="66">
        <v>69</v>
      </c>
      <c r="AH68" s="48">
        <f t="shared" si="2"/>
        <v>66.3</v>
      </c>
      <c r="AI68" s="49">
        <f t="shared" si="3"/>
        <v>61.8</v>
      </c>
      <c r="AK68" s="51"/>
      <c r="AL68" s="83"/>
      <c r="AO68" s="83"/>
      <c r="AY68" s="1" t="s">
        <v>90</v>
      </c>
      <c r="AZ68" s="82">
        <f>ROUND(C86,0)</f>
        <v>0</v>
      </c>
      <c r="BA68" s="81">
        <f t="shared" si="23"/>
        <v>-532.29999999999995</v>
      </c>
      <c r="BB68" s="81">
        <f t="shared" si="23"/>
        <v>-495</v>
      </c>
      <c r="BC68" s="81">
        <f t="shared" si="23"/>
        <v>-540</v>
      </c>
      <c r="BD68" s="81">
        <f t="shared" si="23"/>
        <v>-593</v>
      </c>
      <c r="BE68" s="82">
        <f>I86</f>
        <v>-540</v>
      </c>
      <c r="BF68" s="82">
        <f>K86</f>
        <v>-480</v>
      </c>
      <c r="BG68" s="82">
        <f t="shared" si="24"/>
        <v>-513</v>
      </c>
      <c r="BH68" s="82">
        <f t="shared" si="24"/>
        <v>-464</v>
      </c>
      <c r="BI68" s="82">
        <f t="shared" si="24"/>
        <v>-465</v>
      </c>
      <c r="BJ68" s="82">
        <f t="shared" si="24"/>
        <v>-470</v>
      </c>
      <c r="BK68" s="82">
        <f t="shared" si="24"/>
        <v>-506</v>
      </c>
      <c r="BL68" s="82">
        <f t="shared" si="24"/>
        <v>-459</v>
      </c>
      <c r="BM68" s="82">
        <f t="shared" si="24"/>
        <v>-499</v>
      </c>
      <c r="BN68" s="82">
        <f t="shared" si="24"/>
        <v>-477</v>
      </c>
      <c r="BO68" s="82">
        <f t="shared" si="24"/>
        <v>-473.7</v>
      </c>
      <c r="BP68" s="82">
        <f t="shared" si="24"/>
        <v>-478</v>
      </c>
      <c r="BQ68" s="82">
        <f>X86</f>
        <v>-490</v>
      </c>
      <c r="BR68" s="82">
        <f>Z86</f>
        <v>-492.2</v>
      </c>
      <c r="BS68" s="81">
        <f>AB86</f>
        <v>-477</v>
      </c>
      <c r="BT68" s="81">
        <f t="shared" si="25"/>
        <v>-451</v>
      </c>
      <c r="BU68" s="81">
        <f t="shared" si="25"/>
        <v>-510</v>
      </c>
      <c r="BV68" s="81">
        <f t="shared" si="25"/>
        <v>-567</v>
      </c>
      <c r="BW68" s="81">
        <f>B86</f>
        <v>-515</v>
      </c>
    </row>
    <row r="69" spans="1:75" s="83" customFormat="1" x14ac:dyDescent="0.25">
      <c r="A69" s="65" t="s">
        <v>83</v>
      </c>
      <c r="B69" s="76">
        <v>60</v>
      </c>
      <c r="C69" s="76"/>
      <c r="D69" s="76">
        <v>60</v>
      </c>
      <c r="E69" s="76">
        <v>60</v>
      </c>
      <c r="F69" s="76">
        <v>60</v>
      </c>
      <c r="G69" s="76">
        <v>60</v>
      </c>
      <c r="H69" s="76">
        <v>60</v>
      </c>
      <c r="I69" s="76">
        <v>60</v>
      </c>
      <c r="J69" s="76">
        <v>60</v>
      </c>
      <c r="K69" s="76">
        <v>60</v>
      </c>
      <c r="L69" s="76">
        <v>60</v>
      </c>
      <c r="M69" s="76">
        <v>60</v>
      </c>
      <c r="N69" s="76">
        <v>60</v>
      </c>
      <c r="O69" s="76">
        <v>60</v>
      </c>
      <c r="P69" s="76">
        <v>60</v>
      </c>
      <c r="Q69" s="76">
        <v>60</v>
      </c>
      <c r="R69" s="76">
        <v>60</v>
      </c>
      <c r="S69" s="76">
        <v>0</v>
      </c>
      <c r="T69" s="76">
        <v>0</v>
      </c>
      <c r="U69" s="76">
        <v>61.2</v>
      </c>
      <c r="V69" s="76">
        <v>61.2</v>
      </c>
      <c r="W69" s="76">
        <v>61.2</v>
      </c>
      <c r="X69" s="76">
        <v>61.2</v>
      </c>
      <c r="Y69" s="76">
        <v>61.4</v>
      </c>
      <c r="Z69" s="76">
        <v>61.4</v>
      </c>
      <c r="AA69" s="76">
        <v>61.4</v>
      </c>
      <c r="AB69" s="76">
        <v>61.4</v>
      </c>
      <c r="AC69" s="76">
        <v>61.4</v>
      </c>
      <c r="AD69" s="76">
        <v>61.4</v>
      </c>
      <c r="AE69" s="76">
        <v>61.4</v>
      </c>
      <c r="AF69" s="76">
        <v>61.4</v>
      </c>
      <c r="AG69" s="66">
        <v>60</v>
      </c>
      <c r="AH69" s="48">
        <f t="shared" si="2"/>
        <v>61.4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3"/>
        <v>0</v>
      </c>
      <c r="BB69" s="81">
        <f t="shared" si="23"/>
        <v>0</v>
      </c>
      <c r="BC69" s="81">
        <f t="shared" si="23"/>
        <v>0</v>
      </c>
      <c r="BD69" s="81">
        <f t="shared" si="23"/>
        <v>0</v>
      </c>
      <c r="BE69" s="82">
        <f>I87</f>
        <v>0</v>
      </c>
      <c r="BF69" s="82">
        <f>K87</f>
        <v>0</v>
      </c>
      <c r="BG69" s="82">
        <f t="shared" si="24"/>
        <v>0</v>
      </c>
      <c r="BH69" s="82">
        <f t="shared" si="24"/>
        <v>0</v>
      </c>
      <c r="BI69" s="82">
        <f t="shared" si="24"/>
        <v>0</v>
      </c>
      <c r="BJ69" s="82">
        <f t="shared" si="24"/>
        <v>0</v>
      </c>
      <c r="BK69" s="82">
        <f t="shared" si="24"/>
        <v>0</v>
      </c>
      <c r="BL69" s="82">
        <f t="shared" si="24"/>
        <v>0</v>
      </c>
      <c r="BM69" s="82">
        <f t="shared" si="24"/>
        <v>0</v>
      </c>
      <c r="BN69" s="82">
        <f t="shared" si="24"/>
        <v>0</v>
      </c>
      <c r="BO69" s="82">
        <f t="shared" si="24"/>
        <v>0</v>
      </c>
      <c r="BP69" s="82">
        <f t="shared" si="24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5"/>
        <v>0</v>
      </c>
      <c r="BU69" s="81">
        <f t="shared" si="25"/>
        <v>0</v>
      </c>
      <c r="BV69" s="81">
        <f t="shared" si="25"/>
        <v>0</v>
      </c>
      <c r="BW69" s="81">
        <f>B87</f>
        <v>0</v>
      </c>
    </row>
    <row r="70" spans="1:75" x14ac:dyDescent="0.25">
      <c r="A70" s="65" t="s">
        <v>84</v>
      </c>
      <c r="B70" s="76">
        <v>28.2</v>
      </c>
      <c r="C70" s="46"/>
      <c r="D70" s="76">
        <v>27.9</v>
      </c>
      <c r="E70" s="76">
        <v>28</v>
      </c>
      <c r="F70" s="76">
        <v>28</v>
      </c>
      <c r="G70" s="76">
        <v>28</v>
      </c>
      <c r="H70" s="76">
        <v>28</v>
      </c>
      <c r="I70" s="76">
        <v>28</v>
      </c>
      <c r="J70" s="76">
        <v>28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27.6</v>
      </c>
      <c r="T70" s="76">
        <v>27.3</v>
      </c>
      <c r="U70" s="76">
        <v>27.3</v>
      </c>
      <c r="V70" s="76">
        <v>27.3</v>
      </c>
      <c r="W70" s="76">
        <v>27.3</v>
      </c>
      <c r="X70" s="76">
        <v>27.3</v>
      </c>
      <c r="Y70" s="76">
        <v>27.3</v>
      </c>
      <c r="Z70" s="76">
        <v>27.3</v>
      </c>
      <c r="AA70" s="76">
        <v>27.3</v>
      </c>
      <c r="AB70" s="76">
        <v>27.3</v>
      </c>
      <c r="AC70" s="76">
        <v>27.3</v>
      </c>
      <c r="AD70" s="76">
        <v>27.3</v>
      </c>
      <c r="AE70" s="76">
        <v>27.3</v>
      </c>
      <c r="AF70" s="76">
        <v>27.3</v>
      </c>
      <c r="AG70" s="66">
        <v>30</v>
      </c>
      <c r="AH70" s="48">
        <f t="shared" si="2"/>
        <v>28.2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3"/>
        <v>0</v>
      </c>
      <c r="BB70" s="81">
        <f t="shared" si="23"/>
        <v>0</v>
      </c>
      <c r="BC70" s="81">
        <f t="shared" si="23"/>
        <v>0</v>
      </c>
      <c r="BD70" s="81">
        <f t="shared" si="23"/>
        <v>0</v>
      </c>
      <c r="BE70" s="82">
        <f>I88</f>
        <v>0</v>
      </c>
      <c r="BF70" s="82">
        <f>K88</f>
        <v>0</v>
      </c>
      <c r="BG70" s="82">
        <f t="shared" si="24"/>
        <v>0</v>
      </c>
      <c r="BH70" s="82">
        <f t="shared" si="24"/>
        <v>0</v>
      </c>
      <c r="BI70" s="82">
        <f t="shared" si="24"/>
        <v>0</v>
      </c>
      <c r="BJ70" s="82">
        <f t="shared" si="24"/>
        <v>0</v>
      </c>
      <c r="BK70" s="82">
        <f t="shared" si="24"/>
        <v>0</v>
      </c>
      <c r="BL70" s="82">
        <f t="shared" si="24"/>
        <v>0</v>
      </c>
      <c r="BM70" s="82">
        <f t="shared" si="24"/>
        <v>0</v>
      </c>
      <c r="BN70" s="82">
        <f t="shared" si="24"/>
        <v>0</v>
      </c>
      <c r="BO70" s="82">
        <f t="shared" si="24"/>
        <v>0</v>
      </c>
      <c r="BP70" s="82">
        <f t="shared" si="24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5"/>
        <v>0</v>
      </c>
      <c r="BU70" s="81">
        <f t="shared" si="25"/>
        <v>0</v>
      </c>
      <c r="BV70" s="81">
        <f t="shared" si="25"/>
        <v>0</v>
      </c>
      <c r="BW70" s="81">
        <f>B88</f>
        <v>0</v>
      </c>
    </row>
    <row r="71" spans="1:75" x14ac:dyDescent="0.25">
      <c r="A71" s="65" t="s">
        <v>85</v>
      </c>
      <c r="B71" s="76">
        <v>0</v>
      </c>
      <c r="C71" s="46"/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3</v>
      </c>
      <c r="K71" s="76">
        <v>3.8</v>
      </c>
      <c r="L71" s="76">
        <v>3.8</v>
      </c>
      <c r="M71" s="76">
        <v>6.2</v>
      </c>
      <c r="N71" s="76">
        <v>6.2</v>
      </c>
      <c r="O71" s="76">
        <v>6.2</v>
      </c>
      <c r="P71" s="76">
        <v>6.2</v>
      </c>
      <c r="Q71" s="76">
        <v>6.2</v>
      </c>
      <c r="R71" s="76">
        <v>6.2</v>
      </c>
      <c r="S71" s="76">
        <v>5.3</v>
      </c>
      <c r="T71" s="76">
        <v>5.4</v>
      </c>
      <c r="U71" s="76">
        <v>4</v>
      </c>
      <c r="V71" s="76">
        <v>3</v>
      </c>
      <c r="W71" s="76">
        <v>2</v>
      </c>
      <c r="X71" s="76">
        <v>1</v>
      </c>
      <c r="Y71" s="76">
        <v>0.4</v>
      </c>
      <c r="Z71" s="76">
        <v>0.4</v>
      </c>
      <c r="AA71" s="76">
        <v>0.4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6.2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6">M94</f>
        <v>0</v>
      </c>
      <c r="BH71" s="82">
        <f t="shared" si="26"/>
        <v>0</v>
      </c>
      <c r="BI71" s="82">
        <f t="shared" si="26"/>
        <v>0</v>
      </c>
      <c r="BJ71" s="82">
        <f t="shared" si="26"/>
        <v>0</v>
      </c>
      <c r="BK71" s="82">
        <f t="shared" si="26"/>
        <v>0</v>
      </c>
      <c r="BL71" s="82">
        <f t="shared" si="26"/>
        <v>0</v>
      </c>
      <c r="BM71" s="82">
        <f t="shared" si="26"/>
        <v>0</v>
      </c>
      <c r="BN71" s="82">
        <f t="shared" si="26"/>
        <v>0</v>
      </c>
      <c r="BO71" s="82">
        <f t="shared" si="26"/>
        <v>0</v>
      </c>
      <c r="BP71" s="82">
        <f t="shared" si="26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11.7</v>
      </c>
      <c r="C72" s="76"/>
      <c r="D72" s="76">
        <v>11.7</v>
      </c>
      <c r="E72" s="76">
        <v>11.7</v>
      </c>
      <c r="F72" s="76">
        <v>11.7</v>
      </c>
      <c r="G72" s="76">
        <v>11.7</v>
      </c>
      <c r="H72" s="76">
        <v>11.7</v>
      </c>
      <c r="I72" s="76">
        <v>11.7</v>
      </c>
      <c r="J72" s="76">
        <v>11.7</v>
      </c>
      <c r="K72" s="76">
        <v>11.7</v>
      </c>
      <c r="L72" s="76">
        <v>11.7</v>
      </c>
      <c r="M72" s="76">
        <v>11.6</v>
      </c>
      <c r="N72" s="76">
        <v>11.6</v>
      </c>
      <c r="O72" s="76">
        <v>11.6</v>
      </c>
      <c r="P72" s="76">
        <v>11.6</v>
      </c>
      <c r="Q72" s="76">
        <v>11.6</v>
      </c>
      <c r="R72" s="76">
        <v>11.6</v>
      </c>
      <c r="S72" s="76">
        <v>11.6</v>
      </c>
      <c r="T72" s="76">
        <v>11.6</v>
      </c>
      <c r="U72" s="76">
        <v>11.6</v>
      </c>
      <c r="V72" s="76">
        <v>11.6</v>
      </c>
      <c r="W72" s="76">
        <v>11.6</v>
      </c>
      <c r="X72" s="76">
        <v>11.6</v>
      </c>
      <c r="Y72" s="76">
        <v>11.6</v>
      </c>
      <c r="Z72" s="76">
        <v>11.6</v>
      </c>
      <c r="AA72" s="76">
        <v>11.6</v>
      </c>
      <c r="AB72" s="76">
        <v>11.6</v>
      </c>
      <c r="AC72" s="76">
        <v>11.6</v>
      </c>
      <c r="AD72" s="76">
        <v>11.6</v>
      </c>
      <c r="AE72" s="76">
        <v>11.6</v>
      </c>
      <c r="AF72" s="76">
        <v>11.6</v>
      </c>
      <c r="AG72" s="66">
        <v>24</v>
      </c>
      <c r="AH72" s="48">
        <f t="shared" si="2"/>
        <v>11.7</v>
      </c>
      <c r="AI72" s="49">
        <f t="shared" si="3"/>
        <v>11.6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2.1</v>
      </c>
      <c r="C73" s="76"/>
      <c r="D73" s="76">
        <v>2.1</v>
      </c>
      <c r="E73" s="76">
        <v>2.1</v>
      </c>
      <c r="F73" s="76">
        <v>2.1</v>
      </c>
      <c r="G73" s="76">
        <v>2.1</v>
      </c>
      <c r="H73" s="76">
        <v>2.1</v>
      </c>
      <c r="I73" s="76">
        <v>2.1</v>
      </c>
      <c r="J73" s="76">
        <v>2.1</v>
      </c>
      <c r="K73" s="76">
        <v>2.1</v>
      </c>
      <c r="L73" s="76">
        <v>2.1</v>
      </c>
      <c r="M73" s="76">
        <v>2.1</v>
      </c>
      <c r="N73" s="76">
        <v>2.1</v>
      </c>
      <c r="O73" s="76">
        <v>2.1</v>
      </c>
      <c r="P73" s="76">
        <v>2.1</v>
      </c>
      <c r="Q73" s="76">
        <v>2.1</v>
      </c>
      <c r="R73" s="76">
        <v>2.1</v>
      </c>
      <c r="S73" s="76">
        <v>2.1</v>
      </c>
      <c r="T73" s="76">
        <v>2.1</v>
      </c>
      <c r="U73" s="76">
        <v>2.1</v>
      </c>
      <c r="V73" s="76">
        <v>2.1</v>
      </c>
      <c r="W73" s="76">
        <v>2.1</v>
      </c>
      <c r="X73" s="76">
        <v>2.1</v>
      </c>
      <c r="Y73" s="76">
        <v>2.1</v>
      </c>
      <c r="Z73" s="76">
        <v>2.1</v>
      </c>
      <c r="AA73" s="76">
        <v>2.1</v>
      </c>
      <c r="AB73" s="76">
        <v>2.1</v>
      </c>
      <c r="AC73" s="76">
        <v>2.1</v>
      </c>
      <c r="AD73" s="76">
        <v>2.1</v>
      </c>
      <c r="AE73" s="76">
        <v>2.1</v>
      </c>
      <c r="AF73" s="76">
        <v>2.1</v>
      </c>
      <c r="AG73" s="66">
        <v>15</v>
      </c>
      <c r="AH73" s="48">
        <f t="shared" si="2"/>
        <v>2.1</v>
      </c>
      <c r="AI73" s="49">
        <f t="shared" si="3"/>
        <v>2.1</v>
      </c>
      <c r="AK73" s="51"/>
      <c r="AZ73" s="82">
        <f t="shared" ref="AZ73:BW78" si="27">VALUE(AZ66)</f>
        <v>0</v>
      </c>
      <c r="BA73" s="82">
        <f t="shared" si="27"/>
        <v>-32</v>
      </c>
      <c r="BB73" s="82">
        <f t="shared" si="27"/>
        <v>14</v>
      </c>
      <c r="BC73" s="82">
        <f t="shared" si="27"/>
        <v>-18</v>
      </c>
      <c r="BD73" s="82">
        <f t="shared" si="27"/>
        <v>-29</v>
      </c>
      <c r="BE73" s="82">
        <f t="shared" si="27"/>
        <v>-28</v>
      </c>
      <c r="BF73" s="82">
        <f t="shared" si="27"/>
        <v>10</v>
      </c>
      <c r="BG73" s="82">
        <f t="shared" si="27"/>
        <v>3.8</v>
      </c>
      <c r="BH73" s="82">
        <f t="shared" si="27"/>
        <v>14</v>
      </c>
      <c r="BI73" s="82">
        <f t="shared" si="27"/>
        <v>10</v>
      </c>
      <c r="BJ73" s="82">
        <f t="shared" si="27"/>
        <v>-19</v>
      </c>
      <c r="BK73" s="82">
        <f t="shared" si="27"/>
        <v>-27</v>
      </c>
      <c r="BL73" s="82">
        <f t="shared" si="27"/>
        <v>-28</v>
      </c>
      <c r="BM73" s="82">
        <f t="shared" si="27"/>
        <v>-33</v>
      </c>
      <c r="BN73" s="82">
        <f t="shared" si="27"/>
        <v>-33.299999999999997</v>
      </c>
      <c r="BO73" s="82">
        <f t="shared" si="27"/>
        <v>-47.3</v>
      </c>
      <c r="BP73" s="82">
        <f t="shared" si="27"/>
        <v>-42.5</v>
      </c>
      <c r="BQ73" s="82">
        <f t="shared" si="27"/>
        <v>-46</v>
      </c>
      <c r="BR73" s="82">
        <f t="shared" si="27"/>
        <v>-17.399999999999999</v>
      </c>
      <c r="BS73" s="82">
        <f t="shared" si="27"/>
        <v>-41.9</v>
      </c>
      <c r="BT73" s="82">
        <f t="shared" si="27"/>
        <v>-40.6</v>
      </c>
      <c r="BU73" s="82">
        <f t="shared" si="27"/>
        <v>-35</v>
      </c>
      <c r="BV73" s="82">
        <f t="shared" si="27"/>
        <v>-30</v>
      </c>
      <c r="BW73" s="82">
        <f t="shared" si="27"/>
        <v>-28</v>
      </c>
    </row>
    <row r="74" spans="1:75" x14ac:dyDescent="0.25">
      <c r="A74" s="65" t="s">
        <v>91</v>
      </c>
      <c r="B74" s="76">
        <v>8.6999999999999993</v>
      </c>
      <c r="C74" s="76"/>
      <c r="D74" s="76">
        <v>9.5</v>
      </c>
      <c r="E74" s="76">
        <v>9.5</v>
      </c>
      <c r="F74" s="76">
        <v>9.5</v>
      </c>
      <c r="G74" s="76">
        <v>9.5</v>
      </c>
      <c r="H74" s="76">
        <v>9.5</v>
      </c>
      <c r="I74" s="76">
        <v>9.5</v>
      </c>
      <c r="J74" s="76">
        <v>9.5</v>
      </c>
      <c r="K74" s="76">
        <v>9.5</v>
      </c>
      <c r="L74" s="76">
        <v>9.5</v>
      </c>
      <c r="M74" s="76">
        <v>9</v>
      </c>
      <c r="N74" s="76">
        <v>9</v>
      </c>
      <c r="O74" s="76">
        <v>9</v>
      </c>
      <c r="P74" s="76">
        <v>9</v>
      </c>
      <c r="Q74" s="76">
        <v>9</v>
      </c>
      <c r="R74" s="76">
        <v>9</v>
      </c>
      <c r="S74" s="76">
        <v>8.1999999999999993</v>
      </c>
      <c r="T74" s="76">
        <v>8.6</v>
      </c>
      <c r="U74" s="76">
        <v>8.6</v>
      </c>
      <c r="V74" s="76">
        <v>8.6</v>
      </c>
      <c r="W74" s="76">
        <v>8.6</v>
      </c>
      <c r="X74" s="76">
        <v>8.6</v>
      </c>
      <c r="Y74" s="76">
        <v>8.6</v>
      </c>
      <c r="Z74" s="76">
        <v>8.6</v>
      </c>
      <c r="AA74" s="76">
        <v>8.6</v>
      </c>
      <c r="AB74" s="76">
        <v>8.6</v>
      </c>
      <c r="AC74" s="76">
        <v>8.6</v>
      </c>
      <c r="AD74" s="76">
        <v>8.6</v>
      </c>
      <c r="AE74" s="76">
        <v>8.6</v>
      </c>
      <c r="AF74" s="76">
        <v>8.6</v>
      </c>
      <c r="AG74" s="66">
        <v>14.1</v>
      </c>
      <c r="AH74" s="48">
        <f t="shared" si="2"/>
        <v>9.5</v>
      </c>
      <c r="AI74" s="49">
        <f t="shared" si="3"/>
        <v>8.1999999999999993</v>
      </c>
      <c r="AK74" s="51"/>
      <c r="AZ74" s="82">
        <f t="shared" si="27"/>
        <v>0</v>
      </c>
      <c r="BA74" s="82">
        <f t="shared" si="27"/>
        <v>0</v>
      </c>
      <c r="BB74" s="82">
        <f t="shared" si="27"/>
        <v>0</v>
      </c>
      <c r="BC74" s="82">
        <f t="shared" si="27"/>
        <v>0</v>
      </c>
      <c r="BD74" s="82">
        <f t="shared" si="27"/>
        <v>0</v>
      </c>
      <c r="BE74" s="82">
        <f t="shared" si="27"/>
        <v>0</v>
      </c>
      <c r="BF74" s="82">
        <f t="shared" si="27"/>
        <v>0</v>
      </c>
      <c r="BG74" s="82">
        <f t="shared" si="27"/>
        <v>0</v>
      </c>
      <c r="BH74" s="82">
        <f t="shared" si="27"/>
        <v>0</v>
      </c>
      <c r="BI74" s="82">
        <f t="shared" si="27"/>
        <v>0</v>
      </c>
      <c r="BJ74" s="82">
        <f t="shared" si="27"/>
        <v>0</v>
      </c>
      <c r="BK74" s="82">
        <f t="shared" si="27"/>
        <v>0</v>
      </c>
      <c r="BL74" s="82">
        <f t="shared" si="27"/>
        <v>0</v>
      </c>
      <c r="BM74" s="82">
        <f t="shared" si="27"/>
        <v>0</v>
      </c>
      <c r="BN74" s="82">
        <f t="shared" si="27"/>
        <v>0</v>
      </c>
      <c r="BO74" s="82">
        <f t="shared" si="27"/>
        <v>0</v>
      </c>
      <c r="BP74" s="82">
        <f t="shared" si="27"/>
        <v>0</v>
      </c>
      <c r="BQ74" s="82">
        <f t="shared" si="27"/>
        <v>0</v>
      </c>
      <c r="BR74" s="82">
        <f t="shared" si="27"/>
        <v>0</v>
      </c>
      <c r="BS74" s="82">
        <f t="shared" si="27"/>
        <v>0</v>
      </c>
      <c r="BT74" s="82">
        <f t="shared" si="27"/>
        <v>0</v>
      </c>
      <c r="BU74" s="82">
        <f t="shared" si="27"/>
        <v>0</v>
      </c>
      <c r="BV74" s="82">
        <f t="shared" si="27"/>
        <v>0</v>
      </c>
      <c r="BW74" s="82">
        <f t="shared" si="27"/>
        <v>0</v>
      </c>
    </row>
    <row r="75" spans="1:75" x14ac:dyDescent="0.25">
      <c r="A75" s="84" t="s">
        <v>93</v>
      </c>
      <c r="B75" s="76">
        <v>14.5</v>
      </c>
      <c r="C75" s="76"/>
      <c r="D75" s="76">
        <v>3.4</v>
      </c>
      <c r="E75" s="76">
        <v>3.4</v>
      </c>
      <c r="F75" s="76">
        <v>4</v>
      </c>
      <c r="G75" s="76">
        <v>4</v>
      </c>
      <c r="H75" s="76">
        <v>4</v>
      </c>
      <c r="I75" s="76">
        <v>4</v>
      </c>
      <c r="J75" s="76">
        <v>4</v>
      </c>
      <c r="K75" s="76">
        <v>8.3000000000000007</v>
      </c>
      <c r="L75" s="76">
        <v>8.3000000000000007</v>
      </c>
      <c r="M75" s="76">
        <v>14.2</v>
      </c>
      <c r="N75" s="76">
        <v>14.2</v>
      </c>
      <c r="O75" s="76">
        <v>14.2</v>
      </c>
      <c r="P75" s="76">
        <v>14.2</v>
      </c>
      <c r="Q75" s="76">
        <v>14.2</v>
      </c>
      <c r="R75" s="76">
        <v>14.2</v>
      </c>
      <c r="S75" s="76">
        <v>14.5</v>
      </c>
      <c r="T75" s="76">
        <v>14.5</v>
      </c>
      <c r="U75" s="76">
        <v>14.5</v>
      </c>
      <c r="V75" s="76">
        <v>14.5</v>
      </c>
      <c r="W75" s="76">
        <v>14.5</v>
      </c>
      <c r="X75" s="76">
        <v>14.5</v>
      </c>
      <c r="Y75" s="76">
        <v>14.5</v>
      </c>
      <c r="Z75" s="76">
        <v>14.5</v>
      </c>
      <c r="AA75" s="76">
        <v>14.5</v>
      </c>
      <c r="AB75" s="76">
        <v>14.3</v>
      </c>
      <c r="AC75" s="76">
        <v>14.3</v>
      </c>
      <c r="AD75" s="76">
        <v>14.3</v>
      </c>
      <c r="AE75" s="76">
        <v>14.3</v>
      </c>
      <c r="AF75" s="76">
        <v>14.3</v>
      </c>
      <c r="AG75" s="66">
        <v>14</v>
      </c>
      <c r="AH75" s="48">
        <f t="shared" si="2"/>
        <v>14.5</v>
      </c>
      <c r="AI75" s="49">
        <f t="shared" si="3"/>
        <v>3.4</v>
      </c>
      <c r="AK75" s="51"/>
      <c r="AZ75" s="82">
        <f t="shared" si="27"/>
        <v>0</v>
      </c>
      <c r="BA75" s="82">
        <f t="shared" si="27"/>
        <v>-532.29999999999995</v>
      </c>
      <c r="BB75" s="82">
        <f t="shared" si="27"/>
        <v>-495</v>
      </c>
      <c r="BC75" s="82">
        <f t="shared" si="27"/>
        <v>-540</v>
      </c>
      <c r="BD75" s="82">
        <f t="shared" si="27"/>
        <v>-593</v>
      </c>
      <c r="BE75" s="82">
        <f t="shared" si="27"/>
        <v>-540</v>
      </c>
      <c r="BF75" s="82">
        <f t="shared" si="27"/>
        <v>-480</v>
      </c>
      <c r="BG75" s="82">
        <f t="shared" si="27"/>
        <v>-513</v>
      </c>
      <c r="BH75" s="82">
        <f t="shared" si="27"/>
        <v>-464</v>
      </c>
      <c r="BI75" s="82">
        <f t="shared" si="27"/>
        <v>-465</v>
      </c>
      <c r="BJ75" s="82">
        <f t="shared" si="27"/>
        <v>-470</v>
      </c>
      <c r="BK75" s="82">
        <f t="shared" si="27"/>
        <v>-506</v>
      </c>
      <c r="BL75" s="82">
        <f t="shared" si="27"/>
        <v>-459</v>
      </c>
      <c r="BM75" s="82">
        <f t="shared" si="27"/>
        <v>-499</v>
      </c>
      <c r="BN75" s="82">
        <f t="shared" si="27"/>
        <v>-477</v>
      </c>
      <c r="BO75" s="82">
        <f t="shared" si="27"/>
        <v>-473.7</v>
      </c>
      <c r="BP75" s="82">
        <f t="shared" si="27"/>
        <v>-478</v>
      </c>
      <c r="BQ75" s="82">
        <f t="shared" si="27"/>
        <v>-490</v>
      </c>
      <c r="BR75" s="82">
        <f t="shared" si="27"/>
        <v>-492.2</v>
      </c>
      <c r="BS75" s="82">
        <f t="shared" si="27"/>
        <v>-477</v>
      </c>
      <c r="BT75" s="82">
        <f t="shared" si="27"/>
        <v>-451</v>
      </c>
      <c r="BU75" s="82">
        <f t="shared" si="27"/>
        <v>-510</v>
      </c>
      <c r="BV75" s="82">
        <f t="shared" si="27"/>
        <v>-567</v>
      </c>
      <c r="BW75" s="82">
        <f t="shared" si="27"/>
        <v>-515</v>
      </c>
    </row>
    <row r="76" spans="1:75" x14ac:dyDescent="0.25">
      <c r="A76" s="65" t="s">
        <v>95</v>
      </c>
      <c r="B76" s="76">
        <v>10.5</v>
      </c>
      <c r="C76" s="76"/>
      <c r="D76" s="76">
        <v>5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8.9</v>
      </c>
      <c r="T76" s="76">
        <v>8.9</v>
      </c>
      <c r="U76" s="76">
        <v>8.9</v>
      </c>
      <c r="V76" s="76">
        <v>8.9</v>
      </c>
      <c r="W76" s="76">
        <v>8.9</v>
      </c>
      <c r="X76" s="76">
        <v>8.9</v>
      </c>
      <c r="Y76" s="76">
        <v>8.9</v>
      </c>
      <c r="Z76" s="76">
        <v>8.9</v>
      </c>
      <c r="AA76" s="76">
        <v>8.9</v>
      </c>
      <c r="AB76" s="76">
        <v>8.9</v>
      </c>
      <c r="AC76" s="76">
        <v>8.9</v>
      </c>
      <c r="AD76" s="76">
        <v>8.9</v>
      </c>
      <c r="AE76" s="76">
        <v>8.9</v>
      </c>
      <c r="AF76" s="76">
        <v>8.9</v>
      </c>
      <c r="AG76" s="66">
        <v>10.050000000000001</v>
      </c>
      <c r="AH76" s="48">
        <f t="shared" ref="AH76:AH133" si="28">MAX(B76:AF76)</f>
        <v>10.5</v>
      </c>
      <c r="AI76" s="49">
        <f t="shared" ref="AI76:AI133" si="29">MIN(B76:AF76)</f>
        <v>0</v>
      </c>
      <c r="AK76" s="51"/>
      <c r="AZ76" s="82">
        <f t="shared" si="27"/>
        <v>0</v>
      </c>
      <c r="BA76" s="82">
        <f t="shared" si="27"/>
        <v>0</v>
      </c>
      <c r="BB76" s="82">
        <f t="shared" si="27"/>
        <v>0</v>
      </c>
      <c r="BC76" s="82">
        <f t="shared" si="27"/>
        <v>0</v>
      </c>
      <c r="BD76" s="82">
        <f t="shared" si="27"/>
        <v>0</v>
      </c>
      <c r="BE76" s="82">
        <f t="shared" si="27"/>
        <v>0</v>
      </c>
      <c r="BF76" s="82">
        <f t="shared" si="27"/>
        <v>0</v>
      </c>
      <c r="BG76" s="82">
        <f t="shared" si="27"/>
        <v>0</v>
      </c>
      <c r="BH76" s="82">
        <f t="shared" si="27"/>
        <v>0</v>
      </c>
      <c r="BI76" s="82">
        <f t="shared" si="27"/>
        <v>0</v>
      </c>
      <c r="BJ76" s="82">
        <f t="shared" si="27"/>
        <v>0</v>
      </c>
      <c r="BK76" s="82">
        <f t="shared" si="27"/>
        <v>0</v>
      </c>
      <c r="BL76" s="82">
        <f t="shared" si="27"/>
        <v>0</v>
      </c>
      <c r="BM76" s="82">
        <f t="shared" si="27"/>
        <v>0</v>
      </c>
      <c r="BN76" s="82">
        <f t="shared" si="27"/>
        <v>0</v>
      </c>
      <c r="BO76" s="82">
        <f t="shared" si="27"/>
        <v>0</v>
      </c>
      <c r="BP76" s="82">
        <f t="shared" si="27"/>
        <v>0</v>
      </c>
      <c r="BQ76" s="82">
        <f t="shared" si="27"/>
        <v>0</v>
      </c>
      <c r="BR76" s="82">
        <f t="shared" si="27"/>
        <v>0</v>
      </c>
      <c r="BS76" s="82">
        <f t="shared" si="27"/>
        <v>0</v>
      </c>
      <c r="BT76" s="82">
        <f t="shared" si="27"/>
        <v>0</v>
      </c>
      <c r="BU76" s="82">
        <f t="shared" si="27"/>
        <v>0</v>
      </c>
      <c r="BV76" s="82">
        <f t="shared" si="27"/>
        <v>0</v>
      </c>
      <c r="BW76" s="82">
        <f t="shared" si="27"/>
        <v>0</v>
      </c>
    </row>
    <row r="77" spans="1:75" x14ac:dyDescent="0.25">
      <c r="A77" s="65" t="s">
        <v>97</v>
      </c>
      <c r="B77" s="76">
        <v>6</v>
      </c>
      <c r="C77" s="76"/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8"/>
        <v>6</v>
      </c>
      <c r="AI77" s="49">
        <f t="shared" si="29"/>
        <v>6</v>
      </c>
      <c r="AK77" s="51"/>
      <c r="AZ77" s="82">
        <f t="shared" si="27"/>
        <v>0</v>
      </c>
      <c r="BA77" s="82">
        <f t="shared" si="27"/>
        <v>0</v>
      </c>
      <c r="BB77" s="82">
        <f t="shared" si="27"/>
        <v>0</v>
      </c>
      <c r="BC77" s="82">
        <f t="shared" si="27"/>
        <v>0</v>
      </c>
      <c r="BD77" s="82">
        <f t="shared" si="27"/>
        <v>0</v>
      </c>
      <c r="BE77" s="82">
        <f t="shared" si="27"/>
        <v>0</v>
      </c>
      <c r="BF77" s="82">
        <f t="shared" si="27"/>
        <v>0</v>
      </c>
      <c r="BG77" s="82">
        <f t="shared" si="27"/>
        <v>0</v>
      </c>
      <c r="BH77" s="82">
        <f t="shared" si="27"/>
        <v>0</v>
      </c>
      <c r="BI77" s="82">
        <f t="shared" si="27"/>
        <v>0</v>
      </c>
      <c r="BJ77" s="82">
        <f t="shared" si="27"/>
        <v>0</v>
      </c>
      <c r="BK77" s="82">
        <f t="shared" si="27"/>
        <v>0</v>
      </c>
      <c r="BL77" s="82">
        <f t="shared" si="27"/>
        <v>0</v>
      </c>
      <c r="BM77" s="82">
        <f t="shared" si="27"/>
        <v>0</v>
      </c>
      <c r="BN77" s="82">
        <f t="shared" si="27"/>
        <v>0</v>
      </c>
      <c r="BO77" s="82">
        <f t="shared" si="27"/>
        <v>0</v>
      </c>
      <c r="BP77" s="82">
        <f t="shared" si="27"/>
        <v>0</v>
      </c>
      <c r="BQ77" s="82">
        <f t="shared" si="27"/>
        <v>0</v>
      </c>
      <c r="BR77" s="82">
        <f t="shared" si="27"/>
        <v>0</v>
      </c>
      <c r="BS77" s="82">
        <f t="shared" si="27"/>
        <v>0</v>
      </c>
      <c r="BT77" s="82">
        <f t="shared" si="27"/>
        <v>0</v>
      </c>
      <c r="BU77" s="82">
        <f t="shared" si="27"/>
        <v>0</v>
      </c>
      <c r="BV77" s="82">
        <f t="shared" si="27"/>
        <v>0</v>
      </c>
      <c r="BW77" s="82">
        <f t="shared" si="27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8"/>
        <v>3.54</v>
      </c>
      <c r="AI78" s="49">
        <f t="shared" si="29"/>
        <v>3.54</v>
      </c>
      <c r="AK78" s="51"/>
      <c r="AZ78" s="82">
        <f t="shared" si="27"/>
        <v>0</v>
      </c>
      <c r="BA78" s="82">
        <f t="shared" si="27"/>
        <v>0</v>
      </c>
      <c r="BB78" s="82">
        <f t="shared" si="27"/>
        <v>0</v>
      </c>
      <c r="BC78" s="82">
        <f t="shared" si="27"/>
        <v>0</v>
      </c>
      <c r="BD78" s="82">
        <f t="shared" si="27"/>
        <v>0</v>
      </c>
      <c r="BE78" s="82">
        <f t="shared" si="27"/>
        <v>0</v>
      </c>
      <c r="BF78" s="82">
        <f t="shared" si="27"/>
        <v>0</v>
      </c>
      <c r="BG78" s="82">
        <f t="shared" si="27"/>
        <v>0</v>
      </c>
      <c r="BH78" s="82">
        <f t="shared" si="27"/>
        <v>0</v>
      </c>
      <c r="BI78" s="82">
        <f t="shared" si="27"/>
        <v>0</v>
      </c>
      <c r="BJ78" s="82">
        <f t="shared" si="27"/>
        <v>0</v>
      </c>
      <c r="BK78" s="82">
        <f t="shared" si="27"/>
        <v>0</v>
      </c>
      <c r="BL78" s="82">
        <f t="shared" si="27"/>
        <v>0</v>
      </c>
      <c r="BM78" s="82">
        <f t="shared" si="27"/>
        <v>0</v>
      </c>
      <c r="BN78" s="82">
        <f t="shared" si="27"/>
        <v>0</v>
      </c>
      <c r="BO78" s="82">
        <f t="shared" si="27"/>
        <v>0</v>
      </c>
      <c r="BP78" s="82">
        <f t="shared" si="27"/>
        <v>0</v>
      </c>
      <c r="BQ78" s="82">
        <f t="shared" si="27"/>
        <v>0</v>
      </c>
      <c r="BR78" s="82">
        <f t="shared" si="27"/>
        <v>0</v>
      </c>
      <c r="BS78" s="82">
        <f t="shared" si="27"/>
        <v>0</v>
      </c>
      <c r="BT78" s="82">
        <f t="shared" si="27"/>
        <v>0</v>
      </c>
      <c r="BU78" s="82">
        <f t="shared" si="27"/>
        <v>0</v>
      </c>
      <c r="BV78" s="82">
        <f t="shared" si="27"/>
        <v>0</v>
      </c>
      <c r="BW78" s="82">
        <f t="shared" si="27"/>
        <v>0</v>
      </c>
    </row>
    <row r="79" spans="1:75" ht="15.75" thickBot="1" x14ac:dyDescent="0.3">
      <c r="A79" s="87" t="s">
        <v>99</v>
      </c>
      <c r="B79" s="71">
        <f>SUM(B66:B78)</f>
        <v>411.24</v>
      </c>
      <c r="C79" s="71">
        <f t="shared" ref="C79:AG79" si="30">SUM(C66:C78)</f>
        <v>3.54</v>
      </c>
      <c r="D79" s="71">
        <f t="shared" si="30"/>
        <v>404.34</v>
      </c>
      <c r="E79" s="71">
        <f t="shared" si="30"/>
        <v>259.44</v>
      </c>
      <c r="F79" s="71">
        <f t="shared" si="30"/>
        <v>305.64000000000004</v>
      </c>
      <c r="G79" s="71">
        <f t="shared" si="30"/>
        <v>354.64000000000004</v>
      </c>
      <c r="H79" s="71">
        <f t="shared" si="30"/>
        <v>338.64000000000004</v>
      </c>
      <c r="I79" s="71">
        <f t="shared" si="30"/>
        <v>338.64000000000004</v>
      </c>
      <c r="J79" s="71">
        <f t="shared" si="30"/>
        <v>261.64000000000004</v>
      </c>
      <c r="K79" s="71">
        <f t="shared" si="30"/>
        <v>240.14</v>
      </c>
      <c r="L79" s="71">
        <f t="shared" si="30"/>
        <v>240.14</v>
      </c>
      <c r="M79" s="71">
        <f t="shared" si="30"/>
        <v>317.44000000000005</v>
      </c>
      <c r="N79" s="71">
        <f t="shared" si="30"/>
        <v>317.44000000000005</v>
      </c>
      <c r="O79" s="71">
        <f t="shared" si="30"/>
        <v>317.44000000000005</v>
      </c>
      <c r="P79" s="71">
        <f t="shared" si="30"/>
        <v>312.44000000000005</v>
      </c>
      <c r="Q79" s="71">
        <f t="shared" si="30"/>
        <v>337.44000000000005</v>
      </c>
      <c r="R79" s="71">
        <f t="shared" si="30"/>
        <v>337.44000000000005</v>
      </c>
      <c r="S79" s="71">
        <f t="shared" si="30"/>
        <v>324.74000000000007</v>
      </c>
      <c r="T79" s="71">
        <f t="shared" si="30"/>
        <v>341.84000000000003</v>
      </c>
      <c r="U79" s="71">
        <f t="shared" si="30"/>
        <v>412.14000000000004</v>
      </c>
      <c r="V79" s="71">
        <f t="shared" si="30"/>
        <v>411.14000000000004</v>
      </c>
      <c r="W79" s="71">
        <f t="shared" si="30"/>
        <v>410.14000000000004</v>
      </c>
      <c r="X79" s="71">
        <f t="shared" si="30"/>
        <v>409.14000000000004</v>
      </c>
      <c r="Y79" s="71">
        <f t="shared" si="30"/>
        <v>390.64000000000004</v>
      </c>
      <c r="Z79" s="71">
        <f t="shared" si="30"/>
        <v>390.64000000000004</v>
      </c>
      <c r="AA79" s="71">
        <f t="shared" si="30"/>
        <v>390.64000000000004</v>
      </c>
      <c r="AB79" s="71">
        <f>SUM(AB66:AB78)</f>
        <v>415.74000000000007</v>
      </c>
      <c r="AC79" s="71">
        <f>SUM(AC66:AC78)</f>
        <v>413.74000000000007</v>
      </c>
      <c r="AD79" s="71">
        <f>SUM(AD66:AD78)</f>
        <v>399.74000000000007</v>
      </c>
      <c r="AE79" s="71">
        <f>SUM(AE66:AE78)</f>
        <v>399.74000000000007</v>
      </c>
      <c r="AF79" s="71">
        <f>SUM(AF66:AF78)</f>
        <v>399.74000000000007</v>
      </c>
      <c r="AG79" s="72">
        <f t="shared" si="30"/>
        <v>489.91</v>
      </c>
      <c r="AH79" s="48">
        <f t="shared" si="28"/>
        <v>415.74000000000007</v>
      </c>
      <c r="AI79" s="49">
        <f t="shared" si="29"/>
        <v>3.54</v>
      </c>
      <c r="AK79" s="51"/>
      <c r="AY79" s="82"/>
    </row>
    <row r="80" spans="1:75" x14ac:dyDescent="0.25">
      <c r="A80" s="45" t="s">
        <v>100</v>
      </c>
      <c r="B80" s="46">
        <v>0</v>
      </c>
      <c r="C80" s="46"/>
      <c r="D80" s="46">
        <v>0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28"/>
        <v>0</v>
      </c>
      <c r="AI80" s="49">
        <f t="shared" si="29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/>
      <c r="D81" s="76">
        <v>0</v>
      </c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28"/>
        <v>0</v>
      </c>
      <c r="AI81" s="49">
        <f t="shared" si="29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/>
      <c r="D82" s="78">
        <v>0</v>
      </c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28"/>
        <v>0</v>
      </c>
      <c r="AI82" s="49">
        <f t="shared" si="29"/>
        <v>0</v>
      </c>
      <c r="AK82" s="51"/>
      <c r="AY82" s="82"/>
      <c r="BF82" s="81"/>
      <c r="BG82" s="82">
        <f t="array" ref="BG82:BL105">TRANSPOSE(AZ66:BW71)</f>
        <v>0</v>
      </c>
      <c r="BH82" s="82">
        <v>0</v>
      </c>
      <c r="BI82" s="82">
        <v>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0</v>
      </c>
      <c r="C83" s="71">
        <f t="shared" ref="C83:AA83" si="31">C80+C81+C82</f>
        <v>0</v>
      </c>
      <c r="D83" s="71">
        <f t="shared" si="31"/>
        <v>0</v>
      </c>
      <c r="E83" s="71">
        <f t="shared" si="31"/>
        <v>0</v>
      </c>
      <c r="F83" s="71">
        <f t="shared" si="31"/>
        <v>0</v>
      </c>
      <c r="G83" s="71">
        <f t="shared" si="31"/>
        <v>0</v>
      </c>
      <c r="H83" s="71">
        <f t="shared" si="31"/>
        <v>0</v>
      </c>
      <c r="I83" s="71">
        <f t="shared" si="31"/>
        <v>0</v>
      </c>
      <c r="J83" s="71">
        <f t="shared" si="31"/>
        <v>0</v>
      </c>
      <c r="K83" s="71">
        <f t="shared" si="31"/>
        <v>0</v>
      </c>
      <c r="L83" s="71">
        <f t="shared" si="31"/>
        <v>0</v>
      </c>
      <c r="M83" s="71">
        <f t="shared" si="31"/>
        <v>0</v>
      </c>
      <c r="N83" s="71">
        <f t="shared" si="31"/>
        <v>0</v>
      </c>
      <c r="O83" s="71">
        <f t="shared" si="31"/>
        <v>0</v>
      </c>
      <c r="P83" s="71">
        <f t="shared" si="31"/>
        <v>0</v>
      </c>
      <c r="Q83" s="71">
        <f t="shared" si="31"/>
        <v>0</v>
      </c>
      <c r="R83" s="71">
        <f t="shared" si="31"/>
        <v>0</v>
      </c>
      <c r="S83" s="71">
        <f t="shared" si="31"/>
        <v>0</v>
      </c>
      <c r="T83" s="71">
        <f t="shared" si="31"/>
        <v>0</v>
      </c>
      <c r="U83" s="71">
        <f t="shared" si="31"/>
        <v>0</v>
      </c>
      <c r="V83" s="71">
        <f t="shared" si="31"/>
        <v>0</v>
      </c>
      <c r="W83" s="71">
        <f t="shared" si="31"/>
        <v>0</v>
      </c>
      <c r="X83" s="71">
        <f t="shared" si="31"/>
        <v>0</v>
      </c>
      <c r="Y83" s="71">
        <f t="shared" si="31"/>
        <v>0</v>
      </c>
      <c r="Z83" s="71">
        <f t="shared" si="31"/>
        <v>0</v>
      </c>
      <c r="AA83" s="71">
        <f t="shared" si="31"/>
        <v>0</v>
      </c>
      <c r="AB83" s="71">
        <f>AB80+AB81+AB82</f>
        <v>0</v>
      </c>
      <c r="AC83" s="71">
        <f>AC80+AC81+AC82</f>
        <v>0</v>
      </c>
      <c r="AD83" s="71">
        <f>AD80+AD81+AD82</f>
        <v>0</v>
      </c>
      <c r="AE83" s="71">
        <f>AE80+AE81+AE82</f>
        <v>0</v>
      </c>
      <c r="AF83" s="71">
        <f>AF80+AF81+AF82</f>
        <v>0</v>
      </c>
      <c r="AG83" s="72">
        <f>SUM(AG80:AG82)</f>
        <v>106</v>
      </c>
      <c r="AH83" s="48">
        <f t="shared" si="28"/>
        <v>0</v>
      </c>
      <c r="AI83" s="49">
        <f t="shared" si="29"/>
        <v>0</v>
      </c>
      <c r="AK83" s="51"/>
      <c r="AY83" s="82"/>
      <c r="BF83" s="81"/>
      <c r="BG83" s="82">
        <v>-32</v>
      </c>
      <c r="BH83" s="82">
        <v>0</v>
      </c>
      <c r="BI83" s="82">
        <v>-532.29999999999995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-28</v>
      </c>
      <c r="C84" s="46"/>
      <c r="D84" s="46">
        <v>-32</v>
      </c>
      <c r="E84" s="46">
        <v>14</v>
      </c>
      <c r="F84" s="46">
        <v>-18</v>
      </c>
      <c r="G84" s="46">
        <v>-29</v>
      </c>
      <c r="H84" s="46">
        <v>-31</v>
      </c>
      <c r="I84" s="46">
        <v>-28</v>
      </c>
      <c r="J84" s="46">
        <v>-30</v>
      </c>
      <c r="K84" s="46">
        <v>10</v>
      </c>
      <c r="L84" s="46">
        <v>4</v>
      </c>
      <c r="M84" s="46">
        <v>3.8</v>
      </c>
      <c r="N84" s="46">
        <v>14</v>
      </c>
      <c r="O84" s="46">
        <v>10</v>
      </c>
      <c r="P84" s="46">
        <v>-19</v>
      </c>
      <c r="Q84" s="46">
        <v>-27</v>
      </c>
      <c r="R84" s="46">
        <v>-28</v>
      </c>
      <c r="S84" s="46">
        <v>-33</v>
      </c>
      <c r="T84" s="46">
        <v>-33.299999999999997</v>
      </c>
      <c r="U84" s="46">
        <v>-47.3</v>
      </c>
      <c r="V84" s="46">
        <v>-42.5</v>
      </c>
      <c r="W84" s="46">
        <v>-44.9</v>
      </c>
      <c r="X84" s="46">
        <v>-46</v>
      </c>
      <c r="Y84" s="46">
        <v>-43.5</v>
      </c>
      <c r="Z84" s="46">
        <v>-17.399999999999999</v>
      </c>
      <c r="AA84" s="46">
        <v>-54.7</v>
      </c>
      <c r="AB84" s="46">
        <v>-41.9</v>
      </c>
      <c r="AC84" s="46">
        <v>-40.6</v>
      </c>
      <c r="AD84" s="46">
        <v>-40.6</v>
      </c>
      <c r="AE84" s="46">
        <v>-35</v>
      </c>
      <c r="AF84" s="46">
        <v>-30</v>
      </c>
      <c r="AG84" s="61"/>
      <c r="AH84" s="48">
        <f t="shared" si="28"/>
        <v>14</v>
      </c>
      <c r="AI84" s="49">
        <f t="shared" si="29"/>
        <v>-54.7</v>
      </c>
      <c r="AK84" s="51"/>
      <c r="AY84" s="82"/>
      <c r="BF84" s="81"/>
      <c r="BG84" s="82">
        <v>14</v>
      </c>
      <c r="BH84" s="82">
        <v>0</v>
      </c>
      <c r="BI84" s="82">
        <v>-495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8"/>
        <v>0</v>
      </c>
      <c r="AI85" s="49">
        <f t="shared" si="29"/>
        <v>0</v>
      </c>
      <c r="AK85" s="51"/>
      <c r="AL85" s="91" t="s">
        <v>111</v>
      </c>
      <c r="AM85" s="91"/>
      <c r="AY85" s="82"/>
      <c r="BF85" s="82"/>
      <c r="BG85" s="82">
        <v>-18</v>
      </c>
      <c r="BH85" s="82">
        <v>0</v>
      </c>
      <c r="BI85" s="82">
        <v>-540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-515</v>
      </c>
      <c r="C86" s="76"/>
      <c r="D86" s="76">
        <v>-532.29999999999995</v>
      </c>
      <c r="E86" s="76">
        <v>-495</v>
      </c>
      <c r="F86" s="76">
        <v>-540</v>
      </c>
      <c r="G86" s="76">
        <v>-593</v>
      </c>
      <c r="H86" s="76">
        <v>-580</v>
      </c>
      <c r="I86" s="76">
        <v>-540</v>
      </c>
      <c r="J86" s="76">
        <v>-500</v>
      </c>
      <c r="K86" s="76">
        <v>-480</v>
      </c>
      <c r="L86" s="76">
        <v>-540</v>
      </c>
      <c r="M86" s="76">
        <v>-513</v>
      </c>
      <c r="N86" s="76">
        <v>-464</v>
      </c>
      <c r="O86" s="76">
        <v>-465</v>
      </c>
      <c r="P86" s="76">
        <v>-470</v>
      </c>
      <c r="Q86" s="76">
        <v>-506</v>
      </c>
      <c r="R86" s="76">
        <v>-459</v>
      </c>
      <c r="S86" s="76">
        <v>-499</v>
      </c>
      <c r="T86" s="76">
        <v>-477</v>
      </c>
      <c r="U86" s="76">
        <v>-473.7</v>
      </c>
      <c r="V86" s="76">
        <v>-478</v>
      </c>
      <c r="W86" s="76">
        <v>-447</v>
      </c>
      <c r="X86" s="76">
        <v>-490</v>
      </c>
      <c r="Y86" s="76">
        <v>-575.79999999999995</v>
      </c>
      <c r="Z86" s="76">
        <v>-492.2</v>
      </c>
      <c r="AA86" s="76">
        <v>-460.2</v>
      </c>
      <c r="AB86" s="76">
        <v>-477</v>
      </c>
      <c r="AC86" s="76">
        <v>-451</v>
      </c>
      <c r="AD86" s="76">
        <v>-451</v>
      </c>
      <c r="AE86" s="76">
        <v>-510</v>
      </c>
      <c r="AF86" s="76">
        <v>-567</v>
      </c>
      <c r="AG86" s="88"/>
      <c r="AH86" s="48">
        <f t="shared" si="28"/>
        <v>-447</v>
      </c>
      <c r="AI86" s="49">
        <f t="shared" si="29"/>
        <v>-593</v>
      </c>
      <c r="AK86" s="92"/>
      <c r="AL86" s="93"/>
      <c r="AM86" s="93"/>
      <c r="AN86" s="94"/>
      <c r="AY86" s="82"/>
      <c r="BF86" s="82"/>
      <c r="BG86" s="82">
        <v>-29</v>
      </c>
      <c r="BH86" s="82">
        <v>0</v>
      </c>
      <c r="BI86" s="82">
        <v>-593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76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8"/>
        <v>0</v>
      </c>
      <c r="AI87" s="49">
        <f t="shared" si="29"/>
        <v>0</v>
      </c>
      <c r="AK87" s="95" t="s">
        <v>114</v>
      </c>
      <c r="AL87" s="76"/>
      <c r="AM87" s="89"/>
      <c r="AN87" s="96"/>
      <c r="AY87" s="82"/>
      <c r="BF87" s="82"/>
      <c r="BG87" s="82">
        <v>-28</v>
      </c>
      <c r="BH87" s="82">
        <v>0</v>
      </c>
      <c r="BI87" s="82">
        <v>-540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8"/>
        <v>0</v>
      </c>
      <c r="AI88" s="49">
        <f t="shared" si="29"/>
        <v>0</v>
      </c>
      <c r="AK88" s="95" t="s">
        <v>116</v>
      </c>
      <c r="AL88" s="89"/>
      <c r="AM88" s="89"/>
      <c r="AN88" s="96"/>
      <c r="AY88" s="82"/>
      <c r="BF88" s="82"/>
      <c r="BG88" s="82">
        <v>10</v>
      </c>
      <c r="BH88" s="82">
        <v>0</v>
      </c>
      <c r="BI88" s="82">
        <v>-480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28"/>
        <v>0</v>
      </c>
      <c r="AI89" s="49">
        <f t="shared" si="29"/>
        <v>0</v>
      </c>
      <c r="AK89" s="99"/>
      <c r="AL89" s="46"/>
      <c r="AM89" s="46"/>
      <c r="AN89" s="100"/>
      <c r="AY89" s="82"/>
      <c r="BF89" s="82"/>
      <c r="BG89" s="82">
        <v>3.8</v>
      </c>
      <c r="BH89" s="82">
        <v>0</v>
      </c>
      <c r="BI89" s="82">
        <v>-513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8"/>
        <v>0</v>
      </c>
      <c r="AI90" s="49">
        <f t="shared" si="29"/>
        <v>0</v>
      </c>
      <c r="AK90" s="99"/>
      <c r="AL90" s="90"/>
      <c r="AM90" s="102"/>
      <c r="AN90" s="204"/>
      <c r="AY90" s="82"/>
      <c r="BF90" s="82"/>
      <c r="BG90" s="82">
        <v>14</v>
      </c>
      <c r="BH90" s="82">
        <v>0</v>
      </c>
      <c r="BI90" s="82">
        <v>-464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8"/>
        <v>0</v>
      </c>
      <c r="AI91" s="49">
        <f t="shared" si="29"/>
        <v>0</v>
      </c>
      <c r="AK91" s="99"/>
      <c r="AL91" s="90"/>
      <c r="AM91" s="90"/>
      <c r="AN91" s="205"/>
      <c r="BF91" s="82"/>
      <c r="BG91" s="82">
        <v>10</v>
      </c>
      <c r="BH91" s="82">
        <v>0</v>
      </c>
      <c r="BI91" s="82">
        <v>-465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8"/>
        <v>0</v>
      </c>
      <c r="AI92" s="49">
        <f t="shared" si="29"/>
        <v>0</v>
      </c>
      <c r="AK92" s="104"/>
      <c r="AL92" s="105"/>
      <c r="AM92" s="105"/>
      <c r="AN92" s="106"/>
      <c r="BF92" s="82"/>
      <c r="BG92" s="82">
        <v>-19</v>
      </c>
      <c r="BH92" s="82">
        <v>0</v>
      </c>
      <c r="BI92" s="82">
        <v>-470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8"/>
        <v>0</v>
      </c>
      <c r="AI93" s="49">
        <f t="shared" si="29"/>
        <v>0</v>
      </c>
      <c r="BF93" s="82"/>
      <c r="BG93" s="82">
        <v>-27</v>
      </c>
      <c r="BH93" s="82">
        <v>0</v>
      </c>
      <c r="BI93" s="82">
        <v>-506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8"/>
        <v>0</v>
      </c>
      <c r="AI94" s="49">
        <f t="shared" si="29"/>
        <v>0</v>
      </c>
      <c r="BF94" s="82"/>
      <c r="BG94" s="82">
        <v>-28</v>
      </c>
      <c r="BH94" s="82">
        <v>0</v>
      </c>
      <c r="BI94" s="82">
        <v>-459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>SUMIF(D84:D94,"&gt;0")</f>
        <v>0</v>
      </c>
      <c r="E95" s="71">
        <f t="shared" ref="E95:AB95" si="32">SUMIF(E84:E94,"&gt;0")</f>
        <v>14</v>
      </c>
      <c r="F95" s="71">
        <f t="shared" si="32"/>
        <v>0</v>
      </c>
      <c r="G95" s="71">
        <f t="shared" si="32"/>
        <v>0</v>
      </c>
      <c r="H95" s="71">
        <f t="shared" si="32"/>
        <v>0</v>
      </c>
      <c r="I95" s="71">
        <f t="shared" si="32"/>
        <v>0</v>
      </c>
      <c r="J95" s="71">
        <f t="shared" si="32"/>
        <v>0</v>
      </c>
      <c r="K95" s="71">
        <f t="shared" si="32"/>
        <v>10</v>
      </c>
      <c r="L95" s="71">
        <f t="shared" si="32"/>
        <v>4</v>
      </c>
      <c r="M95" s="71">
        <f t="shared" si="32"/>
        <v>3.8</v>
      </c>
      <c r="N95" s="71">
        <f t="shared" si="32"/>
        <v>14</v>
      </c>
      <c r="O95" s="71">
        <f t="shared" si="32"/>
        <v>10</v>
      </c>
      <c r="P95" s="71">
        <f t="shared" si="32"/>
        <v>0</v>
      </c>
      <c r="Q95" s="71">
        <f t="shared" si="32"/>
        <v>0</v>
      </c>
      <c r="R95" s="71">
        <f t="shared" si="32"/>
        <v>0</v>
      </c>
      <c r="S95" s="71">
        <f t="shared" si="32"/>
        <v>0</v>
      </c>
      <c r="T95" s="71">
        <f t="shared" si="32"/>
        <v>0</v>
      </c>
      <c r="U95" s="71">
        <f>SUMIF(U84:U94,"&gt;0")</f>
        <v>0</v>
      </c>
      <c r="V95" s="71">
        <f t="shared" si="32"/>
        <v>0</v>
      </c>
      <c r="W95" s="71">
        <f t="shared" si="32"/>
        <v>0</v>
      </c>
      <c r="X95" s="71">
        <f t="shared" si="32"/>
        <v>0</v>
      </c>
      <c r="Y95" s="71">
        <f t="shared" si="32"/>
        <v>0</v>
      </c>
      <c r="Z95" s="71">
        <f t="shared" si="32"/>
        <v>0</v>
      </c>
      <c r="AA95" s="71">
        <f t="shared" si="32"/>
        <v>0</v>
      </c>
      <c r="AB95" s="71">
        <f t="shared" si="32"/>
        <v>0</v>
      </c>
      <c r="AC95" s="71">
        <f>SUMIF(AC84:AC94,"&gt;0")</f>
        <v>0</v>
      </c>
      <c r="AD95" s="71">
        <f>SUMIF(AD84:AD94,"&gt;0")</f>
        <v>0</v>
      </c>
      <c r="AE95" s="71">
        <f>SUMIF(AE84:AE94,"&gt;0")</f>
        <v>0</v>
      </c>
      <c r="AF95" s="71">
        <f>SUMIF(AF84:AF94,"&gt;0")</f>
        <v>0</v>
      </c>
      <c r="AG95" s="101">
        <f>SUM(AG84:AG94)</f>
        <v>0</v>
      </c>
      <c r="AH95" s="48">
        <f t="shared" si="28"/>
        <v>14</v>
      </c>
      <c r="AI95" s="49">
        <f t="shared" si="29"/>
        <v>0</v>
      </c>
      <c r="BF95" s="82"/>
      <c r="BG95" s="82">
        <v>-33</v>
      </c>
      <c r="BH95" s="82">
        <v>0</v>
      </c>
      <c r="BI95" s="82">
        <v>-499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8"/>
        <v>0</v>
      </c>
      <c r="AI96" s="49">
        <f t="shared" si="29"/>
        <v>0</v>
      </c>
      <c r="BF96" s="82"/>
      <c r="BG96" s="82">
        <v>-33.299999999999997</v>
      </c>
      <c r="BH96" s="82">
        <v>0</v>
      </c>
      <c r="BI96" s="82">
        <v>-477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8"/>
        <v>0</v>
      </c>
      <c r="AI97" s="49">
        <f t="shared" si="29"/>
        <v>0</v>
      </c>
      <c r="BF97" s="82"/>
      <c r="BG97" s="82">
        <v>-47.3</v>
      </c>
      <c r="BH97" s="82">
        <v>0</v>
      </c>
      <c r="BI97" s="82">
        <v>-473.7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8"/>
        <v>0</v>
      </c>
      <c r="AI98" s="49">
        <f t="shared" si="29"/>
        <v>0</v>
      </c>
      <c r="BF98" s="82"/>
      <c r="BG98" s="82">
        <v>-42.5</v>
      </c>
      <c r="BH98" s="82">
        <v>0</v>
      </c>
      <c r="BI98" s="82">
        <v>-478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8"/>
        <v>0</v>
      </c>
      <c r="AI99" s="49">
        <f t="shared" si="29"/>
        <v>0</v>
      </c>
      <c r="BF99" s="81"/>
      <c r="BG99" s="82">
        <v>-46</v>
      </c>
      <c r="BH99" s="82">
        <v>0</v>
      </c>
      <c r="BI99" s="82">
        <v>-490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2064.04</v>
      </c>
      <c r="C100" s="108">
        <f t="shared" ref="C100:AG100" si="33">C61+C65+C83+C79+C95+C99</f>
        <v>166.04</v>
      </c>
      <c r="D100" s="108">
        <f t="shared" si="33"/>
        <v>1845.5400000000002</v>
      </c>
      <c r="E100" s="108">
        <f t="shared" si="33"/>
        <v>1712.3400000000001</v>
      </c>
      <c r="F100" s="108">
        <f t="shared" si="33"/>
        <v>1757.9400000000003</v>
      </c>
      <c r="G100" s="108">
        <f t="shared" si="33"/>
        <v>1792.64</v>
      </c>
      <c r="H100" s="108">
        <f t="shared" si="33"/>
        <v>1803.7400000000002</v>
      </c>
      <c r="I100" s="108">
        <f t="shared" si="33"/>
        <v>1803.4400000000003</v>
      </c>
      <c r="J100" s="108">
        <f t="shared" si="33"/>
        <v>1729.14</v>
      </c>
      <c r="K100" s="108">
        <f t="shared" si="33"/>
        <v>1657.3400000000001</v>
      </c>
      <c r="L100" s="108">
        <f t="shared" si="33"/>
        <v>1663.1399999999999</v>
      </c>
      <c r="M100" s="108">
        <f t="shared" si="33"/>
        <v>1824.8400000000001</v>
      </c>
      <c r="N100" s="108">
        <f t="shared" si="33"/>
        <v>1835.0400000000002</v>
      </c>
      <c r="O100" s="108">
        <f t="shared" si="33"/>
        <v>1854.0400000000002</v>
      </c>
      <c r="P100" s="108">
        <f t="shared" si="33"/>
        <v>1840.04</v>
      </c>
      <c r="Q100" s="108">
        <f t="shared" si="33"/>
        <v>1865.8400000000001</v>
      </c>
      <c r="R100" s="108">
        <f t="shared" si="33"/>
        <v>1865.8400000000001</v>
      </c>
      <c r="S100" s="108">
        <f t="shared" si="33"/>
        <v>1923.1400000000003</v>
      </c>
      <c r="T100" s="108">
        <f t="shared" si="33"/>
        <v>1893.5100000000002</v>
      </c>
      <c r="U100" s="108">
        <f t="shared" si="33"/>
        <v>1868.8100000000002</v>
      </c>
      <c r="V100" s="108">
        <f t="shared" si="33"/>
        <v>1874.9400000000003</v>
      </c>
      <c r="W100" s="108">
        <f t="shared" si="33"/>
        <v>1874.0400000000002</v>
      </c>
      <c r="X100" s="108">
        <f t="shared" si="33"/>
        <v>1865.0400000000002</v>
      </c>
      <c r="Y100" s="108">
        <f t="shared" si="33"/>
        <v>1931.9400000000003</v>
      </c>
      <c r="Z100" s="108">
        <f t="shared" si="33"/>
        <v>1921.5400000000002</v>
      </c>
      <c r="AA100" s="108">
        <f t="shared" si="33"/>
        <v>2087.2400000000002</v>
      </c>
      <c r="AB100" s="108">
        <f t="shared" si="33"/>
        <v>2122.0400000000004</v>
      </c>
      <c r="AC100" s="108">
        <f>AC61+AC65+AC83+AC79+AC95+AC99</f>
        <v>2112.0400000000004</v>
      </c>
      <c r="AD100" s="108">
        <f>AD61+AD65+AD83+AD79+AD95+AD99</f>
        <v>2098.0400000000004</v>
      </c>
      <c r="AE100" s="108">
        <f>AE61+AE65+AE83+AE79+AE95+AE99</f>
        <v>2080.7400000000002</v>
      </c>
      <c r="AF100" s="108">
        <f>AF61+AF65+AF83+AF79+AF95+AF99</f>
        <v>2075.7400000000002</v>
      </c>
      <c r="AG100" s="72">
        <f t="shared" si="33"/>
        <v>2655.44</v>
      </c>
      <c r="AH100" s="48">
        <f t="shared" si="28"/>
        <v>2122.0400000000004</v>
      </c>
      <c r="AI100" s="49">
        <f t="shared" si="29"/>
        <v>166.04</v>
      </c>
      <c r="BF100" s="81"/>
      <c r="BG100" s="82">
        <v>-17.399999999999999</v>
      </c>
      <c r="BH100" s="82">
        <v>0</v>
      </c>
      <c r="BI100" s="82">
        <v>-492.2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>
        <v>150</v>
      </c>
      <c r="F101" s="110">
        <v>150</v>
      </c>
      <c r="G101" s="110"/>
      <c r="H101" s="110"/>
      <c r="I101" s="110"/>
      <c r="J101" s="110"/>
      <c r="K101" s="110">
        <v>100</v>
      </c>
      <c r="L101" s="110">
        <v>50</v>
      </c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8"/>
        <v>150</v>
      </c>
      <c r="AI101" s="49">
        <f t="shared" si="29"/>
        <v>50</v>
      </c>
      <c r="BF101" s="81"/>
      <c r="BG101" s="82">
        <v>-41.9</v>
      </c>
      <c r="BH101" s="82">
        <v>0</v>
      </c>
      <c r="BI101" s="82">
        <v>-477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2064.04</v>
      </c>
      <c r="C102" s="108">
        <f t="shared" ref="C102:AB102" si="34">C100+C101</f>
        <v>166.04</v>
      </c>
      <c r="D102" s="108">
        <f t="shared" si="34"/>
        <v>1845.5400000000002</v>
      </c>
      <c r="E102" s="108">
        <f t="shared" si="34"/>
        <v>1862.3400000000001</v>
      </c>
      <c r="F102" s="108">
        <f t="shared" si="34"/>
        <v>1907.9400000000003</v>
      </c>
      <c r="G102" s="108">
        <f t="shared" si="34"/>
        <v>1792.64</v>
      </c>
      <c r="H102" s="108">
        <f t="shared" si="34"/>
        <v>1803.7400000000002</v>
      </c>
      <c r="I102" s="108">
        <f t="shared" si="34"/>
        <v>1803.4400000000003</v>
      </c>
      <c r="J102" s="108">
        <f t="shared" si="34"/>
        <v>1729.14</v>
      </c>
      <c r="K102" s="108">
        <f t="shared" si="34"/>
        <v>1757.3400000000001</v>
      </c>
      <c r="L102" s="108">
        <f t="shared" si="34"/>
        <v>1713.1399999999999</v>
      </c>
      <c r="M102" s="108">
        <f t="shared" si="34"/>
        <v>1824.8400000000001</v>
      </c>
      <c r="N102" s="108">
        <f t="shared" si="34"/>
        <v>1835.0400000000002</v>
      </c>
      <c r="O102" s="108">
        <f t="shared" si="34"/>
        <v>1854.0400000000002</v>
      </c>
      <c r="P102" s="108">
        <f t="shared" si="34"/>
        <v>1840.04</v>
      </c>
      <c r="Q102" s="108">
        <f t="shared" si="34"/>
        <v>1865.8400000000001</v>
      </c>
      <c r="R102" s="108">
        <f t="shared" si="34"/>
        <v>1865.8400000000001</v>
      </c>
      <c r="S102" s="108">
        <f t="shared" si="34"/>
        <v>1923.1400000000003</v>
      </c>
      <c r="T102" s="108">
        <f t="shared" si="34"/>
        <v>1893.5100000000002</v>
      </c>
      <c r="U102" s="108">
        <f t="shared" si="34"/>
        <v>1868.8100000000002</v>
      </c>
      <c r="V102" s="108">
        <f t="shared" si="34"/>
        <v>1874.9400000000003</v>
      </c>
      <c r="W102" s="108">
        <f t="shared" si="34"/>
        <v>1874.0400000000002</v>
      </c>
      <c r="X102" s="108">
        <f t="shared" si="34"/>
        <v>1865.0400000000002</v>
      </c>
      <c r="Y102" s="108">
        <f t="shared" si="34"/>
        <v>1931.9400000000003</v>
      </c>
      <c r="Z102" s="108">
        <f t="shared" si="34"/>
        <v>1921.5400000000002</v>
      </c>
      <c r="AA102" s="108">
        <f t="shared" si="34"/>
        <v>2087.2400000000002</v>
      </c>
      <c r="AB102" s="108">
        <f t="shared" si="34"/>
        <v>2122.0400000000004</v>
      </c>
      <c r="AC102" s="108">
        <f>AC100+AC101</f>
        <v>2112.0400000000004</v>
      </c>
      <c r="AD102" s="108">
        <f>AD100+AD101</f>
        <v>2098.0400000000004</v>
      </c>
      <c r="AE102" s="108">
        <f>AE100+AE101</f>
        <v>2080.7400000000002</v>
      </c>
      <c r="AF102" s="108">
        <f>AF100+AF101</f>
        <v>2075.7400000000002</v>
      </c>
      <c r="AG102" s="101">
        <f>AG99+AG95+AG83+AG79+AG61+AG101</f>
        <v>2117.34</v>
      </c>
      <c r="AH102" s="48">
        <f t="shared" si="28"/>
        <v>2122.0400000000004</v>
      </c>
      <c r="AI102" s="49">
        <f t="shared" si="29"/>
        <v>166.04</v>
      </c>
      <c r="BF102" s="81"/>
      <c r="BG102" s="82">
        <v>-40.6</v>
      </c>
      <c r="BH102" s="82">
        <v>0</v>
      </c>
      <c r="BI102" s="82">
        <v>-451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1521.04</v>
      </c>
      <c r="C103" s="108">
        <f t="shared" ref="C103:AB103" si="35">C102-(C110)</f>
        <v>166.04</v>
      </c>
      <c r="D103" s="108">
        <f t="shared" si="35"/>
        <v>1281.2400000000002</v>
      </c>
      <c r="E103" s="108">
        <f t="shared" si="35"/>
        <v>1367.3400000000001</v>
      </c>
      <c r="F103" s="108">
        <f t="shared" si="35"/>
        <v>1349.9400000000003</v>
      </c>
      <c r="G103" s="108">
        <f t="shared" si="35"/>
        <v>1170.6400000000001</v>
      </c>
      <c r="H103" s="108">
        <f t="shared" si="35"/>
        <v>1192.7400000000002</v>
      </c>
      <c r="I103" s="108">
        <f t="shared" si="35"/>
        <v>1235.4400000000003</v>
      </c>
      <c r="J103" s="108">
        <f t="shared" si="35"/>
        <v>1199.1400000000001</v>
      </c>
      <c r="K103" s="108">
        <f t="shared" si="35"/>
        <v>1277.3400000000001</v>
      </c>
      <c r="L103" s="108">
        <f t="shared" si="35"/>
        <v>1173.1399999999999</v>
      </c>
      <c r="M103" s="108">
        <f t="shared" si="35"/>
        <v>1311.8400000000001</v>
      </c>
      <c r="N103" s="108">
        <f t="shared" si="35"/>
        <v>1371.0400000000002</v>
      </c>
      <c r="O103" s="108">
        <f t="shared" si="35"/>
        <v>1389.0400000000002</v>
      </c>
      <c r="P103" s="108">
        <f t="shared" si="35"/>
        <v>1351.04</v>
      </c>
      <c r="Q103" s="108">
        <f t="shared" si="35"/>
        <v>1332.8400000000001</v>
      </c>
      <c r="R103" s="108">
        <f t="shared" si="35"/>
        <v>1378.8400000000001</v>
      </c>
      <c r="S103" s="108">
        <f t="shared" si="35"/>
        <v>1391.1400000000003</v>
      </c>
      <c r="T103" s="108">
        <f t="shared" si="35"/>
        <v>1383.2100000000003</v>
      </c>
      <c r="U103" s="108">
        <f t="shared" si="35"/>
        <v>1347.8100000000002</v>
      </c>
      <c r="V103" s="108">
        <f t="shared" si="35"/>
        <v>1354.4400000000003</v>
      </c>
      <c r="W103" s="108">
        <f t="shared" si="35"/>
        <v>1382.1400000000003</v>
      </c>
      <c r="X103" s="108">
        <f t="shared" si="35"/>
        <v>1329.0400000000002</v>
      </c>
      <c r="Y103" s="108">
        <f t="shared" si="35"/>
        <v>1312.6400000000003</v>
      </c>
      <c r="Z103" s="108">
        <f t="shared" si="35"/>
        <v>1411.9400000000003</v>
      </c>
      <c r="AA103" s="108">
        <f t="shared" si="35"/>
        <v>1572.3400000000001</v>
      </c>
      <c r="AB103" s="108">
        <f t="shared" si="35"/>
        <v>1603.1400000000003</v>
      </c>
      <c r="AC103" s="108">
        <f>AC102-(AC110)</f>
        <v>1620.4400000000005</v>
      </c>
      <c r="AD103" s="108">
        <f>AD102-(AD110)</f>
        <v>1606.4400000000005</v>
      </c>
      <c r="AE103" s="108">
        <f>AE102-(AE110)</f>
        <v>1535.7400000000002</v>
      </c>
      <c r="AF103" s="108">
        <f>AF102-(AF110)</f>
        <v>1478.7400000000002</v>
      </c>
      <c r="AG103" s="101"/>
      <c r="AH103" s="48">
        <f t="shared" si="28"/>
        <v>1620.4400000000005</v>
      </c>
      <c r="AI103" s="49">
        <f t="shared" si="29"/>
        <v>166.04</v>
      </c>
      <c r="BF103" s="81"/>
      <c r="BG103" s="82">
        <v>-35</v>
      </c>
      <c r="BH103" s="82">
        <v>0</v>
      </c>
      <c r="BI103" s="82">
        <v>-510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6">IF(B84&lt;0,B84*-1,0)</f>
        <v>28</v>
      </c>
      <c r="C104" s="89">
        <f t="shared" ref="C104:AB109" si="37">IF(C84&lt;0,C84*-1,0)</f>
        <v>0</v>
      </c>
      <c r="D104" s="89">
        <f t="shared" si="37"/>
        <v>32</v>
      </c>
      <c r="E104" s="89">
        <f t="shared" si="37"/>
        <v>0</v>
      </c>
      <c r="F104" s="89">
        <f t="shared" si="37"/>
        <v>18</v>
      </c>
      <c r="G104" s="89">
        <f t="shared" si="37"/>
        <v>29</v>
      </c>
      <c r="H104" s="89">
        <f t="shared" si="37"/>
        <v>31</v>
      </c>
      <c r="I104" s="89">
        <f t="shared" si="37"/>
        <v>28</v>
      </c>
      <c r="J104" s="89">
        <f t="shared" si="37"/>
        <v>30</v>
      </c>
      <c r="K104" s="89">
        <f t="shared" si="37"/>
        <v>0</v>
      </c>
      <c r="L104" s="89">
        <f t="shared" si="37"/>
        <v>0</v>
      </c>
      <c r="M104" s="89">
        <f t="shared" si="37"/>
        <v>0</v>
      </c>
      <c r="N104" s="89">
        <f t="shared" si="37"/>
        <v>0</v>
      </c>
      <c r="O104" s="89">
        <f t="shared" si="37"/>
        <v>0</v>
      </c>
      <c r="P104" s="89">
        <f t="shared" si="37"/>
        <v>19</v>
      </c>
      <c r="Q104" s="89">
        <f t="shared" si="37"/>
        <v>27</v>
      </c>
      <c r="R104" s="89">
        <f t="shared" si="37"/>
        <v>28</v>
      </c>
      <c r="S104" s="89">
        <f t="shared" si="37"/>
        <v>33</v>
      </c>
      <c r="T104" s="89">
        <f t="shared" si="37"/>
        <v>33.299999999999997</v>
      </c>
      <c r="U104" s="89">
        <f t="shared" si="37"/>
        <v>47.3</v>
      </c>
      <c r="V104" s="89">
        <f t="shared" si="37"/>
        <v>42.5</v>
      </c>
      <c r="W104" s="89">
        <f t="shared" si="37"/>
        <v>44.9</v>
      </c>
      <c r="X104" s="89">
        <f t="shared" si="37"/>
        <v>46</v>
      </c>
      <c r="Y104" s="89">
        <f t="shared" si="37"/>
        <v>43.5</v>
      </c>
      <c r="Z104" s="89">
        <f t="shared" si="37"/>
        <v>17.399999999999999</v>
      </c>
      <c r="AA104" s="89">
        <f t="shared" si="37"/>
        <v>54.7</v>
      </c>
      <c r="AB104" s="89">
        <f t="shared" si="37"/>
        <v>41.9</v>
      </c>
      <c r="AC104" s="89">
        <f t="shared" ref="AC104:AF109" si="38">IF(AC84&lt;0,AC84*-1,0)</f>
        <v>40.6</v>
      </c>
      <c r="AD104" s="89">
        <f t="shared" si="38"/>
        <v>40.6</v>
      </c>
      <c r="AE104" s="89">
        <f t="shared" si="38"/>
        <v>35</v>
      </c>
      <c r="AF104" s="89">
        <f t="shared" si="38"/>
        <v>30</v>
      </c>
      <c r="AG104" s="61"/>
      <c r="AH104" s="48">
        <f t="shared" si="28"/>
        <v>54.7</v>
      </c>
      <c r="AI104" s="49">
        <f t="shared" si="29"/>
        <v>0</v>
      </c>
      <c r="BG104" s="82">
        <v>-30</v>
      </c>
      <c r="BH104" s="82">
        <v>0</v>
      </c>
      <c r="BI104" s="82">
        <v>-567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6"/>
        <v>0</v>
      </c>
      <c r="C105" s="89">
        <f t="shared" ref="C105:Q105" si="39">IF(C85&lt;0,C85*-1,0)</f>
        <v>0</v>
      </c>
      <c r="D105" s="89">
        <f t="shared" si="39"/>
        <v>0</v>
      </c>
      <c r="E105" s="89">
        <f t="shared" si="39"/>
        <v>0</v>
      </c>
      <c r="F105" s="89">
        <f t="shared" si="39"/>
        <v>0</v>
      </c>
      <c r="G105" s="89">
        <f t="shared" si="39"/>
        <v>0</v>
      </c>
      <c r="H105" s="89">
        <f t="shared" si="39"/>
        <v>0</v>
      </c>
      <c r="I105" s="89">
        <f t="shared" si="39"/>
        <v>0</v>
      </c>
      <c r="J105" s="89">
        <f t="shared" si="39"/>
        <v>0</v>
      </c>
      <c r="K105" s="89">
        <f t="shared" si="39"/>
        <v>0</v>
      </c>
      <c r="L105" s="89">
        <f t="shared" si="39"/>
        <v>0</v>
      </c>
      <c r="M105" s="89">
        <f t="shared" si="39"/>
        <v>0</v>
      </c>
      <c r="N105" s="89">
        <f t="shared" si="39"/>
        <v>0</v>
      </c>
      <c r="O105" s="89">
        <f t="shared" si="39"/>
        <v>0</v>
      </c>
      <c r="P105" s="89">
        <f t="shared" si="39"/>
        <v>0</v>
      </c>
      <c r="Q105" s="89">
        <f t="shared" si="39"/>
        <v>0</v>
      </c>
      <c r="R105" s="89">
        <f t="shared" si="37"/>
        <v>0</v>
      </c>
      <c r="S105" s="89">
        <f t="shared" si="37"/>
        <v>0</v>
      </c>
      <c r="T105" s="89">
        <f t="shared" si="37"/>
        <v>0</v>
      </c>
      <c r="U105" s="89">
        <f t="shared" si="37"/>
        <v>0</v>
      </c>
      <c r="V105" s="89">
        <f t="shared" si="37"/>
        <v>0</v>
      </c>
      <c r="W105" s="89">
        <f t="shared" si="37"/>
        <v>0</v>
      </c>
      <c r="X105" s="89">
        <f t="shared" si="37"/>
        <v>0</v>
      </c>
      <c r="Y105" s="89">
        <f t="shared" si="37"/>
        <v>0</v>
      </c>
      <c r="Z105" s="89">
        <f t="shared" si="37"/>
        <v>0</v>
      </c>
      <c r="AA105" s="89">
        <f t="shared" si="37"/>
        <v>0</v>
      </c>
      <c r="AB105" s="89">
        <f t="shared" si="37"/>
        <v>0</v>
      </c>
      <c r="AC105" s="89">
        <f t="shared" si="38"/>
        <v>0</v>
      </c>
      <c r="AD105" s="89">
        <f t="shared" si="38"/>
        <v>0</v>
      </c>
      <c r="AE105" s="89">
        <f t="shared" si="38"/>
        <v>0</v>
      </c>
      <c r="AF105" s="89">
        <f t="shared" si="38"/>
        <v>0</v>
      </c>
      <c r="AG105" s="66"/>
      <c r="AH105" s="48">
        <f t="shared" si="28"/>
        <v>0</v>
      </c>
      <c r="AI105" s="49">
        <f t="shared" si="29"/>
        <v>0</v>
      </c>
      <c r="AK105" s="51"/>
      <c r="BG105" s="82">
        <v>-28</v>
      </c>
      <c r="BH105" s="82">
        <v>0</v>
      </c>
      <c r="BI105" s="82">
        <v>-515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6"/>
        <v>515</v>
      </c>
      <c r="C106" s="89">
        <f t="shared" si="37"/>
        <v>0</v>
      </c>
      <c r="D106" s="89">
        <f t="shared" si="37"/>
        <v>532.29999999999995</v>
      </c>
      <c r="E106" s="89">
        <f t="shared" si="37"/>
        <v>495</v>
      </c>
      <c r="F106" s="89">
        <f t="shared" si="37"/>
        <v>540</v>
      </c>
      <c r="G106" s="89">
        <f t="shared" si="37"/>
        <v>593</v>
      </c>
      <c r="H106" s="89">
        <f t="shared" si="37"/>
        <v>580</v>
      </c>
      <c r="I106" s="89">
        <f t="shared" si="37"/>
        <v>540</v>
      </c>
      <c r="J106" s="89">
        <f t="shared" si="37"/>
        <v>500</v>
      </c>
      <c r="K106" s="89">
        <f t="shared" si="37"/>
        <v>480</v>
      </c>
      <c r="L106" s="89">
        <f t="shared" si="37"/>
        <v>540</v>
      </c>
      <c r="M106" s="89">
        <f t="shared" si="37"/>
        <v>513</v>
      </c>
      <c r="N106" s="89">
        <f t="shared" si="37"/>
        <v>464</v>
      </c>
      <c r="O106" s="89">
        <f t="shared" si="37"/>
        <v>465</v>
      </c>
      <c r="P106" s="89">
        <f t="shared" si="37"/>
        <v>470</v>
      </c>
      <c r="Q106" s="89">
        <f t="shared" si="37"/>
        <v>506</v>
      </c>
      <c r="R106" s="89">
        <f t="shared" si="37"/>
        <v>459</v>
      </c>
      <c r="S106" s="89">
        <f t="shared" si="37"/>
        <v>499</v>
      </c>
      <c r="T106" s="89">
        <f t="shared" si="37"/>
        <v>477</v>
      </c>
      <c r="U106" s="89">
        <f t="shared" si="37"/>
        <v>473.7</v>
      </c>
      <c r="V106" s="89">
        <f t="shared" si="37"/>
        <v>478</v>
      </c>
      <c r="W106" s="89">
        <f t="shared" si="37"/>
        <v>447</v>
      </c>
      <c r="X106" s="89">
        <f t="shared" si="37"/>
        <v>490</v>
      </c>
      <c r="Y106" s="89">
        <f t="shared" si="37"/>
        <v>575.79999999999995</v>
      </c>
      <c r="Z106" s="89">
        <f t="shared" si="37"/>
        <v>492.2</v>
      </c>
      <c r="AA106" s="89">
        <f t="shared" si="37"/>
        <v>460.2</v>
      </c>
      <c r="AB106" s="89">
        <f t="shared" si="37"/>
        <v>477</v>
      </c>
      <c r="AC106" s="89">
        <f t="shared" si="38"/>
        <v>451</v>
      </c>
      <c r="AD106" s="89">
        <f t="shared" si="38"/>
        <v>451</v>
      </c>
      <c r="AE106" s="89">
        <f t="shared" si="38"/>
        <v>510</v>
      </c>
      <c r="AF106" s="89">
        <f t="shared" si="38"/>
        <v>567</v>
      </c>
      <c r="AG106" s="111"/>
      <c r="AH106" s="48">
        <f t="shared" si="28"/>
        <v>593</v>
      </c>
      <c r="AI106" s="49">
        <f t="shared" si="29"/>
        <v>0</v>
      </c>
    </row>
    <row r="107" spans="1:64" x14ac:dyDescent="0.25">
      <c r="A107" s="97" t="s">
        <v>107</v>
      </c>
      <c r="B107" s="89">
        <f t="shared" si="36"/>
        <v>0</v>
      </c>
      <c r="C107" s="89">
        <f t="shared" si="37"/>
        <v>0</v>
      </c>
      <c r="D107" s="89">
        <f t="shared" si="37"/>
        <v>0</v>
      </c>
      <c r="E107" s="89">
        <f t="shared" si="37"/>
        <v>0</v>
      </c>
      <c r="F107" s="89">
        <f t="shared" si="37"/>
        <v>0</v>
      </c>
      <c r="G107" s="89">
        <f t="shared" si="37"/>
        <v>0</v>
      </c>
      <c r="H107" s="89">
        <f t="shared" si="37"/>
        <v>0</v>
      </c>
      <c r="I107" s="89">
        <f t="shared" si="37"/>
        <v>0</v>
      </c>
      <c r="J107" s="89">
        <f t="shared" si="37"/>
        <v>0</v>
      </c>
      <c r="K107" s="89">
        <f t="shared" si="37"/>
        <v>0</v>
      </c>
      <c r="L107" s="89">
        <f t="shared" si="37"/>
        <v>0</v>
      </c>
      <c r="M107" s="89">
        <f t="shared" si="37"/>
        <v>0</v>
      </c>
      <c r="N107" s="89">
        <f t="shared" si="37"/>
        <v>0</v>
      </c>
      <c r="O107" s="89">
        <f t="shared" si="37"/>
        <v>0</v>
      </c>
      <c r="P107" s="89">
        <f t="shared" si="37"/>
        <v>0</v>
      </c>
      <c r="Q107" s="89">
        <f t="shared" si="37"/>
        <v>0</v>
      </c>
      <c r="R107" s="89">
        <f t="shared" si="37"/>
        <v>0</v>
      </c>
      <c r="S107" s="89">
        <f t="shared" si="37"/>
        <v>0</v>
      </c>
      <c r="T107" s="89">
        <f t="shared" si="37"/>
        <v>0</v>
      </c>
      <c r="U107" s="89">
        <f t="shared" si="37"/>
        <v>0</v>
      </c>
      <c r="V107" s="89">
        <f t="shared" si="37"/>
        <v>0</v>
      </c>
      <c r="W107" s="89">
        <f t="shared" si="37"/>
        <v>0</v>
      </c>
      <c r="X107" s="89">
        <f t="shared" si="37"/>
        <v>0</v>
      </c>
      <c r="Y107" s="89">
        <f t="shared" si="37"/>
        <v>0</v>
      </c>
      <c r="Z107" s="89">
        <f t="shared" si="37"/>
        <v>0</v>
      </c>
      <c r="AA107" s="89">
        <f t="shared" si="37"/>
        <v>0</v>
      </c>
      <c r="AB107" s="89">
        <f t="shared" si="37"/>
        <v>0</v>
      </c>
      <c r="AC107" s="89">
        <f t="shared" si="38"/>
        <v>0</v>
      </c>
      <c r="AD107" s="89">
        <f t="shared" si="38"/>
        <v>0</v>
      </c>
      <c r="AE107" s="89">
        <f t="shared" si="38"/>
        <v>0</v>
      </c>
      <c r="AF107" s="89">
        <f t="shared" si="38"/>
        <v>0</v>
      </c>
      <c r="AG107" s="111"/>
      <c r="AH107" s="48">
        <f t="shared" si="28"/>
        <v>0</v>
      </c>
      <c r="AI107" s="49">
        <f t="shared" si="29"/>
        <v>0</v>
      </c>
    </row>
    <row r="108" spans="1:64" x14ac:dyDescent="0.25">
      <c r="A108" s="97" t="s">
        <v>108</v>
      </c>
      <c r="B108" s="89">
        <f t="shared" si="36"/>
        <v>0</v>
      </c>
      <c r="C108" s="89">
        <f t="shared" si="37"/>
        <v>0</v>
      </c>
      <c r="D108" s="89">
        <f t="shared" si="37"/>
        <v>0</v>
      </c>
      <c r="E108" s="89">
        <f t="shared" si="37"/>
        <v>0</v>
      </c>
      <c r="F108" s="89">
        <f t="shared" si="37"/>
        <v>0</v>
      </c>
      <c r="G108" s="89">
        <f t="shared" si="37"/>
        <v>0</v>
      </c>
      <c r="H108" s="89">
        <f t="shared" si="37"/>
        <v>0</v>
      </c>
      <c r="I108" s="89">
        <f t="shared" si="37"/>
        <v>0</v>
      </c>
      <c r="J108" s="89">
        <f t="shared" si="37"/>
        <v>0</v>
      </c>
      <c r="K108" s="89">
        <f t="shared" si="37"/>
        <v>0</v>
      </c>
      <c r="L108" s="89">
        <f t="shared" si="37"/>
        <v>0</v>
      </c>
      <c r="M108" s="89">
        <f t="shared" si="37"/>
        <v>0</v>
      </c>
      <c r="N108" s="89">
        <f t="shared" si="37"/>
        <v>0</v>
      </c>
      <c r="O108" s="89">
        <f t="shared" si="37"/>
        <v>0</v>
      </c>
      <c r="P108" s="89">
        <f t="shared" si="37"/>
        <v>0</v>
      </c>
      <c r="Q108" s="89">
        <f t="shared" si="37"/>
        <v>0</v>
      </c>
      <c r="R108" s="89">
        <f t="shared" si="37"/>
        <v>0</v>
      </c>
      <c r="S108" s="89">
        <f t="shared" si="37"/>
        <v>0</v>
      </c>
      <c r="T108" s="89">
        <f t="shared" si="37"/>
        <v>0</v>
      </c>
      <c r="U108" s="89">
        <f t="shared" si="37"/>
        <v>0</v>
      </c>
      <c r="V108" s="89">
        <f t="shared" si="37"/>
        <v>0</v>
      </c>
      <c r="W108" s="89">
        <f t="shared" si="37"/>
        <v>0</v>
      </c>
      <c r="X108" s="89">
        <f t="shared" si="37"/>
        <v>0</v>
      </c>
      <c r="Y108" s="89">
        <f t="shared" si="37"/>
        <v>0</v>
      </c>
      <c r="Z108" s="89">
        <f t="shared" si="37"/>
        <v>0</v>
      </c>
      <c r="AA108" s="89">
        <f t="shared" si="37"/>
        <v>0</v>
      </c>
      <c r="AB108" s="89">
        <f t="shared" si="37"/>
        <v>0</v>
      </c>
      <c r="AC108" s="89">
        <f t="shared" si="38"/>
        <v>0</v>
      </c>
      <c r="AD108" s="89">
        <f t="shared" si="38"/>
        <v>0</v>
      </c>
      <c r="AE108" s="89">
        <f t="shared" si="38"/>
        <v>0</v>
      </c>
      <c r="AF108" s="89">
        <f t="shared" si="38"/>
        <v>0</v>
      </c>
      <c r="AG108" s="111"/>
      <c r="AH108" s="48">
        <f t="shared" si="28"/>
        <v>0</v>
      </c>
      <c r="AI108" s="49">
        <f t="shared" si="29"/>
        <v>0</v>
      </c>
    </row>
    <row r="109" spans="1:64" ht="15.75" thickBot="1" x14ac:dyDescent="0.3">
      <c r="A109" s="97" t="s">
        <v>117</v>
      </c>
      <c r="B109" s="89">
        <f t="shared" si="36"/>
        <v>0</v>
      </c>
      <c r="C109" s="89">
        <f t="shared" si="37"/>
        <v>0</v>
      </c>
      <c r="D109" s="89">
        <f t="shared" si="37"/>
        <v>0</v>
      </c>
      <c r="E109" s="89">
        <f t="shared" si="37"/>
        <v>0</v>
      </c>
      <c r="F109" s="89">
        <f t="shared" si="37"/>
        <v>0</v>
      </c>
      <c r="G109" s="89">
        <f t="shared" si="37"/>
        <v>0</v>
      </c>
      <c r="H109" s="89">
        <f t="shared" si="37"/>
        <v>0</v>
      </c>
      <c r="I109" s="89">
        <f t="shared" si="37"/>
        <v>0</v>
      </c>
      <c r="J109" s="89">
        <f t="shared" si="37"/>
        <v>0</v>
      </c>
      <c r="K109" s="89">
        <f t="shared" si="37"/>
        <v>0</v>
      </c>
      <c r="L109" s="89">
        <f t="shared" si="37"/>
        <v>0</v>
      </c>
      <c r="M109" s="89">
        <f t="shared" si="37"/>
        <v>0</v>
      </c>
      <c r="N109" s="89">
        <f t="shared" si="37"/>
        <v>0</v>
      </c>
      <c r="O109" s="89">
        <f t="shared" si="37"/>
        <v>0</v>
      </c>
      <c r="P109" s="89">
        <f t="shared" si="37"/>
        <v>0</v>
      </c>
      <c r="Q109" s="89">
        <f t="shared" si="37"/>
        <v>0</v>
      </c>
      <c r="R109" s="89">
        <f t="shared" si="37"/>
        <v>0</v>
      </c>
      <c r="S109" s="89">
        <f t="shared" si="37"/>
        <v>0</v>
      </c>
      <c r="T109" s="89">
        <f t="shared" si="37"/>
        <v>0</v>
      </c>
      <c r="U109" s="89">
        <f t="shared" si="37"/>
        <v>0</v>
      </c>
      <c r="V109" s="89">
        <f t="shared" si="37"/>
        <v>0</v>
      </c>
      <c r="W109" s="89">
        <f t="shared" si="37"/>
        <v>0</v>
      </c>
      <c r="X109" s="89">
        <f t="shared" si="37"/>
        <v>0</v>
      </c>
      <c r="Y109" s="89">
        <f t="shared" si="37"/>
        <v>0</v>
      </c>
      <c r="Z109" s="89">
        <f t="shared" si="37"/>
        <v>0</v>
      </c>
      <c r="AA109" s="89">
        <f t="shared" si="37"/>
        <v>0</v>
      </c>
      <c r="AB109" s="89">
        <f t="shared" si="37"/>
        <v>0</v>
      </c>
      <c r="AC109" s="89">
        <f t="shared" si="38"/>
        <v>0</v>
      </c>
      <c r="AD109" s="89">
        <f t="shared" si="38"/>
        <v>0</v>
      </c>
      <c r="AE109" s="89">
        <f t="shared" si="38"/>
        <v>0</v>
      </c>
      <c r="AF109" s="89">
        <f t="shared" si="38"/>
        <v>0</v>
      </c>
      <c r="AG109" s="98"/>
      <c r="AH109" s="48">
        <f t="shared" si="28"/>
        <v>0</v>
      </c>
      <c r="AI109" s="49">
        <f t="shared" si="29"/>
        <v>0</v>
      </c>
    </row>
    <row r="110" spans="1:64" ht="15.75" thickBot="1" x14ac:dyDescent="0.3">
      <c r="A110" s="112" t="s">
        <v>130</v>
      </c>
      <c r="B110" s="71">
        <f>SUM(B104:B109)</f>
        <v>543</v>
      </c>
      <c r="C110" s="71">
        <f t="shared" ref="C110:AB110" si="40">SUM(C104:C109)</f>
        <v>0</v>
      </c>
      <c r="D110" s="71">
        <f t="shared" si="40"/>
        <v>564.29999999999995</v>
      </c>
      <c r="E110" s="71">
        <f t="shared" si="40"/>
        <v>495</v>
      </c>
      <c r="F110" s="71">
        <f t="shared" si="40"/>
        <v>558</v>
      </c>
      <c r="G110" s="71">
        <f t="shared" si="40"/>
        <v>622</v>
      </c>
      <c r="H110" s="71">
        <f t="shared" si="40"/>
        <v>611</v>
      </c>
      <c r="I110" s="71">
        <f t="shared" si="40"/>
        <v>568</v>
      </c>
      <c r="J110" s="71">
        <f t="shared" si="40"/>
        <v>530</v>
      </c>
      <c r="K110" s="71">
        <f t="shared" si="40"/>
        <v>480</v>
      </c>
      <c r="L110" s="71">
        <f t="shared" si="40"/>
        <v>540</v>
      </c>
      <c r="M110" s="71">
        <f t="shared" si="40"/>
        <v>513</v>
      </c>
      <c r="N110" s="71">
        <f t="shared" si="40"/>
        <v>464</v>
      </c>
      <c r="O110" s="71">
        <f t="shared" si="40"/>
        <v>465</v>
      </c>
      <c r="P110" s="71">
        <f t="shared" si="40"/>
        <v>489</v>
      </c>
      <c r="Q110" s="71">
        <f t="shared" si="40"/>
        <v>533</v>
      </c>
      <c r="R110" s="71">
        <f t="shared" si="40"/>
        <v>487</v>
      </c>
      <c r="S110" s="71">
        <f t="shared" si="40"/>
        <v>532</v>
      </c>
      <c r="T110" s="71">
        <f t="shared" si="40"/>
        <v>510.3</v>
      </c>
      <c r="U110" s="71">
        <f t="shared" si="40"/>
        <v>521</v>
      </c>
      <c r="V110" s="71">
        <f t="shared" si="40"/>
        <v>520.5</v>
      </c>
      <c r="W110" s="71">
        <f t="shared" si="40"/>
        <v>491.9</v>
      </c>
      <c r="X110" s="71">
        <f t="shared" si="40"/>
        <v>536</v>
      </c>
      <c r="Y110" s="71">
        <f t="shared" si="40"/>
        <v>619.29999999999995</v>
      </c>
      <c r="Z110" s="71">
        <f t="shared" si="40"/>
        <v>509.59999999999997</v>
      </c>
      <c r="AA110" s="71">
        <f t="shared" si="40"/>
        <v>514.9</v>
      </c>
      <c r="AB110" s="71">
        <f t="shared" si="40"/>
        <v>518.9</v>
      </c>
      <c r="AC110" s="71">
        <f>SUM(AC104:AC109)</f>
        <v>491.6</v>
      </c>
      <c r="AD110" s="71">
        <f>SUM(AD104:AD109)</f>
        <v>491.6</v>
      </c>
      <c r="AE110" s="71">
        <f>SUM(AE104:AE109)</f>
        <v>545</v>
      </c>
      <c r="AF110" s="71">
        <f>SUM(AF104:AF109)</f>
        <v>597</v>
      </c>
      <c r="AG110" s="101"/>
      <c r="AH110" s="48">
        <f t="shared" si="28"/>
        <v>622</v>
      </c>
      <c r="AI110" s="49">
        <f t="shared" si="29"/>
        <v>0</v>
      </c>
    </row>
    <row r="111" spans="1:64" ht="15.75" thickBot="1" x14ac:dyDescent="0.3">
      <c r="A111" s="87" t="s">
        <v>131</v>
      </c>
      <c r="B111" s="71">
        <f>B95-B110</f>
        <v>-543</v>
      </c>
      <c r="C111" s="71">
        <f t="shared" ref="C111:AB111" si="41">C95-C110</f>
        <v>0</v>
      </c>
      <c r="D111" s="71">
        <f t="shared" si="41"/>
        <v>-564.29999999999995</v>
      </c>
      <c r="E111" s="71">
        <f t="shared" si="41"/>
        <v>-481</v>
      </c>
      <c r="F111" s="71">
        <f t="shared" si="41"/>
        <v>-558</v>
      </c>
      <c r="G111" s="71">
        <f t="shared" si="41"/>
        <v>-622</v>
      </c>
      <c r="H111" s="71">
        <f t="shared" si="41"/>
        <v>-611</v>
      </c>
      <c r="I111" s="71">
        <f t="shared" si="41"/>
        <v>-568</v>
      </c>
      <c r="J111" s="71">
        <f t="shared" si="41"/>
        <v>-530</v>
      </c>
      <c r="K111" s="71">
        <f t="shared" si="41"/>
        <v>-470</v>
      </c>
      <c r="L111" s="71">
        <f t="shared" si="41"/>
        <v>-536</v>
      </c>
      <c r="M111" s="71">
        <f t="shared" si="41"/>
        <v>-509.2</v>
      </c>
      <c r="N111" s="71">
        <f t="shared" si="41"/>
        <v>-450</v>
      </c>
      <c r="O111" s="71">
        <f t="shared" si="41"/>
        <v>-455</v>
      </c>
      <c r="P111" s="71">
        <f t="shared" si="41"/>
        <v>-489</v>
      </c>
      <c r="Q111" s="71">
        <f t="shared" si="41"/>
        <v>-533</v>
      </c>
      <c r="R111" s="71">
        <f t="shared" si="41"/>
        <v>-487</v>
      </c>
      <c r="S111" s="71">
        <f t="shared" si="41"/>
        <v>-532</v>
      </c>
      <c r="T111" s="71">
        <f t="shared" si="41"/>
        <v>-510.3</v>
      </c>
      <c r="U111" s="71">
        <f t="shared" si="41"/>
        <v>-521</v>
      </c>
      <c r="V111" s="71">
        <f t="shared" si="41"/>
        <v>-520.5</v>
      </c>
      <c r="W111" s="71">
        <f t="shared" si="41"/>
        <v>-491.9</v>
      </c>
      <c r="X111" s="71">
        <f t="shared" si="41"/>
        <v>-536</v>
      </c>
      <c r="Y111" s="71">
        <f t="shared" si="41"/>
        <v>-619.29999999999995</v>
      </c>
      <c r="Z111" s="71">
        <f t="shared" si="41"/>
        <v>-509.59999999999997</v>
      </c>
      <c r="AA111" s="71">
        <f t="shared" si="41"/>
        <v>-514.9</v>
      </c>
      <c r="AB111" s="71">
        <f t="shared" si="41"/>
        <v>-518.9</v>
      </c>
      <c r="AC111" s="71">
        <f>AC95-AC110</f>
        <v>-491.6</v>
      </c>
      <c r="AD111" s="71">
        <f>AD95-AD110</f>
        <v>-491.6</v>
      </c>
      <c r="AE111" s="71">
        <f>AE95-AE110</f>
        <v>-545</v>
      </c>
      <c r="AF111" s="71">
        <f>AF95-AF110</f>
        <v>-597</v>
      </c>
      <c r="AG111" s="101"/>
      <c r="AH111" s="48">
        <f t="shared" si="28"/>
        <v>0</v>
      </c>
      <c r="AI111" s="49">
        <f t="shared" si="29"/>
        <v>-622</v>
      </c>
    </row>
    <row r="112" spans="1:64" x14ac:dyDescent="0.25">
      <c r="A112" s="113" t="s">
        <v>132</v>
      </c>
      <c r="B112" s="114">
        <v>49.99</v>
      </c>
      <c r="C112" s="114"/>
      <c r="D112" s="114">
        <v>49.98</v>
      </c>
      <c r="E112" s="114">
        <v>49.95</v>
      </c>
      <c r="F112" s="114">
        <v>50.06</v>
      </c>
      <c r="G112" s="114">
        <v>49.963000000000001</v>
      </c>
      <c r="H112" s="114">
        <v>49.953000000000003</v>
      </c>
      <c r="I112" s="114">
        <v>49.96</v>
      </c>
      <c r="J112" s="114">
        <v>50.02</v>
      </c>
      <c r="K112" s="114">
        <v>49.966000000000001</v>
      </c>
      <c r="L112" s="114">
        <v>49.917999999999999</v>
      </c>
      <c r="M112" s="114">
        <v>49.993000000000002</v>
      </c>
      <c r="N112" s="114">
        <v>49.972999999999999</v>
      </c>
      <c r="O112" s="114">
        <v>49.972999999999999</v>
      </c>
      <c r="P112" s="114">
        <v>49.957000000000001</v>
      </c>
      <c r="Q112" s="114">
        <v>49.93</v>
      </c>
      <c r="R112" s="114">
        <v>49.99</v>
      </c>
      <c r="S112" s="114">
        <v>50.064999999999998</v>
      </c>
      <c r="T112" s="114">
        <v>50.003999999999998</v>
      </c>
      <c r="U112" s="114">
        <v>50.075000000000003</v>
      </c>
      <c r="V112" s="114">
        <v>50.055</v>
      </c>
      <c r="W112" s="114">
        <v>50.029000000000003</v>
      </c>
      <c r="X112" s="114">
        <v>49.97</v>
      </c>
      <c r="Y112" s="114">
        <v>49.970999999999997</v>
      </c>
      <c r="Z112" s="114">
        <v>49.97</v>
      </c>
      <c r="AA112" s="114">
        <v>50.037999999999997</v>
      </c>
      <c r="AB112" s="114">
        <v>50</v>
      </c>
      <c r="AC112" s="114">
        <v>50.01</v>
      </c>
      <c r="AD112" s="114">
        <v>50.01</v>
      </c>
      <c r="AE112" s="114">
        <v>50.03</v>
      </c>
      <c r="AF112" s="114">
        <v>49.96</v>
      </c>
      <c r="AG112" s="115"/>
      <c r="AH112" s="48">
        <f t="shared" si="28"/>
        <v>50.075000000000003</v>
      </c>
      <c r="AI112" s="49">
        <f t="shared" si="29"/>
        <v>49.917999999999999</v>
      </c>
    </row>
    <row r="113" spans="1:35" x14ac:dyDescent="0.25">
      <c r="A113" s="116" t="s">
        <v>133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>
        <v>123</v>
      </c>
      <c r="Z113" s="76">
        <v>122</v>
      </c>
      <c r="AA113" s="76">
        <v>120</v>
      </c>
      <c r="AB113" s="76">
        <v>122</v>
      </c>
      <c r="AC113" s="76">
        <v>122</v>
      </c>
      <c r="AD113" s="76">
        <v>122</v>
      </c>
      <c r="AE113" s="76">
        <v>126.6</v>
      </c>
      <c r="AF113" s="76">
        <v>122</v>
      </c>
      <c r="AG113" s="117"/>
      <c r="AH113" s="48">
        <f t="shared" si="28"/>
        <v>126.6</v>
      </c>
      <c r="AI113" s="49">
        <f t="shared" si="29"/>
        <v>120</v>
      </c>
    </row>
    <row r="114" spans="1:35" x14ac:dyDescent="0.25">
      <c r="A114" s="116" t="s">
        <v>134</v>
      </c>
      <c r="B114" s="76">
        <v>126.7</v>
      </c>
      <c r="C114" s="76"/>
      <c r="D114" s="76">
        <v>128.80000000000001</v>
      </c>
      <c r="E114" s="76">
        <v>129.69999999999999</v>
      </c>
      <c r="F114" s="76">
        <v>129.5</v>
      </c>
      <c r="G114" s="76">
        <v>128.4</v>
      </c>
      <c r="H114" s="76">
        <v>126.5</v>
      </c>
      <c r="I114" s="76">
        <v>126</v>
      </c>
      <c r="J114" s="76">
        <v>126</v>
      </c>
      <c r="K114" s="76">
        <v>127.4</v>
      </c>
      <c r="L114" s="76">
        <v>127.1</v>
      </c>
      <c r="M114" s="76">
        <v>124.5</v>
      </c>
      <c r="N114" s="76">
        <v>125</v>
      </c>
      <c r="O114" s="76">
        <v>125</v>
      </c>
      <c r="P114" s="76">
        <v>125.1</v>
      </c>
      <c r="Q114" s="76">
        <v>125.9</v>
      </c>
      <c r="R114" s="76">
        <v>125.8</v>
      </c>
      <c r="S114" s="76">
        <v>123.8</v>
      </c>
      <c r="T114" s="76">
        <v>119.5</v>
      </c>
      <c r="U114" s="76">
        <v>122.2</v>
      </c>
      <c r="V114" s="76">
        <v>122.2</v>
      </c>
      <c r="W114" s="76">
        <v>123</v>
      </c>
      <c r="X114" s="76">
        <v>123</v>
      </c>
      <c r="Y114" s="76">
        <v>126.2</v>
      </c>
      <c r="Z114" s="76">
        <v>125.4</v>
      </c>
      <c r="AA114" s="76">
        <v>123.1</v>
      </c>
      <c r="AB114" s="76">
        <v>124.8</v>
      </c>
      <c r="AC114" s="76">
        <v>125</v>
      </c>
      <c r="AD114" s="76">
        <v>125</v>
      </c>
      <c r="AE114" s="76">
        <v>130</v>
      </c>
      <c r="AF114" s="76">
        <v>126</v>
      </c>
      <c r="AG114" s="117"/>
      <c r="AH114" s="48">
        <f t="shared" si="28"/>
        <v>130</v>
      </c>
      <c r="AI114" s="49">
        <f t="shared" si="29"/>
        <v>119.5</v>
      </c>
    </row>
    <row r="115" spans="1:35" x14ac:dyDescent="0.25">
      <c r="A115" s="116" t="s">
        <v>135</v>
      </c>
      <c r="B115" s="76">
        <v>130</v>
      </c>
      <c r="C115" s="76"/>
      <c r="D115" s="76">
        <v>129.9</v>
      </c>
      <c r="E115" s="76">
        <v>130.4</v>
      </c>
      <c r="F115" s="76">
        <v>130.6</v>
      </c>
      <c r="G115" s="76">
        <v>130.5</v>
      </c>
      <c r="H115" s="76">
        <v>130.19999999999999</v>
      </c>
      <c r="I115" s="76">
        <v>130.80000000000001</v>
      </c>
      <c r="J115" s="76">
        <v>130</v>
      </c>
      <c r="K115" s="76">
        <v>128.19999999999999</v>
      </c>
      <c r="L115" s="76">
        <v>128.80000000000001</v>
      </c>
      <c r="M115" s="76">
        <v>129.4</v>
      </c>
      <c r="N115" s="76">
        <v>128.6</v>
      </c>
      <c r="O115" s="76">
        <v>128.6</v>
      </c>
      <c r="P115" s="76">
        <v>127.2</v>
      </c>
      <c r="Q115" s="76">
        <v>129.19999999999999</v>
      </c>
      <c r="R115" s="76">
        <v>130.9</v>
      </c>
      <c r="S115" s="76">
        <v>131.6</v>
      </c>
      <c r="T115" s="76">
        <v>123.4</v>
      </c>
      <c r="U115" s="76">
        <v>125.6</v>
      </c>
      <c r="V115" s="76">
        <v>125.6</v>
      </c>
      <c r="W115" s="76">
        <v>126.8</v>
      </c>
      <c r="X115" s="76">
        <v>126.8</v>
      </c>
      <c r="Y115" s="76">
        <v>130.5</v>
      </c>
      <c r="Z115" s="76">
        <v>129.80000000000001</v>
      </c>
      <c r="AA115" s="76">
        <v>129</v>
      </c>
      <c r="AB115" s="76">
        <v>128.30000000000001</v>
      </c>
      <c r="AC115" s="76">
        <v>129</v>
      </c>
      <c r="AD115" s="76">
        <v>129</v>
      </c>
      <c r="AE115" s="76">
        <v>129</v>
      </c>
      <c r="AF115" s="76">
        <v>129</v>
      </c>
      <c r="AG115" s="117"/>
      <c r="AH115" s="48">
        <f t="shared" si="28"/>
        <v>131.6</v>
      </c>
      <c r="AI115" s="49">
        <f t="shared" si="29"/>
        <v>123.4</v>
      </c>
    </row>
    <row r="116" spans="1:35" x14ac:dyDescent="0.25">
      <c r="A116" s="118" t="s">
        <v>136</v>
      </c>
      <c r="B116" s="76">
        <v>131.9</v>
      </c>
      <c r="C116" s="76"/>
      <c r="D116" s="76">
        <v>131.4</v>
      </c>
      <c r="E116" s="76">
        <v>131.5</v>
      </c>
      <c r="F116" s="76">
        <v>132</v>
      </c>
      <c r="G116" s="76">
        <v>130.4</v>
      </c>
      <c r="H116" s="76">
        <v>129.9</v>
      </c>
      <c r="I116" s="76">
        <v>130</v>
      </c>
      <c r="J116" s="76">
        <v>129</v>
      </c>
      <c r="K116" s="76">
        <v>128.30000000000001</v>
      </c>
      <c r="L116" s="76">
        <v>127.7</v>
      </c>
      <c r="M116" s="76">
        <v>129.6</v>
      </c>
      <c r="N116" s="76">
        <v>130.5</v>
      </c>
      <c r="O116" s="76">
        <v>130.5</v>
      </c>
      <c r="P116" s="76">
        <v>129.30000000000001</v>
      </c>
      <c r="Q116" s="76">
        <v>131.19999999999999</v>
      </c>
      <c r="R116" s="76">
        <v>131.9</v>
      </c>
      <c r="S116" s="76">
        <v>133</v>
      </c>
      <c r="T116" s="76">
        <v>130.4</v>
      </c>
      <c r="U116" s="76">
        <v>132</v>
      </c>
      <c r="V116" s="76">
        <v>132</v>
      </c>
      <c r="W116" s="76">
        <v>128.9</v>
      </c>
      <c r="X116" s="76">
        <v>128.9</v>
      </c>
      <c r="Y116" s="76">
        <v>129.9</v>
      </c>
      <c r="Z116" s="76">
        <v>129</v>
      </c>
      <c r="AA116" s="76">
        <v>128.69999999999999</v>
      </c>
      <c r="AB116" s="76">
        <v>130</v>
      </c>
      <c r="AC116" s="76">
        <v>129</v>
      </c>
      <c r="AD116" s="76">
        <v>129</v>
      </c>
      <c r="AE116" s="76">
        <v>129</v>
      </c>
      <c r="AF116" s="76">
        <v>131</v>
      </c>
      <c r="AG116" s="117"/>
      <c r="AH116" s="48">
        <f t="shared" si="28"/>
        <v>133</v>
      </c>
      <c r="AI116" s="49">
        <f t="shared" si="29"/>
        <v>127.7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>
        <v>131.4</v>
      </c>
      <c r="U117" s="119">
        <v>133.6</v>
      </c>
      <c r="V117" s="119">
        <v>133.6</v>
      </c>
      <c r="W117" s="119">
        <v>133.80000000000001</v>
      </c>
      <c r="X117" s="119">
        <v>133.80000000000001</v>
      </c>
      <c r="Y117" s="119">
        <v>132.69999999999999</v>
      </c>
      <c r="Z117" s="119">
        <v>133.5</v>
      </c>
      <c r="AA117" s="119">
        <v>132.1</v>
      </c>
      <c r="AB117" s="119">
        <v>132.9</v>
      </c>
      <c r="AC117" s="119">
        <v>132</v>
      </c>
      <c r="AD117" s="119">
        <v>132</v>
      </c>
      <c r="AE117" s="119">
        <v>132</v>
      </c>
      <c r="AF117" s="119">
        <v>132.5</v>
      </c>
      <c r="AG117" s="120"/>
      <c r="AH117" s="48">
        <f t="shared" si="28"/>
        <v>133.80000000000001</v>
      </c>
      <c r="AI117" s="49">
        <f t="shared" si="29"/>
        <v>131.4</v>
      </c>
    </row>
    <row r="118" spans="1:35" x14ac:dyDescent="0.25">
      <c r="A118" s="116" t="s">
        <v>138</v>
      </c>
      <c r="B118" s="76">
        <v>127</v>
      </c>
      <c r="C118" s="76"/>
      <c r="D118" s="76">
        <v>122.4</v>
      </c>
      <c r="E118" s="76">
        <v>123.9</v>
      </c>
      <c r="F118" s="76">
        <v>130.5</v>
      </c>
      <c r="G118" s="76">
        <v>124.8</v>
      </c>
      <c r="H118" s="76">
        <v>122.6</v>
      </c>
      <c r="I118" s="76">
        <v>126</v>
      </c>
      <c r="J118" s="76">
        <v>121</v>
      </c>
      <c r="K118" s="76">
        <v>123.2</v>
      </c>
      <c r="L118" s="76">
        <v>122.3</v>
      </c>
      <c r="M118" s="76">
        <v>126.6</v>
      </c>
      <c r="N118" s="76">
        <v>124</v>
      </c>
      <c r="O118" s="76">
        <v>124</v>
      </c>
      <c r="P118" s="76">
        <v>126</v>
      </c>
      <c r="Q118" s="76">
        <v>127.6</v>
      </c>
      <c r="R118" s="76">
        <v>129.80000000000001</v>
      </c>
      <c r="S118" s="76">
        <v>127</v>
      </c>
      <c r="T118" s="76">
        <v>129.4</v>
      </c>
      <c r="U118" s="76">
        <v>125</v>
      </c>
      <c r="V118" s="76">
        <v>125</v>
      </c>
      <c r="W118" s="76">
        <v>131.6</v>
      </c>
      <c r="X118" s="76">
        <v>131.6</v>
      </c>
      <c r="Y118" s="76">
        <v>124.5</v>
      </c>
      <c r="Z118" s="76">
        <v>127.3</v>
      </c>
      <c r="AA118" s="76">
        <v>123.8</v>
      </c>
      <c r="AB118" s="76">
        <v>128.19999999999999</v>
      </c>
      <c r="AC118" s="76">
        <v>125.8</v>
      </c>
      <c r="AD118" s="76">
        <v>125.8</v>
      </c>
      <c r="AE118" s="76">
        <v>129</v>
      </c>
      <c r="AF118" s="76">
        <v>128</v>
      </c>
      <c r="AG118" s="117"/>
      <c r="AH118" s="48">
        <f t="shared" si="28"/>
        <v>131.6</v>
      </c>
      <c r="AI118" s="49">
        <f t="shared" si="29"/>
        <v>121</v>
      </c>
    </row>
    <row r="119" spans="1:35" ht="15.75" thickBot="1" x14ac:dyDescent="0.3">
      <c r="A119" s="116" t="s">
        <v>139</v>
      </c>
      <c r="B119" s="105">
        <v>63.8</v>
      </c>
      <c r="C119" s="105"/>
      <c r="D119" s="105">
        <v>65</v>
      </c>
      <c r="E119" s="105">
        <v>65.400000000000006</v>
      </c>
      <c r="F119" s="105">
        <v>65.400000000000006</v>
      </c>
      <c r="G119" s="105">
        <v>64.8</v>
      </c>
      <c r="H119" s="105">
        <v>64</v>
      </c>
      <c r="I119" s="105">
        <v>64</v>
      </c>
      <c r="J119" s="105">
        <v>64</v>
      </c>
      <c r="K119" s="105">
        <v>64.7</v>
      </c>
      <c r="L119" s="105">
        <v>64.2</v>
      </c>
      <c r="M119" s="105">
        <v>62.8</v>
      </c>
      <c r="N119" s="105">
        <v>63</v>
      </c>
      <c r="O119" s="105">
        <v>63</v>
      </c>
      <c r="P119" s="105">
        <v>63</v>
      </c>
      <c r="Q119" s="105">
        <v>63.5</v>
      </c>
      <c r="R119" s="105">
        <v>63.2</v>
      </c>
      <c r="S119" s="105">
        <v>62.5</v>
      </c>
      <c r="T119" s="105">
        <v>62.6</v>
      </c>
      <c r="U119" s="105">
        <v>63.3</v>
      </c>
      <c r="V119" s="105">
        <v>63.3</v>
      </c>
      <c r="W119" s="105">
        <v>64</v>
      </c>
      <c r="X119" s="105">
        <v>64</v>
      </c>
      <c r="Y119" s="105">
        <v>63.7</v>
      </c>
      <c r="Z119" s="105">
        <v>63.1</v>
      </c>
      <c r="AA119" s="105">
        <v>61.9</v>
      </c>
      <c r="AB119" s="105">
        <v>63</v>
      </c>
      <c r="AC119" s="105">
        <v>63</v>
      </c>
      <c r="AD119" s="105">
        <v>63</v>
      </c>
      <c r="AE119" s="105">
        <v>65.3</v>
      </c>
      <c r="AF119" s="105">
        <v>63.7</v>
      </c>
      <c r="AG119" s="121"/>
      <c r="AH119" s="48">
        <f t="shared" si="28"/>
        <v>65.400000000000006</v>
      </c>
      <c r="AI119" s="49">
        <f t="shared" si="29"/>
        <v>61.9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8"/>
        <v>0</v>
      </c>
      <c r="AI120" s="49">
        <f t="shared" si="29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68.64</v>
      </c>
      <c r="C121" s="124">
        <f t="shared" ref="C121:O121" si="42">SUM(C25,C31,C34:C35,C69,C71:C72,C74,C76,C122:C126,C158,C164,C170,C179,C181,C193,C200,C203:C204,C211,C213,C215,C219:C221,C223:C225,C230,C236:C237,C239:C241,C249,C254)</f>
        <v>0.94</v>
      </c>
      <c r="D121" s="124">
        <f t="shared" si="42"/>
        <v>103.43999999999998</v>
      </c>
      <c r="E121" s="124">
        <f t="shared" si="42"/>
        <v>68.939999999999969</v>
      </c>
      <c r="F121" s="124">
        <f t="shared" si="42"/>
        <v>142.04</v>
      </c>
      <c r="G121" s="124">
        <f t="shared" si="42"/>
        <v>139.44000000000005</v>
      </c>
      <c r="H121" s="124">
        <f t="shared" si="42"/>
        <v>141.24</v>
      </c>
      <c r="I121" s="124">
        <f t="shared" si="42"/>
        <v>124.14</v>
      </c>
      <c r="J121" s="124">
        <f t="shared" si="42"/>
        <v>161.93999999999997</v>
      </c>
      <c r="K121" s="124">
        <f t="shared" si="42"/>
        <v>147.83999999999997</v>
      </c>
      <c r="L121" s="124">
        <f t="shared" si="42"/>
        <v>177.14000000000001</v>
      </c>
      <c r="M121" s="124">
        <f t="shared" si="42"/>
        <v>256.93999999999994</v>
      </c>
      <c r="N121" s="124">
        <f t="shared" si="42"/>
        <v>165.73999999999998</v>
      </c>
      <c r="O121" s="124">
        <f t="shared" si="42"/>
        <v>91.639999999999944</v>
      </c>
      <c r="P121" s="124">
        <v>42</v>
      </c>
      <c r="Q121" s="124">
        <f t="shared" ref="Q121:X121" si="43">SUM(Q25,Q31,Q34:Q35,Q69,Q71:Q72,Q74,Q76,Q122:Q126,Q158,Q164,Q170,Q179,Q181,Q193,Q200,Q203:Q204,Q211,Q213,Q215,Q219:Q221,Q223:Q225,Q230,Q236:Q237,Q239:Q241,Q249,Q254)</f>
        <v>140.34000000000003</v>
      </c>
      <c r="R121" s="124">
        <f t="shared" si="43"/>
        <v>142.94</v>
      </c>
      <c r="S121" s="124">
        <f t="shared" si="43"/>
        <v>411.84</v>
      </c>
      <c r="T121" s="124">
        <f t="shared" si="43"/>
        <v>127.94000000000001</v>
      </c>
      <c r="U121" s="124">
        <f t="shared" si="43"/>
        <v>129.14000000000001</v>
      </c>
      <c r="V121" s="124">
        <f t="shared" si="43"/>
        <v>125.14000000000004</v>
      </c>
      <c r="W121" s="124">
        <f t="shared" si="43"/>
        <v>134.84</v>
      </c>
      <c r="X121" s="124">
        <f t="shared" si="43"/>
        <v>139.64000000000004</v>
      </c>
      <c r="Y121" s="124">
        <f>SUM(Y23,Y29,Y40:Y41,Y69,Y71:Y72,Y74,Y76,Y122:Y126,Y151,Y157,Y163,Y172,Y174,Y186,Y193,Y196:Y197,Y204,Y206,Y208,Y212:Y214,Y216:Y218,Y223,Y229:Y230,Y232:Y234,Y242,Y247)</f>
        <v>175.8</v>
      </c>
      <c r="Z121" s="124">
        <f>SUM(Z23,Z29,Z40:Z41,Z69,Z71:Z72,Z74,Z76,Z122:Z126,Z151,Z157,Z163,Z172,Z174,Z186,Z193,Z196:Z197,Z204,Z206,Z208,Z212:Z214,Z216:Z218,Z223,Z229:Z230,Z232:Z234,Z242,Z247)</f>
        <v>223.70000000000005</v>
      </c>
      <c r="AA121" s="124">
        <f t="shared" ref="AA121:AF121" si="44">SUM(AA25,AA31,AA34:AA35,AA69,AA71:AA72,AA74,AA76,AA122:AA126,AA158,AA164,AA170,AA179,AA181,AA193,AA200,AA203:AA204,AA211,AA213,AA215,AA219:AA221,AA223:AA225,AA230,AA236:AA237,AA239:AA241,AA249,AA254)</f>
        <v>258.14</v>
      </c>
      <c r="AB121" s="124">
        <f t="shared" si="44"/>
        <v>243.76</v>
      </c>
      <c r="AC121" s="124">
        <f t="shared" si="44"/>
        <v>223.44</v>
      </c>
      <c r="AD121" s="124">
        <f t="shared" si="44"/>
        <v>223.44</v>
      </c>
      <c r="AE121" s="124">
        <f t="shared" si="44"/>
        <v>172.44</v>
      </c>
      <c r="AF121" s="124">
        <f t="shared" si="44"/>
        <v>132.84</v>
      </c>
      <c r="AG121" s="125"/>
      <c r="AH121" s="48">
        <f t="shared" si="28"/>
        <v>411.84</v>
      </c>
      <c r="AI121" s="49">
        <f t="shared" si="29"/>
        <v>0.94</v>
      </c>
    </row>
    <row r="122" spans="1:35" x14ac:dyDescent="0.25">
      <c r="A122" s="126" t="s">
        <v>142</v>
      </c>
      <c r="B122" s="127">
        <v>43</v>
      </c>
      <c r="C122" s="127"/>
      <c r="D122" s="127">
        <v>50.4</v>
      </c>
      <c r="E122" s="127">
        <v>50.7</v>
      </c>
      <c r="F122" s="127">
        <v>65.3</v>
      </c>
      <c r="G122" s="127">
        <v>76.900000000000006</v>
      </c>
      <c r="H122" s="127">
        <v>72.599999999999994</v>
      </c>
      <c r="I122" s="127"/>
      <c r="J122" s="127">
        <v>58</v>
      </c>
      <c r="K122" s="127">
        <v>55.4</v>
      </c>
      <c r="L122" s="127">
        <v>58</v>
      </c>
      <c r="M122" s="127">
        <v>77.599999999999994</v>
      </c>
      <c r="N122" s="127">
        <v>35</v>
      </c>
      <c r="O122" s="127">
        <v>43</v>
      </c>
      <c r="P122" s="127">
        <v>42</v>
      </c>
      <c r="Q122" s="127">
        <v>42.8</v>
      </c>
      <c r="R122" s="127">
        <v>55.6</v>
      </c>
      <c r="S122" s="127">
        <v>76.7</v>
      </c>
      <c r="T122" s="127">
        <v>70</v>
      </c>
      <c r="U122" s="127">
        <v>72.599999999999994</v>
      </c>
      <c r="V122" s="127">
        <v>62.3</v>
      </c>
      <c r="W122" s="127">
        <v>64.599999999999994</v>
      </c>
      <c r="X122" s="127">
        <v>81.400000000000006</v>
      </c>
      <c r="Y122" s="127">
        <v>74.7</v>
      </c>
      <c r="Z122" s="127">
        <v>57.9</v>
      </c>
      <c r="AA122" s="127">
        <v>83.4</v>
      </c>
      <c r="AB122" s="127">
        <v>75.319999999999993</v>
      </c>
      <c r="AC122" s="127">
        <v>92</v>
      </c>
      <c r="AD122" s="127">
        <v>92</v>
      </c>
      <c r="AE122" s="127">
        <v>85</v>
      </c>
      <c r="AF122" s="127">
        <v>95</v>
      </c>
      <c r="AG122" s="128">
        <v>75</v>
      </c>
      <c r="AH122" s="48">
        <f t="shared" si="28"/>
        <v>95</v>
      </c>
      <c r="AI122" s="49">
        <f t="shared" si="29"/>
        <v>35</v>
      </c>
    </row>
    <row r="123" spans="1:35" x14ac:dyDescent="0.25">
      <c r="A123" s="129" t="s">
        <v>143</v>
      </c>
      <c r="B123" s="130">
        <v>67.400000000000006</v>
      </c>
      <c r="C123" s="130"/>
      <c r="D123" s="130">
        <v>74</v>
      </c>
      <c r="E123" s="130">
        <v>82</v>
      </c>
      <c r="F123" s="130">
        <v>100.7</v>
      </c>
      <c r="G123" s="130">
        <v>112.6</v>
      </c>
      <c r="H123" s="130">
        <v>105.8</v>
      </c>
      <c r="I123" s="130"/>
      <c r="J123" s="130">
        <v>95</v>
      </c>
      <c r="K123" s="130">
        <v>89.5</v>
      </c>
      <c r="L123" s="130">
        <v>91.6</v>
      </c>
      <c r="M123" s="130">
        <v>111.3</v>
      </c>
      <c r="N123" s="130">
        <v>57</v>
      </c>
      <c r="O123" s="130">
        <v>67.400000000000006</v>
      </c>
      <c r="P123" s="130">
        <v>66</v>
      </c>
      <c r="Q123" s="130">
        <v>67</v>
      </c>
      <c r="R123" s="130">
        <v>85.9</v>
      </c>
      <c r="S123" s="130">
        <v>113.8</v>
      </c>
      <c r="T123" s="130">
        <v>103.8</v>
      </c>
      <c r="U123" s="130">
        <v>105.1</v>
      </c>
      <c r="V123" s="130">
        <v>92.6</v>
      </c>
      <c r="W123" s="130">
        <v>97.6</v>
      </c>
      <c r="X123" s="130">
        <v>115</v>
      </c>
      <c r="Y123" s="130">
        <v>107</v>
      </c>
      <c r="Z123" s="130">
        <v>83.4</v>
      </c>
      <c r="AA123" s="130">
        <v>120</v>
      </c>
      <c r="AB123" s="130">
        <v>112</v>
      </c>
      <c r="AC123" s="130">
        <v>62</v>
      </c>
      <c r="AD123" s="130">
        <v>62</v>
      </c>
      <c r="AE123" s="130">
        <v>55</v>
      </c>
      <c r="AF123" s="130">
        <v>63</v>
      </c>
      <c r="AG123" s="128">
        <v>240</v>
      </c>
      <c r="AH123" s="48">
        <f t="shared" si="28"/>
        <v>120</v>
      </c>
      <c r="AI123" s="49">
        <f t="shared" si="29"/>
        <v>55</v>
      </c>
    </row>
    <row r="124" spans="1:35" x14ac:dyDescent="0.25">
      <c r="A124" s="129" t="s">
        <v>144</v>
      </c>
      <c r="B124" s="130">
        <f>-74-77.9</f>
        <v>-151.9</v>
      </c>
      <c r="C124" s="130"/>
      <c r="D124" s="130">
        <f>-62.9-66.9</f>
        <v>-129.80000000000001</v>
      </c>
      <c r="E124" s="130">
        <f>-60-64</f>
        <v>-124</v>
      </c>
      <c r="F124" s="130">
        <f>-71-75</f>
        <v>-146</v>
      </c>
      <c r="G124" s="130">
        <v>-163</v>
      </c>
      <c r="H124" s="130">
        <f>-75-77</f>
        <v>-152</v>
      </c>
      <c r="I124" s="130"/>
      <c r="J124" s="130">
        <f>-65-69</f>
        <v>-134</v>
      </c>
      <c r="K124" s="130">
        <f>-58-60</f>
        <v>-118</v>
      </c>
      <c r="L124" s="130">
        <f>-59-64</f>
        <v>-123</v>
      </c>
      <c r="M124" s="130">
        <v>-112</v>
      </c>
      <c r="N124" s="130">
        <v>-110</v>
      </c>
      <c r="O124" s="130">
        <v>-151.9</v>
      </c>
      <c r="P124" s="130">
        <v>-115</v>
      </c>
      <c r="Q124" s="130">
        <v>-118.5</v>
      </c>
      <c r="R124" s="130">
        <v>-135</v>
      </c>
      <c r="S124" s="130">
        <v>145</v>
      </c>
      <c r="T124" s="130">
        <v>-147</v>
      </c>
      <c r="U124" s="130">
        <v>-178</v>
      </c>
      <c r="V124" s="130">
        <v>-166.9</v>
      </c>
      <c r="W124" s="130">
        <v>-165.7</v>
      </c>
      <c r="X124" s="130">
        <v>-175</v>
      </c>
      <c r="Y124" s="130">
        <v>-166</v>
      </c>
      <c r="Z124" s="130">
        <v>-106</v>
      </c>
      <c r="AA124" s="130">
        <v>-147</v>
      </c>
      <c r="AB124" s="130">
        <v>-147</v>
      </c>
      <c r="AC124" s="130">
        <v>-140</v>
      </c>
      <c r="AD124" s="130">
        <v>-140</v>
      </c>
      <c r="AE124" s="130">
        <v>-114</v>
      </c>
      <c r="AF124" s="130">
        <v>-180</v>
      </c>
      <c r="AG124" s="128">
        <v>240</v>
      </c>
      <c r="AH124" s="48">
        <f t="shared" si="28"/>
        <v>145</v>
      </c>
      <c r="AI124" s="49">
        <f t="shared" si="29"/>
        <v>-180</v>
      </c>
    </row>
    <row r="125" spans="1:35" ht="15.75" thickBot="1" x14ac:dyDescent="0.3">
      <c r="A125" s="129" t="s">
        <v>145</v>
      </c>
      <c r="B125" s="130">
        <v>-21.7</v>
      </c>
      <c r="C125" s="130"/>
      <c r="D125" s="130">
        <v>-4.2</v>
      </c>
      <c r="E125" s="130">
        <v>4.0999999999999996</v>
      </c>
      <c r="F125" s="130">
        <v>0.9</v>
      </c>
      <c r="G125" s="130">
        <v>-8.1999999999999993</v>
      </c>
      <c r="H125" s="130">
        <v>-6.3</v>
      </c>
      <c r="I125" s="130"/>
      <c r="J125" s="130">
        <v>-6.4</v>
      </c>
      <c r="K125" s="130">
        <v>4.2</v>
      </c>
      <c r="L125" s="130">
        <v>4</v>
      </c>
      <c r="M125" s="130">
        <v>-3.7</v>
      </c>
      <c r="N125" s="130">
        <v>-6</v>
      </c>
      <c r="O125" s="130">
        <v>-21.7</v>
      </c>
      <c r="P125" s="130">
        <v>-4.7</v>
      </c>
      <c r="Q125" s="130">
        <v>-7.2</v>
      </c>
      <c r="R125" s="130">
        <v>-9.3000000000000007</v>
      </c>
      <c r="S125" s="130">
        <v>-10.6</v>
      </c>
      <c r="T125" s="130">
        <v>-9</v>
      </c>
      <c r="U125" s="130">
        <v>-11.2</v>
      </c>
      <c r="V125" s="130">
        <v>-11.1</v>
      </c>
      <c r="W125" s="130">
        <v>-11.3</v>
      </c>
      <c r="X125" s="130">
        <v>-8.1999999999999993</v>
      </c>
      <c r="Y125" s="130">
        <v>-3.3</v>
      </c>
      <c r="Z125" s="130">
        <v>0.9</v>
      </c>
      <c r="AA125" s="130">
        <v>-3.4</v>
      </c>
      <c r="AB125" s="130">
        <v>-3</v>
      </c>
      <c r="AC125" s="130">
        <v>-3</v>
      </c>
      <c r="AD125" s="130">
        <v>-3</v>
      </c>
      <c r="AE125" s="130">
        <v>-3</v>
      </c>
      <c r="AF125" s="130">
        <v>-17.600000000000001</v>
      </c>
      <c r="AG125" s="128">
        <v>60</v>
      </c>
      <c r="AH125" s="48">
        <f t="shared" si="28"/>
        <v>4.2</v>
      </c>
      <c r="AI125" s="49">
        <f t="shared" si="29"/>
        <v>-21.7</v>
      </c>
    </row>
    <row r="126" spans="1:35" x14ac:dyDescent="0.25">
      <c r="A126" s="126" t="s">
        <v>146</v>
      </c>
      <c r="B126" s="131">
        <v>0</v>
      </c>
      <c r="C126" s="131"/>
      <c r="D126" s="131">
        <v>0</v>
      </c>
      <c r="E126" s="131">
        <v>-71</v>
      </c>
      <c r="F126" s="131"/>
      <c r="G126" s="131"/>
      <c r="H126" s="131"/>
      <c r="I126" s="131"/>
      <c r="J126" s="131">
        <v>19.2</v>
      </c>
      <c r="K126" s="131">
        <v>-14.2</v>
      </c>
      <c r="L126" s="131">
        <v>15.6</v>
      </c>
      <c r="M126" s="131">
        <v>28.9</v>
      </c>
      <c r="N126" s="131">
        <v>34.9</v>
      </c>
      <c r="O126" s="131">
        <v>0</v>
      </c>
      <c r="P126" s="131">
        <v>24.3</v>
      </c>
      <c r="Q126" s="131">
        <v>16.5</v>
      </c>
      <c r="R126" s="131">
        <v>6</v>
      </c>
      <c r="S126" s="131"/>
      <c r="T126" s="131">
        <v>27.7</v>
      </c>
      <c r="U126" s="131">
        <v>-1.6</v>
      </c>
      <c r="V126" s="131">
        <v>7</v>
      </c>
      <c r="W126" s="131">
        <v>9.4</v>
      </c>
      <c r="X126" s="131">
        <v>-12.8</v>
      </c>
      <c r="Y126" s="131"/>
      <c r="Z126" s="131">
        <v>24.1</v>
      </c>
      <c r="AA126" s="131">
        <v>46.3</v>
      </c>
      <c r="AB126" s="131">
        <v>48</v>
      </c>
      <c r="AC126" s="131">
        <v>54</v>
      </c>
      <c r="AD126" s="131">
        <v>54</v>
      </c>
      <c r="AE126" s="131">
        <v>-9</v>
      </c>
      <c r="AF126" s="131">
        <v>14</v>
      </c>
      <c r="AG126" s="132">
        <v>120</v>
      </c>
      <c r="AH126" s="48">
        <f t="shared" si="28"/>
        <v>54</v>
      </c>
      <c r="AI126" s="49">
        <f t="shared" si="29"/>
        <v>-71</v>
      </c>
    </row>
    <row r="127" spans="1:35" x14ac:dyDescent="0.25">
      <c r="A127" s="129" t="s">
        <v>147</v>
      </c>
      <c r="B127" s="131">
        <v>83.1</v>
      </c>
      <c r="C127" s="131"/>
      <c r="D127" s="131">
        <v>38.9</v>
      </c>
      <c r="E127" s="131">
        <v>28</v>
      </c>
      <c r="F127" s="131">
        <v>27.2</v>
      </c>
      <c r="G127" s="131">
        <v>32.4</v>
      </c>
      <c r="H127" s="131">
        <v>-14.2</v>
      </c>
      <c r="I127" s="131"/>
      <c r="J127" s="131">
        <v>70.3</v>
      </c>
      <c r="K127" s="131">
        <v>66.2</v>
      </c>
      <c r="L127" s="131">
        <v>68.7</v>
      </c>
      <c r="M127" s="131">
        <v>74.5</v>
      </c>
      <c r="N127" s="131">
        <v>94</v>
      </c>
      <c r="O127" s="131">
        <v>83.1</v>
      </c>
      <c r="P127" s="131">
        <v>84.9</v>
      </c>
      <c r="Q127" s="131">
        <v>81.3</v>
      </c>
      <c r="R127" s="131">
        <v>67</v>
      </c>
      <c r="S127" s="131">
        <v>85.3</v>
      </c>
      <c r="T127" s="131">
        <v>95.4</v>
      </c>
      <c r="U127" s="131">
        <v>81.400000000000006</v>
      </c>
      <c r="V127" s="131">
        <v>87.7</v>
      </c>
      <c r="W127" s="131">
        <v>90</v>
      </c>
      <c r="X127" s="131">
        <v>78.400000000000006</v>
      </c>
      <c r="Y127" s="131">
        <v>83.3</v>
      </c>
      <c r="Z127" s="131">
        <v>96.2</v>
      </c>
      <c r="AA127" s="131">
        <v>106.6</v>
      </c>
      <c r="AB127" s="131">
        <v>106</v>
      </c>
      <c r="AC127" s="131">
        <v>109</v>
      </c>
      <c r="AD127" s="131">
        <v>109</v>
      </c>
      <c r="AE127" s="131">
        <v>58</v>
      </c>
      <c r="AF127" s="131">
        <v>76</v>
      </c>
      <c r="AG127" s="132"/>
      <c r="AH127" s="48">
        <f t="shared" si="28"/>
        <v>109</v>
      </c>
      <c r="AI127" s="49">
        <f t="shared" si="29"/>
        <v>-14.2</v>
      </c>
    </row>
    <row r="128" spans="1:35" x14ac:dyDescent="0.25">
      <c r="A128" s="129" t="s">
        <v>148</v>
      </c>
      <c r="B128" s="131">
        <v>46.2</v>
      </c>
      <c r="C128" s="131"/>
      <c r="D128" s="131">
        <v>-5.4</v>
      </c>
      <c r="E128" s="131">
        <v>-8.1</v>
      </c>
      <c r="F128" s="131">
        <v>-9</v>
      </c>
      <c r="G128" s="131">
        <v>-14</v>
      </c>
      <c r="H128" s="131">
        <v>-15</v>
      </c>
      <c r="I128" s="131"/>
      <c r="J128" s="131">
        <v>-2.4</v>
      </c>
      <c r="K128" s="131">
        <v>-14.9</v>
      </c>
      <c r="L128" s="131">
        <v>-12.6</v>
      </c>
      <c r="M128" s="131">
        <v>-14.6</v>
      </c>
      <c r="N128" s="131">
        <v>42</v>
      </c>
      <c r="O128" s="131">
        <v>46.2</v>
      </c>
      <c r="P128" s="131">
        <v>21.8</v>
      </c>
      <c r="Q128" s="131">
        <v>22.2</v>
      </c>
      <c r="R128" s="131">
        <v>4.8</v>
      </c>
      <c r="S128" s="131">
        <v>29.4</v>
      </c>
      <c r="T128" s="131">
        <v>48.9</v>
      </c>
      <c r="U128" s="131">
        <v>18.5</v>
      </c>
      <c r="V128" s="131">
        <v>34.6</v>
      </c>
      <c r="W128" s="131">
        <v>28</v>
      </c>
      <c r="X128" s="131">
        <v>3.8</v>
      </c>
      <c r="Y128" s="131">
        <v>11.6</v>
      </c>
      <c r="Z128" s="131">
        <v>3.3</v>
      </c>
      <c r="AA128" s="131">
        <v>-1.3</v>
      </c>
      <c r="AB128" s="131">
        <v>5</v>
      </c>
      <c r="AC128" s="131">
        <v>23</v>
      </c>
      <c r="AD128" s="131">
        <v>23</v>
      </c>
      <c r="AE128" s="131">
        <v>-12</v>
      </c>
      <c r="AF128" s="131">
        <v>40</v>
      </c>
      <c r="AG128" s="132"/>
      <c r="AH128" s="48">
        <f t="shared" si="28"/>
        <v>48.9</v>
      </c>
      <c r="AI128" s="49">
        <f t="shared" si="29"/>
        <v>-15</v>
      </c>
    </row>
    <row r="129" spans="1:37" ht="15.75" thickBot="1" x14ac:dyDescent="0.3">
      <c r="A129" s="129" t="s">
        <v>149</v>
      </c>
      <c r="B129" s="131">
        <v>39.4</v>
      </c>
      <c r="C129" s="131"/>
      <c r="D129" s="131">
        <v>24.1</v>
      </c>
      <c r="E129" s="131">
        <v>45.6</v>
      </c>
      <c r="F129" s="131">
        <v>32</v>
      </c>
      <c r="G129" s="131">
        <v>16.2</v>
      </c>
      <c r="H129" s="131">
        <v>40</v>
      </c>
      <c r="I129" s="131"/>
      <c r="J129" s="131">
        <v>30</v>
      </c>
      <c r="K129" s="131">
        <v>18.3</v>
      </c>
      <c r="L129" s="131">
        <v>18.899999999999999</v>
      </c>
      <c r="M129" s="131">
        <v>41.6</v>
      </c>
      <c r="N129" s="131">
        <v>43</v>
      </c>
      <c r="O129" s="131">
        <v>39.4</v>
      </c>
      <c r="P129" s="131">
        <v>39.1</v>
      </c>
      <c r="Q129" s="131">
        <v>34</v>
      </c>
      <c r="R129" s="131">
        <v>22</v>
      </c>
      <c r="S129" s="131">
        <v>43.2</v>
      </c>
      <c r="T129" s="131">
        <v>53</v>
      </c>
      <c r="U129" s="131">
        <v>23.5</v>
      </c>
      <c r="V129" s="131">
        <v>28</v>
      </c>
      <c r="W129" s="131">
        <v>36.5</v>
      </c>
      <c r="X129" s="131">
        <v>15.2</v>
      </c>
      <c r="Y129" s="131">
        <v>25.1</v>
      </c>
      <c r="Z129" s="131">
        <v>35</v>
      </c>
      <c r="AA129" s="131">
        <v>50.9</v>
      </c>
      <c r="AB129" s="131">
        <v>49</v>
      </c>
      <c r="AC129" s="131">
        <v>51</v>
      </c>
      <c r="AD129" s="131">
        <v>51</v>
      </c>
      <c r="AE129" s="131">
        <v>41</v>
      </c>
      <c r="AF129" s="131">
        <v>15</v>
      </c>
      <c r="AG129" s="128"/>
      <c r="AH129" s="48">
        <f t="shared" si="28"/>
        <v>53</v>
      </c>
      <c r="AI129" s="49">
        <f t="shared" si="29"/>
        <v>15</v>
      </c>
    </row>
    <row r="130" spans="1:37" x14ac:dyDescent="0.25">
      <c r="A130" s="126" t="s">
        <v>150</v>
      </c>
      <c r="B130" s="131">
        <v>-382.4</v>
      </c>
      <c r="C130" s="131"/>
      <c r="D130" s="131">
        <v>-357</v>
      </c>
      <c r="E130" s="131">
        <v>-356.8</v>
      </c>
      <c r="F130" s="131">
        <v>-357</v>
      </c>
      <c r="G130" s="131">
        <v>-336.4</v>
      </c>
      <c r="H130" s="131">
        <v>-336.2</v>
      </c>
      <c r="I130" s="131"/>
      <c r="J130" s="131">
        <v>-282</v>
      </c>
      <c r="K130" s="131">
        <v>-281.5</v>
      </c>
      <c r="L130" s="131">
        <v>-294.7</v>
      </c>
      <c r="M130" s="131">
        <v>-289.60000000000002</v>
      </c>
      <c r="N130" s="131">
        <v>-326</v>
      </c>
      <c r="O130" s="131">
        <v>-382.4</v>
      </c>
      <c r="P130" s="131">
        <v>-328</v>
      </c>
      <c r="Q130" s="131">
        <v>-325.60000000000002</v>
      </c>
      <c r="R130" s="131">
        <v>-327</v>
      </c>
      <c r="S130" s="131">
        <v>-338.7</v>
      </c>
      <c r="T130" s="131">
        <v>-335</v>
      </c>
      <c r="U130" s="131">
        <v>-350.8</v>
      </c>
      <c r="V130" s="131">
        <v>-354</v>
      </c>
      <c r="W130" s="131">
        <v>-343.8</v>
      </c>
      <c r="X130" s="131">
        <v>-356</v>
      </c>
      <c r="Y130" s="131">
        <v>-350.5</v>
      </c>
      <c r="Z130" s="131">
        <v>-343.7</v>
      </c>
      <c r="AA130" s="131">
        <v>-342.9</v>
      </c>
      <c r="AB130" s="131">
        <v>-352</v>
      </c>
      <c r="AC130" s="131">
        <v>-347</v>
      </c>
      <c r="AD130" s="131">
        <v>-347</v>
      </c>
      <c r="AE130" s="131">
        <v>-369</v>
      </c>
      <c r="AF130" s="131">
        <v>-365</v>
      </c>
      <c r="AG130" s="128"/>
      <c r="AH130" s="48">
        <f t="shared" si="28"/>
        <v>-281.5</v>
      </c>
      <c r="AI130" s="49">
        <f t="shared" si="29"/>
        <v>-382.4</v>
      </c>
    </row>
    <row r="131" spans="1:37" x14ac:dyDescent="0.25">
      <c r="A131" s="129" t="s">
        <v>151</v>
      </c>
      <c r="B131" s="119">
        <v>64.5</v>
      </c>
      <c r="C131" s="119"/>
      <c r="D131" s="119">
        <v>90</v>
      </c>
      <c r="E131" s="119">
        <v>69</v>
      </c>
      <c r="F131" s="119"/>
      <c r="G131" s="119"/>
      <c r="H131" s="119"/>
      <c r="I131" s="119"/>
      <c r="J131" s="119"/>
      <c r="K131" s="119"/>
      <c r="L131" s="119"/>
      <c r="M131" s="119">
        <v>68.599999999999994</v>
      </c>
      <c r="N131" s="119"/>
      <c r="O131" s="119">
        <v>64.5</v>
      </c>
      <c r="P131" s="119"/>
      <c r="Q131" s="119"/>
      <c r="R131" s="119"/>
      <c r="S131" s="119"/>
      <c r="T131" s="119">
        <v>68.5</v>
      </c>
      <c r="U131" s="119">
        <v>68.5</v>
      </c>
      <c r="V131" s="119">
        <v>58</v>
      </c>
      <c r="W131" s="119">
        <v>65.599999999999994</v>
      </c>
      <c r="X131" s="119">
        <v>64.5</v>
      </c>
      <c r="Y131" s="119"/>
      <c r="Z131" s="119">
        <v>65.099999999999994</v>
      </c>
      <c r="AA131" s="119">
        <v>67.7</v>
      </c>
      <c r="AB131" s="119"/>
      <c r="AC131" s="119"/>
      <c r="AD131" s="119"/>
      <c r="AE131" s="119"/>
      <c r="AF131" s="119"/>
      <c r="AG131" s="128"/>
      <c r="AH131" s="48">
        <f t="shared" si="28"/>
        <v>90</v>
      </c>
      <c r="AI131" s="49">
        <f t="shared" si="29"/>
        <v>58</v>
      </c>
    </row>
    <row r="132" spans="1:37" x14ac:dyDescent="0.25">
      <c r="A132" s="129" t="s">
        <v>152</v>
      </c>
      <c r="B132" s="119">
        <v>1.7</v>
      </c>
      <c r="C132" s="119"/>
      <c r="D132" s="119">
        <v>1.7</v>
      </c>
      <c r="E132" s="119">
        <v>0</v>
      </c>
      <c r="F132" s="119">
        <v>-4.3</v>
      </c>
      <c r="G132" s="119">
        <v>-10.3</v>
      </c>
      <c r="H132" s="119">
        <v>-10.4</v>
      </c>
      <c r="I132" s="119"/>
      <c r="J132" s="119">
        <v>1.3</v>
      </c>
      <c r="K132" s="119">
        <v>-6.3</v>
      </c>
      <c r="L132" s="119">
        <v>-12.8</v>
      </c>
      <c r="M132" s="119">
        <v>-15.3</v>
      </c>
      <c r="N132" s="119">
        <v>-2.8</v>
      </c>
      <c r="O132" s="119">
        <v>1.7</v>
      </c>
      <c r="P132" s="119">
        <v>3.4</v>
      </c>
      <c r="Q132" s="119">
        <v>2</v>
      </c>
      <c r="R132" s="119">
        <v>30</v>
      </c>
      <c r="S132" s="119">
        <v>-2.5</v>
      </c>
      <c r="T132" s="119">
        <v>-20.5</v>
      </c>
      <c r="U132" s="119">
        <v>24.9</v>
      </c>
      <c r="V132" s="119">
        <v>25.2</v>
      </c>
      <c r="W132" s="119">
        <v>22.9</v>
      </c>
      <c r="X132" s="119">
        <v>18.100000000000001</v>
      </c>
      <c r="Y132" s="119">
        <v>-21.5</v>
      </c>
      <c r="Z132" s="119">
        <v>-29.1</v>
      </c>
      <c r="AA132" s="119">
        <v>-39.5</v>
      </c>
      <c r="AB132" s="119">
        <v>-8</v>
      </c>
      <c r="AC132" s="119">
        <v>-7</v>
      </c>
      <c r="AD132" s="119">
        <v>-7</v>
      </c>
      <c r="AE132" s="119">
        <v>1.4</v>
      </c>
      <c r="AF132" s="119">
        <v>0</v>
      </c>
      <c r="AG132" s="128"/>
      <c r="AH132" s="48">
        <f t="shared" si="28"/>
        <v>30</v>
      </c>
      <c r="AI132" s="49">
        <f t="shared" si="29"/>
        <v>-39.5</v>
      </c>
    </row>
    <row r="133" spans="1:37" ht="15.75" thickBot="1" x14ac:dyDescent="0.3">
      <c r="A133" s="129" t="s">
        <v>153</v>
      </c>
      <c r="B133" s="119">
        <v>58.8</v>
      </c>
      <c r="C133" s="119"/>
      <c r="D133" s="119">
        <v>55.4</v>
      </c>
      <c r="E133" s="119">
        <v>53.3</v>
      </c>
      <c r="F133" s="119">
        <v>55</v>
      </c>
      <c r="G133" s="119">
        <v>47</v>
      </c>
      <c r="H133" s="119">
        <v>46.6</v>
      </c>
      <c r="I133" s="119"/>
      <c r="J133" s="119">
        <v>40</v>
      </c>
      <c r="K133" s="119">
        <v>41.5</v>
      </c>
      <c r="L133" s="119">
        <v>36.1</v>
      </c>
      <c r="M133" s="119">
        <v>35.299999999999997</v>
      </c>
      <c r="N133" s="119">
        <v>41</v>
      </c>
      <c r="O133" s="119">
        <v>58.8</v>
      </c>
      <c r="P133" s="119">
        <v>47.7</v>
      </c>
      <c r="Q133" s="119">
        <v>45.3</v>
      </c>
      <c r="R133" s="119">
        <v>33</v>
      </c>
      <c r="S133" s="119">
        <v>39.799999999999997</v>
      </c>
      <c r="T133" s="119">
        <v>35.299999999999997</v>
      </c>
      <c r="U133" s="119">
        <v>10.9</v>
      </c>
      <c r="V133" s="119">
        <v>12.3</v>
      </c>
      <c r="W133" s="119">
        <v>9.6999999999999993</v>
      </c>
      <c r="X133" s="119">
        <v>9.6999999999999993</v>
      </c>
      <c r="Y133" s="119">
        <v>9.6999999999999993</v>
      </c>
      <c r="Z133" s="119">
        <v>13.6</v>
      </c>
      <c r="AA133" s="119">
        <v>16.899999999999999</v>
      </c>
      <c r="AB133" s="119">
        <v>53</v>
      </c>
      <c r="AC133" s="119">
        <v>55</v>
      </c>
      <c r="AD133" s="119">
        <v>55</v>
      </c>
      <c r="AE133" s="119">
        <v>55.6</v>
      </c>
      <c r="AF133" s="119">
        <v>56</v>
      </c>
      <c r="AG133" s="128"/>
      <c r="AH133" s="48">
        <f t="shared" si="28"/>
        <v>58.8</v>
      </c>
      <c r="AI133" s="49">
        <f t="shared" si="29"/>
        <v>9.6999999999999993</v>
      </c>
    </row>
    <row r="134" spans="1:37" x14ac:dyDescent="0.25">
      <c r="A134" s="133" t="s">
        <v>154</v>
      </c>
      <c r="B134" s="135"/>
      <c r="C134" s="134"/>
      <c r="D134" s="135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8"/>
      <c r="C135" s="137"/>
      <c r="D135" s="138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1"/>
      <c r="C136" s="140"/>
      <c r="D136" s="141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1"/>
      <c r="C137" s="140"/>
      <c r="D137" s="141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1"/>
      <c r="C138" s="140"/>
      <c r="D138" s="141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1"/>
      <c r="C139" s="140"/>
      <c r="D139" s="141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>
        <v>883.4</v>
      </c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3">
        <v>1483.96</v>
      </c>
      <c r="C140" s="142"/>
      <c r="D140" s="143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>
        <v>1484.12</v>
      </c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5">SUM(B142:B246)</f>
        <v>0</v>
      </c>
      <c r="C247" s="161">
        <f t="shared" si="45"/>
        <v>0</v>
      </c>
      <c r="D247" s="161">
        <f t="shared" si="45"/>
        <v>0</v>
      </c>
      <c r="E247" s="161">
        <f t="shared" si="45"/>
        <v>0</v>
      </c>
      <c r="F247" s="161">
        <f t="shared" si="45"/>
        <v>0</v>
      </c>
      <c r="G247" s="161">
        <f t="shared" si="45"/>
        <v>0</v>
      </c>
      <c r="H247" s="161">
        <f t="shared" si="45"/>
        <v>0</v>
      </c>
      <c r="I247" s="161">
        <f t="shared" si="45"/>
        <v>0</v>
      </c>
      <c r="J247" s="161">
        <f t="shared" si="45"/>
        <v>0</v>
      </c>
      <c r="K247" s="161">
        <f t="shared" si="45"/>
        <v>0</v>
      </c>
      <c r="L247" s="161">
        <f t="shared" si="45"/>
        <v>0</v>
      </c>
      <c r="M247" s="161">
        <f t="shared" si="45"/>
        <v>0</v>
      </c>
      <c r="N247" s="161">
        <f t="shared" si="45"/>
        <v>0</v>
      </c>
      <c r="O247" s="161">
        <f t="shared" si="45"/>
        <v>0</v>
      </c>
      <c r="P247" s="161">
        <f t="shared" si="45"/>
        <v>0</v>
      </c>
      <c r="Q247" s="161">
        <f t="shared" si="45"/>
        <v>0</v>
      </c>
      <c r="R247" s="161">
        <f t="shared" si="45"/>
        <v>0</v>
      </c>
      <c r="S247" s="161">
        <f t="shared" si="45"/>
        <v>0</v>
      </c>
      <c r="T247" s="161">
        <f t="shared" si="45"/>
        <v>0</v>
      </c>
      <c r="U247" s="161">
        <f t="shared" si="45"/>
        <v>0</v>
      </c>
      <c r="V247" s="161">
        <f t="shared" si="45"/>
        <v>0</v>
      </c>
      <c r="W247" s="161">
        <f t="shared" si="45"/>
        <v>0</v>
      </c>
      <c r="X247" s="161">
        <f t="shared" si="45"/>
        <v>0</v>
      </c>
      <c r="Y247" s="161">
        <f t="shared" si="45"/>
        <v>0</v>
      </c>
      <c r="Z247" s="161">
        <f t="shared" si="45"/>
        <v>0</v>
      </c>
      <c r="AA247" s="161">
        <f t="shared" si="45"/>
        <v>0</v>
      </c>
      <c r="AB247" s="161">
        <f t="shared" si="45"/>
        <v>0</v>
      </c>
      <c r="AC247" s="161">
        <f t="shared" si="45"/>
        <v>0</v>
      </c>
      <c r="AD247" s="161">
        <f t="shared" si="45"/>
        <v>0</v>
      </c>
      <c r="AE247" s="161">
        <f t="shared" si="45"/>
        <v>0</v>
      </c>
      <c r="AF247" s="162">
        <f t="shared" si="45"/>
        <v>0</v>
      </c>
      <c r="AG247" s="163">
        <f t="shared" si="45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6">AF249</f>
        <v>0.3</v>
      </c>
      <c r="C249" s="166">
        <v>0.3</v>
      </c>
      <c r="D249" s="166">
        <f t="shared" ref="D249:S254" si="47">C249</f>
        <v>0.3</v>
      </c>
      <c r="E249" s="166">
        <f t="shared" si="47"/>
        <v>0.3</v>
      </c>
      <c r="F249" s="166">
        <f t="shared" si="47"/>
        <v>0.3</v>
      </c>
      <c r="G249" s="166">
        <f t="shared" si="47"/>
        <v>0.3</v>
      </c>
      <c r="H249" s="166">
        <f t="shared" si="47"/>
        <v>0.3</v>
      </c>
      <c r="I249" s="166">
        <f t="shared" si="47"/>
        <v>0.3</v>
      </c>
      <c r="J249" s="166">
        <f t="shared" si="47"/>
        <v>0.3</v>
      </c>
      <c r="K249" s="166">
        <f t="shared" si="47"/>
        <v>0.3</v>
      </c>
      <c r="L249" s="166">
        <f t="shared" si="47"/>
        <v>0.3</v>
      </c>
      <c r="M249" s="166">
        <f t="shared" si="47"/>
        <v>0.3</v>
      </c>
      <c r="N249" s="166">
        <f t="shared" si="47"/>
        <v>0.3</v>
      </c>
      <c r="O249" s="166">
        <f t="shared" si="47"/>
        <v>0.3</v>
      </c>
      <c r="P249" s="166">
        <f t="shared" si="47"/>
        <v>0.3</v>
      </c>
      <c r="Q249" s="166">
        <f t="shared" si="47"/>
        <v>0.3</v>
      </c>
      <c r="R249" s="166">
        <f t="shared" si="47"/>
        <v>0.3</v>
      </c>
      <c r="S249" s="166">
        <f t="shared" si="47"/>
        <v>0.3</v>
      </c>
      <c r="T249" s="166">
        <f t="shared" ref="T249:AF254" si="48">S249</f>
        <v>0.3</v>
      </c>
      <c r="U249" s="166">
        <f t="shared" si="48"/>
        <v>0.3</v>
      </c>
      <c r="V249" s="166">
        <f t="shared" si="48"/>
        <v>0.3</v>
      </c>
      <c r="W249" s="166">
        <f t="shared" si="48"/>
        <v>0.3</v>
      </c>
      <c r="X249" s="166">
        <f t="shared" si="48"/>
        <v>0.3</v>
      </c>
      <c r="Y249" s="166">
        <f t="shared" si="48"/>
        <v>0.3</v>
      </c>
      <c r="Z249" s="166">
        <f t="shared" si="48"/>
        <v>0.3</v>
      </c>
      <c r="AA249" s="166">
        <f t="shared" si="48"/>
        <v>0.3</v>
      </c>
      <c r="AB249" s="166">
        <f t="shared" si="48"/>
        <v>0.3</v>
      </c>
      <c r="AC249" s="166">
        <f t="shared" si="48"/>
        <v>0.3</v>
      </c>
      <c r="AD249" s="166">
        <f t="shared" si="48"/>
        <v>0.3</v>
      </c>
      <c r="AE249" s="166">
        <f t="shared" si="48"/>
        <v>0.3</v>
      </c>
      <c r="AF249" s="166">
        <f t="shared" si="48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6"/>
        <v>0.4</v>
      </c>
      <c r="C250" s="152">
        <v>0.4</v>
      </c>
      <c r="D250" s="152">
        <f t="shared" si="47"/>
        <v>0.4</v>
      </c>
      <c r="E250" s="152">
        <f t="shared" si="47"/>
        <v>0.4</v>
      </c>
      <c r="F250" s="152">
        <f t="shared" si="47"/>
        <v>0.4</v>
      </c>
      <c r="G250" s="152">
        <f t="shared" si="47"/>
        <v>0.4</v>
      </c>
      <c r="H250" s="152">
        <f t="shared" si="47"/>
        <v>0.4</v>
      </c>
      <c r="I250" s="152">
        <f t="shared" si="47"/>
        <v>0.4</v>
      </c>
      <c r="J250" s="152">
        <f t="shared" si="47"/>
        <v>0.4</v>
      </c>
      <c r="K250" s="152">
        <f t="shared" si="47"/>
        <v>0.4</v>
      </c>
      <c r="L250" s="152">
        <f t="shared" si="47"/>
        <v>0.4</v>
      </c>
      <c r="M250" s="152">
        <f t="shared" si="47"/>
        <v>0.4</v>
      </c>
      <c r="N250" s="152">
        <f t="shared" si="47"/>
        <v>0.4</v>
      </c>
      <c r="O250" s="152">
        <f t="shared" si="47"/>
        <v>0.4</v>
      </c>
      <c r="P250" s="152">
        <f t="shared" si="47"/>
        <v>0.4</v>
      </c>
      <c r="Q250" s="152">
        <f t="shared" si="47"/>
        <v>0.4</v>
      </c>
      <c r="R250" s="152">
        <f t="shared" si="47"/>
        <v>0.4</v>
      </c>
      <c r="S250" s="152">
        <f t="shared" si="47"/>
        <v>0.4</v>
      </c>
      <c r="T250" s="152">
        <f t="shared" si="48"/>
        <v>0.4</v>
      </c>
      <c r="U250" s="152">
        <f t="shared" si="48"/>
        <v>0.4</v>
      </c>
      <c r="V250" s="152">
        <f t="shared" si="48"/>
        <v>0.4</v>
      </c>
      <c r="W250" s="152">
        <f t="shared" si="48"/>
        <v>0.4</v>
      </c>
      <c r="X250" s="152">
        <f t="shared" si="48"/>
        <v>0.4</v>
      </c>
      <c r="Y250" s="152">
        <f t="shared" si="48"/>
        <v>0.4</v>
      </c>
      <c r="Z250" s="152">
        <f t="shared" si="48"/>
        <v>0.4</v>
      </c>
      <c r="AA250" s="152">
        <f t="shared" si="48"/>
        <v>0.4</v>
      </c>
      <c r="AB250" s="152">
        <f t="shared" si="48"/>
        <v>0.4</v>
      </c>
      <c r="AC250" s="152">
        <f t="shared" si="48"/>
        <v>0.4</v>
      </c>
      <c r="AD250" s="152">
        <f t="shared" si="48"/>
        <v>0.4</v>
      </c>
      <c r="AE250" s="152">
        <f t="shared" si="48"/>
        <v>0.4</v>
      </c>
      <c r="AF250" s="152">
        <f t="shared" si="48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6"/>
        <v>1.5</v>
      </c>
      <c r="C251" s="152">
        <v>1.5</v>
      </c>
      <c r="D251" s="152">
        <f t="shared" si="47"/>
        <v>1.5</v>
      </c>
      <c r="E251" s="152">
        <f t="shared" si="47"/>
        <v>1.5</v>
      </c>
      <c r="F251" s="152">
        <f t="shared" si="47"/>
        <v>1.5</v>
      </c>
      <c r="G251" s="152">
        <f t="shared" si="47"/>
        <v>1.5</v>
      </c>
      <c r="H251" s="152">
        <f t="shared" si="47"/>
        <v>1.5</v>
      </c>
      <c r="I251" s="152">
        <f t="shared" si="47"/>
        <v>1.5</v>
      </c>
      <c r="J251" s="152">
        <f t="shared" si="47"/>
        <v>1.5</v>
      </c>
      <c r="K251" s="152">
        <f t="shared" si="47"/>
        <v>1.5</v>
      </c>
      <c r="L251" s="152">
        <f t="shared" si="47"/>
        <v>1.5</v>
      </c>
      <c r="M251" s="152">
        <f t="shared" si="47"/>
        <v>1.5</v>
      </c>
      <c r="N251" s="152">
        <f t="shared" si="47"/>
        <v>1.5</v>
      </c>
      <c r="O251" s="152">
        <f t="shared" si="47"/>
        <v>1.5</v>
      </c>
      <c r="P251" s="152">
        <f t="shared" si="47"/>
        <v>1.5</v>
      </c>
      <c r="Q251" s="152">
        <f t="shared" si="47"/>
        <v>1.5</v>
      </c>
      <c r="R251" s="152">
        <f t="shared" si="47"/>
        <v>1.5</v>
      </c>
      <c r="S251" s="152">
        <f t="shared" si="47"/>
        <v>1.5</v>
      </c>
      <c r="T251" s="152">
        <f t="shared" si="48"/>
        <v>1.5</v>
      </c>
      <c r="U251" s="152">
        <f t="shared" si="48"/>
        <v>1.5</v>
      </c>
      <c r="V251" s="152">
        <f t="shared" si="48"/>
        <v>1.5</v>
      </c>
      <c r="W251" s="152">
        <f t="shared" si="48"/>
        <v>1.5</v>
      </c>
      <c r="X251" s="152">
        <f t="shared" si="48"/>
        <v>1.5</v>
      </c>
      <c r="Y251" s="152">
        <f t="shared" si="48"/>
        <v>1.5</v>
      </c>
      <c r="Z251" s="152">
        <f t="shared" si="48"/>
        <v>1.5</v>
      </c>
      <c r="AA251" s="152">
        <f t="shared" si="48"/>
        <v>1.5</v>
      </c>
      <c r="AB251" s="152">
        <f t="shared" si="48"/>
        <v>1.5</v>
      </c>
      <c r="AC251" s="152">
        <f t="shared" si="48"/>
        <v>1.5</v>
      </c>
      <c r="AD251" s="152">
        <f t="shared" si="48"/>
        <v>1.5</v>
      </c>
      <c r="AE251" s="152">
        <f t="shared" si="48"/>
        <v>1.5</v>
      </c>
      <c r="AF251" s="152">
        <f t="shared" si="48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6"/>
        <v>0.3</v>
      </c>
      <c r="C252" s="152">
        <v>0.3</v>
      </c>
      <c r="D252" s="152">
        <f t="shared" si="47"/>
        <v>0.3</v>
      </c>
      <c r="E252" s="152">
        <f t="shared" si="47"/>
        <v>0.3</v>
      </c>
      <c r="F252" s="152">
        <f t="shared" si="47"/>
        <v>0.3</v>
      </c>
      <c r="G252" s="152">
        <f t="shared" si="47"/>
        <v>0.3</v>
      </c>
      <c r="H252" s="152">
        <f t="shared" si="47"/>
        <v>0.3</v>
      </c>
      <c r="I252" s="152">
        <f t="shared" si="47"/>
        <v>0.3</v>
      </c>
      <c r="J252" s="152">
        <f t="shared" si="47"/>
        <v>0.3</v>
      </c>
      <c r="K252" s="152">
        <f t="shared" si="47"/>
        <v>0.3</v>
      </c>
      <c r="L252" s="152">
        <f t="shared" si="47"/>
        <v>0.3</v>
      </c>
      <c r="M252" s="152">
        <f t="shared" si="47"/>
        <v>0.3</v>
      </c>
      <c r="N252" s="152">
        <f t="shared" si="47"/>
        <v>0.3</v>
      </c>
      <c r="O252" s="152">
        <f t="shared" si="47"/>
        <v>0.3</v>
      </c>
      <c r="P252" s="152">
        <f t="shared" si="47"/>
        <v>0.3</v>
      </c>
      <c r="Q252" s="152">
        <f t="shared" si="47"/>
        <v>0.3</v>
      </c>
      <c r="R252" s="152">
        <f t="shared" si="47"/>
        <v>0.3</v>
      </c>
      <c r="S252" s="152">
        <f t="shared" si="47"/>
        <v>0.3</v>
      </c>
      <c r="T252" s="152">
        <f t="shared" si="48"/>
        <v>0.3</v>
      </c>
      <c r="U252" s="152">
        <f t="shared" si="48"/>
        <v>0.3</v>
      </c>
      <c r="V252" s="152">
        <f t="shared" si="48"/>
        <v>0.3</v>
      </c>
      <c r="W252" s="152">
        <f t="shared" si="48"/>
        <v>0.3</v>
      </c>
      <c r="X252" s="152">
        <f t="shared" si="48"/>
        <v>0.3</v>
      </c>
      <c r="Y252" s="152">
        <f t="shared" si="48"/>
        <v>0.3</v>
      </c>
      <c r="Z252" s="152">
        <f t="shared" si="48"/>
        <v>0.3</v>
      </c>
      <c r="AA252" s="152">
        <f t="shared" si="48"/>
        <v>0.3</v>
      </c>
      <c r="AB252" s="152">
        <f t="shared" si="48"/>
        <v>0.3</v>
      </c>
      <c r="AC252" s="152">
        <f t="shared" si="48"/>
        <v>0.3</v>
      </c>
      <c r="AD252" s="152">
        <f t="shared" si="48"/>
        <v>0.3</v>
      </c>
      <c r="AE252" s="152">
        <f t="shared" si="48"/>
        <v>0.3</v>
      </c>
      <c r="AF252" s="152">
        <f t="shared" si="48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6"/>
        <v>0.4</v>
      </c>
      <c r="C253" s="152">
        <v>0.4</v>
      </c>
      <c r="D253" s="152">
        <f t="shared" si="47"/>
        <v>0.4</v>
      </c>
      <c r="E253" s="152">
        <f t="shared" si="47"/>
        <v>0.4</v>
      </c>
      <c r="F253" s="152">
        <f t="shared" si="47"/>
        <v>0.4</v>
      </c>
      <c r="G253" s="152">
        <f t="shared" si="47"/>
        <v>0.4</v>
      </c>
      <c r="H253" s="152">
        <f t="shared" si="47"/>
        <v>0.4</v>
      </c>
      <c r="I253" s="152">
        <f t="shared" si="47"/>
        <v>0.4</v>
      </c>
      <c r="J253" s="152">
        <f t="shared" si="47"/>
        <v>0.4</v>
      </c>
      <c r="K253" s="152">
        <f t="shared" si="47"/>
        <v>0.4</v>
      </c>
      <c r="L253" s="152">
        <f t="shared" si="47"/>
        <v>0.4</v>
      </c>
      <c r="M253" s="152">
        <f t="shared" si="47"/>
        <v>0.4</v>
      </c>
      <c r="N253" s="152">
        <f t="shared" si="47"/>
        <v>0.4</v>
      </c>
      <c r="O253" s="152">
        <f t="shared" si="47"/>
        <v>0.4</v>
      </c>
      <c r="P253" s="152">
        <f t="shared" si="47"/>
        <v>0.4</v>
      </c>
      <c r="Q253" s="152">
        <f t="shared" si="47"/>
        <v>0.4</v>
      </c>
      <c r="R253" s="152">
        <f t="shared" si="47"/>
        <v>0.4</v>
      </c>
      <c r="S253" s="152">
        <f t="shared" si="47"/>
        <v>0.4</v>
      </c>
      <c r="T253" s="152">
        <f t="shared" si="48"/>
        <v>0.4</v>
      </c>
      <c r="U253" s="152">
        <f t="shared" si="48"/>
        <v>0.4</v>
      </c>
      <c r="V253" s="152">
        <f t="shared" si="48"/>
        <v>0.4</v>
      </c>
      <c r="W253" s="152">
        <f t="shared" si="48"/>
        <v>0.4</v>
      </c>
      <c r="X253" s="152">
        <f t="shared" si="48"/>
        <v>0.4</v>
      </c>
      <c r="Y253" s="152">
        <f t="shared" si="48"/>
        <v>0.4</v>
      </c>
      <c r="Z253" s="152">
        <f t="shared" si="48"/>
        <v>0.4</v>
      </c>
      <c r="AA253" s="152">
        <f t="shared" si="48"/>
        <v>0.4</v>
      </c>
      <c r="AB253" s="152">
        <f t="shared" si="48"/>
        <v>0.4</v>
      </c>
      <c r="AC253" s="152">
        <f t="shared" si="48"/>
        <v>0.4</v>
      </c>
      <c r="AD253" s="152">
        <f t="shared" si="48"/>
        <v>0.4</v>
      </c>
      <c r="AE253" s="152">
        <f t="shared" si="48"/>
        <v>0.4</v>
      </c>
      <c r="AF253" s="152">
        <f t="shared" si="48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6"/>
        <v>0.64</v>
      </c>
      <c r="C254" s="157">
        <v>0.64</v>
      </c>
      <c r="D254" s="157">
        <f t="shared" si="47"/>
        <v>0.64</v>
      </c>
      <c r="E254" s="157">
        <f t="shared" si="47"/>
        <v>0.64</v>
      </c>
      <c r="F254" s="157">
        <f t="shared" si="47"/>
        <v>0.64</v>
      </c>
      <c r="G254" s="157">
        <f t="shared" si="47"/>
        <v>0.64</v>
      </c>
      <c r="H254" s="157">
        <f t="shared" si="47"/>
        <v>0.64</v>
      </c>
      <c r="I254" s="157">
        <f t="shared" si="47"/>
        <v>0.64</v>
      </c>
      <c r="J254" s="157">
        <f t="shared" si="47"/>
        <v>0.64</v>
      </c>
      <c r="K254" s="157">
        <f t="shared" si="47"/>
        <v>0.64</v>
      </c>
      <c r="L254" s="157">
        <f t="shared" si="47"/>
        <v>0.64</v>
      </c>
      <c r="M254" s="157">
        <f t="shared" si="47"/>
        <v>0.64</v>
      </c>
      <c r="N254" s="157">
        <f t="shared" si="47"/>
        <v>0.64</v>
      </c>
      <c r="O254" s="157">
        <f t="shared" si="47"/>
        <v>0.64</v>
      </c>
      <c r="P254" s="157">
        <f t="shared" si="47"/>
        <v>0.64</v>
      </c>
      <c r="Q254" s="157">
        <f t="shared" si="47"/>
        <v>0.64</v>
      </c>
      <c r="R254" s="157">
        <f t="shared" si="47"/>
        <v>0.64</v>
      </c>
      <c r="S254" s="157">
        <f t="shared" si="47"/>
        <v>0.64</v>
      </c>
      <c r="T254" s="157">
        <f t="shared" si="48"/>
        <v>0.64</v>
      </c>
      <c r="U254" s="157">
        <f t="shared" si="48"/>
        <v>0.64</v>
      </c>
      <c r="V254" s="157">
        <f t="shared" si="48"/>
        <v>0.64</v>
      </c>
      <c r="W254" s="157">
        <f t="shared" si="48"/>
        <v>0.64</v>
      </c>
      <c r="X254" s="157">
        <f t="shared" si="48"/>
        <v>0.64</v>
      </c>
      <c r="Y254" s="157">
        <f t="shared" si="48"/>
        <v>0.64</v>
      </c>
      <c r="Z254" s="157">
        <f t="shared" si="48"/>
        <v>0.64</v>
      </c>
      <c r="AA254" s="157">
        <f t="shared" si="48"/>
        <v>0.64</v>
      </c>
      <c r="AB254" s="157">
        <f t="shared" si="48"/>
        <v>0.64</v>
      </c>
      <c r="AC254" s="157">
        <f t="shared" si="48"/>
        <v>0.64</v>
      </c>
      <c r="AD254" s="157">
        <f t="shared" si="48"/>
        <v>0.64</v>
      </c>
      <c r="AE254" s="157">
        <f t="shared" si="48"/>
        <v>0.64</v>
      </c>
      <c r="AF254" s="157">
        <f t="shared" si="48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9">SUM(B249:B254)</f>
        <v>3.54</v>
      </c>
      <c r="C255" s="161">
        <f t="shared" si="49"/>
        <v>3.54</v>
      </c>
      <c r="D255" s="161">
        <f t="shared" si="49"/>
        <v>3.54</v>
      </c>
      <c r="E255" s="161">
        <f t="shared" si="49"/>
        <v>3.54</v>
      </c>
      <c r="F255" s="161">
        <f t="shared" si="49"/>
        <v>3.54</v>
      </c>
      <c r="G255" s="161">
        <f t="shared" si="49"/>
        <v>3.54</v>
      </c>
      <c r="H255" s="161">
        <f t="shared" si="49"/>
        <v>3.54</v>
      </c>
      <c r="I255" s="161">
        <f t="shared" si="49"/>
        <v>3.54</v>
      </c>
      <c r="J255" s="161">
        <f t="shared" si="49"/>
        <v>3.54</v>
      </c>
      <c r="K255" s="161">
        <f t="shared" si="49"/>
        <v>3.54</v>
      </c>
      <c r="L255" s="161">
        <f t="shared" si="49"/>
        <v>3.54</v>
      </c>
      <c r="M255" s="161">
        <f t="shared" si="49"/>
        <v>3.54</v>
      </c>
      <c r="N255" s="161">
        <f t="shared" si="49"/>
        <v>3.54</v>
      </c>
      <c r="O255" s="161">
        <f t="shared" si="49"/>
        <v>3.54</v>
      </c>
      <c r="P255" s="161">
        <f t="shared" si="49"/>
        <v>3.54</v>
      </c>
      <c r="Q255" s="161">
        <f t="shared" si="49"/>
        <v>3.54</v>
      </c>
      <c r="R255" s="161">
        <f t="shared" si="49"/>
        <v>3.54</v>
      </c>
      <c r="S255" s="161">
        <f t="shared" si="49"/>
        <v>3.54</v>
      </c>
      <c r="T255" s="161">
        <f t="shared" si="49"/>
        <v>3.54</v>
      </c>
      <c r="U255" s="161">
        <f t="shared" si="49"/>
        <v>3.54</v>
      </c>
      <c r="V255" s="161">
        <f t="shared" si="49"/>
        <v>3.54</v>
      </c>
      <c r="W255" s="161">
        <f t="shared" si="49"/>
        <v>3.54</v>
      </c>
      <c r="X255" s="161">
        <f t="shared" si="49"/>
        <v>3.54</v>
      </c>
      <c r="Y255" s="161">
        <f t="shared" si="49"/>
        <v>3.54</v>
      </c>
      <c r="Z255" s="161">
        <f t="shared" si="49"/>
        <v>3.54</v>
      </c>
      <c r="AA255" s="161">
        <f t="shared" si="49"/>
        <v>3.54</v>
      </c>
      <c r="AB255" s="161">
        <f t="shared" si="49"/>
        <v>3.54</v>
      </c>
      <c r="AC255" s="161">
        <f t="shared" si="49"/>
        <v>3.54</v>
      </c>
      <c r="AD255" s="161">
        <f t="shared" si="49"/>
        <v>3.54</v>
      </c>
      <c r="AE255" s="161">
        <f t="shared" si="49"/>
        <v>3.54</v>
      </c>
      <c r="AF255" s="161">
        <f t="shared" si="49"/>
        <v>3.54</v>
      </c>
      <c r="AG255" s="171">
        <f t="shared" si="49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1835.0400000000002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2080/10/15)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2500" priority="140">
      <formula>$AH11=0</formula>
    </cfRule>
  </conditionalFormatting>
  <conditionalFormatting sqref="A89">
    <cfRule type="expression" dxfId="2499" priority="198">
      <formula>$AH94=0</formula>
    </cfRule>
  </conditionalFormatting>
  <conditionalFormatting sqref="A90:A94">
    <cfRule type="expression" dxfId="2498" priority="141">
      <formula>$AH89=0</formula>
    </cfRule>
  </conditionalFormatting>
  <conditionalFormatting sqref="B8">
    <cfRule type="expression" dxfId="2497" priority="194">
      <formula>AND(C$9&gt;=14/24,C$9&lt;20/24)</formula>
    </cfRule>
    <cfRule type="expression" dxfId="2496" priority="195">
      <formula>AND(C$9&gt;=8/24,C$9&lt;14/24)</formula>
    </cfRule>
    <cfRule type="expression" dxfId="2495" priority="196">
      <formula>C$9&lt;8/24</formula>
    </cfRule>
    <cfRule type="expression" dxfId="2494" priority="197">
      <formula>C$9&gt;=20/24</formula>
    </cfRule>
  </conditionalFormatting>
  <conditionalFormatting sqref="B66:B71">
    <cfRule type="expression" dxfId="2493" priority="53">
      <formula>B$9&gt;=20/24</formula>
    </cfRule>
    <cfRule type="expression" dxfId="2492" priority="54">
      <formula>AND(B$9&gt;=14/24,B$9&lt;20/24)</formula>
    </cfRule>
    <cfRule type="expression" dxfId="2491" priority="55">
      <formula>AND(B$9&gt;=8/24,B$9&lt;14/24)</formula>
    </cfRule>
    <cfRule type="expression" dxfId="2490" priority="56">
      <formula>B$9&lt;8/24</formula>
    </cfRule>
  </conditionalFormatting>
  <conditionalFormatting sqref="B62:C77 B42:C60">
    <cfRule type="expression" dxfId="2489" priority="38">
      <formula>B$9&lt;8/24</formula>
    </cfRule>
  </conditionalFormatting>
  <conditionalFormatting sqref="B62:C77">
    <cfRule type="expression" dxfId="2488" priority="35">
      <formula>B$9&gt;=20/24</formula>
    </cfRule>
    <cfRule type="expression" dxfId="2487" priority="36">
      <formula>AND(B$9&gt;=14/24,B$9&lt;20/24)</formula>
    </cfRule>
    <cfRule type="expression" dxfId="2486" priority="37">
      <formula>AND(B$9&gt;=8/24,B$9&lt;14/24)</formula>
    </cfRule>
  </conditionalFormatting>
  <conditionalFormatting sqref="B11:D40 E30:L38 E39:R39 E40:L40 B41:L41 D42:L57 M45:AF57 D72:L77 B80:D102 B104:AF120 B122:AF140">
    <cfRule type="expression" dxfId="2485" priority="8">
      <formula>B$9&lt;8/24</formula>
    </cfRule>
  </conditionalFormatting>
  <conditionalFormatting sqref="B11:D40 E30:L38 E39:R39 E40:L40 B41:L57 M45:AF57 D72:L77 B80:D102 B104:AF120 B122:AF140">
    <cfRule type="expression" dxfId="2484" priority="5">
      <formula>B$9&gt;=20/24</formula>
    </cfRule>
    <cfRule type="expression" dxfId="2483" priority="6">
      <formula>AND(B$9&gt;=14/24,B$9&lt;20/24)</formula>
    </cfRule>
    <cfRule type="expression" dxfId="2482" priority="7">
      <formula>AND(B$9&gt;=8/24,B$9&lt;14/24)</formula>
    </cfRule>
  </conditionalFormatting>
  <conditionalFormatting sqref="B9:AF10 E11:E29 L12:O16 F12:K29 P15:R38 S15:AF44 L17:L29 M17:O38 M40:R44 M72:AF77 E80:AF102 B247:AF247 B249:B255">
    <cfRule type="expression" dxfId="2481" priority="102">
      <formula>AND(B$9&gt;=14/24,B$9&lt;20/24)</formula>
    </cfRule>
    <cfRule type="expression" dxfId="2480" priority="103">
      <formula>AND(B$9&gt;=8/24,B$9&lt;14/24)</formula>
    </cfRule>
    <cfRule type="expression" dxfId="2479" priority="104">
      <formula>B$9&lt;8/24</formula>
    </cfRule>
  </conditionalFormatting>
  <conditionalFormatting sqref="B58:AF60">
    <cfRule type="expression" dxfId="2478" priority="1">
      <formula>B$9&gt;=20/24</formula>
    </cfRule>
    <cfRule type="expression" dxfId="2477" priority="2">
      <formula>AND(B$9&gt;=14/24,B$9&lt;20/24)</formula>
    </cfRule>
    <cfRule type="expression" dxfId="2476" priority="3">
      <formula>AND(B$9&gt;=8/24,B$9&lt;14/24)</formula>
    </cfRule>
  </conditionalFormatting>
  <conditionalFormatting sqref="D66:E70 F69:L70">
    <cfRule type="expression" dxfId="2475" priority="28">
      <formula>AND(D$9&gt;=14/24,D$9&lt;20/24)</formula>
    </cfRule>
    <cfRule type="expression" dxfId="2474" priority="29">
      <formula>AND(D$9&gt;=8/24,D$9&lt;14/24)</formula>
    </cfRule>
    <cfRule type="expression" dxfId="2473" priority="30">
      <formula>D$9&lt;8/24</formula>
    </cfRule>
  </conditionalFormatting>
  <conditionalFormatting sqref="D71:L71">
    <cfRule type="expression" dxfId="2472" priority="23">
      <formula>D$9&gt;=20/24</formula>
    </cfRule>
    <cfRule type="expression" dxfId="2471" priority="24">
      <formula>AND(D$9&gt;=14/24,D$9&lt;20/24)</formula>
    </cfRule>
    <cfRule type="expression" dxfId="2470" priority="25">
      <formula>AND(D$9&gt;=8/24,D$9&lt;14/24)</formula>
    </cfRule>
    <cfRule type="expression" dxfId="2469" priority="26">
      <formula>D$9&lt;8/24</formula>
    </cfRule>
  </conditionalFormatting>
  <conditionalFormatting sqref="D249:AF255">
    <cfRule type="expression" dxfId="2468" priority="179">
      <formula>D$9&gt;=20/24</formula>
    </cfRule>
    <cfRule type="expression" dxfId="2467" priority="180">
      <formula>AND(D$9&gt;=14/24,D$9&lt;20/24)</formula>
    </cfRule>
    <cfRule type="expression" dxfId="2466" priority="181">
      <formula>AND(D$9&gt;=8/24,D$9&lt;14/24)</formula>
    </cfRule>
    <cfRule type="expression" dxfId="2465" priority="182">
      <formula>D$9&lt;8/24</formula>
    </cfRule>
  </conditionalFormatting>
  <conditionalFormatting sqref="E11:E29 L12:O16 F12:K29 P15:R38 S15:AF44 L17:L29 M17:O38 M40:R44 M72:AF77 E80:AF102 B9:AF10 B247:AF247 B249:B255">
    <cfRule type="expression" dxfId="2464" priority="101">
      <formula>B$9&gt;=20/24</formula>
    </cfRule>
  </conditionalFormatting>
  <conditionalFormatting sqref="E11:O11 P11:AF14">
    <cfRule type="expression" dxfId="2463" priority="114">
      <formula>E11&gt;$AG11</formula>
    </cfRule>
    <cfRule type="expression" dxfId="2462" priority="115">
      <formula>E$9&gt;=20/24</formula>
    </cfRule>
    <cfRule type="expression" dxfId="2461" priority="116">
      <formula>AND(E$9&gt;=14/24,E$9&lt;20/24)</formula>
    </cfRule>
    <cfRule type="expression" dxfId="2460" priority="117">
      <formula>AND(E$9&gt;=8/24,E$9&lt;14/24)</formula>
    </cfRule>
    <cfRule type="expression" dxfId="2459" priority="118">
      <formula>E$9&lt;8/24</formula>
    </cfRule>
  </conditionalFormatting>
  <conditionalFormatting sqref="F66:I68 J67:J68">
    <cfRule type="expression" dxfId="2458" priority="110">
      <formula>F$9&gt;=20/24</formula>
    </cfRule>
    <cfRule type="expression" dxfId="2457" priority="111">
      <formula>AND(F$9&gt;=14/24,F$9&lt;20/24)</formula>
    </cfRule>
    <cfRule type="expression" dxfId="2456" priority="112">
      <formula>AND(F$9&gt;=8/24,F$9&lt;14/24)</formula>
    </cfRule>
    <cfRule type="expression" dxfId="2455" priority="113">
      <formula>F$9&lt;8/24</formula>
    </cfRule>
  </conditionalFormatting>
  <conditionalFormatting sqref="F66:L68">
    <cfRule type="expression" dxfId="2454" priority="132">
      <formula>F$9&gt;=20/24</formula>
    </cfRule>
    <cfRule type="expression" dxfId="2453" priority="133">
      <formula>AND(F$9&gt;=14/24,F$9&lt;20/24)</formula>
    </cfRule>
    <cfRule type="expression" dxfId="2452" priority="134">
      <formula>AND(F$9&gt;=8/24,F$9&lt;14/24)</formula>
    </cfRule>
    <cfRule type="expression" dxfId="2451" priority="135">
      <formula>F$9&lt;8/24</formula>
    </cfRule>
  </conditionalFormatting>
  <conditionalFormatting sqref="F69:L70 D66:E70">
    <cfRule type="expression" dxfId="2450" priority="27">
      <formula>D$9&gt;=20/24</formula>
    </cfRule>
  </conditionalFormatting>
  <conditionalFormatting sqref="F69:L71">
    <cfRule type="expression" dxfId="2449" priority="19">
      <formula>F$9&gt;=20/24</formula>
    </cfRule>
    <cfRule type="expression" dxfId="2448" priority="20">
      <formula>AND(F$9&gt;=14/24,F$9&lt;20/24)</formula>
    </cfRule>
    <cfRule type="expression" dxfId="2447" priority="21">
      <formula>AND(F$9&gt;=8/24,F$9&lt;14/24)</formula>
    </cfRule>
    <cfRule type="expression" dxfId="2446" priority="22">
      <formula>F$9&lt;8/24</formula>
    </cfRule>
  </conditionalFormatting>
  <conditionalFormatting sqref="F62:P64 D62:E71">
    <cfRule type="expression" dxfId="2445" priority="15">
      <formula>D$9&gt;=20/24</formula>
    </cfRule>
    <cfRule type="expression" dxfId="2444" priority="16">
      <formula>AND(D$9&gt;=14/24,D$9&lt;20/24)</formula>
    </cfRule>
    <cfRule type="expression" dxfId="2443" priority="17">
      <formula>AND(D$9&gt;=8/24,D$9&lt;14/24)</formula>
    </cfRule>
    <cfRule type="expression" dxfId="2442" priority="18">
      <formula>D$9&lt;8/24</formula>
    </cfRule>
  </conditionalFormatting>
  <conditionalFormatting sqref="K42:L58 F42:J59 E42:E77 B42:D83 M45:AF58 B11:D40 E30:L38 E39:R39 E40:L40 B41:L41 F62:P64 F69:L77">
    <cfRule type="expression" dxfId="2441" priority="4">
      <formula>B11&gt;$AG11</formula>
    </cfRule>
  </conditionalFormatting>
  <conditionalFormatting sqref="K59:O60 P59:P61 Q59:AA77 AB59:AF83 J60 F60:I61 E11:E29 L12:O16 F12:K29 P15:R38 S15:AF44 L17:L29 M17:O38 M40:R44 J61:O61 AG61 J65:O65 AG65 F65:I68 P65:P77 J66:L68 M66:O77 E78:AA83 AG83">
    <cfRule type="expression" dxfId="2440" priority="100">
      <formula>E11&gt;$AG11</formula>
    </cfRule>
  </conditionalFormatting>
  <conditionalFormatting sqref="K58:AF58 F58:J59 D58:E60">
    <cfRule type="expression" dxfId="2439" priority="9">
      <formula>D$9&lt;8/24</formula>
    </cfRule>
  </conditionalFormatting>
  <conditionalFormatting sqref="K59:AF60 F60:J60">
    <cfRule type="expression" dxfId="2438" priority="109">
      <formula>F$9&lt;8/24</formula>
    </cfRule>
  </conditionalFormatting>
  <conditionalFormatting sqref="M8 S8 AB8">
    <cfRule type="expression" dxfId="2437" priority="186">
      <formula>AND(N$9&gt;=14/24,N$9&lt;20/24)</formula>
    </cfRule>
    <cfRule type="expression" dxfId="2436" priority="187">
      <formula>AND(N$9&gt;=8/24,N$9&lt;14/24)</formula>
    </cfRule>
    <cfRule type="expression" dxfId="2435" priority="188">
      <formula>N$9&lt;8/24</formula>
    </cfRule>
  </conditionalFormatting>
  <conditionalFormatting sqref="M66:AF71">
    <cfRule type="expression" dxfId="2434" priority="128">
      <formula>M$9&gt;=20/24</formula>
    </cfRule>
    <cfRule type="expression" dxfId="2433" priority="129">
      <formula>AND(M$9&gt;=14/24,M$9&lt;20/24)</formula>
    </cfRule>
    <cfRule type="expression" dxfId="2432" priority="130">
      <formula>AND(M$9&gt;=8/24,M$9&lt;14/24)</formula>
    </cfRule>
    <cfRule type="expression" dxfId="2431" priority="131">
      <formula>M$9&lt;8/24</formula>
    </cfRule>
  </conditionalFormatting>
  <conditionalFormatting sqref="O3:P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Q62:AF65 F65:P65">
    <cfRule type="expression" dxfId="2430" priority="120">
      <formula>F$9&gt;=20/24</formula>
    </cfRule>
    <cfRule type="expression" dxfId="2429" priority="121">
      <formula>AND(F$9&gt;=14/24,F$9&lt;20/24)</formula>
    </cfRule>
    <cfRule type="expression" dxfId="2428" priority="122">
      <formula>AND(F$9&gt;=8/24,F$9&lt;14/24)</formula>
    </cfRule>
    <cfRule type="expression" dxfId="2427" priority="123">
      <formula>F$9&lt;8/24</formula>
    </cfRule>
  </conditionalFormatting>
  <conditionalFormatting sqref="S8 AB8 M8">
    <cfRule type="expression" dxfId="2426" priority="185">
      <formula>N$9&gt;=20/24</formula>
    </cfRule>
  </conditionalFormatting>
  <conditionalFormatting sqref="S8">
    <cfRule type="expression" dxfId="2425" priority="172">
      <formula>U$9&gt;=20/24</formula>
    </cfRule>
    <cfRule type="expression" dxfId="2424" priority="173">
      <formula>AND(U$9&gt;=14/24,U$9&lt;20/24)</formula>
    </cfRule>
    <cfRule type="expression" dxfId="2423" priority="174">
      <formula>AND(U$9&gt;=8/24,U$9&lt;14/24)</formula>
    </cfRule>
    <cfRule type="expression" dxfId="2422" priority="175">
      <formula>U$9&lt;8/24</formula>
    </cfRule>
  </conditionalFormatting>
  <conditionalFormatting sqref="T66:AF71">
    <cfRule type="expression" dxfId="2421" priority="124">
      <formula>T$9&gt;=20/24</formula>
    </cfRule>
    <cfRule type="expression" dxfId="2420" priority="125">
      <formula>AND(T$9&gt;=14/24,T$9&lt;20/24)</formula>
    </cfRule>
    <cfRule type="expression" dxfId="2419" priority="126">
      <formula>AND(T$9&gt;=8/24,T$9&lt;14/24)</formula>
    </cfRule>
    <cfRule type="expression" dxfId="2418" priority="127">
      <formula>T$9&lt;8/24</formula>
    </cfRule>
  </conditionalFormatting>
  <conditionalFormatting sqref="V3 AB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417" priority="168">
      <formula>AD$9&gt;=20/24</formula>
    </cfRule>
    <cfRule type="expression" dxfId="2416" priority="169">
      <formula>AND(AD$9&gt;=14/24,AD$9&lt;20/24)</formula>
    </cfRule>
    <cfRule type="expression" dxfId="2415" priority="170">
      <formula>AND(AD$9&gt;=8/24,AD$9&lt;14/24)</formula>
    </cfRule>
    <cfRule type="expression" dxfId="2414" priority="171">
      <formula>AD$9&lt;8/24</formula>
    </cfRule>
  </conditionalFormatting>
  <conditionalFormatting sqref="AG65">
    <cfRule type="expression" dxfId="2413" priority="147">
      <formula>AG$9&gt;=20/24</formula>
    </cfRule>
    <cfRule type="expression" dxfId="2412" priority="148">
      <formula>AND(AG$9&gt;=14/24,AG$9&lt;20/24)</formula>
    </cfRule>
    <cfRule type="expression" dxfId="2411" priority="149">
      <formula>AND(AG$9&gt;=8/24,AG$9&lt;14/24)</formula>
    </cfRule>
    <cfRule type="expression" dxfId="2410" priority="150">
      <formula>AG$9&lt;8/24</formula>
    </cfRule>
  </conditionalFormatting>
  <conditionalFormatting sqref="AG78:AG79">
    <cfRule type="expression" dxfId="2409" priority="142">
      <formula>AG78&gt;$AG78</formula>
    </cfRule>
  </conditionalFormatting>
  <conditionalFormatting sqref="AG83">
    <cfRule type="expression" dxfId="2408" priority="143">
      <formula>AG$9&gt;=20/24</formula>
    </cfRule>
    <cfRule type="expression" dxfId="2407" priority="144">
      <formula>AND(AG$9&gt;=14/24,AG$9&lt;20/24)</formula>
    </cfRule>
    <cfRule type="expression" dxfId="2406" priority="145">
      <formula>AND(AG$9&gt;=8/24,AG$9&lt;14/24)</formula>
    </cfRule>
    <cfRule type="expression" dxfId="2405" priority="146">
      <formula>AG$9&lt;8/24</formula>
    </cfRule>
  </conditionalFormatting>
  <conditionalFormatting sqref="AG100">
    <cfRule type="expression" dxfId="2404" priority="164">
      <formula>AG$9&gt;=20/24</formula>
    </cfRule>
    <cfRule type="expression" dxfId="2403" priority="165">
      <formula>AND(AG$9&gt;=14/24,AG$9&lt;20/24)</formula>
    </cfRule>
    <cfRule type="expression" dxfId="2402" priority="166">
      <formula>AND(AG$9&gt;=8/24,AG$9&lt;14/24)</formula>
    </cfRule>
    <cfRule type="expression" dxfId="2401" priority="167">
      <formula>AG$9&lt;8/24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400" priority="189">
      <formula>AJ$9&gt;=20/24</formula>
    </cfRule>
    <cfRule type="expression" dxfId="2399" priority="190">
      <formula>AND(AJ$9&gt;=14/24,AJ$9&lt;20/24)</formula>
    </cfRule>
    <cfRule type="expression" dxfId="2398" priority="191">
      <formula>AND(AJ$9&gt;=8/24,AJ$9&lt;14/24)</formula>
    </cfRule>
    <cfRule type="expression" dxfId="2397" priority="192">
      <formula>AJ$9&lt;8/24</formula>
    </cfRule>
  </conditionalFormatting>
  <conditionalFormatting sqref="AL86:AN86 AL92:AN92">
    <cfRule type="expression" dxfId="2396" priority="157">
      <formula>AL$9&gt;=20/24</formula>
    </cfRule>
    <cfRule type="expression" dxfId="2395" priority="158">
      <formula>AND(AL$9&gt;=14/24,AL$9&lt;20/24)</formula>
    </cfRule>
    <cfRule type="expression" dxfId="2394" priority="159">
      <formula>AND(AL$9&gt;=8/24,AL$9&lt;14/24)</formula>
    </cfRule>
    <cfRule type="expression" dxfId="2393" priority="160">
      <formula>AL$9&lt;8/24</formula>
    </cfRule>
  </conditionalFormatting>
  <conditionalFormatting sqref="AM15:AM21 AN16:AR21">
    <cfRule type="expression" dxfId="2392" priority="73">
      <formula>AX$9&gt;=20/24</formula>
    </cfRule>
    <cfRule type="expression" dxfId="2391" priority="74">
      <formula>AND(AX$9&gt;=14/24,AX$9&lt;20/24)</formula>
    </cfRule>
    <cfRule type="expression" dxfId="2390" priority="75">
      <formula>AND(AX$9&gt;=8/24,AX$9&lt;14/24)</formula>
    </cfRule>
    <cfRule type="expression" dxfId="2389" priority="76">
      <formula>AX$9&lt;8/24</formula>
    </cfRule>
  </conditionalFormatting>
  <conditionalFormatting sqref="AN87:AN90">
    <cfRule type="expression" dxfId="2388" priority="153">
      <formula>AN$9&gt;=20/24</formula>
    </cfRule>
    <cfRule type="expression" dxfId="2387" priority="154">
      <formula>AND(AN$9&gt;=14/24,AN$9&lt;20/24)</formula>
    </cfRule>
    <cfRule type="expression" dxfId="2386" priority="155">
      <formula>AND(AN$9&gt;=8/24,AN$9&lt;14/24)</formula>
    </cfRule>
    <cfRule type="expression" dxfId="2385" priority="156">
      <formula>AN$9&lt;8/24</formula>
    </cfRule>
  </conditionalFormatting>
  <conditionalFormatting sqref="AN15:AR15">
    <cfRule type="expression" dxfId="2384" priority="61">
      <formula>U$9&gt;=20/24</formula>
    </cfRule>
    <cfRule type="expression" dxfId="2383" priority="62">
      <formula>AND(U$9&gt;=14/24,U$9&lt;20/24)</formula>
    </cfRule>
    <cfRule type="expression" dxfId="2382" priority="63">
      <formula>AND(U$9&gt;=8/24,U$9&lt;14/24)</formula>
    </cfRule>
    <cfRule type="expression" dxfId="2381" priority="64">
      <formula>U$9&lt;8/24</formula>
    </cfRule>
  </conditionalFormatting>
  <conditionalFormatting sqref="AS15">
    <cfRule type="expression" dxfId="2380" priority="69">
      <formula>AA$9&gt;=20/24</formula>
    </cfRule>
    <cfRule type="expression" dxfId="2379" priority="70">
      <formula>AND(AA$9&gt;=14/24,AA$9&lt;20/24)</formula>
    </cfRule>
    <cfRule type="expression" dxfId="2378" priority="71">
      <formula>AND(AA$9&gt;=8/24,AA$9&lt;14/24)</formula>
    </cfRule>
    <cfRule type="expression" dxfId="2377" priority="72">
      <formula>AA$9&lt;8/24</formula>
    </cfRule>
  </conditionalFormatting>
  <conditionalFormatting sqref="AS16:AS21">
    <cfRule type="expression" dxfId="2376" priority="77">
      <formula>BE$9&gt;=20/24</formula>
    </cfRule>
    <cfRule type="expression" dxfId="2375" priority="78">
      <formula>AND(BE$9&gt;=14/24,BE$9&lt;20/24)</formula>
    </cfRule>
    <cfRule type="expression" dxfId="2374" priority="79">
      <formula>AND(BE$9&gt;=8/24,BE$9&lt;14/24)</formula>
    </cfRule>
    <cfRule type="expression" dxfId="2373" priority="80">
      <formula>BE$9&lt;8/24</formula>
    </cfRule>
  </conditionalFormatting>
  <conditionalFormatting sqref="AT15 AX15:BJ15">
    <cfRule type="expression" dxfId="2372" priority="81">
      <formula>AC$9&gt;=20/24</formula>
    </cfRule>
    <cfRule type="expression" dxfId="2371" priority="82">
      <formula>AND(AC$9&gt;=14/24,AC$9&lt;20/24)</formula>
    </cfRule>
    <cfRule type="expression" dxfId="2370" priority="83">
      <formula>AND(AC$9&gt;=8/24,AC$9&lt;14/24)</formula>
    </cfRule>
    <cfRule type="expression" dxfId="2369" priority="84">
      <formula>AC$9&lt;8/24</formula>
    </cfRule>
  </conditionalFormatting>
  <conditionalFormatting sqref="AT16:AT21">
    <cfRule type="expression" dxfId="2368" priority="85">
      <formula>BG$9&gt;=20/24</formula>
    </cfRule>
    <cfRule type="expression" dxfId="2367" priority="86">
      <formula>AND(BG$9&gt;=14/24,BG$9&lt;20/24)</formula>
    </cfRule>
    <cfRule type="expression" dxfId="2366" priority="87">
      <formula>AND(BG$9&gt;=8/24,BG$9&lt;14/24)</formula>
    </cfRule>
    <cfRule type="expression" dxfId="2365" priority="88">
      <formula>BG$9&lt;8/24</formula>
    </cfRule>
  </conditionalFormatting>
  <conditionalFormatting sqref="AU15:AV15">
    <cfRule type="expression" dxfId="2364" priority="89">
      <formula>AE$9&gt;=20/24</formula>
    </cfRule>
    <cfRule type="expression" dxfId="2363" priority="90">
      <formula>AND(AE$9&gt;=14/24,AE$9&lt;20/24)</formula>
    </cfRule>
    <cfRule type="expression" dxfId="2362" priority="91">
      <formula>AND(AE$9&gt;=8/24,AE$9&lt;14/24)</formula>
    </cfRule>
    <cfRule type="expression" dxfId="2361" priority="92">
      <formula>AE$9&lt;8/24</formula>
    </cfRule>
  </conditionalFormatting>
  <conditionalFormatting sqref="AU16:BJ21">
    <cfRule type="expression" dxfId="2360" priority="93">
      <formula>BI$9&gt;=20/24</formula>
    </cfRule>
    <cfRule type="expression" dxfId="2359" priority="94">
      <formula>AND(BI$9&gt;=14/24,BI$9&lt;20/24)</formula>
    </cfRule>
    <cfRule type="expression" dxfId="2358" priority="95">
      <formula>AND(BI$9&gt;=8/24,BI$9&lt;14/24)</formula>
    </cfRule>
    <cfRule type="expression" dxfId="2357" priority="96">
      <formula>BI$9&lt;8/24</formula>
    </cfRule>
  </conditionalFormatting>
  <conditionalFormatting sqref="AW15">
    <cfRule type="expression" dxfId="2356" priority="65">
      <formula>B$9&gt;=20/24</formula>
    </cfRule>
    <cfRule type="expression" dxfId="2355" priority="66">
      <formula>AND(B$9&gt;=14/24,B$9&lt;20/24)</formula>
    </cfRule>
    <cfRule type="expression" dxfId="2354" priority="67">
      <formula>AND(B$9&gt;=8/24,B$9&lt;14/24)</formula>
    </cfRule>
    <cfRule type="expression" dxfId="2353" priority="6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49B3-8357-457B-BCCF-470E08B9FBC5}">
  <dimension ref="A1:CJ297"/>
  <sheetViews>
    <sheetView zoomScale="106" workbookViewId="0">
      <pane xSplit="1" ySplit="10" topLeftCell="B6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U52" sqref="U5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2080/10/16</v>
      </c>
      <c r="C4" s="189"/>
      <c r="D4" s="189"/>
      <c r="E4" s="190" t="str">
        <f ca="1">"2080/"&amp;"10/"&amp;INT(MID(CELL("filename",G6),FIND("]",CELL("filename",G6))+1,200))</f>
        <v>2080/10/16</v>
      </c>
      <c r="F4" s="190"/>
      <c r="G4" s="190"/>
      <c r="H4" s="190" t="str">
        <f ca="1">TEXT(E4,"dddd")</f>
        <v>Wednesday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1965MW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Load=1259</v>
      </c>
      <c r="B7" s="35">
        <f t="shared" ref="B7:AF7" si="1">B103</f>
        <v>1428.8400000000001</v>
      </c>
      <c r="C7" s="35">
        <f t="shared" si="1"/>
        <v>1398.0400000000002</v>
      </c>
      <c r="D7" s="35">
        <f t="shared" si="1"/>
        <v>1331.94</v>
      </c>
      <c r="E7" s="35">
        <f t="shared" si="1"/>
        <v>1301.44</v>
      </c>
      <c r="F7" s="35">
        <f t="shared" si="1"/>
        <v>1303.74</v>
      </c>
      <c r="G7" s="35">
        <f t="shared" si="1"/>
        <v>1275.8400000000001</v>
      </c>
      <c r="H7" s="35">
        <f t="shared" si="1"/>
        <v>1280.8400000000001</v>
      </c>
      <c r="I7" s="35">
        <f t="shared" si="1"/>
        <v>1258.7400000000002</v>
      </c>
      <c r="J7" s="35">
        <f t="shared" si="1"/>
        <v>1359.44</v>
      </c>
      <c r="K7" s="35">
        <f t="shared" si="1"/>
        <v>1404.54</v>
      </c>
      <c r="L7" s="35">
        <f t="shared" si="1"/>
        <v>1393.54</v>
      </c>
      <c r="M7" s="35">
        <f t="shared" si="1"/>
        <v>1466.54</v>
      </c>
      <c r="N7" s="35">
        <f t="shared" si="1"/>
        <v>1451.54</v>
      </c>
      <c r="O7" s="35">
        <f t="shared" si="1"/>
        <v>1533.94</v>
      </c>
      <c r="P7" s="35">
        <f t="shared" si="1"/>
        <v>1468.5390000000002</v>
      </c>
      <c r="Q7" s="35">
        <f t="shared" si="1"/>
        <v>1535.0390000000002</v>
      </c>
      <c r="R7" s="35">
        <f t="shared" si="1"/>
        <v>1552.039</v>
      </c>
      <c r="S7" s="35">
        <f t="shared" si="1"/>
        <v>1598.6390000000001</v>
      </c>
      <c r="T7" s="35">
        <f t="shared" si="1"/>
        <v>1578.14</v>
      </c>
      <c r="U7" s="35">
        <f t="shared" si="1"/>
        <v>1551.3400000000001</v>
      </c>
      <c r="V7" s="35">
        <f t="shared" si="1"/>
        <v>1491.54</v>
      </c>
      <c r="W7" s="35">
        <f t="shared" si="1"/>
        <v>1476.54</v>
      </c>
      <c r="X7" s="35">
        <f t="shared" si="1"/>
        <v>1468.2400000000002</v>
      </c>
      <c r="Y7" s="35">
        <f t="shared" si="1"/>
        <v>1492.9</v>
      </c>
      <c r="Z7" s="35">
        <f t="shared" si="1"/>
        <v>1524.2</v>
      </c>
      <c r="AA7" s="35">
        <f t="shared" si="1"/>
        <v>1584.2400000000002</v>
      </c>
      <c r="AB7" s="35">
        <f t="shared" si="1"/>
        <v>1527.0400000000002</v>
      </c>
      <c r="AC7" s="35">
        <f t="shared" si="1"/>
        <v>1484.2400000000002</v>
      </c>
      <c r="AD7" s="35">
        <f t="shared" si="1"/>
        <v>1495.2400000000002</v>
      </c>
      <c r="AE7" s="35">
        <f t="shared" si="1"/>
        <v>1465.2400000000002</v>
      </c>
      <c r="AF7" s="35">
        <f t="shared" si="1"/>
        <v>1449.2400000000002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2045.84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1598.639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80.5</v>
      </c>
      <c r="C11" s="46">
        <v>80.5</v>
      </c>
      <c r="D11" s="46">
        <v>49</v>
      </c>
      <c r="E11" s="46">
        <v>49</v>
      </c>
      <c r="F11" s="46">
        <v>49</v>
      </c>
      <c r="G11" s="46">
        <v>49</v>
      </c>
      <c r="H11" s="46">
        <v>49</v>
      </c>
      <c r="I11" s="46">
        <v>61</v>
      </c>
      <c r="J11" s="46">
        <v>72.599999999999994</v>
      </c>
      <c r="K11" s="46">
        <v>72.599999999999994</v>
      </c>
      <c r="L11" s="46">
        <v>72.599999999999994</v>
      </c>
      <c r="M11" s="46">
        <v>72.599999999999994</v>
      </c>
      <c r="N11" s="46">
        <v>72.599999999999994</v>
      </c>
      <c r="O11" s="46">
        <v>72.599999999999994</v>
      </c>
      <c r="P11" s="46">
        <v>67.5</v>
      </c>
      <c r="Q11" s="46">
        <v>55</v>
      </c>
      <c r="R11" s="46">
        <v>86</v>
      </c>
      <c r="S11" s="46">
        <v>73.900000000000006</v>
      </c>
      <c r="T11" s="46">
        <v>71.7</v>
      </c>
      <c r="U11" s="46">
        <v>43.7</v>
      </c>
      <c r="V11" s="46">
        <v>50.1</v>
      </c>
      <c r="W11" s="46">
        <v>50.1</v>
      </c>
      <c r="X11" s="46">
        <v>50.1</v>
      </c>
      <c r="Y11" s="46">
        <v>90.1</v>
      </c>
      <c r="Z11" s="46">
        <v>87.4</v>
      </c>
      <c r="AA11" s="46">
        <v>87.4</v>
      </c>
      <c r="AB11" s="46">
        <v>87.4</v>
      </c>
      <c r="AC11" s="46">
        <v>87.4</v>
      </c>
      <c r="AD11" s="46">
        <v>87.4</v>
      </c>
      <c r="AE11" s="46">
        <v>87.4</v>
      </c>
      <c r="AF11" s="46">
        <v>87.4</v>
      </c>
      <c r="AG11" s="47">
        <v>86</v>
      </c>
      <c r="AH11" s="48">
        <f t="shared" ref="AH11:AH74" si="2">MAX(B11:AF11)</f>
        <v>90.1</v>
      </c>
      <c r="AI11" s="49">
        <f t="shared" ref="AI11:AI74" si="3">MIN(B11:AF11)</f>
        <v>43.7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72</v>
      </c>
      <c r="C12" s="46">
        <v>72</v>
      </c>
      <c r="D12" s="46">
        <v>56</v>
      </c>
      <c r="E12" s="46">
        <v>40</v>
      </c>
      <c r="F12" s="46">
        <v>30</v>
      </c>
      <c r="G12" s="46">
        <v>30</v>
      </c>
      <c r="H12" s="46">
        <v>30</v>
      </c>
      <c r="I12" s="46">
        <v>30</v>
      </c>
      <c r="J12" s="46">
        <v>30</v>
      </c>
      <c r="K12" s="46">
        <v>30</v>
      </c>
      <c r="L12" s="46">
        <v>30</v>
      </c>
      <c r="M12" s="46">
        <v>30</v>
      </c>
      <c r="N12" s="46">
        <v>30</v>
      </c>
      <c r="O12" s="46">
        <v>30</v>
      </c>
      <c r="P12" s="46">
        <v>0</v>
      </c>
      <c r="Q12" s="46">
        <v>0</v>
      </c>
      <c r="R12" s="46">
        <v>52</v>
      </c>
      <c r="S12" s="46">
        <v>61.5</v>
      </c>
      <c r="T12" s="46">
        <v>64.5</v>
      </c>
      <c r="U12" s="46">
        <v>64.5</v>
      </c>
      <c r="V12" s="46">
        <v>57</v>
      </c>
      <c r="W12" s="46">
        <v>57</v>
      </c>
      <c r="X12" s="46">
        <v>43.2</v>
      </c>
      <c r="Y12" s="46">
        <v>43.2</v>
      </c>
      <c r="Z12" s="46">
        <v>43.2</v>
      </c>
      <c r="AA12" s="46">
        <v>43.2</v>
      </c>
      <c r="AB12" s="46">
        <v>43.2</v>
      </c>
      <c r="AC12" s="46">
        <v>43.2</v>
      </c>
      <c r="AD12" s="46">
        <v>43.2</v>
      </c>
      <c r="AE12" s="46">
        <v>43.2</v>
      </c>
      <c r="AF12" s="46">
        <v>43.2</v>
      </c>
      <c r="AG12" s="50">
        <v>77</v>
      </c>
      <c r="AH12" s="48">
        <f t="shared" si="2"/>
        <v>72</v>
      </c>
      <c r="AI12" s="49">
        <f t="shared" si="3"/>
        <v>0</v>
      </c>
      <c r="AK12" s="51"/>
      <c r="AL12" s="52" t="str">
        <f ca="1">MID(CELL("filename",C7),FIND("]",CELL("filename",C7))+1,600)</f>
        <v>16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0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10</v>
      </c>
      <c r="C14" s="46">
        <v>10</v>
      </c>
      <c r="D14" s="46">
        <v>10</v>
      </c>
      <c r="E14" s="46">
        <v>20</v>
      </c>
      <c r="F14" s="46">
        <v>10</v>
      </c>
      <c r="G14" s="46">
        <v>10</v>
      </c>
      <c r="H14" s="46">
        <v>10</v>
      </c>
      <c r="I14" s="46">
        <v>10</v>
      </c>
      <c r="J14" s="46">
        <v>10</v>
      </c>
      <c r="K14" s="46">
        <v>10</v>
      </c>
      <c r="L14" s="46">
        <v>10</v>
      </c>
      <c r="M14" s="46">
        <v>10</v>
      </c>
      <c r="N14" s="46">
        <v>10</v>
      </c>
      <c r="O14" s="46">
        <v>40.5</v>
      </c>
      <c r="P14" s="46">
        <v>40.4</v>
      </c>
      <c r="Q14" s="46">
        <v>40.4</v>
      </c>
      <c r="R14" s="46">
        <v>40.4</v>
      </c>
      <c r="S14" s="46">
        <v>40.4</v>
      </c>
      <c r="T14" s="46">
        <v>40.4</v>
      </c>
      <c r="U14" s="46">
        <v>40.4</v>
      </c>
      <c r="V14" s="46">
        <v>40.4</v>
      </c>
      <c r="W14" s="46">
        <v>40.4</v>
      </c>
      <c r="X14" s="46">
        <v>40.4</v>
      </c>
      <c r="Y14" s="46">
        <v>40</v>
      </c>
      <c r="Z14" s="46">
        <v>15</v>
      </c>
      <c r="AA14" s="46">
        <v>15</v>
      </c>
      <c r="AB14" s="46">
        <v>15</v>
      </c>
      <c r="AC14" s="46">
        <v>15</v>
      </c>
      <c r="AD14" s="46">
        <v>15</v>
      </c>
      <c r="AE14" s="46">
        <v>40</v>
      </c>
      <c r="AF14" s="46">
        <v>40</v>
      </c>
      <c r="AG14" s="50">
        <v>71</v>
      </c>
      <c r="AH14" s="48">
        <f t="shared" si="2"/>
        <v>40.5</v>
      </c>
      <c r="AI14" s="49">
        <f t="shared" si="3"/>
        <v>10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49</v>
      </c>
      <c r="C15" s="46">
        <v>49</v>
      </c>
      <c r="D15" s="46">
        <v>36</v>
      </c>
      <c r="E15" s="46">
        <v>36</v>
      </c>
      <c r="F15" s="46">
        <v>36</v>
      </c>
      <c r="G15" s="46">
        <v>31.1</v>
      </c>
      <c r="H15" s="46">
        <v>31.1</v>
      </c>
      <c r="I15" s="46">
        <v>31.1</v>
      </c>
      <c r="J15" s="46">
        <v>31.1</v>
      </c>
      <c r="K15" s="46">
        <v>31.1</v>
      </c>
      <c r="L15" s="46">
        <v>31.1</v>
      </c>
      <c r="M15" s="46">
        <v>31.1</v>
      </c>
      <c r="N15" s="46">
        <v>31.1</v>
      </c>
      <c r="O15" s="46">
        <v>33</v>
      </c>
      <c r="P15" s="46">
        <v>31.1</v>
      </c>
      <c r="Q15" s="46">
        <v>31.1</v>
      </c>
      <c r="R15" s="46">
        <v>31.1</v>
      </c>
      <c r="S15" s="46">
        <v>31.1</v>
      </c>
      <c r="T15" s="46">
        <v>41.1</v>
      </c>
      <c r="U15" s="46">
        <v>41.1</v>
      </c>
      <c r="V15" s="46">
        <v>41</v>
      </c>
      <c r="W15" s="46">
        <v>41</v>
      </c>
      <c r="X15" s="46">
        <v>41</v>
      </c>
      <c r="Y15" s="46">
        <v>41</v>
      </c>
      <c r="Z15" s="46">
        <v>26.1</v>
      </c>
      <c r="AA15" s="46">
        <v>26.1</v>
      </c>
      <c r="AB15" s="46">
        <v>26.1</v>
      </c>
      <c r="AC15" s="46">
        <v>26.1</v>
      </c>
      <c r="AD15" s="46">
        <v>26.1</v>
      </c>
      <c r="AE15" s="46">
        <v>26.1</v>
      </c>
      <c r="AF15" s="46">
        <v>26.1</v>
      </c>
      <c r="AG15" s="50">
        <v>54</v>
      </c>
      <c r="AH15" s="48">
        <f t="shared" si="2"/>
        <v>49</v>
      </c>
      <c r="AI15" s="49">
        <f t="shared" si="3"/>
        <v>26.1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27.1</v>
      </c>
      <c r="F16" s="46">
        <v>27.1</v>
      </c>
      <c r="G16" s="46">
        <v>27.1</v>
      </c>
      <c r="H16" s="46">
        <v>27.1</v>
      </c>
      <c r="I16" s="46">
        <v>27.1</v>
      </c>
      <c r="J16" s="46">
        <v>27.1</v>
      </c>
      <c r="K16" s="46">
        <v>27.1</v>
      </c>
      <c r="L16" s="46">
        <v>27.1</v>
      </c>
      <c r="M16" s="46">
        <v>27.1</v>
      </c>
      <c r="N16" s="46">
        <v>27.1</v>
      </c>
      <c r="O16" s="46">
        <v>27.1</v>
      </c>
      <c r="P16" s="46">
        <v>27.1</v>
      </c>
      <c r="Q16" s="46">
        <v>27.1</v>
      </c>
      <c r="R16" s="46">
        <v>27.1</v>
      </c>
      <c r="S16" s="46">
        <v>27.1</v>
      </c>
      <c r="T16" s="46">
        <v>27</v>
      </c>
      <c r="U16" s="46">
        <v>27</v>
      </c>
      <c r="V16" s="46">
        <v>27</v>
      </c>
      <c r="W16" s="46">
        <v>27</v>
      </c>
      <c r="X16" s="46">
        <v>27</v>
      </c>
      <c r="Y16" s="46">
        <v>27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</v>
      </c>
      <c r="AF16" s="46">
        <v>27</v>
      </c>
      <c r="AG16" s="50">
        <v>54</v>
      </c>
      <c r="AH16" s="48">
        <f t="shared" si="2"/>
        <v>27.1</v>
      </c>
      <c r="AI16" s="49">
        <f t="shared" si="3"/>
        <v>27</v>
      </c>
      <c r="AK16" s="51"/>
      <c r="AL16" s="54" t="s">
        <v>7</v>
      </c>
      <c r="AM16" s="59">
        <f t="shared" ref="AM16:AR16" si="4">B61</f>
        <v>1104.4000000000001</v>
      </c>
      <c r="AN16" s="59">
        <f t="shared" si="4"/>
        <v>1085.9000000000001</v>
      </c>
      <c r="AO16" s="59">
        <f t="shared" si="4"/>
        <v>1017.8000000000001</v>
      </c>
      <c r="AP16" s="59">
        <f t="shared" si="4"/>
        <v>1017.8000000000001</v>
      </c>
      <c r="AQ16" s="59">
        <f t="shared" si="4"/>
        <v>997.80000000000007</v>
      </c>
      <c r="AR16" s="59">
        <f t="shared" si="4"/>
        <v>992.90000000000009</v>
      </c>
      <c r="AS16" s="59">
        <f>I61</f>
        <v>1004.9000000000001</v>
      </c>
      <c r="AT16" s="59">
        <f>K61</f>
        <v>980.3</v>
      </c>
      <c r="AU16" s="59">
        <f t="shared" ref="AU16:BD16" si="5">M61</f>
        <v>980.3</v>
      </c>
      <c r="AV16" s="59">
        <f t="shared" si="5"/>
        <v>980.3</v>
      </c>
      <c r="AW16" s="59">
        <f t="shared" si="5"/>
        <v>1012.7</v>
      </c>
      <c r="AX16" s="59">
        <f t="shared" si="5"/>
        <v>984.60000000000014</v>
      </c>
      <c r="AY16" s="59">
        <f t="shared" si="5"/>
        <v>972.10000000000014</v>
      </c>
      <c r="AZ16" s="59">
        <f t="shared" si="5"/>
        <v>1055.0999999999999</v>
      </c>
      <c r="BA16" s="59">
        <f t="shared" si="5"/>
        <v>1065.7</v>
      </c>
      <c r="BB16" s="59">
        <f t="shared" si="5"/>
        <v>1076.4000000000001</v>
      </c>
      <c r="BC16" s="59">
        <f t="shared" si="5"/>
        <v>1069.4000000000001</v>
      </c>
      <c r="BD16" s="59">
        <f t="shared" si="5"/>
        <v>1049.2</v>
      </c>
      <c r="BE16" s="60">
        <f>X61</f>
        <v>1009.4000000000001</v>
      </c>
      <c r="BF16" s="60">
        <f>Z61</f>
        <v>1029.9000000000001</v>
      </c>
      <c r="BG16" s="60">
        <f>AB61</f>
        <v>1029.9000000000001</v>
      </c>
      <c r="BH16" s="60">
        <f>AD61</f>
        <v>1029.9000000000001</v>
      </c>
      <c r="BI16" s="60">
        <f>AE61</f>
        <v>1054.9000000000001</v>
      </c>
      <c r="BJ16" s="60">
        <f>AF61</f>
        <v>1054.9000000000001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56</v>
      </c>
      <c r="C17" s="46">
        <v>56</v>
      </c>
      <c r="D17" s="46">
        <v>56</v>
      </c>
      <c r="E17" s="46">
        <v>56</v>
      </c>
      <c r="F17" s="46">
        <v>56</v>
      </c>
      <c r="G17" s="46">
        <v>56</v>
      </c>
      <c r="H17" s="46">
        <v>56</v>
      </c>
      <c r="I17" s="46">
        <v>56</v>
      </c>
      <c r="J17" s="46">
        <v>56</v>
      </c>
      <c r="K17" s="46">
        <v>56</v>
      </c>
      <c r="L17" s="46">
        <v>56</v>
      </c>
      <c r="M17" s="46">
        <v>56</v>
      </c>
      <c r="N17" s="46">
        <v>56</v>
      </c>
      <c r="O17" s="46">
        <v>56</v>
      </c>
      <c r="P17" s="46">
        <v>56</v>
      </c>
      <c r="Q17" s="46">
        <v>56</v>
      </c>
      <c r="R17" s="46">
        <v>56</v>
      </c>
      <c r="S17" s="46">
        <v>55.5</v>
      </c>
      <c r="T17" s="46">
        <v>55.5</v>
      </c>
      <c r="U17" s="46">
        <v>55.5</v>
      </c>
      <c r="V17" s="46">
        <v>55.5</v>
      </c>
      <c r="W17" s="46">
        <v>55.5</v>
      </c>
      <c r="X17" s="46">
        <v>55.5</v>
      </c>
      <c r="Y17" s="46">
        <v>55.5</v>
      </c>
      <c r="Z17" s="46">
        <v>55.5</v>
      </c>
      <c r="AA17" s="46">
        <v>55.5</v>
      </c>
      <c r="AB17" s="46">
        <v>55.5</v>
      </c>
      <c r="AC17" s="46">
        <v>55.5</v>
      </c>
      <c r="AD17" s="46">
        <v>55.5</v>
      </c>
      <c r="AE17" s="46">
        <v>55.5</v>
      </c>
      <c r="AF17" s="46">
        <v>55.5</v>
      </c>
      <c r="AG17" s="47">
        <v>52.4</v>
      </c>
      <c r="AH17" s="48">
        <f t="shared" si="2"/>
        <v>56</v>
      </c>
      <c r="AI17" s="49">
        <f t="shared" si="3"/>
        <v>55.5</v>
      </c>
      <c r="AK17" s="51"/>
      <c r="AL17" s="54" t="s">
        <v>27</v>
      </c>
      <c r="AM17" s="59">
        <f t="shared" ref="AM17:AR17" si="6">B65</f>
        <v>541.70000000000005</v>
      </c>
      <c r="AN17" s="59">
        <f t="shared" si="6"/>
        <v>541.70000000000005</v>
      </c>
      <c r="AO17" s="59">
        <f t="shared" si="6"/>
        <v>541.70000000000005</v>
      </c>
      <c r="AP17" s="59">
        <f t="shared" si="6"/>
        <v>531.70000000000005</v>
      </c>
      <c r="AQ17" s="59">
        <f t="shared" si="6"/>
        <v>531.70000000000005</v>
      </c>
      <c r="AR17" s="59">
        <f t="shared" si="6"/>
        <v>531.70000000000005</v>
      </c>
      <c r="AS17" s="59">
        <f>I65</f>
        <v>536.70000000000005</v>
      </c>
      <c r="AT17" s="59">
        <f>K65</f>
        <v>541.70000000000005</v>
      </c>
      <c r="AU17" s="59">
        <f t="shared" ref="AU17:BD17" si="7">M65</f>
        <v>541.70000000000005</v>
      </c>
      <c r="AV17" s="59">
        <f t="shared" si="7"/>
        <v>541.70000000000005</v>
      </c>
      <c r="AW17" s="59">
        <f t="shared" si="7"/>
        <v>541.70000000000005</v>
      </c>
      <c r="AX17" s="59">
        <f t="shared" si="7"/>
        <v>541.70000000000005</v>
      </c>
      <c r="AY17" s="59">
        <f t="shared" si="7"/>
        <v>541.70000000000005</v>
      </c>
      <c r="AZ17" s="59">
        <f t="shared" si="7"/>
        <v>541.70000000000005</v>
      </c>
      <c r="BA17" s="59">
        <f t="shared" si="7"/>
        <v>542</v>
      </c>
      <c r="BB17" s="59">
        <f t="shared" si="7"/>
        <v>542</v>
      </c>
      <c r="BC17" s="59">
        <f t="shared" si="7"/>
        <v>542</v>
      </c>
      <c r="BD17" s="59">
        <f t="shared" si="7"/>
        <v>542</v>
      </c>
      <c r="BE17" s="60">
        <f>X65</f>
        <v>542</v>
      </c>
      <c r="BF17" s="60">
        <f>Z65</f>
        <v>542</v>
      </c>
      <c r="BG17" s="60">
        <f>AB65</f>
        <v>542</v>
      </c>
      <c r="BH17" s="60">
        <f>AD65</f>
        <v>542</v>
      </c>
      <c r="BI17" s="60">
        <f>AE65</f>
        <v>542</v>
      </c>
      <c r="BJ17" s="60">
        <f>AF65</f>
        <v>542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46">
        <v>50.5</v>
      </c>
      <c r="AB18" s="46">
        <v>50.5</v>
      </c>
      <c r="AC18" s="46">
        <v>50.5</v>
      </c>
      <c r="AD18" s="46">
        <v>50.5</v>
      </c>
      <c r="AE18" s="46">
        <v>50.5</v>
      </c>
      <c r="AF18" s="46">
        <v>50.5</v>
      </c>
      <c r="AG18" s="50">
        <v>50</v>
      </c>
      <c r="AH18" s="48">
        <f t="shared" si="2"/>
        <v>50.5</v>
      </c>
      <c r="AI18" s="49">
        <f t="shared" si="3"/>
        <v>50.5</v>
      </c>
      <c r="AK18" s="51"/>
      <c r="AL18" s="54" t="s">
        <v>29</v>
      </c>
      <c r="AM18" s="59">
        <f t="shared" ref="AM18:AR18" si="8">B79</f>
        <v>399.74000000000007</v>
      </c>
      <c r="AN18" s="59">
        <f t="shared" si="8"/>
        <v>372.44000000000005</v>
      </c>
      <c r="AO18" s="59">
        <f t="shared" si="8"/>
        <v>398.44000000000005</v>
      </c>
      <c r="AP18" s="59">
        <f t="shared" si="8"/>
        <v>328.94000000000005</v>
      </c>
      <c r="AQ18" s="59">
        <f t="shared" si="8"/>
        <v>398.24000000000007</v>
      </c>
      <c r="AR18" s="59">
        <f t="shared" si="8"/>
        <v>398.24000000000007</v>
      </c>
      <c r="AS18" s="59">
        <f>I79</f>
        <v>399.14000000000004</v>
      </c>
      <c r="AT18" s="59">
        <f>K79</f>
        <v>418.54000000000008</v>
      </c>
      <c r="AU18" s="59">
        <f t="shared" ref="AU18:BD18" si="9">M79</f>
        <v>418.54000000000008</v>
      </c>
      <c r="AV18" s="59">
        <f t="shared" si="9"/>
        <v>418.54000000000008</v>
      </c>
      <c r="AW18" s="59">
        <f t="shared" si="9"/>
        <v>418.54000000000008</v>
      </c>
      <c r="AX18" s="59">
        <f t="shared" si="9"/>
        <v>419.23900000000009</v>
      </c>
      <c r="AY18" s="59">
        <f t="shared" si="9"/>
        <v>419.23900000000009</v>
      </c>
      <c r="AZ18" s="59">
        <f t="shared" si="9"/>
        <v>419.23900000000009</v>
      </c>
      <c r="BA18" s="59">
        <f t="shared" si="9"/>
        <v>424.73900000000009</v>
      </c>
      <c r="BB18" s="59">
        <f t="shared" si="9"/>
        <v>425.64000000000004</v>
      </c>
      <c r="BC18" s="59">
        <f t="shared" si="9"/>
        <v>414.84000000000003</v>
      </c>
      <c r="BD18" s="59">
        <f t="shared" si="9"/>
        <v>414.84000000000003</v>
      </c>
      <c r="BE18" s="60">
        <f>X79</f>
        <v>414.84000000000003</v>
      </c>
      <c r="BF18" s="60">
        <f>Z79</f>
        <v>415.3</v>
      </c>
      <c r="BG18" s="60">
        <f>AB79</f>
        <v>413.34000000000003</v>
      </c>
      <c r="BH18" s="60">
        <f>AD79</f>
        <v>413.34000000000003</v>
      </c>
      <c r="BI18" s="60">
        <f>AE79</f>
        <v>413.34000000000003</v>
      </c>
      <c r="BJ18" s="60">
        <f>AF79</f>
        <v>413.34000000000003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42.6</v>
      </c>
      <c r="AA19" s="46">
        <v>42.6</v>
      </c>
      <c r="AB19" s="46">
        <v>42.6</v>
      </c>
      <c r="AC19" s="46">
        <v>42.6</v>
      </c>
      <c r="AD19" s="46">
        <v>42.6</v>
      </c>
      <c r="AE19" s="46">
        <v>42.6</v>
      </c>
      <c r="AF19" s="46">
        <v>42.6</v>
      </c>
      <c r="AG19" s="50">
        <v>45</v>
      </c>
      <c r="AH19" s="48">
        <f t="shared" si="2"/>
        <v>45</v>
      </c>
      <c r="AI19" s="49">
        <f t="shared" si="3"/>
        <v>42.6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40</v>
      </c>
      <c r="C22" s="46">
        <v>22</v>
      </c>
      <c r="D22" s="46">
        <v>31</v>
      </c>
      <c r="E22" s="46">
        <v>31</v>
      </c>
      <c r="F22" s="46">
        <v>31</v>
      </c>
      <c r="G22" s="46">
        <v>31</v>
      </c>
      <c r="H22" s="46">
        <v>31</v>
      </c>
      <c r="I22" s="46">
        <v>31</v>
      </c>
      <c r="J22" s="46">
        <v>31</v>
      </c>
      <c r="K22" s="46">
        <v>31</v>
      </c>
      <c r="L22" s="46">
        <v>31</v>
      </c>
      <c r="M22" s="46">
        <v>31</v>
      </c>
      <c r="N22" s="46">
        <v>31</v>
      </c>
      <c r="O22" s="46">
        <v>31</v>
      </c>
      <c r="P22" s="46">
        <v>40</v>
      </c>
      <c r="Q22" s="46">
        <v>40</v>
      </c>
      <c r="R22" s="46">
        <v>40</v>
      </c>
      <c r="S22" s="46">
        <v>40</v>
      </c>
      <c r="T22" s="46">
        <v>40</v>
      </c>
      <c r="U22" s="46">
        <v>40</v>
      </c>
      <c r="V22" s="46">
        <v>40</v>
      </c>
      <c r="W22" s="46">
        <v>40</v>
      </c>
      <c r="X22" s="46">
        <v>40</v>
      </c>
      <c r="Y22" s="46">
        <v>40</v>
      </c>
      <c r="Z22" s="46">
        <v>40</v>
      </c>
      <c r="AA22" s="46">
        <v>40</v>
      </c>
      <c r="AB22" s="46">
        <v>40</v>
      </c>
      <c r="AC22" s="46">
        <v>40</v>
      </c>
      <c r="AD22" s="46">
        <v>40</v>
      </c>
      <c r="AE22" s="46">
        <v>40</v>
      </c>
      <c r="AF22" s="46">
        <v>40</v>
      </c>
      <c r="AG22" s="50">
        <v>38.46</v>
      </c>
      <c r="AH22" s="48">
        <f t="shared" si="2"/>
        <v>40</v>
      </c>
      <c r="AI22" s="49">
        <f t="shared" si="3"/>
        <v>22</v>
      </c>
      <c r="AK22" s="51"/>
      <c r="AL22" s="62" t="s">
        <v>37</v>
      </c>
      <c r="AM22" s="63">
        <f t="shared" ref="AM22:BJ22" si="16">SUM(AM16:AM21)</f>
        <v>2045.8400000000001</v>
      </c>
      <c r="AN22" s="63">
        <f t="shared" si="16"/>
        <v>2000.0400000000002</v>
      </c>
      <c r="AO22" s="63">
        <f t="shared" si="16"/>
        <v>1957.94</v>
      </c>
      <c r="AP22" s="63">
        <f t="shared" si="16"/>
        <v>1878.44</v>
      </c>
      <c r="AQ22" s="63">
        <f t="shared" si="16"/>
        <v>1927.74</v>
      </c>
      <c r="AR22" s="63">
        <f t="shared" si="16"/>
        <v>1922.8400000000001</v>
      </c>
      <c r="AS22" s="63">
        <f t="shared" si="16"/>
        <v>1940.7400000000002</v>
      </c>
      <c r="AT22" s="63">
        <f t="shared" si="16"/>
        <v>1940.54</v>
      </c>
      <c r="AU22" s="63">
        <f t="shared" si="16"/>
        <v>1940.54</v>
      </c>
      <c r="AV22" s="63">
        <f t="shared" si="16"/>
        <v>1940.54</v>
      </c>
      <c r="AW22" s="63">
        <f t="shared" si="16"/>
        <v>1972.94</v>
      </c>
      <c r="AX22" s="63">
        <f t="shared" si="16"/>
        <v>1945.5390000000002</v>
      </c>
      <c r="AY22" s="63">
        <f t="shared" si="16"/>
        <v>1933.0390000000002</v>
      </c>
      <c r="AZ22" s="63">
        <f t="shared" si="16"/>
        <v>2016.039</v>
      </c>
      <c r="BA22" s="63">
        <f t="shared" si="16"/>
        <v>2032.4390000000001</v>
      </c>
      <c r="BB22" s="63">
        <f t="shared" si="16"/>
        <v>2044.0400000000002</v>
      </c>
      <c r="BC22" s="63">
        <f t="shared" si="16"/>
        <v>2026.2400000000002</v>
      </c>
      <c r="BD22" s="63">
        <f t="shared" si="16"/>
        <v>2006.04</v>
      </c>
      <c r="BE22" s="63">
        <f t="shared" si="16"/>
        <v>1966.2400000000002</v>
      </c>
      <c r="BF22" s="63">
        <f t="shared" si="16"/>
        <v>1987.2</v>
      </c>
      <c r="BG22" s="63">
        <f t="shared" si="16"/>
        <v>1985.2400000000002</v>
      </c>
      <c r="BH22" s="63">
        <f t="shared" si="16"/>
        <v>1985.2400000000002</v>
      </c>
      <c r="BI22" s="63">
        <f t="shared" si="16"/>
        <v>2010.2400000000002</v>
      </c>
      <c r="BJ22" s="63">
        <f t="shared" si="16"/>
        <v>2010.2400000000002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>
        <v>38</v>
      </c>
      <c r="D23" s="46">
        <v>38</v>
      </c>
      <c r="E23" s="46">
        <v>38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38</v>
      </c>
      <c r="O23" s="46">
        <v>38</v>
      </c>
      <c r="P23" s="46">
        <v>38</v>
      </c>
      <c r="Q23" s="46">
        <v>38</v>
      </c>
      <c r="R23" s="46">
        <v>38</v>
      </c>
      <c r="S23" s="46">
        <v>38</v>
      </c>
      <c r="T23" s="46">
        <v>38</v>
      </c>
      <c r="U23" s="46">
        <v>38</v>
      </c>
      <c r="V23" s="46">
        <v>38</v>
      </c>
      <c r="W23" s="46">
        <v>38</v>
      </c>
      <c r="X23" s="46">
        <v>38</v>
      </c>
      <c r="Y23" s="46">
        <v>38</v>
      </c>
      <c r="Z23" s="46">
        <v>38</v>
      </c>
      <c r="AA23" s="46">
        <v>38</v>
      </c>
      <c r="AB23" s="46">
        <v>38</v>
      </c>
      <c r="AC23" s="46">
        <v>38</v>
      </c>
      <c r="AD23" s="46">
        <v>38</v>
      </c>
      <c r="AE23" s="46">
        <v>38</v>
      </c>
      <c r="AF23" s="46">
        <v>38</v>
      </c>
      <c r="AG23" s="50">
        <v>38.46</v>
      </c>
      <c r="AH23" s="48">
        <f t="shared" si="2"/>
        <v>38</v>
      </c>
      <c r="AI23" s="49">
        <f t="shared" si="3"/>
        <v>38</v>
      </c>
      <c r="AK23" s="51"/>
      <c r="AL23" s="62" t="s">
        <v>39</v>
      </c>
      <c r="AM23" s="63">
        <f t="shared" ref="AM23:AR23" si="17">B110*-1</f>
        <v>-617</v>
      </c>
      <c r="AN23" s="63">
        <f t="shared" si="17"/>
        <v>-602</v>
      </c>
      <c r="AO23" s="63">
        <f t="shared" si="17"/>
        <v>-626</v>
      </c>
      <c r="AP23" s="63">
        <f t="shared" si="17"/>
        <v>-577</v>
      </c>
      <c r="AQ23" s="63">
        <f t="shared" si="17"/>
        <v>-624</v>
      </c>
      <c r="AR23" s="63">
        <f t="shared" si="17"/>
        <v>-647</v>
      </c>
      <c r="AS23" s="63">
        <f>I110*-1</f>
        <v>-682</v>
      </c>
      <c r="AT23" s="63">
        <f>K110*-1</f>
        <v>-536</v>
      </c>
      <c r="AU23" s="63">
        <f t="shared" ref="AU23:BD23" si="18">M110*-1</f>
        <v>-474</v>
      </c>
      <c r="AV23" s="63">
        <f t="shared" si="18"/>
        <v>-489</v>
      </c>
      <c r="AW23" s="63">
        <f t="shared" si="18"/>
        <v>-439</v>
      </c>
      <c r="AX23" s="63">
        <f t="shared" si="18"/>
        <v>-477</v>
      </c>
      <c r="AY23" s="63">
        <f t="shared" si="18"/>
        <v>-398</v>
      </c>
      <c r="AZ23" s="63">
        <f t="shared" si="18"/>
        <v>-464</v>
      </c>
      <c r="BA23" s="63">
        <f t="shared" si="18"/>
        <v>-433.8</v>
      </c>
      <c r="BB23" s="63">
        <f t="shared" si="18"/>
        <v>-465.90000000000003</v>
      </c>
      <c r="BC23" s="63">
        <f t="shared" si="18"/>
        <v>-474.9</v>
      </c>
      <c r="BD23" s="63">
        <f t="shared" si="18"/>
        <v>-514.5</v>
      </c>
      <c r="BE23" s="63">
        <f>X110*-1</f>
        <v>-498</v>
      </c>
      <c r="BF23" s="63">
        <f>Z110*-1</f>
        <v>-463</v>
      </c>
      <c r="BG23" s="63">
        <f>AB110*-1</f>
        <v>-458.2</v>
      </c>
      <c r="BH23" s="63">
        <f>AD110*-1</f>
        <v>-490</v>
      </c>
      <c r="BI23" s="63">
        <f>AE110*-1</f>
        <v>-545</v>
      </c>
      <c r="BJ23" s="63">
        <f>AF110*-1</f>
        <v>-561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30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6.3</v>
      </c>
      <c r="L24" s="46">
        <v>6.3</v>
      </c>
      <c r="M24" s="46">
        <v>6.3</v>
      </c>
      <c r="N24" s="46">
        <v>6.3</v>
      </c>
      <c r="O24" s="46">
        <v>6.3</v>
      </c>
      <c r="P24" s="46">
        <v>6.3</v>
      </c>
      <c r="Q24" s="46">
        <v>6.3</v>
      </c>
      <c r="R24" s="46">
        <v>6.3</v>
      </c>
      <c r="S24" s="46">
        <v>25</v>
      </c>
      <c r="T24" s="46">
        <v>25</v>
      </c>
      <c r="U24" s="46">
        <v>25</v>
      </c>
      <c r="V24" s="46">
        <v>0</v>
      </c>
      <c r="W24" s="46">
        <v>0</v>
      </c>
      <c r="X24" s="46">
        <v>0</v>
      </c>
      <c r="Y24" s="46">
        <v>30</v>
      </c>
      <c r="Z24" s="46">
        <v>30</v>
      </c>
      <c r="AA24" s="46">
        <v>30</v>
      </c>
      <c r="AB24" s="46">
        <v>30</v>
      </c>
      <c r="AC24" s="46">
        <v>30</v>
      </c>
      <c r="AD24" s="46">
        <v>30</v>
      </c>
      <c r="AE24" s="46">
        <v>30</v>
      </c>
      <c r="AF24" s="46">
        <v>30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1428.8400000000001</v>
      </c>
      <c r="AN24" s="63">
        <f t="shared" si="19"/>
        <v>1398.0400000000002</v>
      </c>
      <c r="AO24" s="63">
        <f t="shared" si="19"/>
        <v>1331.94</v>
      </c>
      <c r="AP24" s="63">
        <f t="shared" si="19"/>
        <v>1301.44</v>
      </c>
      <c r="AQ24" s="63">
        <f t="shared" si="19"/>
        <v>1303.74</v>
      </c>
      <c r="AR24" s="63">
        <f t="shared" si="19"/>
        <v>1275.8400000000001</v>
      </c>
      <c r="AS24" s="63">
        <f t="shared" si="19"/>
        <v>1258.7400000000002</v>
      </c>
      <c r="AT24" s="63">
        <f t="shared" si="19"/>
        <v>1404.54</v>
      </c>
      <c r="AU24" s="63">
        <f t="shared" si="19"/>
        <v>1466.54</v>
      </c>
      <c r="AV24" s="63">
        <f t="shared" si="19"/>
        <v>1451.54</v>
      </c>
      <c r="AW24" s="63">
        <f t="shared" si="19"/>
        <v>1533.94</v>
      </c>
      <c r="AX24" s="63">
        <f t="shared" si="19"/>
        <v>1468.5390000000002</v>
      </c>
      <c r="AY24" s="63">
        <f t="shared" si="19"/>
        <v>1535.0390000000002</v>
      </c>
      <c r="AZ24" s="63">
        <f t="shared" si="19"/>
        <v>1552.039</v>
      </c>
      <c r="BA24" s="63">
        <f t="shared" si="19"/>
        <v>1598.6390000000001</v>
      </c>
      <c r="BB24" s="63">
        <f t="shared" si="19"/>
        <v>1578.14</v>
      </c>
      <c r="BC24" s="63">
        <f t="shared" si="19"/>
        <v>1551.3400000000001</v>
      </c>
      <c r="BD24" s="63">
        <f t="shared" si="19"/>
        <v>1491.54</v>
      </c>
      <c r="BE24" s="63">
        <f t="shared" si="19"/>
        <v>1468.2400000000002</v>
      </c>
      <c r="BF24" s="63">
        <f t="shared" si="19"/>
        <v>1524.2</v>
      </c>
      <c r="BG24" s="63">
        <f t="shared" si="19"/>
        <v>1527.0400000000002</v>
      </c>
      <c r="BH24" s="63">
        <f t="shared" si="19"/>
        <v>1495.2400000000002</v>
      </c>
      <c r="BI24" s="63">
        <f t="shared" si="19"/>
        <v>1465.2400000000002</v>
      </c>
      <c r="BJ24" s="63">
        <f t="shared" si="19"/>
        <v>1449.2400000000002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20</v>
      </c>
      <c r="D25" s="46">
        <v>25</v>
      </c>
      <c r="E25" s="46">
        <v>25</v>
      </c>
      <c r="F25" s="46">
        <v>25</v>
      </c>
      <c r="G25" s="46">
        <v>25</v>
      </c>
      <c r="H25" s="46">
        <v>25</v>
      </c>
      <c r="I25" s="46">
        <v>25</v>
      </c>
      <c r="J25" s="46">
        <v>21</v>
      </c>
      <c r="K25" s="46">
        <v>24</v>
      </c>
      <c r="L25" s="46">
        <v>24</v>
      </c>
      <c r="M25" s="46">
        <v>24</v>
      </c>
      <c r="N25" s="46">
        <v>24</v>
      </c>
      <c r="O25" s="46">
        <v>24</v>
      </c>
      <c r="P25" s="46">
        <v>24</v>
      </c>
      <c r="Q25" s="46">
        <v>24</v>
      </c>
      <c r="R25" s="46">
        <v>24</v>
      </c>
      <c r="S25" s="46">
        <v>30</v>
      </c>
      <c r="T25" s="46">
        <v>30</v>
      </c>
      <c r="U25" s="46">
        <v>30</v>
      </c>
      <c r="V25" s="46">
        <v>30</v>
      </c>
      <c r="W25" s="46">
        <v>24</v>
      </c>
      <c r="X25" s="46">
        <v>24</v>
      </c>
      <c r="Y25" s="46">
        <v>21</v>
      </c>
      <c r="Z25" s="46">
        <v>30</v>
      </c>
      <c r="AA25" s="46">
        <v>30</v>
      </c>
      <c r="AB25" s="46">
        <v>30</v>
      </c>
      <c r="AC25" s="46">
        <v>30</v>
      </c>
      <c r="AD25" s="46">
        <v>30</v>
      </c>
      <c r="AE25" s="46">
        <v>30</v>
      </c>
      <c r="AF25" s="46">
        <v>30</v>
      </c>
      <c r="AG25" s="61">
        <v>30</v>
      </c>
      <c r="AH25" s="48">
        <f t="shared" si="2"/>
        <v>30</v>
      </c>
      <c r="AI25" s="49">
        <f t="shared" si="3"/>
        <v>15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27</v>
      </c>
      <c r="C26" s="46">
        <v>27</v>
      </c>
      <c r="D26" s="46">
        <v>21</v>
      </c>
      <c r="E26" s="46">
        <v>21</v>
      </c>
      <c r="F26" s="46">
        <v>21</v>
      </c>
      <c r="G26" s="46">
        <v>21</v>
      </c>
      <c r="H26" s="46">
        <v>21</v>
      </c>
      <c r="I26" s="46">
        <v>21</v>
      </c>
      <c r="J26" s="46">
        <v>21</v>
      </c>
      <c r="K26" s="46">
        <v>21</v>
      </c>
      <c r="L26" s="46">
        <v>21</v>
      </c>
      <c r="M26" s="46">
        <v>21</v>
      </c>
      <c r="N26" s="46">
        <v>21</v>
      </c>
      <c r="O26" s="46">
        <v>21</v>
      </c>
      <c r="P26" s="46">
        <v>21</v>
      </c>
      <c r="Q26" s="46">
        <v>21</v>
      </c>
      <c r="R26" s="46">
        <v>21</v>
      </c>
      <c r="S26" s="46">
        <v>21</v>
      </c>
      <c r="T26" s="46">
        <v>21</v>
      </c>
      <c r="U26" s="46">
        <v>21</v>
      </c>
      <c r="V26" s="46">
        <v>21</v>
      </c>
      <c r="W26" s="46">
        <v>21</v>
      </c>
      <c r="X26" s="46">
        <v>21</v>
      </c>
      <c r="Y26" s="46">
        <v>21</v>
      </c>
      <c r="Z26" s="46">
        <v>21</v>
      </c>
      <c r="AA26" s="46">
        <v>21</v>
      </c>
      <c r="AB26" s="46">
        <v>21</v>
      </c>
      <c r="AC26" s="46">
        <v>21</v>
      </c>
      <c r="AD26" s="46">
        <v>21</v>
      </c>
      <c r="AE26" s="46">
        <v>21</v>
      </c>
      <c r="AF26" s="46">
        <v>21</v>
      </c>
      <c r="AG26" s="50">
        <v>24.2</v>
      </c>
      <c r="AH26" s="48">
        <f t="shared" si="2"/>
        <v>27</v>
      </c>
      <c r="AI26" s="49">
        <f t="shared" si="3"/>
        <v>21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28.6</v>
      </c>
      <c r="C27" s="46">
        <v>28.6</v>
      </c>
      <c r="D27" s="46">
        <v>21</v>
      </c>
      <c r="E27" s="46">
        <v>21</v>
      </c>
      <c r="F27" s="46">
        <v>21</v>
      </c>
      <c r="G27" s="46">
        <v>21</v>
      </c>
      <c r="H27" s="46">
        <v>21</v>
      </c>
      <c r="I27" s="46">
        <v>21</v>
      </c>
      <c r="J27" s="46">
        <v>21</v>
      </c>
      <c r="K27" s="46">
        <v>21</v>
      </c>
      <c r="L27" s="46">
        <v>21</v>
      </c>
      <c r="M27" s="46">
        <v>21</v>
      </c>
      <c r="N27" s="46">
        <v>21</v>
      </c>
      <c r="O27" s="46">
        <v>21</v>
      </c>
      <c r="P27" s="46">
        <v>21</v>
      </c>
      <c r="Q27" s="46">
        <v>21</v>
      </c>
      <c r="R27" s="46">
        <v>21</v>
      </c>
      <c r="S27" s="46">
        <v>0</v>
      </c>
      <c r="T27" s="46">
        <v>0</v>
      </c>
      <c r="U27" s="46">
        <v>21</v>
      </c>
      <c r="V27" s="46">
        <v>21</v>
      </c>
      <c r="W27" s="46">
        <v>21</v>
      </c>
      <c r="X27" s="46">
        <v>21</v>
      </c>
      <c r="Y27" s="46">
        <v>21</v>
      </c>
      <c r="Z27" s="46">
        <v>21</v>
      </c>
      <c r="AA27" s="46">
        <v>21</v>
      </c>
      <c r="AB27" s="46">
        <v>21</v>
      </c>
      <c r="AC27" s="46">
        <v>21</v>
      </c>
      <c r="AD27" s="46">
        <v>21</v>
      </c>
      <c r="AE27" s="46">
        <v>21</v>
      </c>
      <c r="AF27" s="46">
        <v>21</v>
      </c>
      <c r="AG27" s="50">
        <v>28</v>
      </c>
      <c r="AH27" s="48">
        <f t="shared" si="2"/>
        <v>28.6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22.4</v>
      </c>
      <c r="C28" s="46">
        <v>22.4</v>
      </c>
      <c r="D28" s="46">
        <v>22.4</v>
      </c>
      <c r="E28" s="46">
        <v>22.4</v>
      </c>
      <c r="F28" s="46">
        <v>22.4</v>
      </c>
      <c r="G28" s="46">
        <v>22.4</v>
      </c>
      <c r="H28" s="46">
        <v>22.4</v>
      </c>
      <c r="I28" s="46">
        <v>22.4</v>
      </c>
      <c r="J28" s="46">
        <v>19.5</v>
      </c>
      <c r="K28" s="46">
        <v>19.5</v>
      </c>
      <c r="L28" s="46">
        <v>19.5</v>
      </c>
      <c r="M28" s="46">
        <v>19.5</v>
      </c>
      <c r="N28" s="46">
        <v>19.5</v>
      </c>
      <c r="O28" s="46">
        <v>19.5</v>
      </c>
      <c r="P28" s="46">
        <v>19.5</v>
      </c>
      <c r="Q28" s="46">
        <v>19.5</v>
      </c>
      <c r="R28" s="46">
        <v>19.5</v>
      </c>
      <c r="S28" s="46">
        <v>27</v>
      </c>
      <c r="T28" s="46">
        <v>27</v>
      </c>
      <c r="U28" s="46">
        <v>27</v>
      </c>
      <c r="V28" s="46">
        <v>27</v>
      </c>
      <c r="W28" s="46">
        <v>19.5</v>
      </c>
      <c r="X28" s="46">
        <v>19.5</v>
      </c>
      <c r="Y28" s="46">
        <v>19.5</v>
      </c>
      <c r="Z28" s="46">
        <v>19.399999999999999</v>
      </c>
      <c r="AA28" s="46">
        <v>19.399999999999999</v>
      </c>
      <c r="AB28" s="46">
        <v>19.399999999999999</v>
      </c>
      <c r="AC28" s="46">
        <v>19.399999999999999</v>
      </c>
      <c r="AD28" s="46">
        <v>19.399999999999999</v>
      </c>
      <c r="AE28" s="46">
        <v>19.399999999999999</v>
      </c>
      <c r="AF28" s="46">
        <v>19.399999999999999</v>
      </c>
      <c r="AG28" s="61">
        <v>30</v>
      </c>
      <c r="AH28" s="48">
        <f t="shared" si="2"/>
        <v>27</v>
      </c>
      <c r="AI28" s="49">
        <f t="shared" si="3"/>
        <v>19.399999999999999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2"/>
        <v>25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22</v>
      </c>
      <c r="C31" s="46">
        <v>22</v>
      </c>
      <c r="D31" s="46">
        <v>22</v>
      </c>
      <c r="E31" s="46">
        <v>22</v>
      </c>
      <c r="F31" s="46">
        <v>22</v>
      </c>
      <c r="G31" s="46">
        <v>22</v>
      </c>
      <c r="H31" s="46">
        <v>22</v>
      </c>
      <c r="I31" s="46">
        <v>22</v>
      </c>
      <c r="J31" s="46">
        <v>22</v>
      </c>
      <c r="K31" s="46">
        <v>22</v>
      </c>
      <c r="L31" s="46">
        <v>22</v>
      </c>
      <c r="M31" s="46">
        <v>22</v>
      </c>
      <c r="N31" s="46">
        <v>22</v>
      </c>
      <c r="O31" s="46">
        <v>22</v>
      </c>
      <c r="P31" s="46">
        <v>22</v>
      </c>
      <c r="Q31" s="46">
        <v>22</v>
      </c>
      <c r="R31" s="46">
        <v>22</v>
      </c>
      <c r="S31" s="46">
        <v>22</v>
      </c>
      <c r="T31" s="46">
        <v>22</v>
      </c>
      <c r="U31" s="46">
        <v>22</v>
      </c>
      <c r="V31" s="46">
        <v>22</v>
      </c>
      <c r="W31" s="46">
        <v>22</v>
      </c>
      <c r="X31" s="46">
        <v>22</v>
      </c>
      <c r="Y31" s="46">
        <v>22</v>
      </c>
      <c r="Z31" s="46">
        <v>22</v>
      </c>
      <c r="AA31" s="46">
        <v>22</v>
      </c>
      <c r="AB31" s="46">
        <v>22</v>
      </c>
      <c r="AC31" s="46">
        <v>22</v>
      </c>
      <c r="AD31" s="46">
        <v>22</v>
      </c>
      <c r="AE31" s="46">
        <v>22</v>
      </c>
      <c r="AF31" s="46">
        <v>22</v>
      </c>
      <c r="AG31" s="50">
        <v>25</v>
      </c>
      <c r="AH31" s="48">
        <f t="shared" si="2"/>
        <v>22</v>
      </c>
      <c r="AI31" s="49">
        <f t="shared" si="3"/>
        <v>22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20.6</v>
      </c>
      <c r="C32" s="46">
        <v>20.6</v>
      </c>
      <c r="D32" s="46">
        <v>20.6</v>
      </c>
      <c r="E32" s="46">
        <v>20.6</v>
      </c>
      <c r="F32" s="46">
        <v>20.6</v>
      </c>
      <c r="G32" s="46">
        <v>20.6</v>
      </c>
      <c r="H32" s="46">
        <v>20.6</v>
      </c>
      <c r="I32" s="46">
        <v>20.6</v>
      </c>
      <c r="J32" s="46">
        <v>18</v>
      </c>
      <c r="K32" s="46">
        <v>18</v>
      </c>
      <c r="L32" s="46">
        <v>18</v>
      </c>
      <c r="M32" s="46">
        <v>18</v>
      </c>
      <c r="N32" s="46">
        <v>18</v>
      </c>
      <c r="O32" s="46">
        <v>18</v>
      </c>
      <c r="P32" s="46">
        <v>18</v>
      </c>
      <c r="Q32" s="46">
        <v>18</v>
      </c>
      <c r="R32" s="46">
        <v>18</v>
      </c>
      <c r="S32" s="46">
        <v>25</v>
      </c>
      <c r="T32" s="46">
        <v>25</v>
      </c>
      <c r="U32" s="46">
        <v>25</v>
      </c>
      <c r="V32" s="46">
        <v>25</v>
      </c>
      <c r="W32" s="46">
        <v>18</v>
      </c>
      <c r="X32" s="46">
        <v>18</v>
      </c>
      <c r="Y32" s="46">
        <v>18</v>
      </c>
      <c r="Z32" s="46">
        <v>25</v>
      </c>
      <c r="AA32" s="46">
        <v>25</v>
      </c>
      <c r="AB32" s="46">
        <v>25</v>
      </c>
      <c r="AC32" s="46">
        <v>25</v>
      </c>
      <c r="AD32" s="46">
        <v>25</v>
      </c>
      <c r="AE32" s="46">
        <v>25</v>
      </c>
      <c r="AF32" s="46">
        <v>25</v>
      </c>
      <c r="AG32" s="50">
        <v>25</v>
      </c>
      <c r="AH32" s="48">
        <f t="shared" si="2"/>
        <v>25</v>
      </c>
      <c r="AI32" s="49">
        <f t="shared" si="3"/>
        <v>18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24.9</v>
      </c>
      <c r="C33" s="46">
        <v>24.9</v>
      </c>
      <c r="D33" s="46">
        <v>24.9</v>
      </c>
      <c r="E33" s="46">
        <v>24.9</v>
      </c>
      <c r="F33" s="46">
        <v>24.9</v>
      </c>
      <c r="G33" s="46">
        <v>24.9</v>
      </c>
      <c r="H33" s="46">
        <v>24.9</v>
      </c>
      <c r="I33" s="46">
        <v>24.9</v>
      </c>
      <c r="J33" s="46">
        <v>24.9</v>
      </c>
      <c r="K33" s="46">
        <v>24.9</v>
      </c>
      <c r="L33" s="46">
        <v>24.9</v>
      </c>
      <c r="M33" s="46">
        <v>24.9</v>
      </c>
      <c r="N33" s="46">
        <v>24.9</v>
      </c>
      <c r="O33" s="46">
        <v>24.9</v>
      </c>
      <c r="P33" s="46">
        <v>24.9</v>
      </c>
      <c r="Q33" s="46">
        <v>24.9</v>
      </c>
      <c r="R33" s="46">
        <v>24.9</v>
      </c>
      <c r="S33" s="46">
        <v>24.9</v>
      </c>
      <c r="T33" s="46">
        <v>24.9</v>
      </c>
      <c r="U33" s="46">
        <v>24.9</v>
      </c>
      <c r="V33" s="46">
        <v>24.9</v>
      </c>
      <c r="W33" s="46">
        <v>24.9</v>
      </c>
      <c r="X33" s="46">
        <v>24.9</v>
      </c>
      <c r="Y33" s="46">
        <v>24.9</v>
      </c>
      <c r="Z33" s="46">
        <v>24.9</v>
      </c>
      <c r="AA33" s="46">
        <v>24.9</v>
      </c>
      <c r="AB33" s="46">
        <v>24.9</v>
      </c>
      <c r="AC33" s="46">
        <v>24.9</v>
      </c>
      <c r="AD33" s="46">
        <v>24.9</v>
      </c>
      <c r="AE33" s="46">
        <v>24.9</v>
      </c>
      <c r="AF33" s="46">
        <v>24.9</v>
      </c>
      <c r="AG33" s="50">
        <v>23.5</v>
      </c>
      <c r="AH33" s="48">
        <f t="shared" si="2"/>
        <v>24.9</v>
      </c>
      <c r="AI33" s="49">
        <f t="shared" si="3"/>
        <v>24.9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5.5</v>
      </c>
      <c r="D34" s="46">
        <v>5.5</v>
      </c>
      <c r="E34" s="46">
        <v>5.5</v>
      </c>
      <c r="F34" s="46">
        <v>5.5</v>
      </c>
      <c r="G34" s="46">
        <v>5.5</v>
      </c>
      <c r="H34" s="46">
        <v>5.5</v>
      </c>
      <c r="I34" s="46">
        <v>5.5</v>
      </c>
      <c r="J34" s="46">
        <v>5.5</v>
      </c>
      <c r="K34" s="46">
        <v>5.5</v>
      </c>
      <c r="L34" s="46">
        <v>5.5</v>
      </c>
      <c r="M34" s="46">
        <v>5.5</v>
      </c>
      <c r="N34" s="46">
        <v>5.5</v>
      </c>
      <c r="O34" s="46">
        <v>5.5</v>
      </c>
      <c r="P34" s="46">
        <v>5.5</v>
      </c>
      <c r="Q34" s="46">
        <v>5.5</v>
      </c>
      <c r="R34" s="46">
        <v>5.5</v>
      </c>
      <c r="S34" s="46">
        <v>5.5</v>
      </c>
      <c r="T34" s="46">
        <v>5.5</v>
      </c>
      <c r="U34" s="46">
        <v>5.5</v>
      </c>
      <c r="V34" s="46">
        <v>5.5</v>
      </c>
      <c r="W34" s="46">
        <v>5.5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21.6</v>
      </c>
      <c r="C37" s="46">
        <v>21.6</v>
      </c>
      <c r="D37" s="46">
        <v>21.6</v>
      </c>
      <c r="E37" s="46">
        <v>21.6</v>
      </c>
      <c r="F37" s="46">
        <v>21.6</v>
      </c>
      <c r="G37" s="46">
        <v>21.6</v>
      </c>
      <c r="H37" s="46">
        <v>21.6</v>
      </c>
      <c r="I37" s="46">
        <v>21.6</v>
      </c>
      <c r="J37" s="46">
        <v>21.6</v>
      </c>
      <c r="K37" s="46">
        <v>21.6</v>
      </c>
      <c r="L37" s="46">
        <v>21.6</v>
      </c>
      <c r="M37" s="46">
        <v>21.6</v>
      </c>
      <c r="N37" s="46">
        <v>21.6</v>
      </c>
      <c r="O37" s="46">
        <v>21.6</v>
      </c>
      <c r="P37" s="46">
        <v>21.6</v>
      </c>
      <c r="Q37" s="46">
        <v>21.6</v>
      </c>
      <c r="R37" s="46">
        <v>21.6</v>
      </c>
      <c r="S37" s="46">
        <v>21.6</v>
      </c>
      <c r="T37" s="46">
        <v>21.6</v>
      </c>
      <c r="U37" s="46">
        <v>21.6</v>
      </c>
      <c r="V37" s="46">
        <v>21.6</v>
      </c>
      <c r="W37" s="46">
        <v>21.6</v>
      </c>
      <c r="X37" s="46">
        <v>21.6</v>
      </c>
      <c r="Y37" s="46">
        <v>21.6</v>
      </c>
      <c r="Z37" s="46">
        <v>21.6</v>
      </c>
      <c r="AA37" s="46">
        <v>21.6</v>
      </c>
      <c r="AB37" s="46">
        <v>21.6</v>
      </c>
      <c r="AC37" s="46">
        <v>21.6</v>
      </c>
      <c r="AD37" s="46">
        <v>21.6</v>
      </c>
      <c r="AE37" s="46">
        <v>21.6</v>
      </c>
      <c r="AF37" s="46">
        <v>21.6</v>
      </c>
      <c r="AG37" s="50">
        <v>22</v>
      </c>
      <c r="AH37" s="48">
        <f t="shared" si="2"/>
        <v>21.6</v>
      </c>
      <c r="AI37" s="49">
        <f t="shared" si="3"/>
        <v>21.6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>
        <v>20</v>
      </c>
      <c r="D38" s="46">
        <v>20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11</v>
      </c>
      <c r="T38" s="46">
        <v>11</v>
      </c>
      <c r="U38" s="46">
        <v>11</v>
      </c>
      <c r="V38" s="46">
        <v>20</v>
      </c>
      <c r="W38" s="46">
        <v>20</v>
      </c>
      <c r="X38" s="46">
        <v>20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20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7.5</v>
      </c>
      <c r="C40" s="46">
        <v>7.5</v>
      </c>
      <c r="D40" s="46">
        <v>7.5</v>
      </c>
      <c r="E40" s="46">
        <v>7.5</v>
      </c>
      <c r="F40" s="46">
        <v>7.5</v>
      </c>
      <c r="G40" s="46">
        <v>7.5</v>
      </c>
      <c r="H40" s="46">
        <v>7.5</v>
      </c>
      <c r="I40" s="46">
        <v>7.5</v>
      </c>
      <c r="J40" s="46">
        <v>7.5</v>
      </c>
      <c r="K40" s="46">
        <v>7.5</v>
      </c>
      <c r="L40" s="46">
        <v>7.5</v>
      </c>
      <c r="M40" s="46">
        <v>7.5</v>
      </c>
      <c r="N40" s="46">
        <v>7.5</v>
      </c>
      <c r="O40" s="46">
        <v>7.5</v>
      </c>
      <c r="P40" s="46">
        <v>7.5</v>
      </c>
      <c r="Q40" s="46">
        <v>7.5</v>
      </c>
      <c r="R40" s="46">
        <v>7.5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18</v>
      </c>
      <c r="AH40" s="48">
        <f t="shared" si="2"/>
        <v>7.5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10</v>
      </c>
      <c r="C41" s="46">
        <v>10</v>
      </c>
      <c r="D41" s="46">
        <v>10</v>
      </c>
      <c r="E41" s="46">
        <v>10</v>
      </c>
      <c r="F41" s="46">
        <v>10</v>
      </c>
      <c r="G41" s="46">
        <v>10</v>
      </c>
      <c r="H41" s="46">
        <v>10</v>
      </c>
      <c r="I41" s="46">
        <v>10</v>
      </c>
      <c r="J41" s="46">
        <v>10</v>
      </c>
      <c r="K41" s="46">
        <v>10</v>
      </c>
      <c r="L41" s="46">
        <v>10</v>
      </c>
      <c r="M41" s="46">
        <v>10</v>
      </c>
      <c r="N41" s="46">
        <v>10</v>
      </c>
      <c r="O41" s="46">
        <v>10</v>
      </c>
      <c r="P41" s="46">
        <v>10</v>
      </c>
      <c r="Q41" s="46">
        <v>10</v>
      </c>
      <c r="R41" s="46">
        <v>10</v>
      </c>
      <c r="S41" s="46">
        <v>10</v>
      </c>
      <c r="T41" s="46">
        <v>10</v>
      </c>
      <c r="U41" s="46">
        <v>10</v>
      </c>
      <c r="V41" s="46">
        <v>10</v>
      </c>
      <c r="W41" s="46">
        <v>10</v>
      </c>
      <c r="X41" s="46">
        <v>10</v>
      </c>
      <c r="Y41" s="46">
        <v>10</v>
      </c>
      <c r="Z41" s="46">
        <v>10</v>
      </c>
      <c r="AA41" s="46">
        <v>10</v>
      </c>
      <c r="AB41" s="46">
        <v>10</v>
      </c>
      <c r="AC41" s="46">
        <v>10</v>
      </c>
      <c r="AD41" s="46">
        <v>10</v>
      </c>
      <c r="AE41" s="46">
        <v>10</v>
      </c>
      <c r="AF41" s="46">
        <v>10</v>
      </c>
      <c r="AG41" s="50">
        <v>15.33</v>
      </c>
      <c r="AH41" s="48">
        <f t="shared" si="2"/>
        <v>10</v>
      </c>
      <c r="AI41" s="49">
        <f t="shared" si="3"/>
        <v>10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15.5</v>
      </c>
      <c r="C43" s="46">
        <v>15.5</v>
      </c>
      <c r="D43" s="46">
        <v>15.5</v>
      </c>
      <c r="E43" s="46">
        <v>15.5</v>
      </c>
      <c r="F43" s="46">
        <v>15.5</v>
      </c>
      <c r="G43" s="46">
        <v>15.5</v>
      </c>
      <c r="H43" s="46">
        <v>15.5</v>
      </c>
      <c r="I43" s="46">
        <v>15.5</v>
      </c>
      <c r="J43" s="46">
        <v>15.5</v>
      </c>
      <c r="K43" s="46">
        <v>15.5</v>
      </c>
      <c r="L43" s="46">
        <v>15.5</v>
      </c>
      <c r="M43" s="46">
        <v>15.5</v>
      </c>
      <c r="N43" s="46">
        <v>15.5</v>
      </c>
      <c r="O43" s="46">
        <v>15.5</v>
      </c>
      <c r="P43" s="46">
        <v>15.5</v>
      </c>
      <c r="Q43" s="46">
        <v>15.5</v>
      </c>
      <c r="R43" s="46">
        <v>15.5</v>
      </c>
      <c r="S43" s="46">
        <v>15.5</v>
      </c>
      <c r="T43" s="46">
        <v>15.5</v>
      </c>
      <c r="U43" s="46">
        <v>15.5</v>
      </c>
      <c r="V43" s="46">
        <v>15.5</v>
      </c>
      <c r="W43" s="46">
        <v>15.5</v>
      </c>
      <c r="X43" s="46">
        <v>15.5</v>
      </c>
      <c r="Y43" s="46">
        <v>15.5</v>
      </c>
      <c r="Z43" s="46">
        <v>15.5</v>
      </c>
      <c r="AA43" s="46">
        <v>15.5</v>
      </c>
      <c r="AB43" s="46">
        <v>15.5</v>
      </c>
      <c r="AC43" s="46">
        <v>15.5</v>
      </c>
      <c r="AD43" s="46">
        <v>15.5</v>
      </c>
      <c r="AE43" s="46">
        <v>15.5</v>
      </c>
      <c r="AF43" s="46">
        <v>15.5</v>
      </c>
      <c r="AG43" s="50">
        <v>14.9</v>
      </c>
      <c r="AH43" s="48">
        <f t="shared" si="2"/>
        <v>15.5</v>
      </c>
      <c r="AI43" s="49">
        <f t="shared" si="3"/>
        <v>15.5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14.3</v>
      </c>
      <c r="AH45" s="48">
        <f t="shared" si="2"/>
        <v>7</v>
      </c>
      <c r="AI45" s="49">
        <f t="shared" si="3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5.0999999999999996</v>
      </c>
      <c r="C46" s="46">
        <v>5.0999999999999996</v>
      </c>
      <c r="D46" s="46">
        <v>5.0999999999999996</v>
      </c>
      <c r="E46" s="46">
        <v>5.0999999999999996</v>
      </c>
      <c r="F46" s="46">
        <v>5.0999999999999996</v>
      </c>
      <c r="G46" s="46">
        <v>5.0999999999999996</v>
      </c>
      <c r="H46" s="46">
        <v>5.0999999999999996</v>
      </c>
      <c r="I46" s="46">
        <v>5.0999999999999996</v>
      </c>
      <c r="J46" s="46">
        <v>5.0999999999999996</v>
      </c>
      <c r="K46" s="46">
        <v>5.0999999999999996</v>
      </c>
      <c r="L46" s="46">
        <v>5.0999999999999996</v>
      </c>
      <c r="M46" s="46">
        <v>5.0999999999999996</v>
      </c>
      <c r="N46" s="46">
        <v>5.0999999999999996</v>
      </c>
      <c r="O46" s="46">
        <v>5.0999999999999996</v>
      </c>
      <c r="P46" s="46">
        <v>5.0999999999999996</v>
      </c>
      <c r="Q46" s="46">
        <v>5.0999999999999996</v>
      </c>
      <c r="R46" s="46">
        <v>5.0999999999999996</v>
      </c>
      <c r="S46" s="46">
        <v>5.0999999999999996</v>
      </c>
      <c r="T46" s="46">
        <v>5.0999999999999996</v>
      </c>
      <c r="U46" s="46">
        <v>5.0999999999999996</v>
      </c>
      <c r="V46" s="46">
        <v>5.0999999999999996</v>
      </c>
      <c r="W46" s="46">
        <v>5.0999999999999996</v>
      </c>
      <c r="X46" s="46">
        <v>5.0999999999999996</v>
      </c>
      <c r="Y46" s="46">
        <v>5.0999999999999996</v>
      </c>
      <c r="Z46" s="46">
        <v>5.0999999999999996</v>
      </c>
      <c r="AA46" s="46">
        <v>5.0999999999999996</v>
      </c>
      <c r="AB46" s="46">
        <v>5.0999999999999996</v>
      </c>
      <c r="AC46" s="46">
        <v>5.0999999999999996</v>
      </c>
      <c r="AD46" s="46">
        <v>5.0999999999999996</v>
      </c>
      <c r="AE46" s="46">
        <v>5.0999999999999996</v>
      </c>
      <c r="AF46" s="46">
        <v>5.0999999999999996</v>
      </c>
      <c r="AG46" s="50">
        <v>14</v>
      </c>
      <c r="AH46" s="48">
        <f t="shared" si="2"/>
        <v>5.0999999999999996</v>
      </c>
      <c r="AI46" s="49">
        <f t="shared" si="3"/>
        <v>5.0999999999999996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11</v>
      </c>
      <c r="C49" s="46">
        <v>11</v>
      </c>
      <c r="D49" s="46">
        <v>9</v>
      </c>
      <c r="E49" s="46">
        <v>9</v>
      </c>
      <c r="F49" s="46">
        <v>9</v>
      </c>
      <c r="G49" s="46">
        <v>9</v>
      </c>
      <c r="H49" s="46">
        <v>9</v>
      </c>
      <c r="I49" s="46">
        <v>9</v>
      </c>
      <c r="J49" s="46">
        <v>9</v>
      </c>
      <c r="K49" s="46">
        <v>9</v>
      </c>
      <c r="L49" s="46">
        <v>9</v>
      </c>
      <c r="M49" s="46">
        <v>9</v>
      </c>
      <c r="N49" s="46">
        <v>9</v>
      </c>
      <c r="O49" s="46">
        <v>9</v>
      </c>
      <c r="P49" s="46">
        <v>9</v>
      </c>
      <c r="Q49" s="46">
        <v>9</v>
      </c>
      <c r="R49" s="46">
        <v>9</v>
      </c>
      <c r="S49" s="46">
        <v>12</v>
      </c>
      <c r="T49" s="46">
        <v>12</v>
      </c>
      <c r="U49" s="46">
        <v>12</v>
      </c>
      <c r="V49" s="46">
        <v>9</v>
      </c>
      <c r="W49" s="46">
        <v>9</v>
      </c>
      <c r="X49" s="46">
        <v>9</v>
      </c>
      <c r="Y49" s="46">
        <v>9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9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>
        <v>5.0999999999999996</v>
      </c>
      <c r="D50" s="46">
        <v>5.0999999999999996</v>
      </c>
      <c r="E50" s="46">
        <v>5.0999999999999996</v>
      </c>
      <c r="F50" s="46">
        <v>5.0999999999999996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>
        <v>5.0999999999999996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5.0999999999999996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6</v>
      </c>
      <c r="AC51" s="46">
        <v>6</v>
      </c>
      <c r="AD51" s="46">
        <v>6</v>
      </c>
      <c r="AE51" s="46">
        <v>6</v>
      </c>
      <c r="AF51" s="46">
        <v>6</v>
      </c>
      <c r="AG51" s="50">
        <v>12</v>
      </c>
      <c r="AH51" s="48">
        <f t="shared" si="2"/>
        <v>6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7</v>
      </c>
      <c r="K55" s="46">
        <v>7</v>
      </c>
      <c r="L55" s="46">
        <v>7</v>
      </c>
      <c r="M55" s="46">
        <v>7</v>
      </c>
      <c r="N55" s="46">
        <v>7</v>
      </c>
      <c r="O55" s="46">
        <v>7</v>
      </c>
      <c r="P55" s="46">
        <v>7</v>
      </c>
      <c r="Q55" s="46">
        <v>7</v>
      </c>
      <c r="R55" s="46">
        <v>7</v>
      </c>
      <c r="S55" s="46">
        <v>7</v>
      </c>
      <c r="T55" s="46">
        <v>7</v>
      </c>
      <c r="U55" s="46">
        <v>7</v>
      </c>
      <c r="V55" s="46">
        <v>7</v>
      </c>
      <c r="W55" s="46">
        <v>7</v>
      </c>
      <c r="X55" s="46">
        <v>7</v>
      </c>
      <c r="Y55" s="46">
        <v>7</v>
      </c>
      <c r="Z55" s="46">
        <v>7</v>
      </c>
      <c r="AA55" s="46">
        <v>7</v>
      </c>
      <c r="AB55" s="46">
        <v>7</v>
      </c>
      <c r="AC55" s="46">
        <v>7</v>
      </c>
      <c r="AD55" s="46">
        <v>7</v>
      </c>
      <c r="AE55" s="46">
        <v>7</v>
      </c>
      <c r="AF55" s="46">
        <v>7</v>
      </c>
      <c r="AG55" s="66">
        <v>11</v>
      </c>
      <c r="AH55" s="48">
        <f t="shared" si="2"/>
        <v>7</v>
      </c>
      <c r="AI55" s="49">
        <f t="shared" si="3"/>
        <v>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</v>
      </c>
      <c r="AC56" s="46">
        <v>8</v>
      </c>
      <c r="AD56" s="46">
        <v>8</v>
      </c>
      <c r="AE56" s="46">
        <v>8</v>
      </c>
      <c r="AF56" s="46">
        <v>8</v>
      </c>
      <c r="AG56" s="66">
        <v>11</v>
      </c>
      <c r="AH56" s="48">
        <f t="shared" si="2"/>
        <v>8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133</v>
      </c>
      <c r="C60" s="68">
        <v>133</v>
      </c>
      <c r="D60" s="68">
        <v>133</v>
      </c>
      <c r="E60" s="68">
        <v>150.6</v>
      </c>
      <c r="F60" s="68">
        <v>150.6</v>
      </c>
      <c r="G60" s="68">
        <v>149.4</v>
      </c>
      <c r="H60" s="68">
        <v>149.4</v>
      </c>
      <c r="I60" s="68">
        <v>146.30000000000001</v>
      </c>
      <c r="J60" s="68">
        <v>132</v>
      </c>
      <c r="K60" s="68">
        <v>144</v>
      </c>
      <c r="L60" s="68">
        <v>144</v>
      </c>
      <c r="M60" s="68">
        <v>144</v>
      </c>
      <c r="N60" s="68">
        <v>144</v>
      </c>
      <c r="O60" s="68">
        <v>144</v>
      </c>
      <c r="P60" s="68">
        <v>144</v>
      </c>
      <c r="Q60" s="68">
        <v>144</v>
      </c>
      <c r="R60" s="68">
        <v>144</v>
      </c>
      <c r="S60" s="53">
        <f>146.8</f>
        <v>146.80000000000001</v>
      </c>
      <c r="T60" s="53">
        <f>151.4</f>
        <v>151.4</v>
      </c>
      <c r="U60" s="53">
        <f>103.4+49.7</f>
        <v>153.10000000000002</v>
      </c>
      <c r="V60" s="53">
        <f>99.8+46.3</f>
        <v>146.1</v>
      </c>
      <c r="W60" s="53">
        <f t="shared" ref="W60:X60" si="20">99.8+46.3</f>
        <v>146.1</v>
      </c>
      <c r="X60" s="53">
        <f t="shared" si="20"/>
        <v>146.1</v>
      </c>
      <c r="Y60" s="68">
        <f>152.5</f>
        <v>152.5</v>
      </c>
      <c r="Z60" s="68">
        <f>101.9+49</f>
        <v>150.9</v>
      </c>
      <c r="AA60" s="68">
        <f>150.8</f>
        <v>150.80000000000001</v>
      </c>
      <c r="AB60" s="68">
        <f>150.8</f>
        <v>150.80000000000001</v>
      </c>
      <c r="AC60" s="68">
        <f t="shared" ref="AC60:AF60" si="21">150.8</f>
        <v>150.80000000000001</v>
      </c>
      <c r="AD60" s="68">
        <f t="shared" si="21"/>
        <v>150.80000000000001</v>
      </c>
      <c r="AE60" s="68">
        <f t="shared" si="21"/>
        <v>150.80000000000001</v>
      </c>
      <c r="AF60" s="68">
        <f t="shared" si="21"/>
        <v>150.80000000000001</v>
      </c>
      <c r="AG60" s="66">
        <v>240</v>
      </c>
      <c r="AH60" s="48">
        <f t="shared" si="2"/>
        <v>153.10000000000002</v>
      </c>
      <c r="AI60" s="49">
        <f t="shared" si="3"/>
        <v>132</v>
      </c>
      <c r="AK60" s="51"/>
    </row>
    <row r="61" spans="1:88" ht="15.75" thickBot="1" x14ac:dyDescent="0.3">
      <c r="A61" s="70" t="s">
        <v>75</v>
      </c>
      <c r="B61" s="71">
        <f>SUM(B11:B59)</f>
        <v>1104.4000000000001</v>
      </c>
      <c r="C61" s="71">
        <f t="shared" ref="C61:AG61" si="22">SUM(C11:C59)</f>
        <v>1085.9000000000001</v>
      </c>
      <c r="D61" s="71">
        <f>SUM(D11:D59)</f>
        <v>1017.8000000000001</v>
      </c>
      <c r="E61" s="71">
        <f t="shared" si="22"/>
        <v>1017.8000000000001</v>
      </c>
      <c r="F61" s="71">
        <f t="shared" ref="F61:L61" si="23">SUM(F11:F59)</f>
        <v>997.80000000000007</v>
      </c>
      <c r="G61" s="71">
        <f t="shared" si="23"/>
        <v>992.90000000000009</v>
      </c>
      <c r="H61" s="71">
        <f t="shared" si="23"/>
        <v>992.90000000000009</v>
      </c>
      <c r="I61" s="71">
        <f t="shared" si="23"/>
        <v>1004.9000000000001</v>
      </c>
      <c r="J61" s="71">
        <f t="shared" si="23"/>
        <v>1007</v>
      </c>
      <c r="K61" s="71">
        <f t="shared" si="23"/>
        <v>980.3</v>
      </c>
      <c r="L61" s="71">
        <f t="shared" si="23"/>
        <v>980.3</v>
      </c>
      <c r="M61" s="71">
        <f t="shared" si="22"/>
        <v>980.3</v>
      </c>
      <c r="N61" s="71">
        <f t="shared" si="22"/>
        <v>980.3</v>
      </c>
      <c r="O61" s="71">
        <f t="shared" si="22"/>
        <v>1012.7</v>
      </c>
      <c r="P61" s="71">
        <f t="shared" si="22"/>
        <v>984.60000000000014</v>
      </c>
      <c r="Q61" s="71">
        <f t="shared" si="22"/>
        <v>972.10000000000014</v>
      </c>
      <c r="R61" s="71">
        <f t="shared" si="22"/>
        <v>1055.0999999999999</v>
      </c>
      <c r="S61" s="71">
        <f t="shared" si="22"/>
        <v>1065.7</v>
      </c>
      <c r="T61" s="71">
        <f t="shared" si="22"/>
        <v>1076.4000000000001</v>
      </c>
      <c r="U61" s="71">
        <f t="shared" ref="U61" si="24">SUM(U11:U59)</f>
        <v>1069.4000000000001</v>
      </c>
      <c r="V61" s="71">
        <f t="shared" si="22"/>
        <v>1049.2</v>
      </c>
      <c r="W61" s="71">
        <f t="shared" ref="W61:X61" si="25">SUM(W11:W59)</f>
        <v>1028.7</v>
      </c>
      <c r="X61" s="71">
        <f t="shared" si="25"/>
        <v>1009.4000000000001</v>
      </c>
      <c r="Y61" s="71">
        <f t="shared" si="22"/>
        <v>1056</v>
      </c>
      <c r="Z61" s="71">
        <f t="shared" si="22"/>
        <v>1029.9000000000001</v>
      </c>
      <c r="AA61" s="71">
        <f t="shared" si="22"/>
        <v>1029.9000000000001</v>
      </c>
      <c r="AB61" s="71">
        <f t="shared" si="22"/>
        <v>1029.9000000000001</v>
      </c>
      <c r="AC61" s="71">
        <f t="shared" si="22"/>
        <v>1029.9000000000001</v>
      </c>
      <c r="AD61" s="71">
        <f t="shared" si="22"/>
        <v>1029.9000000000001</v>
      </c>
      <c r="AE61" s="71">
        <f t="shared" si="22"/>
        <v>1054.9000000000001</v>
      </c>
      <c r="AF61" s="71">
        <f t="shared" si="22"/>
        <v>1054.9000000000001</v>
      </c>
      <c r="AG61" s="71">
        <f t="shared" si="22"/>
        <v>1466.0300000000002</v>
      </c>
      <c r="AH61" s="48">
        <f t="shared" si="2"/>
        <v>1104.4000000000001</v>
      </c>
      <c r="AI61" s="49">
        <f t="shared" si="3"/>
        <v>972.10000000000014</v>
      </c>
      <c r="AK61" s="51"/>
    </row>
    <row r="62" spans="1:88" x14ac:dyDescent="0.25">
      <c r="A62" s="73" t="s">
        <v>76</v>
      </c>
      <c r="B62" s="46">
        <v>459</v>
      </c>
      <c r="C62" s="46">
        <v>459</v>
      </c>
      <c r="D62" s="46">
        <v>459</v>
      </c>
      <c r="E62" s="46">
        <v>459</v>
      </c>
      <c r="F62" s="46">
        <v>459</v>
      </c>
      <c r="G62" s="46">
        <v>459</v>
      </c>
      <c r="H62" s="46">
        <v>459</v>
      </c>
      <c r="I62" s="46">
        <v>459</v>
      </c>
      <c r="J62" s="46">
        <v>459</v>
      </c>
      <c r="K62" s="46">
        <v>459</v>
      </c>
      <c r="L62" s="46">
        <v>459</v>
      </c>
      <c r="M62" s="46">
        <v>459</v>
      </c>
      <c r="N62" s="46">
        <v>459</v>
      </c>
      <c r="O62" s="46">
        <v>459</v>
      </c>
      <c r="P62" s="46">
        <v>459</v>
      </c>
      <c r="Q62" s="46">
        <v>459</v>
      </c>
      <c r="R62" s="46">
        <v>459</v>
      </c>
      <c r="S62" s="74">
        <v>459.3</v>
      </c>
      <c r="T62" s="74">
        <v>459.3</v>
      </c>
      <c r="U62" s="74">
        <v>459.3</v>
      </c>
      <c r="V62" s="74">
        <v>459.3</v>
      </c>
      <c r="W62" s="74">
        <v>459.3</v>
      </c>
      <c r="X62" s="74">
        <v>459.3</v>
      </c>
      <c r="Y62" s="74">
        <v>459.3</v>
      </c>
      <c r="Z62" s="74">
        <v>459.3</v>
      </c>
      <c r="AA62" s="74">
        <v>459.3</v>
      </c>
      <c r="AB62" s="74">
        <v>459.3</v>
      </c>
      <c r="AC62" s="74">
        <v>459.3</v>
      </c>
      <c r="AD62" s="74">
        <v>459.3</v>
      </c>
      <c r="AE62" s="74">
        <v>459.3</v>
      </c>
      <c r="AF62" s="74">
        <v>459.3</v>
      </c>
      <c r="AG62" s="61">
        <v>456</v>
      </c>
      <c r="AH62" s="48">
        <f t="shared" si="2"/>
        <v>459.3</v>
      </c>
      <c r="AI62" s="49">
        <f t="shared" si="3"/>
        <v>459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50</v>
      </c>
      <c r="F63" s="76">
        <v>50</v>
      </c>
      <c r="G63" s="76">
        <v>50</v>
      </c>
      <c r="H63" s="76">
        <v>55</v>
      </c>
      <c r="I63" s="76">
        <v>55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50</v>
      </c>
      <c r="AK63" s="51"/>
    </row>
    <row r="64" spans="1:88" ht="15.75" thickBot="1" x14ac:dyDescent="0.3">
      <c r="A64" s="77" t="s">
        <v>78</v>
      </c>
      <c r="B64" s="78">
        <v>22.7</v>
      </c>
      <c r="C64" s="78">
        <v>22.7</v>
      </c>
      <c r="D64" s="78">
        <v>22.7</v>
      </c>
      <c r="E64" s="78">
        <v>22.7</v>
      </c>
      <c r="F64" s="78">
        <v>22.7</v>
      </c>
      <c r="G64" s="78">
        <v>22.7</v>
      </c>
      <c r="H64" s="78">
        <v>22.7</v>
      </c>
      <c r="I64" s="78">
        <v>22.7</v>
      </c>
      <c r="J64" s="78">
        <v>22.7</v>
      </c>
      <c r="K64" s="78">
        <v>22.7</v>
      </c>
      <c r="L64" s="78">
        <v>22.7</v>
      </c>
      <c r="M64" s="78">
        <v>22.7</v>
      </c>
      <c r="N64" s="78">
        <v>22.7</v>
      </c>
      <c r="O64" s="78">
        <v>22.7</v>
      </c>
      <c r="P64" s="78">
        <v>22.7</v>
      </c>
      <c r="Q64" s="78">
        <v>22.7</v>
      </c>
      <c r="R64" s="78">
        <v>22.7</v>
      </c>
      <c r="S64" s="78">
        <v>22.7</v>
      </c>
      <c r="T64" s="78">
        <v>22.7</v>
      </c>
      <c r="U64" s="78">
        <v>22.7</v>
      </c>
      <c r="V64" s="78">
        <v>22.7</v>
      </c>
      <c r="W64" s="78">
        <v>22.7</v>
      </c>
      <c r="X64" s="78">
        <v>22.7</v>
      </c>
      <c r="Y64" s="78">
        <v>22.7</v>
      </c>
      <c r="Z64" s="78">
        <v>22.7</v>
      </c>
      <c r="AA64" s="78">
        <v>22.7</v>
      </c>
      <c r="AB64" s="78">
        <v>22.7</v>
      </c>
      <c r="AC64" s="78">
        <v>22.7</v>
      </c>
      <c r="AD64" s="78">
        <v>22.7</v>
      </c>
      <c r="AE64" s="78">
        <v>22.7</v>
      </c>
      <c r="AF64" s="78">
        <v>22.7</v>
      </c>
      <c r="AG64" s="79">
        <v>22.1</v>
      </c>
      <c r="AH64" s="48">
        <f t="shared" si="2"/>
        <v>22.7</v>
      </c>
      <c r="AI64" s="49">
        <f t="shared" si="3"/>
        <v>22.7</v>
      </c>
      <c r="AK64" s="51"/>
    </row>
    <row r="65" spans="1:75" ht="15.75" thickBot="1" x14ac:dyDescent="0.3">
      <c r="A65" s="80" t="s">
        <v>79</v>
      </c>
      <c r="B65" s="71">
        <f t="shared" ref="B65:L65" si="26">SUM(B62:B64)</f>
        <v>541.70000000000005</v>
      </c>
      <c r="C65" s="71">
        <f t="shared" si="26"/>
        <v>541.70000000000005</v>
      </c>
      <c r="D65" s="71">
        <f t="shared" si="26"/>
        <v>541.70000000000005</v>
      </c>
      <c r="E65" s="71">
        <f t="shared" si="26"/>
        <v>531.70000000000005</v>
      </c>
      <c r="F65" s="71">
        <f t="shared" si="26"/>
        <v>531.70000000000005</v>
      </c>
      <c r="G65" s="71">
        <f t="shared" si="26"/>
        <v>531.70000000000005</v>
      </c>
      <c r="H65" s="71">
        <f t="shared" si="26"/>
        <v>536.70000000000005</v>
      </c>
      <c r="I65" s="71">
        <f t="shared" si="26"/>
        <v>536.70000000000005</v>
      </c>
      <c r="J65" s="71">
        <f t="shared" si="26"/>
        <v>541.70000000000005</v>
      </c>
      <c r="K65" s="71">
        <f t="shared" si="26"/>
        <v>541.70000000000005</v>
      </c>
      <c r="L65" s="71">
        <f t="shared" si="26"/>
        <v>541.70000000000005</v>
      </c>
      <c r="M65" s="71">
        <f t="shared" ref="M65:AG65" si="27">SUM(M62:M64)</f>
        <v>541.70000000000005</v>
      </c>
      <c r="N65" s="71">
        <f t="shared" si="27"/>
        <v>541.70000000000005</v>
      </c>
      <c r="O65" s="71">
        <f t="shared" si="27"/>
        <v>541.70000000000005</v>
      </c>
      <c r="P65" s="71">
        <f t="shared" si="27"/>
        <v>541.70000000000005</v>
      </c>
      <c r="Q65" s="71">
        <f t="shared" si="27"/>
        <v>541.70000000000005</v>
      </c>
      <c r="R65" s="71">
        <f t="shared" si="27"/>
        <v>541.70000000000005</v>
      </c>
      <c r="S65" s="71">
        <f t="shared" si="27"/>
        <v>542</v>
      </c>
      <c r="T65" s="71">
        <f t="shared" si="27"/>
        <v>542</v>
      </c>
      <c r="U65" s="71">
        <f t="shared" ref="U65" si="28">SUM(U62:U64)</f>
        <v>542</v>
      </c>
      <c r="V65" s="71">
        <f t="shared" si="27"/>
        <v>542</v>
      </c>
      <c r="W65" s="71">
        <f t="shared" ref="W65:X65" si="29">SUM(W62:W64)</f>
        <v>542</v>
      </c>
      <c r="X65" s="71">
        <f t="shared" si="29"/>
        <v>542</v>
      </c>
      <c r="Y65" s="71">
        <f t="shared" si="27"/>
        <v>542</v>
      </c>
      <c r="Z65" s="71">
        <f t="shared" si="27"/>
        <v>542</v>
      </c>
      <c r="AA65" s="71">
        <f t="shared" si="27"/>
        <v>542</v>
      </c>
      <c r="AB65" s="71">
        <f t="shared" si="27"/>
        <v>542</v>
      </c>
      <c r="AC65" s="71">
        <f t="shared" si="27"/>
        <v>542</v>
      </c>
      <c r="AD65" s="71">
        <f t="shared" si="27"/>
        <v>542</v>
      </c>
      <c r="AE65" s="71">
        <f t="shared" si="27"/>
        <v>542</v>
      </c>
      <c r="AF65" s="71">
        <f t="shared" si="27"/>
        <v>542</v>
      </c>
      <c r="AG65" s="72">
        <f t="shared" si="27"/>
        <v>538.1</v>
      </c>
      <c r="AH65" s="48">
        <f t="shared" si="2"/>
        <v>542</v>
      </c>
      <c r="AI65" s="49">
        <f t="shared" si="3"/>
        <v>531.70000000000005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121</v>
      </c>
      <c r="C66" s="46">
        <v>121</v>
      </c>
      <c r="D66" s="46">
        <v>121</v>
      </c>
      <c r="E66" s="46">
        <v>121</v>
      </c>
      <c r="F66" s="46">
        <v>121</v>
      </c>
      <c r="G66" s="46">
        <v>121</v>
      </c>
      <c r="H66" s="46">
        <v>121</v>
      </c>
      <c r="I66" s="46">
        <v>121</v>
      </c>
      <c r="J66" s="46">
        <v>137</v>
      </c>
      <c r="K66" s="46">
        <v>137</v>
      </c>
      <c r="L66" s="46">
        <v>137</v>
      </c>
      <c r="M66" s="46">
        <v>137</v>
      </c>
      <c r="N66" s="46">
        <v>137</v>
      </c>
      <c r="O66" s="46">
        <v>137</v>
      </c>
      <c r="P66" s="46">
        <v>136.5</v>
      </c>
      <c r="Q66" s="46">
        <v>136.5</v>
      </c>
      <c r="R66" s="46">
        <v>136.5</v>
      </c>
      <c r="S66" s="46">
        <v>136.5</v>
      </c>
      <c r="T66" s="46">
        <v>137.69999999999999</v>
      </c>
      <c r="U66" s="46">
        <v>137.69999999999999</v>
      </c>
      <c r="V66" s="46">
        <v>137.69999999999999</v>
      </c>
      <c r="W66" s="46">
        <v>137.69999999999999</v>
      </c>
      <c r="X66" s="46">
        <v>137.69999999999999</v>
      </c>
      <c r="Y66" s="46">
        <v>139.5</v>
      </c>
      <c r="Z66" s="46">
        <v>139.5</v>
      </c>
      <c r="AA66" s="46">
        <v>139.5</v>
      </c>
      <c r="AB66" s="46">
        <v>139.5</v>
      </c>
      <c r="AC66" s="46">
        <v>139.5</v>
      </c>
      <c r="AD66" s="46">
        <v>139.5</v>
      </c>
      <c r="AE66" s="46">
        <v>139.5</v>
      </c>
      <c r="AF66" s="46">
        <v>139.5</v>
      </c>
      <c r="AG66" s="61">
        <v>144</v>
      </c>
      <c r="AH66" s="48">
        <f t="shared" si="2"/>
        <v>139.5</v>
      </c>
      <c r="AI66" s="49">
        <f t="shared" si="3"/>
        <v>121</v>
      </c>
      <c r="AK66" s="51"/>
      <c r="AY66" s="1" t="s">
        <v>86</v>
      </c>
      <c r="AZ66" s="82">
        <f>ROUND(C84,0)</f>
        <v>-12</v>
      </c>
      <c r="BA66" s="81">
        <f t="shared" ref="BA66:BD70" si="30">D84</f>
        <v>-35</v>
      </c>
      <c r="BB66" s="81">
        <f t="shared" si="30"/>
        <v>-53</v>
      </c>
      <c r="BC66" s="81">
        <f t="shared" si="30"/>
        <v>-51</v>
      </c>
      <c r="BD66" s="81">
        <f t="shared" si="30"/>
        <v>-53</v>
      </c>
      <c r="BE66" s="82">
        <f>I84</f>
        <v>-58</v>
      </c>
      <c r="BF66" s="82">
        <f>K84</f>
        <v>-42</v>
      </c>
      <c r="BG66" s="82">
        <f t="shared" ref="BG66:BP70" si="31">M84</f>
        <v>-32</v>
      </c>
      <c r="BH66" s="82">
        <f t="shared" si="31"/>
        <v>-29</v>
      </c>
      <c r="BI66" s="82">
        <f t="shared" si="31"/>
        <v>-19</v>
      </c>
      <c r="BJ66" s="82">
        <f t="shared" si="31"/>
        <v>-41</v>
      </c>
      <c r="BK66" s="82">
        <f t="shared" si="31"/>
        <v>-31</v>
      </c>
      <c r="BL66" s="82">
        <f t="shared" si="31"/>
        <v>-30</v>
      </c>
      <c r="BM66" s="82">
        <f t="shared" si="31"/>
        <v>-25.2</v>
      </c>
      <c r="BN66" s="82">
        <f t="shared" si="31"/>
        <v>-25.3</v>
      </c>
      <c r="BO66" s="82">
        <f t="shared" si="31"/>
        <v>-32.700000000000003</v>
      </c>
      <c r="BP66" s="82">
        <f t="shared" si="31"/>
        <v>-44.5</v>
      </c>
      <c r="BQ66" s="82">
        <f>X84</f>
        <v>-43</v>
      </c>
      <c r="BR66" s="82">
        <f>Z84</f>
        <v>-20</v>
      </c>
      <c r="BS66" s="81">
        <f>AB84</f>
        <v>-9.1999999999999993</v>
      </c>
      <c r="BT66" s="81">
        <f t="shared" ref="BT66:BV70" si="32">AD84</f>
        <v>-30</v>
      </c>
      <c r="BU66" s="81">
        <f t="shared" si="32"/>
        <v>-40</v>
      </c>
      <c r="BV66" s="81">
        <f t="shared" si="32"/>
        <v>-31</v>
      </c>
      <c r="BW66" s="81">
        <f>B84</f>
        <v>-38</v>
      </c>
    </row>
    <row r="67" spans="1:75" x14ac:dyDescent="0.25">
      <c r="A67" s="65" t="s">
        <v>81</v>
      </c>
      <c r="B67" s="76">
        <v>69.5</v>
      </c>
      <c r="C67" s="76">
        <v>69.5</v>
      </c>
      <c r="D67" s="76">
        <v>69.5</v>
      </c>
      <c r="E67" s="76">
        <v>0</v>
      </c>
      <c r="F67" s="76">
        <v>69.3</v>
      </c>
      <c r="G67" s="76">
        <v>69.3</v>
      </c>
      <c r="H67" s="76">
        <v>69.3</v>
      </c>
      <c r="I67" s="76">
        <v>69.3</v>
      </c>
      <c r="J67" s="76">
        <v>69.3</v>
      </c>
      <c r="K67" s="76">
        <v>69.3</v>
      </c>
      <c r="L67" s="76">
        <v>69.3</v>
      </c>
      <c r="M67" s="76">
        <v>69.3</v>
      </c>
      <c r="N67" s="76">
        <v>69.3</v>
      </c>
      <c r="O67" s="76">
        <v>69.3</v>
      </c>
      <c r="P67" s="76">
        <v>69.998999999999995</v>
      </c>
      <c r="Q67" s="76">
        <v>69.998999999999995</v>
      </c>
      <c r="R67" s="76">
        <v>69.998999999999995</v>
      </c>
      <c r="S67" s="76">
        <v>69.998999999999995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30"/>
        <v>0</v>
      </c>
      <c r="BB67" s="81">
        <f t="shared" si="30"/>
        <v>0</v>
      </c>
      <c r="BC67" s="81">
        <f t="shared" si="30"/>
        <v>0</v>
      </c>
      <c r="BD67" s="81">
        <f t="shared" si="30"/>
        <v>0</v>
      </c>
      <c r="BE67" s="82">
        <f>I85</f>
        <v>0</v>
      </c>
      <c r="BF67" s="82">
        <f>K85</f>
        <v>0</v>
      </c>
      <c r="BG67" s="82">
        <f t="shared" si="31"/>
        <v>0</v>
      </c>
      <c r="BH67" s="82">
        <f t="shared" si="31"/>
        <v>0</v>
      </c>
      <c r="BI67" s="82">
        <f t="shared" si="31"/>
        <v>0</v>
      </c>
      <c r="BJ67" s="82">
        <f t="shared" si="31"/>
        <v>0</v>
      </c>
      <c r="BK67" s="82">
        <f t="shared" si="31"/>
        <v>0</v>
      </c>
      <c r="BL67" s="82">
        <f t="shared" si="31"/>
        <v>0</v>
      </c>
      <c r="BM67" s="82">
        <f t="shared" si="31"/>
        <v>0</v>
      </c>
      <c r="BN67" s="82">
        <f t="shared" si="31"/>
        <v>0</v>
      </c>
      <c r="BO67" s="82">
        <f t="shared" si="31"/>
        <v>0</v>
      </c>
      <c r="BP67" s="82">
        <f t="shared" si="31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2"/>
        <v>0</v>
      </c>
      <c r="BU67" s="81">
        <f t="shared" si="32"/>
        <v>0</v>
      </c>
      <c r="BV67" s="81">
        <f t="shared" si="32"/>
        <v>0</v>
      </c>
      <c r="BW67" s="81">
        <f>B85</f>
        <v>0</v>
      </c>
    </row>
    <row r="68" spans="1:75" x14ac:dyDescent="0.25">
      <c r="A68" s="65" t="s">
        <v>82</v>
      </c>
      <c r="B68" s="76">
        <v>65.5</v>
      </c>
      <c r="C68" s="76">
        <v>65.5</v>
      </c>
      <c r="D68" s="76">
        <v>65.5</v>
      </c>
      <c r="E68" s="76">
        <v>65.5</v>
      </c>
      <c r="F68" s="76">
        <v>65.5</v>
      </c>
      <c r="G68" s="76">
        <v>65.5</v>
      </c>
      <c r="H68" s="76">
        <v>65.5</v>
      </c>
      <c r="I68" s="76">
        <v>65.5</v>
      </c>
      <c r="J68" s="76">
        <v>65.5</v>
      </c>
      <c r="K68" s="76">
        <v>65.5</v>
      </c>
      <c r="L68" s="76">
        <v>65.5</v>
      </c>
      <c r="M68" s="76">
        <v>65.5</v>
      </c>
      <c r="N68" s="76">
        <v>65.5</v>
      </c>
      <c r="O68" s="76">
        <v>65.5</v>
      </c>
      <c r="P68" s="76">
        <v>66</v>
      </c>
      <c r="Q68" s="76">
        <v>66</v>
      </c>
      <c r="R68" s="76">
        <v>66</v>
      </c>
      <c r="S68" s="76">
        <v>66</v>
      </c>
      <c r="T68" s="76">
        <v>64.7</v>
      </c>
      <c r="U68" s="76">
        <v>65.7</v>
      </c>
      <c r="V68" s="76">
        <v>65.7</v>
      </c>
      <c r="W68" s="76">
        <v>65.7</v>
      </c>
      <c r="X68" s="76">
        <v>65.7</v>
      </c>
      <c r="Y68" s="76">
        <v>65.7</v>
      </c>
      <c r="Z68" s="76">
        <v>65.7</v>
      </c>
      <c r="AA68" s="76">
        <v>65.7</v>
      </c>
      <c r="AB68" s="76">
        <v>65.7</v>
      </c>
      <c r="AC68" s="76">
        <v>65.7</v>
      </c>
      <c r="AD68" s="76">
        <v>65.7</v>
      </c>
      <c r="AE68" s="76">
        <v>65.7</v>
      </c>
      <c r="AF68" s="76">
        <v>65.7</v>
      </c>
      <c r="AG68" s="66">
        <v>69</v>
      </c>
      <c r="AH68" s="48">
        <f t="shared" si="2"/>
        <v>66</v>
      </c>
      <c r="AI68" s="49">
        <f t="shared" si="3"/>
        <v>64.7</v>
      </c>
      <c r="AK68" s="51"/>
      <c r="AL68" s="83"/>
      <c r="AO68" s="83"/>
      <c r="AY68" s="1" t="s">
        <v>90</v>
      </c>
      <c r="AZ68" s="82">
        <f>ROUND(C86,0)</f>
        <v>-590</v>
      </c>
      <c r="BA68" s="81">
        <f t="shared" si="30"/>
        <v>-591</v>
      </c>
      <c r="BB68" s="81">
        <f t="shared" si="30"/>
        <v>-524</v>
      </c>
      <c r="BC68" s="81">
        <f t="shared" si="30"/>
        <v>-573</v>
      </c>
      <c r="BD68" s="81">
        <f t="shared" si="30"/>
        <v>-594</v>
      </c>
      <c r="BE68" s="82">
        <f>I86</f>
        <v>-624</v>
      </c>
      <c r="BF68" s="82">
        <f>K86</f>
        <v>-494</v>
      </c>
      <c r="BG68" s="82">
        <f t="shared" si="31"/>
        <v>-442</v>
      </c>
      <c r="BH68" s="82">
        <f t="shared" si="31"/>
        <v>-460</v>
      </c>
      <c r="BI68" s="82">
        <f t="shared" si="31"/>
        <v>-420</v>
      </c>
      <c r="BJ68" s="82">
        <f t="shared" si="31"/>
        <v>-436</v>
      </c>
      <c r="BK68" s="82">
        <f t="shared" si="31"/>
        <v>-367</v>
      </c>
      <c r="BL68" s="82">
        <f t="shared" si="31"/>
        <v>-434</v>
      </c>
      <c r="BM68" s="82">
        <f t="shared" si="31"/>
        <v>-408.6</v>
      </c>
      <c r="BN68" s="82">
        <f t="shared" si="31"/>
        <v>-440.6</v>
      </c>
      <c r="BO68" s="82">
        <f t="shared" si="31"/>
        <v>-442.2</v>
      </c>
      <c r="BP68" s="82">
        <f t="shared" si="31"/>
        <v>-470</v>
      </c>
      <c r="BQ68" s="82">
        <f>X86</f>
        <v>-455</v>
      </c>
      <c r="BR68" s="82">
        <f>Z86</f>
        <v>-443</v>
      </c>
      <c r="BS68" s="81">
        <f>AB86</f>
        <v>-449</v>
      </c>
      <c r="BT68" s="81">
        <f t="shared" si="32"/>
        <v>-460</v>
      </c>
      <c r="BU68" s="81">
        <f t="shared" si="32"/>
        <v>-505</v>
      </c>
      <c r="BV68" s="81">
        <f t="shared" si="32"/>
        <v>-530</v>
      </c>
      <c r="BW68" s="81">
        <f>B86</f>
        <v>-579</v>
      </c>
    </row>
    <row r="69" spans="1:75" s="83" customFormat="1" x14ac:dyDescent="0.25">
      <c r="A69" s="65" t="s">
        <v>83</v>
      </c>
      <c r="B69" s="76">
        <v>61.4</v>
      </c>
      <c r="C69" s="76">
        <v>61.4</v>
      </c>
      <c r="D69" s="76">
        <v>60</v>
      </c>
      <c r="E69" s="76">
        <v>60</v>
      </c>
      <c r="F69" s="76">
        <v>60</v>
      </c>
      <c r="G69" s="76">
        <v>60</v>
      </c>
      <c r="H69" s="76">
        <v>60</v>
      </c>
      <c r="I69" s="76">
        <v>60</v>
      </c>
      <c r="J69" s="76">
        <v>60</v>
      </c>
      <c r="K69" s="76">
        <v>60</v>
      </c>
      <c r="L69" s="76">
        <v>60</v>
      </c>
      <c r="M69" s="76">
        <v>60</v>
      </c>
      <c r="N69" s="76">
        <v>60</v>
      </c>
      <c r="O69" s="76">
        <v>60</v>
      </c>
      <c r="P69" s="76">
        <v>60</v>
      </c>
      <c r="Q69" s="76">
        <v>60</v>
      </c>
      <c r="R69" s="76">
        <v>60</v>
      </c>
      <c r="S69" s="76">
        <v>60</v>
      </c>
      <c r="T69" s="76">
        <v>60</v>
      </c>
      <c r="U69" s="76">
        <v>60</v>
      </c>
      <c r="V69" s="76">
        <v>60</v>
      </c>
      <c r="W69" s="76">
        <v>60</v>
      </c>
      <c r="X69" s="76">
        <v>60</v>
      </c>
      <c r="Y69" s="76">
        <v>60</v>
      </c>
      <c r="Z69" s="76">
        <v>60</v>
      </c>
      <c r="AA69" s="76">
        <v>60</v>
      </c>
      <c r="AB69" s="76">
        <v>60</v>
      </c>
      <c r="AC69" s="76">
        <v>60</v>
      </c>
      <c r="AD69" s="76">
        <v>60</v>
      </c>
      <c r="AE69" s="76">
        <v>60</v>
      </c>
      <c r="AF69" s="76">
        <v>60</v>
      </c>
      <c r="AG69" s="66">
        <v>60</v>
      </c>
      <c r="AH69" s="48">
        <f t="shared" si="2"/>
        <v>61.4</v>
      </c>
      <c r="AI69" s="49">
        <f t="shared" si="3"/>
        <v>60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0"/>
        <v>0</v>
      </c>
      <c r="BB69" s="81">
        <f t="shared" si="30"/>
        <v>0</v>
      </c>
      <c r="BC69" s="81">
        <f t="shared" si="30"/>
        <v>0</v>
      </c>
      <c r="BD69" s="81">
        <f t="shared" si="30"/>
        <v>0</v>
      </c>
      <c r="BE69" s="82">
        <f>I87</f>
        <v>0</v>
      </c>
      <c r="BF69" s="82">
        <f>K87</f>
        <v>0</v>
      </c>
      <c r="BG69" s="82">
        <f t="shared" si="31"/>
        <v>0</v>
      </c>
      <c r="BH69" s="82">
        <f t="shared" si="31"/>
        <v>0</v>
      </c>
      <c r="BI69" s="82">
        <f t="shared" si="31"/>
        <v>0</v>
      </c>
      <c r="BJ69" s="82">
        <f t="shared" si="31"/>
        <v>0</v>
      </c>
      <c r="BK69" s="82">
        <f t="shared" si="31"/>
        <v>0</v>
      </c>
      <c r="BL69" s="82">
        <f t="shared" si="31"/>
        <v>0</v>
      </c>
      <c r="BM69" s="82">
        <f t="shared" si="31"/>
        <v>0</v>
      </c>
      <c r="BN69" s="82">
        <f t="shared" si="31"/>
        <v>0</v>
      </c>
      <c r="BO69" s="82">
        <f t="shared" si="31"/>
        <v>0</v>
      </c>
      <c r="BP69" s="82">
        <f t="shared" si="31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2"/>
        <v>0</v>
      </c>
      <c r="BU69" s="81">
        <f t="shared" si="32"/>
        <v>0</v>
      </c>
      <c r="BV69" s="81">
        <f t="shared" si="32"/>
        <v>0</v>
      </c>
      <c r="BW69" s="81">
        <f>B87</f>
        <v>0</v>
      </c>
    </row>
    <row r="70" spans="1:75" x14ac:dyDescent="0.25">
      <c r="A70" s="65" t="s">
        <v>84</v>
      </c>
      <c r="B70" s="46">
        <v>27.3</v>
      </c>
      <c r="C70" s="46">
        <v>0</v>
      </c>
      <c r="D70" s="46">
        <v>27.4</v>
      </c>
      <c r="E70" s="46">
        <v>27.4</v>
      </c>
      <c r="F70" s="46">
        <v>27.4</v>
      </c>
      <c r="G70" s="46">
        <v>27.4</v>
      </c>
      <c r="H70" s="46">
        <v>27.4</v>
      </c>
      <c r="I70" s="46">
        <v>27.4</v>
      </c>
      <c r="J70" s="46">
        <v>27.4</v>
      </c>
      <c r="K70" s="46">
        <v>27.4</v>
      </c>
      <c r="L70" s="46">
        <v>27.4</v>
      </c>
      <c r="M70" s="46">
        <v>27.4</v>
      </c>
      <c r="N70" s="46">
        <v>27.4</v>
      </c>
      <c r="O70" s="46">
        <v>27.4</v>
      </c>
      <c r="P70" s="46">
        <v>27.4</v>
      </c>
      <c r="Q70" s="46">
        <v>27.4</v>
      </c>
      <c r="R70" s="46">
        <v>27.4</v>
      </c>
      <c r="S70" s="46">
        <v>27.4</v>
      </c>
      <c r="T70" s="46">
        <v>27.4</v>
      </c>
      <c r="U70" s="46">
        <v>27.4</v>
      </c>
      <c r="V70" s="46">
        <v>27.4</v>
      </c>
      <c r="W70" s="46">
        <v>27.4</v>
      </c>
      <c r="X70" s="46">
        <v>27.4</v>
      </c>
      <c r="Y70" s="46">
        <v>27.4</v>
      </c>
      <c r="Z70" s="46">
        <v>27.4</v>
      </c>
      <c r="AA70" s="46">
        <v>27.4</v>
      </c>
      <c r="AB70" s="46">
        <v>27.4</v>
      </c>
      <c r="AC70" s="46">
        <v>27.4</v>
      </c>
      <c r="AD70" s="46">
        <v>27.4</v>
      </c>
      <c r="AE70" s="46">
        <v>27.4</v>
      </c>
      <c r="AF70" s="46">
        <v>27.4</v>
      </c>
      <c r="AG70" s="66">
        <v>30</v>
      </c>
      <c r="AH70" s="48">
        <f t="shared" si="2"/>
        <v>27.4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0"/>
        <v>0</v>
      </c>
      <c r="BB70" s="81">
        <f t="shared" si="30"/>
        <v>0</v>
      </c>
      <c r="BC70" s="81">
        <f t="shared" si="30"/>
        <v>0</v>
      </c>
      <c r="BD70" s="81">
        <f t="shared" si="30"/>
        <v>0</v>
      </c>
      <c r="BE70" s="82">
        <f>I88</f>
        <v>0</v>
      </c>
      <c r="BF70" s="82">
        <f>K88</f>
        <v>0</v>
      </c>
      <c r="BG70" s="82">
        <f t="shared" si="31"/>
        <v>0</v>
      </c>
      <c r="BH70" s="82">
        <f t="shared" si="31"/>
        <v>0</v>
      </c>
      <c r="BI70" s="82">
        <f t="shared" si="31"/>
        <v>0</v>
      </c>
      <c r="BJ70" s="82">
        <f t="shared" si="31"/>
        <v>0</v>
      </c>
      <c r="BK70" s="82">
        <f t="shared" si="31"/>
        <v>0</v>
      </c>
      <c r="BL70" s="82">
        <f t="shared" si="31"/>
        <v>0</v>
      </c>
      <c r="BM70" s="82">
        <f t="shared" si="31"/>
        <v>0</v>
      </c>
      <c r="BN70" s="82">
        <f t="shared" si="31"/>
        <v>0</v>
      </c>
      <c r="BO70" s="82">
        <f t="shared" si="31"/>
        <v>0</v>
      </c>
      <c r="BP70" s="82">
        <f t="shared" si="31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2"/>
        <v>0</v>
      </c>
      <c r="BU70" s="81">
        <f t="shared" si="32"/>
        <v>0</v>
      </c>
      <c r="BV70" s="81">
        <f t="shared" si="32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0.9</v>
      </c>
      <c r="J71" s="46">
        <v>2.5</v>
      </c>
      <c r="K71" s="46">
        <v>4.3</v>
      </c>
      <c r="L71" s="46">
        <v>4.3</v>
      </c>
      <c r="M71" s="46">
        <v>4.3</v>
      </c>
      <c r="N71" s="46">
        <v>4.3</v>
      </c>
      <c r="O71" s="46">
        <v>4.3</v>
      </c>
      <c r="P71" s="46">
        <v>4.3</v>
      </c>
      <c r="Q71" s="46">
        <v>4.3</v>
      </c>
      <c r="R71" s="46">
        <v>4.3</v>
      </c>
      <c r="S71" s="46">
        <v>14.1</v>
      </c>
      <c r="T71" s="46">
        <v>15.1</v>
      </c>
      <c r="U71" s="46">
        <v>3.3</v>
      </c>
      <c r="V71" s="46">
        <v>3.3</v>
      </c>
      <c r="W71" s="46">
        <v>3.3</v>
      </c>
      <c r="X71" s="46">
        <v>3.3</v>
      </c>
      <c r="Y71" s="46">
        <v>0.6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15.1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3">M94</f>
        <v>0</v>
      </c>
      <c r="BH71" s="82">
        <f t="shared" si="33"/>
        <v>0</v>
      </c>
      <c r="BI71" s="82">
        <f t="shared" si="33"/>
        <v>0</v>
      </c>
      <c r="BJ71" s="82">
        <f t="shared" si="33"/>
        <v>0</v>
      </c>
      <c r="BK71" s="82">
        <f t="shared" si="33"/>
        <v>0</v>
      </c>
      <c r="BL71" s="82">
        <f t="shared" si="33"/>
        <v>0</v>
      </c>
      <c r="BM71" s="82">
        <f t="shared" si="33"/>
        <v>0</v>
      </c>
      <c r="BN71" s="82">
        <f t="shared" si="33"/>
        <v>0</v>
      </c>
      <c r="BO71" s="82">
        <f t="shared" si="33"/>
        <v>0</v>
      </c>
      <c r="BP71" s="82">
        <f t="shared" si="33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11.6</v>
      </c>
      <c r="C72" s="76">
        <v>11.6</v>
      </c>
      <c r="D72" s="76">
        <v>11.6</v>
      </c>
      <c r="E72" s="76">
        <v>11.6</v>
      </c>
      <c r="F72" s="76">
        <v>11.6</v>
      </c>
      <c r="G72" s="76">
        <v>11.6</v>
      </c>
      <c r="H72" s="76">
        <v>11.6</v>
      </c>
      <c r="I72" s="76">
        <v>11.6</v>
      </c>
      <c r="J72" s="76">
        <v>11.6</v>
      </c>
      <c r="K72" s="76">
        <v>11.6</v>
      </c>
      <c r="L72" s="76">
        <v>11.6</v>
      </c>
      <c r="M72" s="76">
        <v>11.6</v>
      </c>
      <c r="N72" s="76">
        <v>11.6</v>
      </c>
      <c r="O72" s="76">
        <v>11.6</v>
      </c>
      <c r="P72" s="76">
        <v>11.6</v>
      </c>
      <c r="Q72" s="76">
        <v>11.6</v>
      </c>
      <c r="R72" s="76">
        <v>11.6</v>
      </c>
      <c r="S72" s="76">
        <v>11.6</v>
      </c>
      <c r="T72" s="76">
        <v>11.6</v>
      </c>
      <c r="U72" s="76">
        <v>11.6</v>
      </c>
      <c r="V72" s="76">
        <v>11.6</v>
      </c>
      <c r="W72" s="76">
        <v>11.6</v>
      </c>
      <c r="X72" s="76">
        <v>11.6</v>
      </c>
      <c r="Y72" s="76">
        <v>11.6</v>
      </c>
      <c r="Z72" s="76">
        <v>11.6</v>
      </c>
      <c r="AA72" s="76">
        <v>11.6</v>
      </c>
      <c r="AB72" s="76">
        <v>11.6</v>
      </c>
      <c r="AC72" s="76">
        <v>11.6</v>
      </c>
      <c r="AD72" s="76">
        <v>11.6</v>
      </c>
      <c r="AE72" s="76">
        <v>11.6</v>
      </c>
      <c r="AF72" s="76">
        <v>11.6</v>
      </c>
      <c r="AG72" s="66">
        <v>24</v>
      </c>
      <c r="AH72" s="48">
        <f t="shared" si="2"/>
        <v>11.6</v>
      </c>
      <c r="AI72" s="49">
        <f t="shared" si="3"/>
        <v>11.6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2.1</v>
      </c>
      <c r="C73" s="76">
        <v>2.1</v>
      </c>
      <c r="D73" s="76">
        <v>2.1</v>
      </c>
      <c r="E73" s="76">
        <v>2.1</v>
      </c>
      <c r="F73" s="76">
        <v>2.1</v>
      </c>
      <c r="G73" s="76">
        <v>2.1</v>
      </c>
      <c r="H73" s="76">
        <v>2.1</v>
      </c>
      <c r="I73" s="76">
        <v>2.1</v>
      </c>
      <c r="J73" s="76">
        <v>2.1</v>
      </c>
      <c r="K73" s="76">
        <v>2.1</v>
      </c>
      <c r="L73" s="76">
        <v>2.1</v>
      </c>
      <c r="M73" s="76">
        <v>2.1</v>
      </c>
      <c r="N73" s="76">
        <v>2.1</v>
      </c>
      <c r="O73" s="76">
        <v>2.1</v>
      </c>
      <c r="P73" s="76">
        <v>2.1</v>
      </c>
      <c r="Q73" s="76">
        <v>2.1</v>
      </c>
      <c r="R73" s="76">
        <v>2.1</v>
      </c>
      <c r="S73" s="76">
        <v>2.1</v>
      </c>
      <c r="T73" s="76">
        <v>2.1</v>
      </c>
      <c r="U73" s="76">
        <v>2.1</v>
      </c>
      <c r="V73" s="76">
        <v>2.1</v>
      </c>
      <c r="W73" s="76">
        <v>2.1</v>
      </c>
      <c r="X73" s="76">
        <v>2.1</v>
      </c>
      <c r="Y73" s="76">
        <v>2.1</v>
      </c>
      <c r="Z73" s="76">
        <v>2.1</v>
      </c>
      <c r="AA73" s="76">
        <v>2.1</v>
      </c>
      <c r="AB73" s="76">
        <v>2.1</v>
      </c>
      <c r="AC73" s="76">
        <v>2.1</v>
      </c>
      <c r="AD73" s="76">
        <v>2.1</v>
      </c>
      <c r="AE73" s="76">
        <v>2.1</v>
      </c>
      <c r="AF73" s="76">
        <v>2.1</v>
      </c>
      <c r="AG73" s="66">
        <v>15</v>
      </c>
      <c r="AH73" s="48">
        <f t="shared" si="2"/>
        <v>2.1</v>
      </c>
      <c r="AI73" s="49">
        <f t="shared" si="3"/>
        <v>2.1</v>
      </c>
      <c r="AK73" s="51"/>
      <c r="AZ73" s="82">
        <f t="shared" ref="AZ73:BW78" si="34">VALUE(AZ66)</f>
        <v>-12</v>
      </c>
      <c r="BA73" s="82">
        <f t="shared" si="34"/>
        <v>-35</v>
      </c>
      <c r="BB73" s="82">
        <f t="shared" si="34"/>
        <v>-53</v>
      </c>
      <c r="BC73" s="82">
        <f t="shared" si="34"/>
        <v>-51</v>
      </c>
      <c r="BD73" s="82">
        <f t="shared" si="34"/>
        <v>-53</v>
      </c>
      <c r="BE73" s="82">
        <f t="shared" si="34"/>
        <v>-58</v>
      </c>
      <c r="BF73" s="82">
        <f t="shared" si="34"/>
        <v>-42</v>
      </c>
      <c r="BG73" s="82">
        <f t="shared" si="34"/>
        <v>-32</v>
      </c>
      <c r="BH73" s="82">
        <f t="shared" si="34"/>
        <v>-29</v>
      </c>
      <c r="BI73" s="82">
        <f t="shared" si="34"/>
        <v>-19</v>
      </c>
      <c r="BJ73" s="82">
        <f t="shared" si="34"/>
        <v>-41</v>
      </c>
      <c r="BK73" s="82">
        <f t="shared" si="34"/>
        <v>-31</v>
      </c>
      <c r="BL73" s="82">
        <f t="shared" si="34"/>
        <v>-30</v>
      </c>
      <c r="BM73" s="82">
        <f t="shared" si="34"/>
        <v>-25.2</v>
      </c>
      <c r="BN73" s="82">
        <f t="shared" si="34"/>
        <v>-25.3</v>
      </c>
      <c r="BO73" s="82">
        <f t="shared" si="34"/>
        <v>-32.700000000000003</v>
      </c>
      <c r="BP73" s="82">
        <f t="shared" si="34"/>
        <v>-44.5</v>
      </c>
      <c r="BQ73" s="82">
        <f t="shared" si="34"/>
        <v>-43</v>
      </c>
      <c r="BR73" s="82">
        <f t="shared" si="34"/>
        <v>-20</v>
      </c>
      <c r="BS73" s="82">
        <f t="shared" si="34"/>
        <v>-9.1999999999999993</v>
      </c>
      <c r="BT73" s="82">
        <f t="shared" si="34"/>
        <v>-30</v>
      </c>
      <c r="BU73" s="82">
        <f t="shared" si="34"/>
        <v>-40</v>
      </c>
      <c r="BV73" s="82">
        <f t="shared" si="34"/>
        <v>-31</v>
      </c>
      <c r="BW73" s="82">
        <f t="shared" si="34"/>
        <v>-38</v>
      </c>
    </row>
    <row r="74" spans="1:75" x14ac:dyDescent="0.25">
      <c r="A74" s="65" t="s">
        <v>91</v>
      </c>
      <c r="B74" s="76">
        <v>8.6</v>
      </c>
      <c r="C74" s="76">
        <v>8.6</v>
      </c>
      <c r="D74" s="76">
        <v>8.6</v>
      </c>
      <c r="E74" s="76">
        <v>8.6</v>
      </c>
      <c r="F74" s="76">
        <v>8.6</v>
      </c>
      <c r="G74" s="76">
        <v>8.6</v>
      </c>
      <c r="H74" s="76">
        <v>8.6</v>
      </c>
      <c r="I74" s="76">
        <v>8.6</v>
      </c>
      <c r="J74" s="76">
        <v>8.6</v>
      </c>
      <c r="K74" s="76">
        <v>8.6</v>
      </c>
      <c r="L74" s="76">
        <v>8.6</v>
      </c>
      <c r="M74" s="76">
        <v>8.6</v>
      </c>
      <c r="N74" s="76">
        <v>8.6</v>
      </c>
      <c r="O74" s="76">
        <v>8.6</v>
      </c>
      <c r="P74" s="76">
        <v>8.6</v>
      </c>
      <c r="Q74" s="76">
        <v>8.6</v>
      </c>
      <c r="R74" s="76">
        <v>8.6</v>
      </c>
      <c r="S74" s="76">
        <v>8.6</v>
      </c>
      <c r="T74" s="76">
        <v>8.6</v>
      </c>
      <c r="U74" s="76">
        <v>8.6</v>
      </c>
      <c r="V74" s="76">
        <v>8.6</v>
      </c>
      <c r="W74" s="76">
        <v>8.6</v>
      </c>
      <c r="X74" s="76">
        <v>8.6</v>
      </c>
      <c r="Y74" s="76">
        <v>8.6</v>
      </c>
      <c r="Z74" s="76">
        <v>8.6</v>
      </c>
      <c r="AA74" s="76">
        <v>8.6</v>
      </c>
      <c r="AB74" s="76">
        <v>8.6</v>
      </c>
      <c r="AC74" s="76">
        <v>8.6</v>
      </c>
      <c r="AD74" s="76">
        <v>8.6</v>
      </c>
      <c r="AE74" s="76">
        <v>8.6</v>
      </c>
      <c r="AF74" s="76">
        <v>8.6</v>
      </c>
      <c r="AG74" s="66">
        <v>14.1</v>
      </c>
      <c r="AH74" s="48">
        <f t="shared" si="2"/>
        <v>8.6</v>
      </c>
      <c r="AI74" s="49">
        <f t="shared" si="3"/>
        <v>8.6</v>
      </c>
      <c r="AK74" s="51"/>
      <c r="AZ74" s="82">
        <f t="shared" si="34"/>
        <v>0</v>
      </c>
      <c r="BA74" s="82">
        <f t="shared" si="34"/>
        <v>0</v>
      </c>
      <c r="BB74" s="82">
        <f t="shared" si="34"/>
        <v>0</v>
      </c>
      <c r="BC74" s="82">
        <f t="shared" si="34"/>
        <v>0</v>
      </c>
      <c r="BD74" s="82">
        <f t="shared" si="34"/>
        <v>0</v>
      </c>
      <c r="BE74" s="82">
        <f t="shared" si="34"/>
        <v>0</v>
      </c>
      <c r="BF74" s="82">
        <f t="shared" si="34"/>
        <v>0</v>
      </c>
      <c r="BG74" s="82">
        <f t="shared" si="34"/>
        <v>0</v>
      </c>
      <c r="BH74" s="82">
        <f t="shared" si="34"/>
        <v>0</v>
      </c>
      <c r="BI74" s="82">
        <f t="shared" si="34"/>
        <v>0</v>
      </c>
      <c r="BJ74" s="82">
        <f t="shared" si="34"/>
        <v>0</v>
      </c>
      <c r="BK74" s="82">
        <f t="shared" si="34"/>
        <v>0</v>
      </c>
      <c r="BL74" s="82">
        <f t="shared" si="34"/>
        <v>0</v>
      </c>
      <c r="BM74" s="82">
        <f t="shared" si="34"/>
        <v>0</v>
      </c>
      <c r="BN74" s="82">
        <f t="shared" si="34"/>
        <v>0</v>
      </c>
      <c r="BO74" s="82">
        <f t="shared" si="34"/>
        <v>0</v>
      </c>
      <c r="BP74" s="82">
        <f t="shared" si="34"/>
        <v>0</v>
      </c>
      <c r="BQ74" s="82">
        <f t="shared" si="34"/>
        <v>0</v>
      </c>
      <c r="BR74" s="82">
        <f t="shared" si="34"/>
        <v>0</v>
      </c>
      <c r="BS74" s="82">
        <f t="shared" si="34"/>
        <v>0</v>
      </c>
      <c r="BT74" s="82">
        <f t="shared" si="34"/>
        <v>0</v>
      </c>
      <c r="BU74" s="82">
        <f t="shared" si="34"/>
        <v>0</v>
      </c>
      <c r="BV74" s="82">
        <f t="shared" si="34"/>
        <v>0</v>
      </c>
      <c r="BW74" s="82">
        <f t="shared" si="34"/>
        <v>0</v>
      </c>
    </row>
    <row r="75" spans="1:75" x14ac:dyDescent="0.25">
      <c r="A75" s="84" t="s">
        <v>93</v>
      </c>
      <c r="B75" s="76">
        <v>14.3</v>
      </c>
      <c r="C75" s="76">
        <v>14.3</v>
      </c>
      <c r="D75" s="76">
        <v>14.3</v>
      </c>
      <c r="E75" s="76">
        <v>14.3</v>
      </c>
      <c r="F75" s="76">
        <v>14.3</v>
      </c>
      <c r="G75" s="76">
        <v>14.3</v>
      </c>
      <c r="H75" s="76">
        <v>14.3</v>
      </c>
      <c r="I75" s="76">
        <v>14.3</v>
      </c>
      <c r="J75" s="76">
        <v>14.3</v>
      </c>
      <c r="K75" s="76">
        <v>14.3</v>
      </c>
      <c r="L75" s="76">
        <v>14.3</v>
      </c>
      <c r="M75" s="76">
        <v>14.3</v>
      </c>
      <c r="N75" s="76">
        <v>14.3</v>
      </c>
      <c r="O75" s="76">
        <v>14.3</v>
      </c>
      <c r="P75" s="76">
        <v>14.3</v>
      </c>
      <c r="Q75" s="76">
        <v>14.3</v>
      </c>
      <c r="R75" s="76">
        <v>14.3</v>
      </c>
      <c r="S75" s="76">
        <v>10</v>
      </c>
      <c r="T75" s="76">
        <v>10</v>
      </c>
      <c r="U75" s="76">
        <v>10</v>
      </c>
      <c r="V75" s="76">
        <v>10</v>
      </c>
      <c r="W75" s="76">
        <v>10</v>
      </c>
      <c r="X75" s="76">
        <v>10</v>
      </c>
      <c r="Y75" s="76">
        <v>10</v>
      </c>
      <c r="Z75" s="76">
        <v>10</v>
      </c>
      <c r="AA75" s="76">
        <v>10</v>
      </c>
      <c r="AB75" s="76">
        <v>10</v>
      </c>
      <c r="AC75" s="76">
        <v>10</v>
      </c>
      <c r="AD75" s="76">
        <v>10</v>
      </c>
      <c r="AE75" s="76">
        <v>10</v>
      </c>
      <c r="AF75" s="76">
        <v>10</v>
      </c>
      <c r="AG75" s="66">
        <v>14</v>
      </c>
      <c r="AH75" s="48">
        <f t="shared" ref="AH75:AH128" si="35">MAX(B75:AF75)</f>
        <v>14.3</v>
      </c>
      <c r="AI75" s="49">
        <f t="shared" ref="AI75:AI128" si="36">MIN(B75:AF75)</f>
        <v>10</v>
      </c>
      <c r="AK75" s="51"/>
      <c r="AZ75" s="82">
        <f t="shared" si="34"/>
        <v>-590</v>
      </c>
      <c r="BA75" s="82">
        <f t="shared" si="34"/>
        <v>-591</v>
      </c>
      <c r="BB75" s="82">
        <f t="shared" si="34"/>
        <v>-524</v>
      </c>
      <c r="BC75" s="82">
        <f t="shared" si="34"/>
        <v>-573</v>
      </c>
      <c r="BD75" s="82">
        <f t="shared" si="34"/>
        <v>-594</v>
      </c>
      <c r="BE75" s="82">
        <f t="shared" si="34"/>
        <v>-624</v>
      </c>
      <c r="BF75" s="82">
        <f t="shared" si="34"/>
        <v>-494</v>
      </c>
      <c r="BG75" s="82">
        <f t="shared" si="34"/>
        <v>-442</v>
      </c>
      <c r="BH75" s="82">
        <f t="shared" si="34"/>
        <v>-460</v>
      </c>
      <c r="BI75" s="82">
        <f t="shared" si="34"/>
        <v>-420</v>
      </c>
      <c r="BJ75" s="82">
        <f t="shared" si="34"/>
        <v>-436</v>
      </c>
      <c r="BK75" s="82">
        <f t="shared" si="34"/>
        <v>-367</v>
      </c>
      <c r="BL75" s="82">
        <f t="shared" si="34"/>
        <v>-434</v>
      </c>
      <c r="BM75" s="82">
        <f t="shared" si="34"/>
        <v>-408.6</v>
      </c>
      <c r="BN75" s="82">
        <f t="shared" si="34"/>
        <v>-440.6</v>
      </c>
      <c r="BO75" s="82">
        <f t="shared" si="34"/>
        <v>-442.2</v>
      </c>
      <c r="BP75" s="82">
        <f t="shared" si="34"/>
        <v>-470</v>
      </c>
      <c r="BQ75" s="82">
        <f t="shared" si="34"/>
        <v>-455</v>
      </c>
      <c r="BR75" s="82">
        <f t="shared" si="34"/>
        <v>-443</v>
      </c>
      <c r="BS75" s="82">
        <f t="shared" si="34"/>
        <v>-449</v>
      </c>
      <c r="BT75" s="82">
        <f t="shared" si="34"/>
        <v>-460</v>
      </c>
      <c r="BU75" s="82">
        <f t="shared" si="34"/>
        <v>-505</v>
      </c>
      <c r="BV75" s="82">
        <f t="shared" si="34"/>
        <v>-530</v>
      </c>
      <c r="BW75" s="82">
        <f t="shared" si="34"/>
        <v>-579</v>
      </c>
    </row>
    <row r="76" spans="1:75" x14ac:dyDescent="0.25">
      <c r="A76" s="65" t="s">
        <v>95</v>
      </c>
      <c r="B76" s="76">
        <v>8.9</v>
      </c>
      <c r="C76" s="76">
        <v>8.9</v>
      </c>
      <c r="D76" s="76">
        <v>8.9</v>
      </c>
      <c r="E76" s="76">
        <v>8.9</v>
      </c>
      <c r="F76" s="76">
        <v>8.9</v>
      </c>
      <c r="G76" s="76">
        <v>8.9</v>
      </c>
      <c r="H76" s="76">
        <v>8.9</v>
      </c>
      <c r="I76" s="76">
        <v>8.9</v>
      </c>
      <c r="J76" s="76">
        <v>8.9</v>
      </c>
      <c r="K76" s="76">
        <v>8.9</v>
      </c>
      <c r="L76" s="76">
        <v>8.9</v>
      </c>
      <c r="M76" s="76">
        <v>8.9</v>
      </c>
      <c r="N76" s="76">
        <v>8.9</v>
      </c>
      <c r="O76" s="76">
        <v>8.9</v>
      </c>
      <c r="P76" s="76">
        <v>8.9</v>
      </c>
      <c r="Q76" s="76">
        <v>8.9</v>
      </c>
      <c r="R76" s="76">
        <v>8.9</v>
      </c>
      <c r="S76" s="76">
        <v>8.9</v>
      </c>
      <c r="T76" s="76">
        <v>8.9</v>
      </c>
      <c r="U76" s="76">
        <v>8.9</v>
      </c>
      <c r="V76" s="76">
        <v>8.9</v>
      </c>
      <c r="W76" s="76">
        <v>8.9</v>
      </c>
      <c r="X76" s="76">
        <v>8.9</v>
      </c>
      <c r="Y76" s="76">
        <v>8.9</v>
      </c>
      <c r="Z76" s="76">
        <v>8.9</v>
      </c>
      <c r="AA76" s="76">
        <v>8.9</v>
      </c>
      <c r="AB76" s="76">
        <v>8.9</v>
      </c>
      <c r="AC76" s="76">
        <v>8.9</v>
      </c>
      <c r="AD76" s="76">
        <v>8.9</v>
      </c>
      <c r="AE76" s="76">
        <v>8.9</v>
      </c>
      <c r="AF76" s="76">
        <v>8.9</v>
      </c>
      <c r="AG76" s="66">
        <v>10.050000000000001</v>
      </c>
      <c r="AH76" s="48">
        <f t="shared" si="35"/>
        <v>8.9</v>
      </c>
      <c r="AI76" s="49">
        <f t="shared" si="36"/>
        <v>8.9</v>
      </c>
      <c r="AK76" s="51"/>
      <c r="AZ76" s="82">
        <f t="shared" si="34"/>
        <v>0</v>
      </c>
      <c r="BA76" s="82">
        <f t="shared" si="34"/>
        <v>0</v>
      </c>
      <c r="BB76" s="82">
        <f t="shared" si="34"/>
        <v>0</v>
      </c>
      <c r="BC76" s="82">
        <f t="shared" si="34"/>
        <v>0</v>
      </c>
      <c r="BD76" s="82">
        <f t="shared" si="34"/>
        <v>0</v>
      </c>
      <c r="BE76" s="82">
        <f t="shared" si="34"/>
        <v>0</v>
      </c>
      <c r="BF76" s="82">
        <f t="shared" si="34"/>
        <v>0</v>
      </c>
      <c r="BG76" s="82">
        <f t="shared" si="34"/>
        <v>0</v>
      </c>
      <c r="BH76" s="82">
        <f t="shared" si="34"/>
        <v>0</v>
      </c>
      <c r="BI76" s="82">
        <f t="shared" si="34"/>
        <v>0</v>
      </c>
      <c r="BJ76" s="82">
        <f t="shared" si="34"/>
        <v>0</v>
      </c>
      <c r="BK76" s="82">
        <f t="shared" si="34"/>
        <v>0</v>
      </c>
      <c r="BL76" s="82">
        <f t="shared" si="34"/>
        <v>0</v>
      </c>
      <c r="BM76" s="82">
        <f t="shared" si="34"/>
        <v>0</v>
      </c>
      <c r="BN76" s="82">
        <f t="shared" si="34"/>
        <v>0</v>
      </c>
      <c r="BO76" s="82">
        <f t="shared" si="34"/>
        <v>0</v>
      </c>
      <c r="BP76" s="82">
        <f t="shared" si="34"/>
        <v>0</v>
      </c>
      <c r="BQ76" s="82">
        <f t="shared" si="34"/>
        <v>0</v>
      </c>
      <c r="BR76" s="82">
        <f t="shared" si="34"/>
        <v>0</v>
      </c>
      <c r="BS76" s="82">
        <f t="shared" si="34"/>
        <v>0</v>
      </c>
      <c r="BT76" s="82">
        <f t="shared" si="34"/>
        <v>0</v>
      </c>
      <c r="BU76" s="82">
        <f t="shared" si="34"/>
        <v>0</v>
      </c>
      <c r="BV76" s="82">
        <f t="shared" si="34"/>
        <v>0</v>
      </c>
      <c r="BW76" s="82">
        <f t="shared" si="34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35"/>
        <v>6</v>
      </c>
      <c r="AI77" s="49">
        <f t="shared" si="36"/>
        <v>6</v>
      </c>
      <c r="AK77" s="51"/>
      <c r="AZ77" s="82">
        <f t="shared" si="34"/>
        <v>0</v>
      </c>
      <c r="BA77" s="82">
        <f t="shared" si="34"/>
        <v>0</v>
      </c>
      <c r="BB77" s="82">
        <f t="shared" si="34"/>
        <v>0</v>
      </c>
      <c r="BC77" s="82">
        <f t="shared" si="34"/>
        <v>0</v>
      </c>
      <c r="BD77" s="82">
        <f t="shared" si="34"/>
        <v>0</v>
      </c>
      <c r="BE77" s="82">
        <f t="shared" si="34"/>
        <v>0</v>
      </c>
      <c r="BF77" s="82">
        <f t="shared" si="34"/>
        <v>0</v>
      </c>
      <c r="BG77" s="82">
        <f t="shared" si="34"/>
        <v>0</v>
      </c>
      <c r="BH77" s="82">
        <f t="shared" si="34"/>
        <v>0</v>
      </c>
      <c r="BI77" s="82">
        <f t="shared" si="34"/>
        <v>0</v>
      </c>
      <c r="BJ77" s="82">
        <f t="shared" si="34"/>
        <v>0</v>
      </c>
      <c r="BK77" s="82">
        <f t="shared" si="34"/>
        <v>0</v>
      </c>
      <c r="BL77" s="82">
        <f t="shared" si="34"/>
        <v>0</v>
      </c>
      <c r="BM77" s="82">
        <f t="shared" si="34"/>
        <v>0</v>
      </c>
      <c r="BN77" s="82">
        <f t="shared" si="34"/>
        <v>0</v>
      </c>
      <c r="BO77" s="82">
        <f t="shared" si="34"/>
        <v>0</v>
      </c>
      <c r="BP77" s="82">
        <f t="shared" si="34"/>
        <v>0</v>
      </c>
      <c r="BQ77" s="82">
        <f t="shared" si="34"/>
        <v>0</v>
      </c>
      <c r="BR77" s="82">
        <f t="shared" si="34"/>
        <v>0</v>
      </c>
      <c r="BS77" s="82">
        <f t="shared" si="34"/>
        <v>0</v>
      </c>
      <c r="BT77" s="82">
        <f t="shared" si="34"/>
        <v>0</v>
      </c>
      <c r="BU77" s="82">
        <f t="shared" si="34"/>
        <v>0</v>
      </c>
      <c r="BV77" s="82">
        <f t="shared" si="34"/>
        <v>0</v>
      </c>
      <c r="BW77" s="82">
        <f t="shared" si="34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5"/>
        <v>5.5</v>
      </c>
      <c r="AI78" s="49">
        <f t="shared" si="36"/>
        <v>3.5</v>
      </c>
      <c r="AK78" s="51"/>
      <c r="AZ78" s="82">
        <f t="shared" si="34"/>
        <v>0</v>
      </c>
      <c r="BA78" s="82">
        <f t="shared" si="34"/>
        <v>0</v>
      </c>
      <c r="BB78" s="82">
        <f t="shared" si="34"/>
        <v>0</v>
      </c>
      <c r="BC78" s="82">
        <f t="shared" si="34"/>
        <v>0</v>
      </c>
      <c r="BD78" s="82">
        <f t="shared" si="34"/>
        <v>0</v>
      </c>
      <c r="BE78" s="82">
        <f t="shared" si="34"/>
        <v>0</v>
      </c>
      <c r="BF78" s="82">
        <f t="shared" si="34"/>
        <v>0</v>
      </c>
      <c r="BG78" s="82">
        <f t="shared" si="34"/>
        <v>0</v>
      </c>
      <c r="BH78" s="82">
        <f t="shared" si="34"/>
        <v>0</v>
      </c>
      <c r="BI78" s="82">
        <f t="shared" si="34"/>
        <v>0</v>
      </c>
      <c r="BJ78" s="82">
        <f t="shared" si="34"/>
        <v>0</v>
      </c>
      <c r="BK78" s="82">
        <f t="shared" si="34"/>
        <v>0</v>
      </c>
      <c r="BL78" s="82">
        <f t="shared" si="34"/>
        <v>0</v>
      </c>
      <c r="BM78" s="82">
        <f t="shared" si="34"/>
        <v>0</v>
      </c>
      <c r="BN78" s="82">
        <f t="shared" si="34"/>
        <v>0</v>
      </c>
      <c r="BO78" s="82">
        <f t="shared" si="34"/>
        <v>0</v>
      </c>
      <c r="BP78" s="82">
        <f t="shared" si="34"/>
        <v>0</v>
      </c>
      <c r="BQ78" s="82">
        <f t="shared" si="34"/>
        <v>0</v>
      </c>
      <c r="BR78" s="82">
        <f t="shared" si="34"/>
        <v>0</v>
      </c>
      <c r="BS78" s="82">
        <f t="shared" si="34"/>
        <v>0</v>
      </c>
      <c r="BT78" s="82">
        <f t="shared" si="34"/>
        <v>0</v>
      </c>
      <c r="BU78" s="82">
        <f t="shared" si="34"/>
        <v>0</v>
      </c>
      <c r="BV78" s="82">
        <f t="shared" si="34"/>
        <v>0</v>
      </c>
      <c r="BW78" s="82">
        <f t="shared" si="34"/>
        <v>0</v>
      </c>
    </row>
    <row r="79" spans="1:75" ht="15.75" thickBot="1" x14ac:dyDescent="0.3">
      <c r="A79" s="87" t="s">
        <v>99</v>
      </c>
      <c r="B79" s="71">
        <f t="shared" ref="B79:L79" si="37">SUM(B66:B78)</f>
        <v>399.74000000000007</v>
      </c>
      <c r="C79" s="71">
        <f t="shared" si="37"/>
        <v>372.44000000000005</v>
      </c>
      <c r="D79" s="71">
        <f t="shared" si="37"/>
        <v>398.44000000000005</v>
      </c>
      <c r="E79" s="71">
        <f t="shared" si="37"/>
        <v>328.94000000000005</v>
      </c>
      <c r="F79" s="71">
        <f t="shared" si="37"/>
        <v>398.24000000000007</v>
      </c>
      <c r="G79" s="71">
        <f t="shared" si="37"/>
        <v>398.24000000000007</v>
      </c>
      <c r="H79" s="71">
        <f t="shared" si="37"/>
        <v>398.24000000000007</v>
      </c>
      <c r="I79" s="71">
        <f t="shared" si="37"/>
        <v>399.14000000000004</v>
      </c>
      <c r="J79" s="71">
        <f t="shared" si="37"/>
        <v>416.74000000000007</v>
      </c>
      <c r="K79" s="71">
        <f t="shared" si="37"/>
        <v>418.54000000000008</v>
      </c>
      <c r="L79" s="71">
        <f t="shared" si="37"/>
        <v>418.54000000000008</v>
      </c>
      <c r="M79" s="71">
        <f t="shared" ref="M79:AG79" si="38">SUM(M66:M78)</f>
        <v>418.54000000000008</v>
      </c>
      <c r="N79" s="71">
        <f t="shared" si="38"/>
        <v>418.54000000000008</v>
      </c>
      <c r="O79" s="71">
        <f t="shared" si="38"/>
        <v>418.54000000000008</v>
      </c>
      <c r="P79" s="71">
        <f t="shared" si="38"/>
        <v>419.23900000000009</v>
      </c>
      <c r="Q79" s="71">
        <f t="shared" si="38"/>
        <v>419.23900000000009</v>
      </c>
      <c r="R79" s="71">
        <f t="shared" si="38"/>
        <v>419.23900000000009</v>
      </c>
      <c r="S79" s="71">
        <f t="shared" si="38"/>
        <v>424.73900000000009</v>
      </c>
      <c r="T79" s="71">
        <f t="shared" si="38"/>
        <v>425.64000000000004</v>
      </c>
      <c r="U79" s="71">
        <f t="shared" si="38"/>
        <v>414.84000000000003</v>
      </c>
      <c r="V79" s="71">
        <f t="shared" si="38"/>
        <v>414.84000000000003</v>
      </c>
      <c r="W79" s="71">
        <f t="shared" si="38"/>
        <v>414.84000000000003</v>
      </c>
      <c r="X79" s="71">
        <f t="shared" si="38"/>
        <v>414.84000000000003</v>
      </c>
      <c r="Y79" s="71">
        <f t="shared" si="38"/>
        <v>413.90000000000003</v>
      </c>
      <c r="Z79" s="71">
        <f t="shared" si="38"/>
        <v>415.3</v>
      </c>
      <c r="AA79" s="71">
        <f t="shared" si="38"/>
        <v>413.34000000000003</v>
      </c>
      <c r="AB79" s="71">
        <f t="shared" si="38"/>
        <v>413.34000000000003</v>
      </c>
      <c r="AC79" s="71">
        <f t="shared" si="38"/>
        <v>413.34000000000003</v>
      </c>
      <c r="AD79" s="71">
        <f t="shared" si="38"/>
        <v>413.34000000000003</v>
      </c>
      <c r="AE79" s="71">
        <f t="shared" si="38"/>
        <v>413.34000000000003</v>
      </c>
      <c r="AF79" s="71">
        <f t="shared" si="38"/>
        <v>413.34000000000003</v>
      </c>
      <c r="AG79" s="72">
        <f t="shared" si="38"/>
        <v>489.91</v>
      </c>
      <c r="AH79" s="48">
        <f t="shared" si="35"/>
        <v>425.64000000000004</v>
      </c>
      <c r="AI79" s="49">
        <f t="shared" si="36"/>
        <v>328.94000000000005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35"/>
        <v>0</v>
      </c>
      <c r="AI80" s="49">
        <f t="shared" si="36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35"/>
        <v>0</v>
      </c>
      <c r="AI81" s="49">
        <f t="shared" si="36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35"/>
        <v>0</v>
      </c>
      <c r="AI82" s="49">
        <f t="shared" si="36"/>
        <v>0</v>
      </c>
      <c r="AK82" s="51"/>
      <c r="AY82" s="82"/>
      <c r="BF82" s="81"/>
      <c r="BG82" s="82">
        <f t="array" ref="BG82:BL105">TRANSPOSE(AZ66:BW71)</f>
        <v>-12</v>
      </c>
      <c r="BH82" s="82">
        <v>0</v>
      </c>
      <c r="BI82" s="82">
        <v>-590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L83" si="39">B80+B81+B82</f>
        <v>0</v>
      </c>
      <c r="C83" s="71">
        <f t="shared" si="39"/>
        <v>0</v>
      </c>
      <c r="D83" s="71">
        <f t="shared" si="39"/>
        <v>0</v>
      </c>
      <c r="E83" s="71">
        <f t="shared" si="39"/>
        <v>0</v>
      </c>
      <c r="F83" s="71">
        <f t="shared" si="39"/>
        <v>0</v>
      </c>
      <c r="G83" s="71">
        <f t="shared" si="39"/>
        <v>0</v>
      </c>
      <c r="H83" s="71">
        <f t="shared" si="39"/>
        <v>0</v>
      </c>
      <c r="I83" s="71">
        <f t="shared" si="39"/>
        <v>0</v>
      </c>
      <c r="J83" s="71">
        <f t="shared" si="39"/>
        <v>0</v>
      </c>
      <c r="K83" s="71">
        <f t="shared" si="39"/>
        <v>0</v>
      </c>
      <c r="L83" s="71">
        <f t="shared" si="39"/>
        <v>0</v>
      </c>
      <c r="M83" s="71">
        <f t="shared" ref="M83:AF83" si="40">M80+M81+M82</f>
        <v>0</v>
      </c>
      <c r="N83" s="71">
        <f t="shared" si="40"/>
        <v>0</v>
      </c>
      <c r="O83" s="71">
        <f t="shared" si="40"/>
        <v>0</v>
      </c>
      <c r="P83" s="71">
        <f t="shared" si="40"/>
        <v>0</v>
      </c>
      <c r="Q83" s="71">
        <f t="shared" si="40"/>
        <v>0</v>
      </c>
      <c r="R83" s="71">
        <f t="shared" si="40"/>
        <v>0</v>
      </c>
      <c r="S83" s="71">
        <f t="shared" si="40"/>
        <v>0</v>
      </c>
      <c r="T83" s="71">
        <f t="shared" si="40"/>
        <v>0</v>
      </c>
      <c r="U83" s="71">
        <f t="shared" si="40"/>
        <v>0</v>
      </c>
      <c r="V83" s="71">
        <f t="shared" si="40"/>
        <v>0</v>
      </c>
      <c r="W83" s="71">
        <f t="shared" si="40"/>
        <v>0</v>
      </c>
      <c r="X83" s="71">
        <f t="shared" si="40"/>
        <v>0</v>
      </c>
      <c r="Y83" s="71">
        <f t="shared" si="40"/>
        <v>0</v>
      </c>
      <c r="Z83" s="71">
        <f t="shared" si="40"/>
        <v>0</v>
      </c>
      <c r="AA83" s="71">
        <f t="shared" si="40"/>
        <v>0</v>
      </c>
      <c r="AB83" s="71">
        <f t="shared" si="40"/>
        <v>0</v>
      </c>
      <c r="AC83" s="71">
        <f t="shared" si="40"/>
        <v>0</v>
      </c>
      <c r="AD83" s="71">
        <f t="shared" si="40"/>
        <v>0</v>
      </c>
      <c r="AE83" s="71">
        <f t="shared" si="40"/>
        <v>0</v>
      </c>
      <c r="AF83" s="71">
        <f t="shared" si="40"/>
        <v>0</v>
      </c>
      <c r="AG83" s="72">
        <f>SUM(AG80:AG82)</f>
        <v>106</v>
      </c>
      <c r="AH83" s="48">
        <f t="shared" si="35"/>
        <v>0</v>
      </c>
      <c r="AI83" s="49">
        <f t="shared" si="36"/>
        <v>0</v>
      </c>
      <c r="AK83" s="51"/>
      <c r="AY83" s="82"/>
      <c r="BF83" s="81"/>
      <c r="BG83" s="82">
        <v>-35</v>
      </c>
      <c r="BH83" s="82">
        <v>0</v>
      </c>
      <c r="BI83" s="82">
        <v>-591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-38</v>
      </c>
      <c r="C84" s="46">
        <v>-12</v>
      </c>
      <c r="D84" s="46">
        <v>-35</v>
      </c>
      <c r="E84" s="46">
        <v>-53</v>
      </c>
      <c r="F84" s="46">
        <v>-51</v>
      </c>
      <c r="G84" s="46">
        <v>-53</v>
      </c>
      <c r="H84" s="46">
        <v>-57</v>
      </c>
      <c r="I84" s="46">
        <v>-58</v>
      </c>
      <c r="J84" s="46">
        <v>-45</v>
      </c>
      <c r="K84" s="46">
        <v>-42</v>
      </c>
      <c r="L84" s="46">
        <v>-47</v>
      </c>
      <c r="M84" s="46">
        <v>-32</v>
      </c>
      <c r="N84" s="46">
        <v>-29</v>
      </c>
      <c r="O84" s="46">
        <v>-19</v>
      </c>
      <c r="P84" s="46">
        <v>-41</v>
      </c>
      <c r="Q84" s="46">
        <v>-31</v>
      </c>
      <c r="R84" s="46">
        <v>-30</v>
      </c>
      <c r="S84" s="46">
        <v>-25.2</v>
      </c>
      <c r="T84" s="46">
        <v>-25.3</v>
      </c>
      <c r="U84" s="46">
        <v>-32.700000000000003</v>
      </c>
      <c r="V84" s="46">
        <v>-44.5</v>
      </c>
      <c r="W84" s="46">
        <v>-44</v>
      </c>
      <c r="X84" s="46">
        <v>-43</v>
      </c>
      <c r="Y84" s="46">
        <v>-25</v>
      </c>
      <c r="Z84" s="46">
        <v>-20</v>
      </c>
      <c r="AA84" s="46">
        <v>-9</v>
      </c>
      <c r="AB84" s="46">
        <v>-9.1999999999999993</v>
      </c>
      <c r="AC84" s="46">
        <v>-27</v>
      </c>
      <c r="AD84" s="46">
        <v>-30</v>
      </c>
      <c r="AE84" s="46">
        <v>-40</v>
      </c>
      <c r="AF84" s="46">
        <v>-31</v>
      </c>
      <c r="AG84" s="61"/>
      <c r="AH84" s="48">
        <f t="shared" si="35"/>
        <v>-9</v>
      </c>
      <c r="AI84" s="49">
        <f t="shared" si="36"/>
        <v>-58</v>
      </c>
      <c r="AK84" s="51"/>
      <c r="AY84" s="82"/>
      <c r="BF84" s="81"/>
      <c r="BG84" s="82">
        <v>-53</v>
      </c>
      <c r="BH84" s="82">
        <v>0</v>
      </c>
      <c r="BI84" s="82">
        <v>-524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5"/>
        <v>0</v>
      </c>
      <c r="AI85" s="49">
        <f t="shared" si="36"/>
        <v>0</v>
      </c>
      <c r="AK85" s="51"/>
      <c r="AL85" s="91" t="s">
        <v>111</v>
      </c>
      <c r="AM85" s="91"/>
      <c r="AY85" s="82"/>
      <c r="BF85" s="82"/>
      <c r="BG85" s="82">
        <v>-51</v>
      </c>
      <c r="BH85" s="82">
        <v>0</v>
      </c>
      <c r="BI85" s="82">
        <v>-573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-579</v>
      </c>
      <c r="C86" s="76">
        <v>-590</v>
      </c>
      <c r="D86" s="76">
        <v>-591</v>
      </c>
      <c r="E86" s="76">
        <v>-524</v>
      </c>
      <c r="F86" s="76">
        <v>-573</v>
      </c>
      <c r="G86" s="76">
        <v>-594</v>
      </c>
      <c r="H86" s="76">
        <v>-590</v>
      </c>
      <c r="I86" s="76">
        <v>-624</v>
      </c>
      <c r="J86" s="76">
        <v>-561</v>
      </c>
      <c r="K86" s="76">
        <v>-494</v>
      </c>
      <c r="L86" s="76">
        <v>-500</v>
      </c>
      <c r="M86" s="76">
        <v>-442</v>
      </c>
      <c r="N86" s="76">
        <v>-460</v>
      </c>
      <c r="O86" s="76">
        <v>-420</v>
      </c>
      <c r="P86" s="76">
        <v>-436</v>
      </c>
      <c r="Q86" s="76">
        <v>-367</v>
      </c>
      <c r="R86" s="76">
        <v>-434</v>
      </c>
      <c r="S86" s="76">
        <v>-408.6</v>
      </c>
      <c r="T86" s="76">
        <v>-440.6</v>
      </c>
      <c r="U86" s="76">
        <v>-442.2</v>
      </c>
      <c r="V86" s="76">
        <v>-470</v>
      </c>
      <c r="W86" s="76">
        <v>-465</v>
      </c>
      <c r="X86" s="76">
        <v>-455</v>
      </c>
      <c r="Y86" s="76">
        <v>-494</v>
      </c>
      <c r="Z86" s="76">
        <v>-443</v>
      </c>
      <c r="AA86" s="76">
        <v>-392</v>
      </c>
      <c r="AB86" s="76">
        <v>-449</v>
      </c>
      <c r="AC86" s="76">
        <v>-474</v>
      </c>
      <c r="AD86" s="76">
        <v>-460</v>
      </c>
      <c r="AE86" s="76">
        <v>-505</v>
      </c>
      <c r="AF86" s="76">
        <v>-530</v>
      </c>
      <c r="AG86" s="88"/>
      <c r="AH86" s="48">
        <f t="shared" si="35"/>
        <v>-367</v>
      </c>
      <c r="AI86" s="49">
        <f t="shared" si="36"/>
        <v>-624</v>
      </c>
      <c r="AK86" s="92"/>
      <c r="AL86" s="93"/>
      <c r="AM86" s="93"/>
      <c r="AN86" s="94"/>
      <c r="AY86" s="82"/>
      <c r="BF86" s="82"/>
      <c r="BG86" s="82">
        <v>-53</v>
      </c>
      <c r="BH86" s="82">
        <v>0</v>
      </c>
      <c r="BI86" s="82">
        <v>-594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76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35"/>
        <v>0</v>
      </c>
      <c r="AI87" s="49">
        <f t="shared" si="36"/>
        <v>0</v>
      </c>
      <c r="AK87" s="95" t="s">
        <v>114</v>
      </c>
      <c r="AL87" s="76"/>
      <c r="AM87" s="89"/>
      <c r="AN87" s="96"/>
      <c r="AY87" s="82"/>
      <c r="BF87" s="82"/>
      <c r="BG87" s="82">
        <v>-58</v>
      </c>
      <c r="BH87" s="82">
        <v>0</v>
      </c>
      <c r="BI87" s="82">
        <v>-624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35"/>
        <v>0</v>
      </c>
      <c r="AI88" s="49">
        <f t="shared" si="36"/>
        <v>0</v>
      </c>
      <c r="AK88" s="95" t="s">
        <v>116</v>
      </c>
      <c r="AL88" s="89"/>
      <c r="AM88" s="89"/>
      <c r="AN88" s="96"/>
      <c r="AY88" s="82"/>
      <c r="BF88" s="82"/>
      <c r="BG88" s="82">
        <v>-42</v>
      </c>
      <c r="BH88" s="82">
        <v>0</v>
      </c>
      <c r="BI88" s="82">
        <v>-494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36"/>
        <v>0</v>
      </c>
      <c r="AK89" s="99"/>
      <c r="AL89" s="46"/>
      <c r="AM89" s="46"/>
      <c r="AN89" s="100"/>
      <c r="AY89" s="82"/>
      <c r="BF89" s="82"/>
      <c r="BG89" s="82">
        <v>-32</v>
      </c>
      <c r="BH89" s="82">
        <v>0</v>
      </c>
      <c r="BI89" s="82">
        <v>-442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5"/>
        <v>0</v>
      </c>
      <c r="AI90" s="49">
        <f t="shared" si="36"/>
        <v>0</v>
      </c>
      <c r="AK90" s="99"/>
      <c r="AL90" s="90"/>
      <c r="AM90" s="102"/>
      <c r="AN90" s="204"/>
      <c r="AY90" s="82"/>
      <c r="BF90" s="82"/>
      <c r="BG90" s="82">
        <v>-29</v>
      </c>
      <c r="BH90" s="82">
        <v>0</v>
      </c>
      <c r="BI90" s="82">
        <v>-460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5"/>
        <v>0</v>
      </c>
      <c r="AI91" s="49">
        <f t="shared" si="36"/>
        <v>0</v>
      </c>
      <c r="AK91" s="99"/>
      <c r="AL91" s="90"/>
      <c r="AM91" s="90"/>
      <c r="AN91" s="205"/>
      <c r="BF91" s="82"/>
      <c r="BG91" s="82">
        <v>-19</v>
      </c>
      <c r="BH91" s="82">
        <v>0</v>
      </c>
      <c r="BI91" s="82">
        <v>-420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5"/>
        <v>0</v>
      </c>
      <c r="AI92" s="49">
        <f t="shared" si="36"/>
        <v>0</v>
      </c>
      <c r="AK92" s="104"/>
      <c r="AL92" s="105"/>
      <c r="AM92" s="105"/>
      <c r="AN92" s="106"/>
      <c r="BF92" s="82"/>
      <c r="BG92" s="82">
        <v>-41</v>
      </c>
      <c r="BH92" s="82">
        <v>0</v>
      </c>
      <c r="BI92" s="82">
        <v>-436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5"/>
        <v>0</v>
      </c>
      <c r="AI93" s="49">
        <f t="shared" si="36"/>
        <v>0</v>
      </c>
      <c r="BF93" s="82"/>
      <c r="BG93" s="82">
        <v>-31</v>
      </c>
      <c r="BH93" s="82">
        <v>0</v>
      </c>
      <c r="BI93" s="82">
        <v>-367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5"/>
        <v>0</v>
      </c>
      <c r="AI94" s="49">
        <f t="shared" si="36"/>
        <v>0</v>
      </c>
      <c r="BF94" s="82"/>
      <c r="BG94" s="82">
        <v>-30</v>
      </c>
      <c r="BH94" s="82">
        <v>0</v>
      </c>
      <c r="BI94" s="82">
        <v>-434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>SUMIF(D84:D94,"&gt;0")</f>
        <v>0</v>
      </c>
      <c r="E95" s="71">
        <f t="shared" ref="E95:AF95" si="41">SUMIF(E84:E94,"&gt;0")</f>
        <v>0</v>
      </c>
      <c r="F95" s="71">
        <f t="shared" si="41"/>
        <v>0</v>
      </c>
      <c r="G95" s="71">
        <f t="shared" si="41"/>
        <v>0</v>
      </c>
      <c r="H95" s="71">
        <f t="shared" si="41"/>
        <v>0</v>
      </c>
      <c r="I95" s="71">
        <f t="shared" si="41"/>
        <v>0</v>
      </c>
      <c r="J95" s="71">
        <f t="shared" si="41"/>
        <v>0</v>
      </c>
      <c r="K95" s="71">
        <f t="shared" si="41"/>
        <v>0</v>
      </c>
      <c r="L95" s="71">
        <f t="shared" si="41"/>
        <v>0</v>
      </c>
      <c r="M95" s="71">
        <f t="shared" si="41"/>
        <v>0</v>
      </c>
      <c r="N95" s="71">
        <f t="shared" si="41"/>
        <v>0</v>
      </c>
      <c r="O95" s="71">
        <f t="shared" si="41"/>
        <v>0</v>
      </c>
      <c r="P95" s="71">
        <f t="shared" si="41"/>
        <v>0</v>
      </c>
      <c r="Q95" s="71">
        <f t="shared" si="41"/>
        <v>0</v>
      </c>
      <c r="R95" s="71">
        <f t="shared" si="41"/>
        <v>0</v>
      </c>
      <c r="S95" s="71">
        <f t="shared" si="41"/>
        <v>0</v>
      </c>
      <c r="T95" s="71">
        <f t="shared" si="41"/>
        <v>0</v>
      </c>
      <c r="U95" s="71">
        <f>SUMIF(U84:U94,"&gt;0")</f>
        <v>0</v>
      </c>
      <c r="V95" s="71">
        <f t="shared" si="41"/>
        <v>0</v>
      </c>
      <c r="W95" s="71">
        <f t="shared" si="41"/>
        <v>0</v>
      </c>
      <c r="X95" s="71">
        <f t="shared" si="41"/>
        <v>0</v>
      </c>
      <c r="Y95" s="71">
        <f t="shared" si="41"/>
        <v>0</v>
      </c>
      <c r="Z95" s="71">
        <f t="shared" si="41"/>
        <v>0</v>
      </c>
      <c r="AA95" s="71">
        <f t="shared" si="41"/>
        <v>0</v>
      </c>
      <c r="AB95" s="71">
        <f t="shared" si="41"/>
        <v>0</v>
      </c>
      <c r="AC95" s="71">
        <f t="shared" si="41"/>
        <v>0</v>
      </c>
      <c r="AD95" s="71">
        <f t="shared" si="41"/>
        <v>0</v>
      </c>
      <c r="AE95" s="71">
        <f t="shared" si="41"/>
        <v>0</v>
      </c>
      <c r="AF95" s="71">
        <f t="shared" si="41"/>
        <v>0</v>
      </c>
      <c r="AG95" s="101">
        <f>SUM(AG84:AG94)</f>
        <v>0</v>
      </c>
      <c r="AH95" s="48">
        <f t="shared" si="35"/>
        <v>0</v>
      </c>
      <c r="AI95" s="49">
        <f t="shared" si="36"/>
        <v>0</v>
      </c>
      <c r="BF95" s="82"/>
      <c r="BG95" s="82">
        <v>-25.2</v>
      </c>
      <c r="BH95" s="82">
        <v>0</v>
      </c>
      <c r="BI95" s="82">
        <v>-408.6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5"/>
        <v>0</v>
      </c>
      <c r="AI96" s="49">
        <f t="shared" si="36"/>
        <v>0</v>
      </c>
      <c r="BF96" s="82"/>
      <c r="BG96" s="82">
        <v>-25.3</v>
      </c>
      <c r="BH96" s="82">
        <v>0</v>
      </c>
      <c r="BI96" s="82">
        <v>-440.6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5"/>
        <v>0</v>
      </c>
      <c r="AI97" s="49">
        <f t="shared" si="36"/>
        <v>0</v>
      </c>
      <c r="BF97" s="82"/>
      <c r="BG97" s="82">
        <v>-32.700000000000003</v>
      </c>
      <c r="BH97" s="82">
        <v>0</v>
      </c>
      <c r="BI97" s="82">
        <v>-442.2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5"/>
        <v>0</v>
      </c>
      <c r="AI98" s="49">
        <f t="shared" si="36"/>
        <v>0</v>
      </c>
      <c r="BF98" s="82"/>
      <c r="BG98" s="82">
        <v>-44.5</v>
      </c>
      <c r="BH98" s="82">
        <v>0</v>
      </c>
      <c r="BI98" s="82">
        <v>-470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5"/>
        <v>0</v>
      </c>
      <c r="AI99" s="49">
        <f t="shared" si="36"/>
        <v>0</v>
      </c>
      <c r="BF99" s="81"/>
      <c r="BG99" s="82">
        <v>-43</v>
      </c>
      <c r="BH99" s="82">
        <v>0</v>
      </c>
      <c r="BI99" s="82">
        <v>-455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2045.8400000000001</v>
      </c>
      <c r="C100" s="108">
        <f>C61+C65+C83+C79+C95+C99</f>
        <v>2000.0400000000002</v>
      </c>
      <c r="D100" s="108">
        <f>D61+D65+D83+D79+D95+D99</f>
        <v>1957.94</v>
      </c>
      <c r="E100" s="108">
        <f t="shared" ref="E100:AG100" si="42">E61+E65+E83+E79+E95+E99</f>
        <v>1878.44</v>
      </c>
      <c r="F100" s="108">
        <f t="shared" si="42"/>
        <v>1927.74</v>
      </c>
      <c r="G100" s="108">
        <f t="shared" si="42"/>
        <v>1922.8400000000001</v>
      </c>
      <c r="H100" s="108">
        <f t="shared" si="42"/>
        <v>1927.8400000000001</v>
      </c>
      <c r="I100" s="108">
        <f t="shared" si="42"/>
        <v>1940.7400000000002</v>
      </c>
      <c r="J100" s="108">
        <f t="shared" si="42"/>
        <v>1965.44</v>
      </c>
      <c r="K100" s="108">
        <f t="shared" si="42"/>
        <v>1940.54</v>
      </c>
      <c r="L100" s="108">
        <f t="shared" si="42"/>
        <v>1940.54</v>
      </c>
      <c r="M100" s="108">
        <f t="shared" si="42"/>
        <v>1940.54</v>
      </c>
      <c r="N100" s="108">
        <f t="shared" si="42"/>
        <v>1940.54</v>
      </c>
      <c r="O100" s="108">
        <f t="shared" si="42"/>
        <v>1972.94</v>
      </c>
      <c r="P100" s="108">
        <f t="shared" si="42"/>
        <v>1945.5390000000002</v>
      </c>
      <c r="Q100" s="108">
        <f t="shared" si="42"/>
        <v>1933.0390000000002</v>
      </c>
      <c r="R100" s="108">
        <f t="shared" si="42"/>
        <v>2016.039</v>
      </c>
      <c r="S100" s="108">
        <f t="shared" si="42"/>
        <v>2032.4390000000001</v>
      </c>
      <c r="T100" s="108">
        <f t="shared" si="42"/>
        <v>2044.0400000000002</v>
      </c>
      <c r="U100" s="108">
        <f t="shared" si="42"/>
        <v>2026.2400000000002</v>
      </c>
      <c r="V100" s="108">
        <f t="shared" si="42"/>
        <v>2006.04</v>
      </c>
      <c r="W100" s="108">
        <f t="shared" si="42"/>
        <v>1985.54</v>
      </c>
      <c r="X100" s="108">
        <f t="shared" si="42"/>
        <v>1966.2400000000002</v>
      </c>
      <c r="Y100" s="108">
        <f t="shared" si="42"/>
        <v>2011.9</v>
      </c>
      <c r="Z100" s="108">
        <f t="shared" si="42"/>
        <v>1987.2</v>
      </c>
      <c r="AA100" s="108">
        <f t="shared" si="42"/>
        <v>1985.2400000000002</v>
      </c>
      <c r="AB100" s="108">
        <f t="shared" si="42"/>
        <v>1985.2400000000002</v>
      </c>
      <c r="AC100" s="108">
        <f t="shared" si="42"/>
        <v>1985.2400000000002</v>
      </c>
      <c r="AD100" s="108">
        <f t="shared" si="42"/>
        <v>1985.2400000000002</v>
      </c>
      <c r="AE100" s="108">
        <f t="shared" si="42"/>
        <v>2010.2400000000002</v>
      </c>
      <c r="AF100" s="108">
        <f t="shared" si="42"/>
        <v>2010.2400000000002</v>
      </c>
      <c r="AG100" s="72">
        <f t="shared" si="42"/>
        <v>2655.44</v>
      </c>
      <c r="AH100" s="48">
        <f t="shared" si="35"/>
        <v>2045.8400000000001</v>
      </c>
      <c r="AI100" s="49">
        <f t="shared" si="36"/>
        <v>1878.44</v>
      </c>
      <c r="BF100" s="81"/>
      <c r="BG100" s="82">
        <v>-20</v>
      </c>
      <c r="BH100" s="82">
        <v>0</v>
      </c>
      <c r="BI100" s="82">
        <v>-443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35"/>
        <v>0</v>
      </c>
      <c r="AI101" s="49">
        <f t="shared" si="36"/>
        <v>0</v>
      </c>
      <c r="BF101" s="81"/>
      <c r="BG101" s="82">
        <v>-9.1999999999999993</v>
      </c>
      <c r="BH101" s="82">
        <v>0</v>
      </c>
      <c r="BI101" s="82">
        <v>-449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2045.8400000000001</v>
      </c>
      <c r="C102" s="108">
        <f>C100+C101</f>
        <v>2000.0400000000002</v>
      </c>
      <c r="D102" s="108">
        <f>D100+D101</f>
        <v>1957.94</v>
      </c>
      <c r="E102" s="108">
        <f t="shared" ref="E102:AF102" si="43">E100+E101</f>
        <v>1878.44</v>
      </c>
      <c r="F102" s="108">
        <f t="shared" si="43"/>
        <v>1927.74</v>
      </c>
      <c r="G102" s="108">
        <f t="shared" si="43"/>
        <v>1922.8400000000001</v>
      </c>
      <c r="H102" s="108">
        <f t="shared" si="43"/>
        <v>1927.8400000000001</v>
      </c>
      <c r="I102" s="108">
        <f t="shared" si="43"/>
        <v>1940.7400000000002</v>
      </c>
      <c r="J102" s="108">
        <f t="shared" si="43"/>
        <v>1965.44</v>
      </c>
      <c r="K102" s="108">
        <f t="shared" si="43"/>
        <v>1940.54</v>
      </c>
      <c r="L102" s="108">
        <f t="shared" si="43"/>
        <v>1940.54</v>
      </c>
      <c r="M102" s="108">
        <f t="shared" si="43"/>
        <v>1940.54</v>
      </c>
      <c r="N102" s="108">
        <f t="shared" si="43"/>
        <v>1940.54</v>
      </c>
      <c r="O102" s="108">
        <f t="shared" si="43"/>
        <v>1972.94</v>
      </c>
      <c r="P102" s="108">
        <f t="shared" si="43"/>
        <v>1945.5390000000002</v>
      </c>
      <c r="Q102" s="108">
        <f t="shared" si="43"/>
        <v>1933.0390000000002</v>
      </c>
      <c r="R102" s="108">
        <f t="shared" si="43"/>
        <v>2016.039</v>
      </c>
      <c r="S102" s="108">
        <f t="shared" si="43"/>
        <v>2032.4390000000001</v>
      </c>
      <c r="T102" s="108">
        <f t="shared" si="43"/>
        <v>2044.0400000000002</v>
      </c>
      <c r="U102" s="108">
        <f t="shared" si="43"/>
        <v>2026.2400000000002</v>
      </c>
      <c r="V102" s="108">
        <f t="shared" si="43"/>
        <v>2006.04</v>
      </c>
      <c r="W102" s="108">
        <f t="shared" si="43"/>
        <v>1985.54</v>
      </c>
      <c r="X102" s="108">
        <f t="shared" si="43"/>
        <v>1966.2400000000002</v>
      </c>
      <c r="Y102" s="108">
        <f t="shared" si="43"/>
        <v>2011.9</v>
      </c>
      <c r="Z102" s="108">
        <f t="shared" si="43"/>
        <v>1987.2</v>
      </c>
      <c r="AA102" s="108">
        <f t="shared" si="43"/>
        <v>1985.2400000000002</v>
      </c>
      <c r="AB102" s="108">
        <f t="shared" si="43"/>
        <v>1985.2400000000002</v>
      </c>
      <c r="AC102" s="108">
        <f t="shared" si="43"/>
        <v>1985.2400000000002</v>
      </c>
      <c r="AD102" s="108">
        <f t="shared" si="43"/>
        <v>1985.2400000000002</v>
      </c>
      <c r="AE102" s="108">
        <f t="shared" si="43"/>
        <v>2010.2400000000002</v>
      </c>
      <c r="AF102" s="108">
        <f t="shared" si="43"/>
        <v>2010.2400000000002</v>
      </c>
      <c r="AG102" s="101">
        <f>AG99+AG95+AG83+AG79+AG61+AG101</f>
        <v>2117.34</v>
      </c>
      <c r="AH102" s="48">
        <f t="shared" si="35"/>
        <v>2045.8400000000001</v>
      </c>
      <c r="AI102" s="49">
        <f t="shared" si="36"/>
        <v>1878.44</v>
      </c>
      <c r="BF102" s="81"/>
      <c r="BG102" s="82">
        <v>-30</v>
      </c>
      <c r="BH102" s="82">
        <v>0</v>
      </c>
      <c r="BI102" s="82">
        <v>-460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1428.8400000000001</v>
      </c>
      <c r="C103" s="108">
        <f>C102-(C110)</f>
        <v>1398.0400000000002</v>
      </c>
      <c r="D103" s="108">
        <f>D102-(D110)</f>
        <v>1331.94</v>
      </c>
      <c r="E103" s="108">
        <f t="shared" ref="E103:AF103" si="44">E102-(E110)</f>
        <v>1301.44</v>
      </c>
      <c r="F103" s="108">
        <f t="shared" si="44"/>
        <v>1303.74</v>
      </c>
      <c r="G103" s="108">
        <f t="shared" si="44"/>
        <v>1275.8400000000001</v>
      </c>
      <c r="H103" s="108">
        <f t="shared" si="44"/>
        <v>1280.8400000000001</v>
      </c>
      <c r="I103" s="108">
        <f t="shared" si="44"/>
        <v>1258.7400000000002</v>
      </c>
      <c r="J103" s="108">
        <f t="shared" si="44"/>
        <v>1359.44</v>
      </c>
      <c r="K103" s="108">
        <f t="shared" si="44"/>
        <v>1404.54</v>
      </c>
      <c r="L103" s="108">
        <f t="shared" si="44"/>
        <v>1393.54</v>
      </c>
      <c r="M103" s="108">
        <f t="shared" si="44"/>
        <v>1466.54</v>
      </c>
      <c r="N103" s="108">
        <f t="shared" si="44"/>
        <v>1451.54</v>
      </c>
      <c r="O103" s="108">
        <f t="shared" si="44"/>
        <v>1533.94</v>
      </c>
      <c r="P103" s="108">
        <f t="shared" si="44"/>
        <v>1468.5390000000002</v>
      </c>
      <c r="Q103" s="108">
        <f t="shared" si="44"/>
        <v>1535.0390000000002</v>
      </c>
      <c r="R103" s="108">
        <f t="shared" si="44"/>
        <v>1552.039</v>
      </c>
      <c r="S103" s="108">
        <f t="shared" si="44"/>
        <v>1598.6390000000001</v>
      </c>
      <c r="T103" s="108">
        <f t="shared" si="44"/>
        <v>1578.14</v>
      </c>
      <c r="U103" s="108">
        <f t="shared" si="44"/>
        <v>1551.3400000000001</v>
      </c>
      <c r="V103" s="108">
        <f t="shared" si="44"/>
        <v>1491.54</v>
      </c>
      <c r="W103" s="108">
        <f t="shared" si="44"/>
        <v>1476.54</v>
      </c>
      <c r="X103" s="108">
        <f t="shared" si="44"/>
        <v>1468.2400000000002</v>
      </c>
      <c r="Y103" s="108">
        <f t="shared" si="44"/>
        <v>1492.9</v>
      </c>
      <c r="Z103" s="108">
        <f t="shared" si="44"/>
        <v>1524.2</v>
      </c>
      <c r="AA103" s="108">
        <f t="shared" si="44"/>
        <v>1584.2400000000002</v>
      </c>
      <c r="AB103" s="108">
        <f t="shared" si="44"/>
        <v>1527.0400000000002</v>
      </c>
      <c r="AC103" s="108">
        <f t="shared" si="44"/>
        <v>1484.2400000000002</v>
      </c>
      <c r="AD103" s="108">
        <f t="shared" si="44"/>
        <v>1495.2400000000002</v>
      </c>
      <c r="AE103" s="108">
        <f t="shared" si="44"/>
        <v>1465.2400000000002</v>
      </c>
      <c r="AF103" s="108">
        <f t="shared" si="44"/>
        <v>1449.2400000000002</v>
      </c>
      <c r="AG103" s="101"/>
      <c r="AH103" s="48">
        <f t="shared" si="35"/>
        <v>1598.6390000000001</v>
      </c>
      <c r="AI103" s="49">
        <f t="shared" si="36"/>
        <v>1258.7400000000002</v>
      </c>
      <c r="BF103" s="81"/>
      <c r="BG103" s="82">
        <v>-40</v>
      </c>
      <c r="BH103" s="82">
        <v>0</v>
      </c>
      <c r="BI103" s="82">
        <v>-505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45">IF(B84&lt;0,B84*-1,0)</f>
        <v>38</v>
      </c>
      <c r="C104" s="89">
        <f t="shared" si="45"/>
        <v>12</v>
      </c>
      <c r="D104" s="89">
        <f t="shared" ref="D104:D109" si="46">IF(D84&lt;0,D84*-1,0)</f>
        <v>35</v>
      </c>
      <c r="E104" s="89">
        <f t="shared" ref="E104:AF109" si="47">IF(E84&lt;0,E84*-1,0)</f>
        <v>53</v>
      </c>
      <c r="F104" s="89">
        <f t="shared" si="47"/>
        <v>51</v>
      </c>
      <c r="G104" s="89">
        <f t="shared" si="47"/>
        <v>53</v>
      </c>
      <c r="H104" s="89">
        <f t="shared" si="47"/>
        <v>57</v>
      </c>
      <c r="I104" s="89">
        <f t="shared" si="47"/>
        <v>58</v>
      </c>
      <c r="J104" s="89">
        <f t="shared" si="47"/>
        <v>45</v>
      </c>
      <c r="K104" s="89">
        <f t="shared" si="47"/>
        <v>42</v>
      </c>
      <c r="L104" s="89">
        <f t="shared" si="47"/>
        <v>47</v>
      </c>
      <c r="M104" s="89">
        <f t="shared" si="47"/>
        <v>32</v>
      </c>
      <c r="N104" s="89">
        <f t="shared" si="47"/>
        <v>29</v>
      </c>
      <c r="O104" s="89">
        <f t="shared" si="47"/>
        <v>19</v>
      </c>
      <c r="P104" s="89">
        <f t="shared" si="47"/>
        <v>41</v>
      </c>
      <c r="Q104" s="89">
        <f t="shared" si="47"/>
        <v>31</v>
      </c>
      <c r="R104" s="89">
        <f t="shared" si="47"/>
        <v>30</v>
      </c>
      <c r="S104" s="89">
        <f t="shared" si="47"/>
        <v>25.2</v>
      </c>
      <c r="T104" s="89">
        <f t="shared" si="47"/>
        <v>25.3</v>
      </c>
      <c r="U104" s="89">
        <f t="shared" si="47"/>
        <v>32.700000000000003</v>
      </c>
      <c r="V104" s="89">
        <f t="shared" si="47"/>
        <v>44.5</v>
      </c>
      <c r="W104" s="89">
        <f t="shared" si="47"/>
        <v>44</v>
      </c>
      <c r="X104" s="89">
        <f t="shared" si="47"/>
        <v>43</v>
      </c>
      <c r="Y104" s="89">
        <f t="shared" si="47"/>
        <v>25</v>
      </c>
      <c r="Z104" s="89">
        <f t="shared" si="47"/>
        <v>20</v>
      </c>
      <c r="AA104" s="89">
        <f t="shared" si="47"/>
        <v>9</v>
      </c>
      <c r="AB104" s="89">
        <f t="shared" si="47"/>
        <v>9.1999999999999993</v>
      </c>
      <c r="AC104" s="89">
        <f t="shared" si="47"/>
        <v>27</v>
      </c>
      <c r="AD104" s="89">
        <f t="shared" si="47"/>
        <v>30</v>
      </c>
      <c r="AE104" s="89">
        <f t="shared" si="47"/>
        <v>40</v>
      </c>
      <c r="AF104" s="89">
        <f t="shared" si="47"/>
        <v>31</v>
      </c>
      <c r="AG104" s="61"/>
      <c r="AH104" s="48">
        <f t="shared" si="35"/>
        <v>58</v>
      </c>
      <c r="AI104" s="49">
        <f t="shared" si="36"/>
        <v>9</v>
      </c>
      <c r="BG104" s="82">
        <v>-31</v>
      </c>
      <c r="BH104" s="82">
        <v>0</v>
      </c>
      <c r="BI104" s="82">
        <v>-530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5"/>
        <v>0</v>
      </c>
      <c r="C105" s="89">
        <f t="shared" si="45"/>
        <v>0</v>
      </c>
      <c r="D105" s="89">
        <f t="shared" si="46"/>
        <v>0</v>
      </c>
      <c r="E105" s="89">
        <f t="shared" ref="E105:Q105" si="48">IF(E85&lt;0,E85*-1,0)</f>
        <v>0</v>
      </c>
      <c r="F105" s="89">
        <f t="shared" si="48"/>
        <v>0</v>
      </c>
      <c r="G105" s="89">
        <f t="shared" si="48"/>
        <v>0</v>
      </c>
      <c r="H105" s="89">
        <f t="shared" si="48"/>
        <v>0</v>
      </c>
      <c r="I105" s="89">
        <f t="shared" si="48"/>
        <v>0</v>
      </c>
      <c r="J105" s="89">
        <f t="shared" si="48"/>
        <v>0</v>
      </c>
      <c r="K105" s="89">
        <f t="shared" si="48"/>
        <v>0</v>
      </c>
      <c r="L105" s="89">
        <f t="shared" si="48"/>
        <v>0</v>
      </c>
      <c r="M105" s="89">
        <f t="shared" si="48"/>
        <v>0</v>
      </c>
      <c r="N105" s="89">
        <f t="shared" si="48"/>
        <v>0</v>
      </c>
      <c r="O105" s="89">
        <f t="shared" si="48"/>
        <v>0</v>
      </c>
      <c r="P105" s="89">
        <f t="shared" si="48"/>
        <v>0</v>
      </c>
      <c r="Q105" s="89">
        <f t="shared" si="48"/>
        <v>0</v>
      </c>
      <c r="R105" s="89">
        <f t="shared" si="47"/>
        <v>0</v>
      </c>
      <c r="S105" s="89">
        <f t="shared" si="47"/>
        <v>0</v>
      </c>
      <c r="T105" s="89">
        <f t="shared" si="47"/>
        <v>0</v>
      </c>
      <c r="U105" s="89">
        <f t="shared" si="47"/>
        <v>0</v>
      </c>
      <c r="V105" s="89">
        <f t="shared" si="47"/>
        <v>0</v>
      </c>
      <c r="W105" s="89">
        <f t="shared" si="47"/>
        <v>0</v>
      </c>
      <c r="X105" s="89">
        <f t="shared" si="47"/>
        <v>0</v>
      </c>
      <c r="Y105" s="89">
        <f t="shared" si="47"/>
        <v>0</v>
      </c>
      <c r="Z105" s="89">
        <f t="shared" si="47"/>
        <v>0</v>
      </c>
      <c r="AA105" s="89">
        <f t="shared" si="47"/>
        <v>0</v>
      </c>
      <c r="AB105" s="89">
        <f t="shared" si="47"/>
        <v>0</v>
      </c>
      <c r="AC105" s="89">
        <f t="shared" si="47"/>
        <v>0</v>
      </c>
      <c r="AD105" s="89">
        <f t="shared" si="47"/>
        <v>0</v>
      </c>
      <c r="AE105" s="89">
        <f t="shared" si="47"/>
        <v>0</v>
      </c>
      <c r="AF105" s="89">
        <f t="shared" si="47"/>
        <v>0</v>
      </c>
      <c r="AG105" s="66"/>
      <c r="AH105" s="48">
        <f t="shared" si="35"/>
        <v>0</v>
      </c>
      <c r="AI105" s="49">
        <f t="shared" si="36"/>
        <v>0</v>
      </c>
      <c r="AK105" s="51"/>
      <c r="BG105" s="82">
        <v>-38</v>
      </c>
      <c r="BH105" s="82">
        <v>0</v>
      </c>
      <c r="BI105" s="82">
        <v>-579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5"/>
        <v>579</v>
      </c>
      <c r="C106" s="89">
        <f t="shared" si="45"/>
        <v>590</v>
      </c>
      <c r="D106" s="89">
        <f t="shared" si="46"/>
        <v>591</v>
      </c>
      <c r="E106" s="89">
        <f t="shared" si="47"/>
        <v>524</v>
      </c>
      <c r="F106" s="89">
        <f t="shared" si="47"/>
        <v>573</v>
      </c>
      <c r="G106" s="89">
        <f t="shared" si="47"/>
        <v>594</v>
      </c>
      <c r="H106" s="89">
        <f t="shared" si="47"/>
        <v>590</v>
      </c>
      <c r="I106" s="89">
        <f t="shared" si="47"/>
        <v>624</v>
      </c>
      <c r="J106" s="89">
        <f t="shared" si="47"/>
        <v>561</v>
      </c>
      <c r="K106" s="89">
        <f t="shared" si="47"/>
        <v>494</v>
      </c>
      <c r="L106" s="89">
        <f t="shared" si="47"/>
        <v>500</v>
      </c>
      <c r="M106" s="89">
        <f t="shared" si="47"/>
        <v>442</v>
      </c>
      <c r="N106" s="89">
        <f t="shared" si="47"/>
        <v>460</v>
      </c>
      <c r="O106" s="89">
        <f t="shared" si="47"/>
        <v>420</v>
      </c>
      <c r="P106" s="89">
        <f t="shared" si="47"/>
        <v>436</v>
      </c>
      <c r="Q106" s="89">
        <f t="shared" si="47"/>
        <v>367</v>
      </c>
      <c r="R106" s="89">
        <f t="shared" si="47"/>
        <v>434</v>
      </c>
      <c r="S106" s="89">
        <f t="shared" si="47"/>
        <v>408.6</v>
      </c>
      <c r="T106" s="89">
        <f t="shared" si="47"/>
        <v>440.6</v>
      </c>
      <c r="U106" s="89">
        <f t="shared" si="47"/>
        <v>442.2</v>
      </c>
      <c r="V106" s="89">
        <f t="shared" si="47"/>
        <v>470</v>
      </c>
      <c r="W106" s="89">
        <f t="shared" si="47"/>
        <v>465</v>
      </c>
      <c r="X106" s="89">
        <f t="shared" si="47"/>
        <v>455</v>
      </c>
      <c r="Y106" s="89">
        <f t="shared" si="47"/>
        <v>494</v>
      </c>
      <c r="Z106" s="89">
        <f t="shared" si="47"/>
        <v>443</v>
      </c>
      <c r="AA106" s="89">
        <f t="shared" si="47"/>
        <v>392</v>
      </c>
      <c r="AB106" s="89">
        <f t="shared" si="47"/>
        <v>449</v>
      </c>
      <c r="AC106" s="89">
        <f t="shared" si="47"/>
        <v>474</v>
      </c>
      <c r="AD106" s="89">
        <f t="shared" si="47"/>
        <v>460</v>
      </c>
      <c r="AE106" s="89">
        <f t="shared" si="47"/>
        <v>505</v>
      </c>
      <c r="AF106" s="89">
        <f t="shared" si="47"/>
        <v>530</v>
      </c>
      <c r="AG106" s="111"/>
      <c r="AH106" s="48">
        <f t="shared" si="35"/>
        <v>624</v>
      </c>
      <c r="AI106" s="49">
        <f t="shared" si="36"/>
        <v>367</v>
      </c>
    </row>
    <row r="107" spans="1:64" x14ac:dyDescent="0.25">
      <c r="A107" s="97" t="s">
        <v>107</v>
      </c>
      <c r="B107" s="89">
        <f t="shared" si="45"/>
        <v>0</v>
      </c>
      <c r="C107" s="89">
        <f t="shared" si="45"/>
        <v>0</v>
      </c>
      <c r="D107" s="89">
        <f t="shared" si="46"/>
        <v>0</v>
      </c>
      <c r="E107" s="89">
        <f t="shared" si="47"/>
        <v>0</v>
      </c>
      <c r="F107" s="89">
        <f t="shared" si="47"/>
        <v>0</v>
      </c>
      <c r="G107" s="89">
        <f t="shared" si="47"/>
        <v>0</v>
      </c>
      <c r="H107" s="89">
        <f t="shared" si="47"/>
        <v>0</v>
      </c>
      <c r="I107" s="89">
        <f t="shared" si="47"/>
        <v>0</v>
      </c>
      <c r="J107" s="89">
        <f t="shared" si="47"/>
        <v>0</v>
      </c>
      <c r="K107" s="89">
        <f t="shared" si="47"/>
        <v>0</v>
      </c>
      <c r="L107" s="89">
        <f t="shared" si="47"/>
        <v>0</v>
      </c>
      <c r="M107" s="89">
        <f t="shared" si="47"/>
        <v>0</v>
      </c>
      <c r="N107" s="89">
        <f t="shared" si="47"/>
        <v>0</v>
      </c>
      <c r="O107" s="89">
        <f t="shared" si="47"/>
        <v>0</v>
      </c>
      <c r="P107" s="89">
        <f t="shared" si="47"/>
        <v>0</v>
      </c>
      <c r="Q107" s="89">
        <f t="shared" si="47"/>
        <v>0</v>
      </c>
      <c r="R107" s="89">
        <f t="shared" si="47"/>
        <v>0</v>
      </c>
      <c r="S107" s="89">
        <f t="shared" si="47"/>
        <v>0</v>
      </c>
      <c r="T107" s="89">
        <f t="shared" si="47"/>
        <v>0</v>
      </c>
      <c r="U107" s="89">
        <f t="shared" si="47"/>
        <v>0</v>
      </c>
      <c r="V107" s="89">
        <f t="shared" si="47"/>
        <v>0</v>
      </c>
      <c r="W107" s="89">
        <f t="shared" si="47"/>
        <v>0</v>
      </c>
      <c r="X107" s="89">
        <f t="shared" si="47"/>
        <v>0</v>
      </c>
      <c r="Y107" s="89">
        <f t="shared" si="47"/>
        <v>0</v>
      </c>
      <c r="Z107" s="89">
        <f t="shared" si="47"/>
        <v>0</v>
      </c>
      <c r="AA107" s="89">
        <f t="shared" si="47"/>
        <v>0</v>
      </c>
      <c r="AB107" s="89">
        <f t="shared" si="47"/>
        <v>0</v>
      </c>
      <c r="AC107" s="89">
        <f t="shared" si="47"/>
        <v>0</v>
      </c>
      <c r="AD107" s="89">
        <f t="shared" si="47"/>
        <v>0</v>
      </c>
      <c r="AE107" s="89">
        <f t="shared" si="47"/>
        <v>0</v>
      </c>
      <c r="AF107" s="89">
        <f t="shared" si="47"/>
        <v>0</v>
      </c>
      <c r="AG107" s="111"/>
      <c r="AH107" s="48">
        <f t="shared" si="35"/>
        <v>0</v>
      </c>
      <c r="AI107" s="49">
        <f t="shared" si="36"/>
        <v>0</v>
      </c>
    </row>
    <row r="108" spans="1:64" x14ac:dyDescent="0.25">
      <c r="A108" s="97" t="s">
        <v>108</v>
      </c>
      <c r="B108" s="89">
        <f t="shared" si="45"/>
        <v>0</v>
      </c>
      <c r="C108" s="89">
        <f t="shared" si="45"/>
        <v>0</v>
      </c>
      <c r="D108" s="89">
        <f t="shared" si="46"/>
        <v>0</v>
      </c>
      <c r="E108" s="89">
        <f t="shared" si="47"/>
        <v>0</v>
      </c>
      <c r="F108" s="89">
        <f t="shared" si="47"/>
        <v>0</v>
      </c>
      <c r="G108" s="89">
        <f t="shared" si="47"/>
        <v>0</v>
      </c>
      <c r="H108" s="89">
        <f t="shared" si="47"/>
        <v>0</v>
      </c>
      <c r="I108" s="89">
        <f t="shared" si="47"/>
        <v>0</v>
      </c>
      <c r="J108" s="89">
        <f t="shared" si="47"/>
        <v>0</v>
      </c>
      <c r="K108" s="89">
        <f t="shared" si="47"/>
        <v>0</v>
      </c>
      <c r="L108" s="89">
        <f t="shared" si="47"/>
        <v>0</v>
      </c>
      <c r="M108" s="89">
        <f t="shared" si="47"/>
        <v>0</v>
      </c>
      <c r="N108" s="89">
        <f t="shared" si="47"/>
        <v>0</v>
      </c>
      <c r="O108" s="89">
        <f t="shared" si="47"/>
        <v>0</v>
      </c>
      <c r="P108" s="89">
        <f t="shared" si="47"/>
        <v>0</v>
      </c>
      <c r="Q108" s="89">
        <f t="shared" si="47"/>
        <v>0</v>
      </c>
      <c r="R108" s="89">
        <f t="shared" si="47"/>
        <v>0</v>
      </c>
      <c r="S108" s="89">
        <f t="shared" si="47"/>
        <v>0</v>
      </c>
      <c r="T108" s="89">
        <f t="shared" si="47"/>
        <v>0</v>
      </c>
      <c r="U108" s="89">
        <f t="shared" si="47"/>
        <v>0</v>
      </c>
      <c r="V108" s="89">
        <f t="shared" si="47"/>
        <v>0</v>
      </c>
      <c r="W108" s="89">
        <f t="shared" si="47"/>
        <v>0</v>
      </c>
      <c r="X108" s="89">
        <f t="shared" si="47"/>
        <v>0</v>
      </c>
      <c r="Y108" s="89">
        <f t="shared" si="47"/>
        <v>0</v>
      </c>
      <c r="Z108" s="89">
        <f t="shared" si="47"/>
        <v>0</v>
      </c>
      <c r="AA108" s="89">
        <f t="shared" si="47"/>
        <v>0</v>
      </c>
      <c r="AB108" s="89">
        <f t="shared" si="47"/>
        <v>0</v>
      </c>
      <c r="AC108" s="89">
        <f t="shared" si="47"/>
        <v>0</v>
      </c>
      <c r="AD108" s="89">
        <f t="shared" si="47"/>
        <v>0</v>
      </c>
      <c r="AE108" s="89">
        <f t="shared" si="47"/>
        <v>0</v>
      </c>
      <c r="AF108" s="89">
        <f t="shared" si="47"/>
        <v>0</v>
      </c>
      <c r="AG108" s="111"/>
      <c r="AH108" s="48">
        <f t="shared" si="35"/>
        <v>0</v>
      </c>
      <c r="AI108" s="49">
        <f t="shared" si="36"/>
        <v>0</v>
      </c>
    </row>
    <row r="109" spans="1:64" ht="15.75" thickBot="1" x14ac:dyDescent="0.3">
      <c r="A109" s="97" t="s">
        <v>117</v>
      </c>
      <c r="B109" s="89">
        <f t="shared" si="45"/>
        <v>0</v>
      </c>
      <c r="C109" s="89">
        <f t="shared" si="45"/>
        <v>0</v>
      </c>
      <c r="D109" s="89">
        <f t="shared" si="46"/>
        <v>0</v>
      </c>
      <c r="E109" s="89">
        <f t="shared" si="47"/>
        <v>0</v>
      </c>
      <c r="F109" s="89">
        <f t="shared" si="47"/>
        <v>0</v>
      </c>
      <c r="G109" s="89">
        <f t="shared" si="47"/>
        <v>0</v>
      </c>
      <c r="H109" s="89">
        <f t="shared" si="47"/>
        <v>0</v>
      </c>
      <c r="I109" s="89">
        <f t="shared" si="47"/>
        <v>0</v>
      </c>
      <c r="J109" s="89">
        <f t="shared" si="47"/>
        <v>0</v>
      </c>
      <c r="K109" s="89">
        <f t="shared" si="47"/>
        <v>0</v>
      </c>
      <c r="L109" s="89">
        <f t="shared" si="47"/>
        <v>0</v>
      </c>
      <c r="M109" s="89">
        <f t="shared" si="47"/>
        <v>0</v>
      </c>
      <c r="N109" s="89">
        <f t="shared" si="47"/>
        <v>0</v>
      </c>
      <c r="O109" s="89">
        <f t="shared" si="47"/>
        <v>0</v>
      </c>
      <c r="P109" s="89">
        <f t="shared" si="47"/>
        <v>0</v>
      </c>
      <c r="Q109" s="89">
        <f t="shared" si="47"/>
        <v>0</v>
      </c>
      <c r="R109" s="89">
        <f t="shared" si="47"/>
        <v>0</v>
      </c>
      <c r="S109" s="89">
        <f t="shared" si="47"/>
        <v>0</v>
      </c>
      <c r="T109" s="89">
        <f t="shared" si="47"/>
        <v>0</v>
      </c>
      <c r="U109" s="89">
        <f t="shared" si="47"/>
        <v>0</v>
      </c>
      <c r="V109" s="89">
        <f t="shared" si="47"/>
        <v>0</v>
      </c>
      <c r="W109" s="89">
        <f t="shared" si="47"/>
        <v>0</v>
      </c>
      <c r="X109" s="89">
        <f t="shared" si="47"/>
        <v>0</v>
      </c>
      <c r="Y109" s="89">
        <f t="shared" si="47"/>
        <v>0</v>
      </c>
      <c r="Z109" s="89">
        <f t="shared" si="47"/>
        <v>0</v>
      </c>
      <c r="AA109" s="89">
        <f t="shared" si="47"/>
        <v>0</v>
      </c>
      <c r="AB109" s="89">
        <f t="shared" si="47"/>
        <v>0</v>
      </c>
      <c r="AC109" s="89">
        <f t="shared" si="47"/>
        <v>0</v>
      </c>
      <c r="AD109" s="89">
        <f t="shared" si="47"/>
        <v>0</v>
      </c>
      <c r="AE109" s="89">
        <f t="shared" si="47"/>
        <v>0</v>
      </c>
      <c r="AF109" s="89">
        <f t="shared" si="47"/>
        <v>0</v>
      </c>
      <c r="AG109" s="98"/>
      <c r="AH109" s="48">
        <f t="shared" si="35"/>
        <v>0</v>
      </c>
      <c r="AI109" s="49">
        <f t="shared" si="36"/>
        <v>0</v>
      </c>
    </row>
    <row r="110" spans="1:64" ht="15.75" thickBot="1" x14ac:dyDescent="0.3">
      <c r="A110" s="112" t="s">
        <v>130</v>
      </c>
      <c r="B110" s="71">
        <f>SUM(B104:B109)</f>
        <v>617</v>
      </c>
      <c r="C110" s="71">
        <f>SUM(C104:C109)</f>
        <v>602</v>
      </c>
      <c r="D110" s="71">
        <f>SUM(D104:D109)</f>
        <v>626</v>
      </c>
      <c r="E110" s="71">
        <f t="shared" ref="E110:AF110" si="49">SUM(E104:E109)</f>
        <v>577</v>
      </c>
      <c r="F110" s="71">
        <f t="shared" si="49"/>
        <v>624</v>
      </c>
      <c r="G110" s="71">
        <f t="shared" si="49"/>
        <v>647</v>
      </c>
      <c r="H110" s="71">
        <f t="shared" si="49"/>
        <v>647</v>
      </c>
      <c r="I110" s="71">
        <f t="shared" si="49"/>
        <v>682</v>
      </c>
      <c r="J110" s="71">
        <f t="shared" si="49"/>
        <v>606</v>
      </c>
      <c r="K110" s="71">
        <f t="shared" si="49"/>
        <v>536</v>
      </c>
      <c r="L110" s="71">
        <f t="shared" si="49"/>
        <v>547</v>
      </c>
      <c r="M110" s="71">
        <f t="shared" si="49"/>
        <v>474</v>
      </c>
      <c r="N110" s="71">
        <f t="shared" si="49"/>
        <v>489</v>
      </c>
      <c r="O110" s="71">
        <f t="shared" si="49"/>
        <v>439</v>
      </c>
      <c r="P110" s="71">
        <f t="shared" si="49"/>
        <v>477</v>
      </c>
      <c r="Q110" s="71">
        <f t="shared" si="49"/>
        <v>398</v>
      </c>
      <c r="R110" s="71">
        <f t="shared" si="49"/>
        <v>464</v>
      </c>
      <c r="S110" s="71">
        <f t="shared" si="49"/>
        <v>433.8</v>
      </c>
      <c r="T110" s="71">
        <f t="shared" si="49"/>
        <v>465.90000000000003</v>
      </c>
      <c r="U110" s="71">
        <f t="shared" si="49"/>
        <v>474.9</v>
      </c>
      <c r="V110" s="71">
        <f t="shared" si="49"/>
        <v>514.5</v>
      </c>
      <c r="W110" s="71">
        <f t="shared" si="49"/>
        <v>509</v>
      </c>
      <c r="X110" s="71">
        <f t="shared" si="49"/>
        <v>498</v>
      </c>
      <c r="Y110" s="71">
        <f t="shared" si="49"/>
        <v>519</v>
      </c>
      <c r="Z110" s="71">
        <f t="shared" si="49"/>
        <v>463</v>
      </c>
      <c r="AA110" s="71">
        <f t="shared" si="49"/>
        <v>401</v>
      </c>
      <c r="AB110" s="71">
        <f t="shared" si="49"/>
        <v>458.2</v>
      </c>
      <c r="AC110" s="71">
        <f t="shared" si="49"/>
        <v>501</v>
      </c>
      <c r="AD110" s="71">
        <f t="shared" si="49"/>
        <v>490</v>
      </c>
      <c r="AE110" s="71">
        <f t="shared" si="49"/>
        <v>545</v>
      </c>
      <c r="AF110" s="71">
        <f t="shared" si="49"/>
        <v>561</v>
      </c>
      <c r="AG110" s="101"/>
      <c r="AH110" s="48">
        <f t="shared" si="35"/>
        <v>682</v>
      </c>
      <c r="AI110" s="49">
        <f t="shared" si="36"/>
        <v>398</v>
      </c>
    </row>
    <row r="111" spans="1:64" ht="15.75" thickBot="1" x14ac:dyDescent="0.3">
      <c r="A111" s="87" t="s">
        <v>131</v>
      </c>
      <c r="B111" s="71">
        <f>B95-B110</f>
        <v>-617</v>
      </c>
      <c r="C111" s="71">
        <f>C95-C110</f>
        <v>-602</v>
      </c>
      <c r="D111" s="71">
        <f>D95-D110</f>
        <v>-626</v>
      </c>
      <c r="E111" s="71">
        <f t="shared" ref="E111:AF111" si="50">E95-E110</f>
        <v>-577</v>
      </c>
      <c r="F111" s="71">
        <f t="shared" si="50"/>
        <v>-624</v>
      </c>
      <c r="G111" s="71">
        <f t="shared" si="50"/>
        <v>-647</v>
      </c>
      <c r="H111" s="71">
        <f t="shared" si="50"/>
        <v>-647</v>
      </c>
      <c r="I111" s="71">
        <f t="shared" si="50"/>
        <v>-682</v>
      </c>
      <c r="J111" s="71">
        <f t="shared" si="50"/>
        <v>-606</v>
      </c>
      <c r="K111" s="71">
        <f t="shared" si="50"/>
        <v>-536</v>
      </c>
      <c r="L111" s="71">
        <f t="shared" si="50"/>
        <v>-547</v>
      </c>
      <c r="M111" s="71">
        <f t="shared" si="50"/>
        <v>-474</v>
      </c>
      <c r="N111" s="71">
        <f t="shared" si="50"/>
        <v>-489</v>
      </c>
      <c r="O111" s="71">
        <f t="shared" si="50"/>
        <v>-439</v>
      </c>
      <c r="P111" s="71">
        <f t="shared" si="50"/>
        <v>-477</v>
      </c>
      <c r="Q111" s="71">
        <f t="shared" si="50"/>
        <v>-398</v>
      </c>
      <c r="R111" s="71">
        <f t="shared" si="50"/>
        <v>-464</v>
      </c>
      <c r="S111" s="71">
        <f t="shared" si="50"/>
        <v>-433.8</v>
      </c>
      <c r="T111" s="71">
        <f t="shared" si="50"/>
        <v>-465.90000000000003</v>
      </c>
      <c r="U111" s="71">
        <f t="shared" si="50"/>
        <v>-474.9</v>
      </c>
      <c r="V111" s="71">
        <f t="shared" si="50"/>
        <v>-514.5</v>
      </c>
      <c r="W111" s="71">
        <f t="shared" si="50"/>
        <v>-509</v>
      </c>
      <c r="X111" s="71">
        <f t="shared" si="50"/>
        <v>-498</v>
      </c>
      <c r="Y111" s="71">
        <f t="shared" si="50"/>
        <v>-519</v>
      </c>
      <c r="Z111" s="71">
        <f t="shared" si="50"/>
        <v>-463</v>
      </c>
      <c r="AA111" s="71">
        <f t="shared" si="50"/>
        <v>-401</v>
      </c>
      <c r="AB111" s="71">
        <f t="shared" si="50"/>
        <v>-458.2</v>
      </c>
      <c r="AC111" s="71">
        <f t="shared" si="50"/>
        <v>-501</v>
      </c>
      <c r="AD111" s="71">
        <f t="shared" si="50"/>
        <v>-490</v>
      </c>
      <c r="AE111" s="71">
        <f t="shared" si="50"/>
        <v>-545</v>
      </c>
      <c r="AF111" s="71">
        <f t="shared" si="50"/>
        <v>-561</v>
      </c>
      <c r="AG111" s="101"/>
      <c r="AH111" s="48">
        <f t="shared" si="35"/>
        <v>-398</v>
      </c>
      <c r="AI111" s="49">
        <f t="shared" si="36"/>
        <v>-682</v>
      </c>
    </row>
    <row r="112" spans="1:64" x14ac:dyDescent="0.25">
      <c r="A112" s="113" t="s">
        <v>132</v>
      </c>
      <c r="B112" s="114">
        <v>49.97</v>
      </c>
      <c r="C112" s="114">
        <v>49.9</v>
      </c>
      <c r="D112" s="114">
        <v>49.96</v>
      </c>
      <c r="E112" s="114">
        <v>50.009</v>
      </c>
      <c r="F112" s="114">
        <v>50.052</v>
      </c>
      <c r="G112" s="114">
        <v>50.034999999999997</v>
      </c>
      <c r="H112" s="114">
        <v>50.030999999999999</v>
      </c>
      <c r="I112" s="114">
        <v>50.012</v>
      </c>
      <c r="J112" s="114">
        <v>49.994</v>
      </c>
      <c r="K112" s="114">
        <v>49.994</v>
      </c>
      <c r="L112" s="114">
        <v>49.994</v>
      </c>
      <c r="M112" s="114">
        <v>50.000999999999998</v>
      </c>
      <c r="N112" s="114">
        <v>50.017000000000003</v>
      </c>
      <c r="O112" s="114">
        <v>50.063000000000002</v>
      </c>
      <c r="P112" s="114">
        <v>50.064999999999998</v>
      </c>
      <c r="Q112" s="114">
        <v>49.807000000000002</v>
      </c>
      <c r="R112" s="114">
        <v>50.037999999999997</v>
      </c>
      <c r="S112" s="114">
        <v>50.119</v>
      </c>
      <c r="T112" s="114">
        <v>50.012999999999998</v>
      </c>
      <c r="U112" s="114">
        <v>49.98</v>
      </c>
      <c r="V112" s="114">
        <v>49.924999999999997</v>
      </c>
      <c r="W112" s="114">
        <v>49.924999999999997</v>
      </c>
      <c r="X112" s="114">
        <v>49.95</v>
      </c>
      <c r="Y112" s="114">
        <v>49.881999999999998</v>
      </c>
      <c r="Z112" s="114">
        <v>49.99</v>
      </c>
      <c r="AA112" s="114">
        <v>49.951999999999998</v>
      </c>
      <c r="AB112" s="114">
        <v>50.023000000000003</v>
      </c>
      <c r="AC112" s="114">
        <v>50.023000000000003</v>
      </c>
      <c r="AD112" s="114">
        <v>50.033000000000001</v>
      </c>
      <c r="AE112" s="114">
        <v>50.006</v>
      </c>
      <c r="AF112" s="114">
        <v>50.000999999999998</v>
      </c>
      <c r="AG112" s="115"/>
      <c r="AH112" s="48">
        <f t="shared" si="35"/>
        <v>50.119</v>
      </c>
      <c r="AI112" s="49">
        <f t="shared" si="36"/>
        <v>49.807000000000002</v>
      </c>
    </row>
    <row r="113" spans="1:35" x14ac:dyDescent="0.25">
      <c r="A113" s="116" t="s">
        <v>133</v>
      </c>
      <c r="B113" s="76">
        <v>121</v>
      </c>
      <c r="C113" s="76">
        <v>121</v>
      </c>
      <c r="D113" s="76">
        <v>121</v>
      </c>
      <c r="E113" s="76">
        <v>123.1</v>
      </c>
      <c r="F113" s="76">
        <v>123</v>
      </c>
      <c r="G113" s="76">
        <v>122.7</v>
      </c>
      <c r="H113" s="76">
        <v>125.2</v>
      </c>
      <c r="I113" s="76">
        <v>123.7</v>
      </c>
      <c r="J113" s="76">
        <v>121.6</v>
      </c>
      <c r="K113" s="76">
        <v>121.6</v>
      </c>
      <c r="L113" s="76">
        <v>121.6</v>
      </c>
      <c r="M113" s="76">
        <v>121.8</v>
      </c>
      <c r="N113" s="76">
        <v>118.6</v>
      </c>
      <c r="O113" s="76">
        <v>118.2</v>
      </c>
      <c r="P113" s="76">
        <v>119.2</v>
      </c>
      <c r="Q113" s="76">
        <v>115.3</v>
      </c>
      <c r="R113" s="76">
        <v>118</v>
      </c>
      <c r="S113" s="76">
        <v>118.7</v>
      </c>
      <c r="T113" s="76">
        <v>119.7</v>
      </c>
      <c r="U113" s="76">
        <v>120</v>
      </c>
      <c r="V113" s="76">
        <v>119.1</v>
      </c>
      <c r="W113" s="76">
        <v>119.1</v>
      </c>
      <c r="X113" s="76">
        <v>120.1</v>
      </c>
      <c r="Y113" s="76">
        <v>121.1</v>
      </c>
      <c r="Z113" s="76">
        <v>120.8</v>
      </c>
      <c r="AA113" s="76">
        <v>119.3</v>
      </c>
      <c r="AB113" s="76">
        <v>121.5</v>
      </c>
      <c r="AC113" s="76">
        <v>121.5</v>
      </c>
      <c r="AD113" s="76">
        <v>122</v>
      </c>
      <c r="AE113" s="76">
        <v>122.6</v>
      </c>
      <c r="AF113" s="76">
        <v>123.3</v>
      </c>
      <c r="AG113" s="117"/>
      <c r="AH113" s="48">
        <f t="shared" si="35"/>
        <v>125.2</v>
      </c>
      <c r="AI113" s="49">
        <f t="shared" si="36"/>
        <v>115.3</v>
      </c>
    </row>
    <row r="114" spans="1:35" x14ac:dyDescent="0.25">
      <c r="A114" s="116" t="s">
        <v>134</v>
      </c>
      <c r="B114" s="76">
        <v>126.9</v>
      </c>
      <c r="C114" s="76">
        <v>126.9</v>
      </c>
      <c r="D114" s="76">
        <v>126.9</v>
      </c>
      <c r="E114" s="76">
        <v>127</v>
      </c>
      <c r="F114" s="76">
        <v>127</v>
      </c>
      <c r="G114" s="76">
        <v>126.8</v>
      </c>
      <c r="H114" s="76">
        <v>129</v>
      </c>
      <c r="I114" s="76">
        <v>127.5</v>
      </c>
      <c r="J114" s="76">
        <v>125.2</v>
      </c>
      <c r="K114" s="76">
        <v>125.2</v>
      </c>
      <c r="L114" s="76">
        <v>125.2</v>
      </c>
      <c r="M114" s="76">
        <v>124</v>
      </c>
      <c r="N114" s="76">
        <v>122.4</v>
      </c>
      <c r="O114" s="76">
        <v>122</v>
      </c>
      <c r="P114" s="76">
        <v>122.8</v>
      </c>
      <c r="Q114" s="76">
        <v>120.1</v>
      </c>
      <c r="R114" s="76">
        <v>122</v>
      </c>
      <c r="S114" s="76">
        <v>122.3</v>
      </c>
      <c r="T114" s="76">
        <v>123.2</v>
      </c>
      <c r="U114" s="76">
        <v>124.2</v>
      </c>
      <c r="V114" s="76">
        <v>123</v>
      </c>
      <c r="W114" s="76">
        <v>123</v>
      </c>
      <c r="X114" s="76">
        <v>123.8</v>
      </c>
      <c r="Y114" s="76">
        <v>124.7</v>
      </c>
      <c r="Z114" s="76">
        <v>124.5</v>
      </c>
      <c r="AA114" s="76">
        <v>123.3</v>
      </c>
      <c r="AB114" s="76">
        <v>124.7</v>
      </c>
      <c r="AC114" s="76">
        <v>124.7</v>
      </c>
      <c r="AD114" s="76">
        <v>125</v>
      </c>
      <c r="AE114" s="76">
        <v>126.8</v>
      </c>
      <c r="AF114" s="76">
        <v>127.6</v>
      </c>
      <c r="AG114" s="117"/>
      <c r="AH114" s="48">
        <f t="shared" si="35"/>
        <v>129</v>
      </c>
      <c r="AI114" s="49">
        <f t="shared" si="36"/>
        <v>120.1</v>
      </c>
    </row>
    <row r="115" spans="1:35" x14ac:dyDescent="0.25">
      <c r="A115" s="116" t="s">
        <v>135</v>
      </c>
      <c r="B115" s="76">
        <v>129</v>
      </c>
      <c r="C115" s="76">
        <v>129</v>
      </c>
      <c r="D115" s="76">
        <v>129</v>
      </c>
      <c r="E115" s="76">
        <v>130.9</v>
      </c>
      <c r="F115" s="76">
        <v>131</v>
      </c>
      <c r="G115" s="76">
        <v>131.19999999999999</v>
      </c>
      <c r="H115" s="76">
        <v>131</v>
      </c>
      <c r="I115" s="76">
        <v>129</v>
      </c>
      <c r="J115" s="76">
        <v>129.6</v>
      </c>
      <c r="K115" s="76">
        <v>129.6</v>
      </c>
      <c r="L115" s="76">
        <v>129.6</v>
      </c>
      <c r="M115" s="76">
        <v>129</v>
      </c>
      <c r="N115" s="76">
        <v>129.9</v>
      </c>
      <c r="O115" s="76">
        <v>128</v>
      </c>
      <c r="P115" s="76">
        <v>129.1</v>
      </c>
      <c r="Q115" s="76">
        <v>127.8</v>
      </c>
      <c r="R115" s="76">
        <v>128</v>
      </c>
      <c r="S115" s="76">
        <v>128.69999999999999</v>
      </c>
      <c r="T115" s="76">
        <v>130.30000000000001</v>
      </c>
      <c r="U115" s="76">
        <v>129.1</v>
      </c>
      <c r="V115" s="76">
        <v>130.1</v>
      </c>
      <c r="W115" s="76">
        <v>130.1</v>
      </c>
      <c r="X115" s="76">
        <v>129.69999999999999</v>
      </c>
      <c r="Y115" s="76">
        <v>130.9</v>
      </c>
      <c r="Z115" s="76">
        <v>128.6</v>
      </c>
      <c r="AA115" s="76">
        <v>128.69999999999999</v>
      </c>
      <c r="AB115" s="76">
        <v>128.9</v>
      </c>
      <c r="AC115" s="76">
        <v>128.9</v>
      </c>
      <c r="AD115" s="76">
        <v>128</v>
      </c>
      <c r="AE115" s="76">
        <v>127.4</v>
      </c>
      <c r="AF115" s="76">
        <v>127.6</v>
      </c>
      <c r="AG115" s="117"/>
      <c r="AH115" s="48">
        <f t="shared" si="35"/>
        <v>131.19999999999999</v>
      </c>
      <c r="AI115" s="49">
        <f t="shared" si="36"/>
        <v>127.4</v>
      </c>
    </row>
    <row r="116" spans="1:35" x14ac:dyDescent="0.25">
      <c r="A116" s="118" t="s">
        <v>136</v>
      </c>
      <c r="B116" s="76">
        <v>131</v>
      </c>
      <c r="C116" s="76">
        <v>131</v>
      </c>
      <c r="D116" s="76">
        <v>131</v>
      </c>
      <c r="E116" s="76">
        <v>131.9</v>
      </c>
      <c r="F116" s="76">
        <v>132</v>
      </c>
      <c r="G116" s="76">
        <v>132.30000000000001</v>
      </c>
      <c r="H116" s="76">
        <v>130.69999999999999</v>
      </c>
      <c r="I116" s="76">
        <v>129.1</v>
      </c>
      <c r="J116" s="76">
        <v>128.80000000000001</v>
      </c>
      <c r="K116" s="76">
        <v>128.80000000000001</v>
      </c>
      <c r="L116" s="76">
        <v>128.80000000000001</v>
      </c>
      <c r="M116" s="76">
        <v>129.5</v>
      </c>
      <c r="N116" s="76">
        <v>131.6</v>
      </c>
      <c r="O116" s="76">
        <v>130.1</v>
      </c>
      <c r="P116" s="76">
        <v>131.30000000000001</v>
      </c>
      <c r="Q116" s="76">
        <v>128.6</v>
      </c>
      <c r="R116" s="76">
        <v>129</v>
      </c>
      <c r="S116" s="76">
        <v>130</v>
      </c>
      <c r="T116" s="76">
        <v>131.19999999999999</v>
      </c>
      <c r="U116" s="76">
        <v>129.6</v>
      </c>
      <c r="V116" s="76">
        <v>131.6</v>
      </c>
      <c r="W116" s="76">
        <v>131.6</v>
      </c>
      <c r="X116" s="76">
        <v>129.6</v>
      </c>
      <c r="Y116" s="76">
        <v>131.4</v>
      </c>
      <c r="Z116" s="76">
        <v>128.80000000000001</v>
      </c>
      <c r="AA116" s="76">
        <v>129.5</v>
      </c>
      <c r="AB116" s="76">
        <v>129.5</v>
      </c>
      <c r="AC116" s="76">
        <v>129.5</v>
      </c>
      <c r="AD116" s="76">
        <v>130</v>
      </c>
      <c r="AE116" s="76">
        <v>129.4</v>
      </c>
      <c r="AF116" s="76">
        <v>130.6</v>
      </c>
      <c r="AG116" s="117"/>
      <c r="AH116" s="48">
        <f t="shared" si="35"/>
        <v>132.30000000000001</v>
      </c>
      <c r="AI116" s="49">
        <f t="shared" si="36"/>
        <v>128.6</v>
      </c>
    </row>
    <row r="117" spans="1:35" x14ac:dyDescent="0.25">
      <c r="A117" s="118" t="s">
        <v>137</v>
      </c>
      <c r="B117" s="119">
        <v>133</v>
      </c>
      <c r="C117" s="119">
        <v>133</v>
      </c>
      <c r="D117" s="119">
        <v>133</v>
      </c>
      <c r="E117" s="119">
        <v>131.1</v>
      </c>
      <c r="F117" s="119">
        <v>134</v>
      </c>
      <c r="G117" s="119">
        <v>134.80000000000001</v>
      </c>
      <c r="H117" s="119">
        <v>134</v>
      </c>
      <c r="I117" s="119">
        <v>131.69999999999999</v>
      </c>
      <c r="J117" s="119">
        <v>131.9</v>
      </c>
      <c r="K117" s="119">
        <v>131.9</v>
      </c>
      <c r="L117" s="119">
        <v>131.9</v>
      </c>
      <c r="M117" s="119">
        <v>129.5</v>
      </c>
      <c r="N117" s="119">
        <v>131.30000000000001</v>
      </c>
      <c r="O117" s="119">
        <v>131.80000000000001</v>
      </c>
      <c r="P117" s="119">
        <v>134.1</v>
      </c>
      <c r="Q117" s="119">
        <v>135.69999999999999</v>
      </c>
      <c r="R117" s="119">
        <v>134</v>
      </c>
      <c r="S117" s="119">
        <v>132.30000000000001</v>
      </c>
      <c r="T117" s="119">
        <v>134.80000000000001</v>
      </c>
      <c r="U117" s="119">
        <v>135</v>
      </c>
      <c r="V117" s="119">
        <v>132.6</v>
      </c>
      <c r="W117" s="119">
        <v>132.6</v>
      </c>
      <c r="X117" s="119">
        <v>134.80000000000001</v>
      </c>
      <c r="Y117" s="119">
        <v>132.80000000000001</v>
      </c>
      <c r="Z117" s="119">
        <v>134.6</v>
      </c>
      <c r="AA117" s="119">
        <v>131.80000000000001</v>
      </c>
      <c r="AB117" s="119">
        <v>135.9</v>
      </c>
      <c r="AC117" s="119">
        <v>135.9</v>
      </c>
      <c r="AD117" s="119">
        <v>132</v>
      </c>
      <c r="AE117" s="119">
        <v>134.19999999999999</v>
      </c>
      <c r="AF117" s="119">
        <v>132.1</v>
      </c>
      <c r="AG117" s="120"/>
      <c r="AH117" s="48">
        <f t="shared" si="35"/>
        <v>135.9</v>
      </c>
      <c r="AI117" s="49">
        <f t="shared" si="36"/>
        <v>129.5</v>
      </c>
    </row>
    <row r="118" spans="1:35" x14ac:dyDescent="0.25">
      <c r="A118" s="116" t="s">
        <v>138</v>
      </c>
      <c r="B118" s="76">
        <v>130</v>
      </c>
      <c r="C118" s="76">
        <v>130</v>
      </c>
      <c r="D118" s="76">
        <v>130</v>
      </c>
      <c r="E118" s="76">
        <v>127</v>
      </c>
      <c r="F118" s="76">
        <v>132</v>
      </c>
      <c r="G118" s="76">
        <v>136.5</v>
      </c>
      <c r="H118" s="76">
        <v>134</v>
      </c>
      <c r="I118" s="76">
        <v>128.80000000000001</v>
      </c>
      <c r="J118" s="76">
        <v>127</v>
      </c>
      <c r="K118" s="76">
        <v>127</v>
      </c>
      <c r="L118" s="76">
        <v>127</v>
      </c>
      <c r="M118" s="76">
        <v>131.19999999999999</v>
      </c>
      <c r="N118" s="76">
        <v>126.4</v>
      </c>
      <c r="O118" s="76">
        <v>125.3</v>
      </c>
      <c r="P118" s="76">
        <v>130.1</v>
      </c>
      <c r="Q118" s="76">
        <v>132.9</v>
      </c>
      <c r="R118" s="76">
        <v>127</v>
      </c>
      <c r="S118" s="76">
        <v>122</v>
      </c>
      <c r="T118" s="76">
        <v>122.4</v>
      </c>
      <c r="U118" s="76">
        <v>127.6</v>
      </c>
      <c r="V118" s="76">
        <v>124.3</v>
      </c>
      <c r="W118" s="76">
        <v>124.3</v>
      </c>
      <c r="X118" s="76">
        <v>128.80000000000001</v>
      </c>
      <c r="Y118" s="76">
        <v>126</v>
      </c>
      <c r="Z118" s="76">
        <v>128.4</v>
      </c>
      <c r="AA118" s="76">
        <v>123.6</v>
      </c>
      <c r="AB118" s="76">
        <v>130.1</v>
      </c>
      <c r="AC118" s="76">
        <v>130.1</v>
      </c>
      <c r="AD118" s="76">
        <v>130</v>
      </c>
      <c r="AE118" s="76">
        <v>132.1</v>
      </c>
      <c r="AF118" s="76">
        <v>126.9</v>
      </c>
      <c r="AG118" s="117"/>
      <c r="AH118" s="48">
        <f t="shared" si="35"/>
        <v>136.5</v>
      </c>
      <c r="AI118" s="49">
        <f t="shared" si="36"/>
        <v>122</v>
      </c>
    </row>
    <row r="119" spans="1:35" ht="15.75" thickBot="1" x14ac:dyDescent="0.3">
      <c r="A119" s="116" t="s">
        <v>139</v>
      </c>
      <c r="B119" s="105">
        <v>63.7</v>
      </c>
      <c r="C119" s="105">
        <v>63.7</v>
      </c>
      <c r="D119" s="105">
        <v>63.7</v>
      </c>
      <c r="E119" s="105">
        <v>64.2</v>
      </c>
      <c r="F119" s="105">
        <v>64.3</v>
      </c>
      <c r="G119" s="105">
        <v>64.099999999999994</v>
      </c>
      <c r="H119" s="105">
        <v>65</v>
      </c>
      <c r="I119" s="105">
        <v>64.3</v>
      </c>
      <c r="J119" s="105">
        <v>63</v>
      </c>
      <c r="K119" s="105">
        <v>63</v>
      </c>
      <c r="L119" s="105">
        <v>63</v>
      </c>
      <c r="M119" s="105">
        <v>62.3</v>
      </c>
      <c r="N119" s="105">
        <v>61</v>
      </c>
      <c r="O119" s="105">
        <v>60.4</v>
      </c>
      <c r="P119" s="105">
        <v>61</v>
      </c>
      <c r="Q119" s="105">
        <v>59.4</v>
      </c>
      <c r="R119" s="105">
        <v>60</v>
      </c>
      <c r="S119" s="105">
        <v>60.8</v>
      </c>
      <c r="T119" s="105">
        <v>61.5</v>
      </c>
      <c r="U119" s="105">
        <v>62.5</v>
      </c>
      <c r="V119" s="105">
        <v>61.9</v>
      </c>
      <c r="W119" s="105">
        <v>61.9</v>
      </c>
      <c r="X119" s="105">
        <v>62.5</v>
      </c>
      <c r="Y119" s="105">
        <v>62.5</v>
      </c>
      <c r="Z119" s="105">
        <v>62.6</v>
      </c>
      <c r="AA119" s="105">
        <v>62</v>
      </c>
      <c r="AB119" s="105">
        <v>63</v>
      </c>
      <c r="AC119" s="105">
        <v>63</v>
      </c>
      <c r="AD119" s="105">
        <v>63</v>
      </c>
      <c r="AE119" s="105">
        <v>63.9</v>
      </c>
      <c r="AF119" s="105">
        <v>64.099999999999994</v>
      </c>
      <c r="AG119" s="121"/>
      <c r="AH119" s="48">
        <f t="shared" si="35"/>
        <v>65</v>
      </c>
      <c r="AI119" s="49">
        <f t="shared" si="36"/>
        <v>59.4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5"/>
        <v>0</v>
      </c>
      <c r="AI120" s="49">
        <f t="shared" si="36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101.84</v>
      </c>
      <c r="C121" s="124">
        <f>SUM(C25,C31,C34:C35,C69,C71:C72,C74,C76,C122:C126,C158,C164,C170,C179,C181,C193,C200,C203:C204,C211,C213,C215,C219:C221,C223:C225,C230,C236:C237,C239:C241,C249,C254)</f>
        <v>101.34</v>
      </c>
      <c r="D121" s="124">
        <f>SUM(D25,D31,D34:D35,D69,D71:D72,D74,D76,D122:D126,D158,D164,D170,D179,D181,D193,D200,D203:D204,D211,D213,D215,D219:D221,D223:D225,D230,D236:D237,D239:D241,D249,D254)</f>
        <v>54.54000000000002</v>
      </c>
      <c r="E121" s="124">
        <f t="shared" ref="E121:O121" si="51">SUM(E25,E31,E34:E35,E69,E71:E72,E74,E76,E122:E126,E158,E164,E170,E179,E181,E193,E200,E203:E204,E211,E213,E215,E219:E221,E223:E225,E230,E236:E237,E239:E241,E249,E254)</f>
        <v>43.239999999999995</v>
      </c>
      <c r="F121" s="124">
        <f t="shared" si="51"/>
        <v>42.54000000000002</v>
      </c>
      <c r="G121" s="124">
        <f t="shared" si="51"/>
        <v>60.54000000000002</v>
      </c>
      <c r="H121" s="124">
        <f t="shared" si="51"/>
        <v>72.64</v>
      </c>
      <c r="I121" s="124">
        <f t="shared" si="51"/>
        <v>99.839999999999975</v>
      </c>
      <c r="J121" s="124">
        <f t="shared" si="51"/>
        <v>155.04000000000002</v>
      </c>
      <c r="K121" s="124">
        <f t="shared" si="51"/>
        <v>159.83999999999997</v>
      </c>
      <c r="L121" s="124">
        <f t="shared" si="51"/>
        <v>159.83999999999997</v>
      </c>
      <c r="M121" s="124">
        <f t="shared" si="51"/>
        <v>215.23999999999998</v>
      </c>
      <c r="N121" s="124">
        <f t="shared" si="51"/>
        <v>205.14000000000001</v>
      </c>
      <c r="O121" s="124">
        <f t="shared" si="51"/>
        <v>175.53999999999996</v>
      </c>
      <c r="P121" s="124">
        <v>42</v>
      </c>
      <c r="Q121" s="124">
        <f t="shared" ref="Q121:X121" si="52">SUM(Q25,Q31,Q34:Q35,Q69,Q71:Q72,Q74,Q76,Q122:Q126,Q158,Q164,Q170,Q179,Q181,Q193,Q200,Q203:Q204,Q211,Q213,Q215,Q219:Q221,Q223:Q225,Q230,Q236:Q237,Q239:Q241,Q249,Q254)</f>
        <v>217.64</v>
      </c>
      <c r="R121" s="124">
        <f t="shared" si="52"/>
        <v>212.14</v>
      </c>
      <c r="S121" s="124">
        <f t="shared" si="52"/>
        <v>216.03999999999996</v>
      </c>
      <c r="T121" s="124">
        <f t="shared" si="52"/>
        <v>210.14</v>
      </c>
      <c r="U121" s="124">
        <f t="shared" si="52"/>
        <v>198.83999999999997</v>
      </c>
      <c r="V121" s="124">
        <f t="shared" si="52"/>
        <v>228.04</v>
      </c>
      <c r="W121" s="124">
        <f t="shared" si="52"/>
        <v>243.64000000000004</v>
      </c>
      <c r="X121" s="124">
        <f t="shared" si="52"/>
        <v>238.14000000000004</v>
      </c>
      <c r="Y121" s="124">
        <f>SUM(Y23,Y29,Y40:Y41,Y69,Y71:Y72,Y74,Y76,Y122:Y126,Y151,Y157,Y163,Y172,Y174,Y186,Y193,Y196:Y197,Y204,Y206,Y208,Y212:Y214,Y216:Y218,Y223,Y229:Y230,Y232:Y234,Y242,Y247)</f>
        <v>241.09999999999997</v>
      </c>
      <c r="Z121" s="124">
        <f>SUM(Z23,Z29,Z40:Z41,Z69,Z71:Z72,Z74,Z76,Z122:Z126,Z151,Z157,Z163,Z172,Z174,Z186,Z193,Z196:Z197,Z204,Z206,Z208,Z212:Z214,Z216:Z218,Z223,Z229:Z230,Z232:Z234,Z242,Z247)</f>
        <v>249.2</v>
      </c>
      <c r="AA121" s="124">
        <f t="shared" ref="AA121:AF121" si="53">SUM(AA25,AA31,AA34:AA35,AA69,AA71:AA72,AA74,AA76,AA122:AA126,AA158,AA164,AA170,AA179,AA181,AA193,AA200,AA203:AA204,AA211,AA213,AA215,AA219:AA221,AA223:AA225,AA230,AA236:AA237,AA239:AA241,AA249,AA254)</f>
        <v>253.84000000000003</v>
      </c>
      <c r="AB121" s="124">
        <f t="shared" si="53"/>
        <v>237.94</v>
      </c>
      <c r="AC121" s="124">
        <f t="shared" si="53"/>
        <v>237.94</v>
      </c>
      <c r="AD121" s="124">
        <f t="shared" si="53"/>
        <v>175.24</v>
      </c>
      <c r="AE121" s="124">
        <f t="shared" si="53"/>
        <v>109.04000000000002</v>
      </c>
      <c r="AF121" s="124">
        <f t="shared" si="53"/>
        <v>72.440000000000026</v>
      </c>
      <c r="AG121" s="125"/>
      <c r="AH121" s="48">
        <f t="shared" si="35"/>
        <v>253.84000000000003</v>
      </c>
      <c r="AI121" s="49">
        <f t="shared" si="36"/>
        <v>42</v>
      </c>
    </row>
    <row r="122" spans="1:35" x14ac:dyDescent="0.25">
      <c r="A122" s="126" t="s">
        <v>142</v>
      </c>
      <c r="B122" s="127">
        <v>88</v>
      </c>
      <c r="C122" s="127">
        <v>88</v>
      </c>
      <c r="D122" s="127">
        <v>100</v>
      </c>
      <c r="E122" s="127">
        <v>78.400000000000006</v>
      </c>
      <c r="F122" s="127">
        <v>76</v>
      </c>
      <c r="G122" s="127">
        <v>82</v>
      </c>
      <c r="H122" s="127">
        <v>69.400000000000006</v>
      </c>
      <c r="I122" s="127">
        <v>69.400000000000006</v>
      </c>
      <c r="J122" s="127">
        <v>70</v>
      </c>
      <c r="K122" s="127">
        <v>70</v>
      </c>
      <c r="L122" s="127">
        <v>70</v>
      </c>
      <c r="M122" s="127">
        <v>59</v>
      </c>
      <c r="N122" s="127">
        <v>65.900000000000006</v>
      </c>
      <c r="O122" s="127">
        <v>68</v>
      </c>
      <c r="P122" s="127">
        <v>81.099999999999994</v>
      </c>
      <c r="Q122" s="127">
        <v>72</v>
      </c>
      <c r="R122" s="127">
        <v>64</v>
      </c>
      <c r="S122" s="127">
        <v>56.6</v>
      </c>
      <c r="T122" s="127">
        <v>58.4</v>
      </c>
      <c r="U122" s="127">
        <v>58.3</v>
      </c>
      <c r="V122" s="127">
        <v>75.599999999999994</v>
      </c>
      <c r="W122" s="127">
        <v>74.900000000000006</v>
      </c>
      <c r="X122" s="127">
        <v>74.900000000000006</v>
      </c>
      <c r="Y122" s="127">
        <v>80.2</v>
      </c>
      <c r="Z122" s="127">
        <v>81.7</v>
      </c>
      <c r="AA122" s="127">
        <v>79.900000000000006</v>
      </c>
      <c r="AB122" s="127">
        <v>85.6</v>
      </c>
      <c r="AC122" s="127">
        <v>85.6</v>
      </c>
      <c r="AD122" s="127">
        <v>69</v>
      </c>
      <c r="AE122" s="127">
        <v>59</v>
      </c>
      <c r="AF122" s="127">
        <v>49</v>
      </c>
      <c r="AG122" s="128">
        <v>75</v>
      </c>
      <c r="AH122" s="48">
        <f t="shared" si="35"/>
        <v>100</v>
      </c>
      <c r="AI122" s="49">
        <f t="shared" si="36"/>
        <v>49</v>
      </c>
    </row>
    <row r="123" spans="1:35" x14ac:dyDescent="0.25">
      <c r="A123" s="129" t="s">
        <v>143</v>
      </c>
      <c r="B123" s="130">
        <v>59</v>
      </c>
      <c r="C123" s="130">
        <v>59</v>
      </c>
      <c r="D123" s="130">
        <v>69</v>
      </c>
      <c r="E123" s="130">
        <v>110</v>
      </c>
      <c r="F123" s="130">
        <v>108</v>
      </c>
      <c r="G123" s="130">
        <v>118</v>
      </c>
      <c r="H123" s="130">
        <v>106.2</v>
      </c>
      <c r="I123" s="130">
        <v>104</v>
      </c>
      <c r="J123" s="130">
        <v>104</v>
      </c>
      <c r="K123" s="130">
        <v>104</v>
      </c>
      <c r="L123" s="130">
        <v>104</v>
      </c>
      <c r="M123" s="130">
        <v>88</v>
      </c>
      <c r="N123" s="130">
        <v>98</v>
      </c>
      <c r="O123" s="130">
        <v>101</v>
      </c>
      <c r="P123" s="130">
        <v>120</v>
      </c>
      <c r="Q123" s="130">
        <v>102</v>
      </c>
      <c r="R123" s="130">
        <v>95</v>
      </c>
      <c r="S123" s="130">
        <v>87.6</v>
      </c>
      <c r="T123" s="130">
        <v>89.4</v>
      </c>
      <c r="U123" s="130">
        <v>90.2</v>
      </c>
      <c r="V123" s="130">
        <v>118.2</v>
      </c>
      <c r="W123" s="130">
        <v>107.8</v>
      </c>
      <c r="X123" s="130">
        <v>107.8</v>
      </c>
      <c r="Y123" s="130">
        <v>115.2</v>
      </c>
      <c r="Z123" s="130">
        <v>118.5</v>
      </c>
      <c r="AA123" s="130">
        <v>114.3</v>
      </c>
      <c r="AB123" s="130">
        <v>124</v>
      </c>
      <c r="AC123" s="130">
        <v>124</v>
      </c>
      <c r="AD123" s="130">
        <v>104</v>
      </c>
      <c r="AE123" s="130">
        <v>88</v>
      </c>
      <c r="AF123" s="130">
        <v>74</v>
      </c>
      <c r="AG123" s="128">
        <v>240</v>
      </c>
      <c r="AH123" s="48">
        <f t="shared" si="35"/>
        <v>124</v>
      </c>
      <c r="AI123" s="49">
        <f t="shared" si="36"/>
        <v>59</v>
      </c>
    </row>
    <row r="124" spans="1:35" x14ac:dyDescent="0.25">
      <c r="A124" s="129" t="s">
        <v>144</v>
      </c>
      <c r="B124" s="130">
        <v>-182</v>
      </c>
      <c r="C124" s="130">
        <v>-182</v>
      </c>
      <c r="D124" s="130">
        <v>-160</v>
      </c>
      <c r="E124" s="130">
        <v>-182</v>
      </c>
      <c r="F124" s="130">
        <v>-176</v>
      </c>
      <c r="G124" s="130">
        <v>-189</v>
      </c>
      <c r="H124" s="130">
        <v>-163</v>
      </c>
      <c r="I124" s="130">
        <v>-150</v>
      </c>
      <c r="J124" s="130">
        <v>-164</v>
      </c>
      <c r="K124" s="130">
        <v>-164</v>
      </c>
      <c r="L124" s="130">
        <v>-164</v>
      </c>
      <c r="M124" s="130">
        <v>-132</v>
      </c>
      <c r="N124" s="130">
        <v>-146</v>
      </c>
      <c r="O124" s="130">
        <v>-140</v>
      </c>
      <c r="P124" s="130">
        <v>-149</v>
      </c>
      <c r="Q124" s="130">
        <v>-140</v>
      </c>
      <c r="R124" s="130">
        <v>-140</v>
      </c>
      <c r="S124" s="130">
        <f>-66-68</f>
        <v>-134</v>
      </c>
      <c r="T124" s="130">
        <f>-66-72</f>
        <v>-138</v>
      </c>
      <c r="U124" s="130">
        <f>-71-74</f>
        <v>-145</v>
      </c>
      <c r="V124" s="130">
        <f>-77-81.1</f>
        <v>-158.1</v>
      </c>
      <c r="W124" s="130">
        <f>-66-71</f>
        <v>-137</v>
      </c>
      <c r="X124" s="130">
        <f>-66-71</f>
        <v>-137</v>
      </c>
      <c r="Y124" s="130">
        <f>-73-77</f>
        <v>-150</v>
      </c>
      <c r="Z124" s="130">
        <f>-71-75</f>
        <v>-146</v>
      </c>
      <c r="AA124" s="130">
        <f>-66-70</f>
        <v>-136</v>
      </c>
      <c r="AB124" s="130">
        <v>-155</v>
      </c>
      <c r="AC124" s="130">
        <v>-155</v>
      </c>
      <c r="AD124" s="130">
        <v>-160</v>
      </c>
      <c r="AE124" s="130">
        <v>-180</v>
      </c>
      <c r="AF124" s="130">
        <v>-180</v>
      </c>
      <c r="AG124" s="128">
        <v>240</v>
      </c>
      <c r="AH124" s="48">
        <f t="shared" si="35"/>
        <v>-132</v>
      </c>
      <c r="AI124" s="49">
        <f t="shared" si="36"/>
        <v>-189</v>
      </c>
    </row>
    <row r="125" spans="1:35" ht="15.75" thickBot="1" x14ac:dyDescent="0.3">
      <c r="A125" s="129" t="s">
        <v>145</v>
      </c>
      <c r="B125" s="130">
        <v>-23.6</v>
      </c>
      <c r="C125" s="130">
        <v>-23.6</v>
      </c>
      <c r="D125" s="130">
        <v>-19</v>
      </c>
      <c r="E125" s="130">
        <v>-20</v>
      </c>
      <c r="F125" s="130">
        <v>-22</v>
      </c>
      <c r="G125" s="130">
        <v>-21</v>
      </c>
      <c r="H125" s="130">
        <v>-18.2</v>
      </c>
      <c r="I125" s="130">
        <v>-12</v>
      </c>
      <c r="J125" s="130">
        <v>-14</v>
      </c>
      <c r="K125" s="130">
        <v>-14</v>
      </c>
      <c r="L125" s="130">
        <v>-14</v>
      </c>
      <c r="M125" s="130">
        <v>-5.6</v>
      </c>
      <c r="N125" s="130">
        <v>-1.6</v>
      </c>
      <c r="O125" s="130">
        <v>-3.3</v>
      </c>
      <c r="P125" s="130">
        <v>-4.2</v>
      </c>
      <c r="Q125" s="130">
        <v>-2.2000000000000002</v>
      </c>
      <c r="R125" s="130">
        <v>-5.7</v>
      </c>
      <c r="S125" s="130">
        <v>-6.3</v>
      </c>
      <c r="T125" s="130">
        <v>-8</v>
      </c>
      <c r="U125" s="130">
        <v>-1</v>
      </c>
      <c r="V125" s="130">
        <v>-10.9</v>
      </c>
      <c r="W125" s="130">
        <v>-4.7</v>
      </c>
      <c r="X125" s="130">
        <v>-4.7</v>
      </c>
      <c r="Y125" s="130">
        <v>-7.4</v>
      </c>
      <c r="Z125" s="130">
        <v>-6.8</v>
      </c>
      <c r="AA125" s="130">
        <v>-5.2</v>
      </c>
      <c r="AB125" s="130">
        <v>-6.5</v>
      </c>
      <c r="AC125" s="130">
        <v>-6.5</v>
      </c>
      <c r="AD125" s="130">
        <v>-7.8</v>
      </c>
      <c r="AE125" s="130">
        <v>-17</v>
      </c>
      <c r="AF125" s="130">
        <v>-25</v>
      </c>
      <c r="AG125" s="128">
        <v>60</v>
      </c>
      <c r="AH125" s="48">
        <f t="shared" si="35"/>
        <v>-1</v>
      </c>
      <c r="AI125" s="49">
        <f t="shared" si="36"/>
        <v>-25</v>
      </c>
    </row>
    <row r="126" spans="1:35" x14ac:dyDescent="0.25">
      <c r="A126" s="126" t="s">
        <v>146</v>
      </c>
      <c r="B126" s="131">
        <v>17</v>
      </c>
      <c r="C126" s="131">
        <v>17</v>
      </c>
      <c r="D126" s="131">
        <v>-82</v>
      </c>
      <c r="E126" s="131">
        <v>-89.7</v>
      </c>
      <c r="F126" s="131">
        <v>-90</v>
      </c>
      <c r="G126" s="131">
        <v>-76</v>
      </c>
      <c r="H126" s="131">
        <v>-68.3</v>
      </c>
      <c r="I126" s="131">
        <v>-59</v>
      </c>
      <c r="J126" s="131">
        <v>14</v>
      </c>
      <c r="K126" s="131">
        <v>14</v>
      </c>
      <c r="L126" s="131">
        <v>14</v>
      </c>
      <c r="M126" s="131">
        <v>56</v>
      </c>
      <c r="N126" s="131">
        <v>39</v>
      </c>
      <c r="O126" s="131"/>
      <c r="P126" s="131">
        <v>30.5</v>
      </c>
      <c r="Q126" s="131">
        <v>36</v>
      </c>
      <c r="R126" s="131">
        <v>49</v>
      </c>
      <c r="S126" s="131">
        <v>46.5</v>
      </c>
      <c r="T126" s="131">
        <v>41.7</v>
      </c>
      <c r="U126" s="131">
        <v>41.5</v>
      </c>
      <c r="V126" s="131">
        <v>48.4</v>
      </c>
      <c r="W126" s="131">
        <v>53.8</v>
      </c>
      <c r="X126" s="131">
        <v>53.8</v>
      </c>
      <c r="Y126" s="131">
        <v>40.4</v>
      </c>
      <c r="Z126" s="131">
        <v>39.700000000000003</v>
      </c>
      <c r="AA126" s="131">
        <v>54.8</v>
      </c>
      <c r="AB126" s="131">
        <v>43.8</v>
      </c>
      <c r="AC126" s="131">
        <v>43.8</v>
      </c>
      <c r="AD126" s="131">
        <v>24</v>
      </c>
      <c r="AE126" s="131">
        <v>13</v>
      </c>
      <c r="AF126" s="131">
        <v>8.4</v>
      </c>
      <c r="AG126" s="132">
        <v>120</v>
      </c>
      <c r="AH126" s="48">
        <f t="shared" si="35"/>
        <v>56</v>
      </c>
      <c r="AI126" s="49">
        <f t="shared" si="36"/>
        <v>-90</v>
      </c>
    </row>
    <row r="127" spans="1:35" x14ac:dyDescent="0.25">
      <c r="A127" s="129" t="s">
        <v>147</v>
      </c>
      <c r="B127" s="131">
        <v>74</v>
      </c>
      <c r="C127" s="131">
        <v>74</v>
      </c>
      <c r="D127" s="131">
        <v>35</v>
      </c>
      <c r="E127" s="131">
        <v>34</v>
      </c>
      <c r="F127" s="131">
        <v>34.1</v>
      </c>
      <c r="G127" s="131">
        <v>39</v>
      </c>
      <c r="H127" s="131">
        <v>43.4</v>
      </c>
      <c r="I127" s="131">
        <v>51</v>
      </c>
      <c r="J127" s="131">
        <v>80.099999999999994</v>
      </c>
      <c r="K127" s="131">
        <v>80.099999999999994</v>
      </c>
      <c r="L127" s="131">
        <v>80.099999999999994</v>
      </c>
      <c r="M127" s="131">
        <v>88</v>
      </c>
      <c r="N127" s="131">
        <v>98</v>
      </c>
      <c r="O127" s="131">
        <v>102</v>
      </c>
      <c r="P127" s="131">
        <v>91.7</v>
      </c>
      <c r="Q127" s="131">
        <v>97</v>
      </c>
      <c r="R127" s="131">
        <v>97</v>
      </c>
      <c r="S127" s="131">
        <v>102.2</v>
      </c>
      <c r="T127" s="131">
        <v>98.3</v>
      </c>
      <c r="U127" s="131">
        <v>97.6</v>
      </c>
      <c r="V127" s="131">
        <v>90.1</v>
      </c>
      <c r="W127" s="131">
        <v>82.7</v>
      </c>
      <c r="X127" s="131">
        <v>82.7</v>
      </c>
      <c r="Y127" s="131">
        <v>94</v>
      </c>
      <c r="Z127" s="131">
        <v>98.5</v>
      </c>
      <c r="AA127" s="131">
        <v>105.6</v>
      </c>
      <c r="AB127" s="131">
        <v>100.5</v>
      </c>
      <c r="AC127" s="131">
        <v>100.5</v>
      </c>
      <c r="AD127" s="131">
        <v>96</v>
      </c>
      <c r="AE127" s="131">
        <v>89</v>
      </c>
      <c r="AF127" s="131">
        <v>86</v>
      </c>
      <c r="AG127" s="132"/>
      <c r="AH127" s="48">
        <f t="shared" si="35"/>
        <v>105.6</v>
      </c>
      <c r="AI127" s="49">
        <f t="shared" si="36"/>
        <v>34</v>
      </c>
    </row>
    <row r="128" spans="1:35" x14ac:dyDescent="0.25">
      <c r="A128" s="129" t="s">
        <v>148</v>
      </c>
      <c r="B128" s="131">
        <v>35</v>
      </c>
      <c r="C128" s="131">
        <v>35</v>
      </c>
      <c r="D128" s="131">
        <v>-9</v>
      </c>
      <c r="E128" s="131">
        <v>-9</v>
      </c>
      <c r="F128" s="131">
        <v>-10</v>
      </c>
      <c r="G128" s="131">
        <v>-11</v>
      </c>
      <c r="H128" s="131">
        <v>-12</v>
      </c>
      <c r="I128" s="131">
        <v>-13.1</v>
      </c>
      <c r="J128" s="131">
        <v>15</v>
      </c>
      <c r="K128" s="131">
        <v>15</v>
      </c>
      <c r="L128" s="131">
        <v>15</v>
      </c>
      <c r="M128" s="131">
        <v>12</v>
      </c>
      <c r="N128" s="131">
        <v>32</v>
      </c>
      <c r="O128" s="131">
        <v>28</v>
      </c>
      <c r="P128" s="131">
        <v>42.5</v>
      </c>
      <c r="Q128" s="131">
        <v>28.9</v>
      </c>
      <c r="R128" s="131">
        <v>33</v>
      </c>
      <c r="S128" s="131">
        <v>45.5</v>
      </c>
      <c r="T128" s="131">
        <v>29.8</v>
      </c>
      <c r="U128" s="131">
        <v>32.6</v>
      </c>
      <c r="V128" s="131">
        <v>17.5</v>
      </c>
      <c r="W128" s="131">
        <v>-3.2</v>
      </c>
      <c r="X128" s="131">
        <v>-3.2</v>
      </c>
      <c r="Y128" s="131">
        <v>-0.6</v>
      </c>
      <c r="Z128" s="131">
        <v>-7.6</v>
      </c>
      <c r="AA128" s="131">
        <v>-2.8</v>
      </c>
      <c r="AB128" s="131">
        <v>1.6</v>
      </c>
      <c r="AC128" s="131">
        <v>1.6</v>
      </c>
      <c r="AD128" s="131">
        <v>22</v>
      </c>
      <c r="AE128" s="131">
        <v>51</v>
      </c>
      <c r="AF128" s="131">
        <v>64</v>
      </c>
      <c r="AG128" s="132"/>
      <c r="AH128" s="48">
        <f t="shared" si="35"/>
        <v>64</v>
      </c>
      <c r="AI128" s="49">
        <f t="shared" si="36"/>
        <v>-13.1</v>
      </c>
    </row>
    <row r="129" spans="1:37" ht="15.75" thickBot="1" x14ac:dyDescent="0.3">
      <c r="A129" s="129" t="s">
        <v>149</v>
      </c>
      <c r="B129" s="131">
        <v>14</v>
      </c>
      <c r="C129" s="131">
        <v>14</v>
      </c>
      <c r="D129" s="131">
        <v>29</v>
      </c>
      <c r="E129" s="131">
        <v>13</v>
      </c>
      <c r="F129" s="131">
        <v>24</v>
      </c>
      <c r="G129" s="131">
        <v>12</v>
      </c>
      <c r="H129" s="131">
        <v>17</v>
      </c>
      <c r="I129" s="131">
        <v>34</v>
      </c>
      <c r="J129" s="131">
        <v>28</v>
      </c>
      <c r="K129" s="131">
        <v>28</v>
      </c>
      <c r="L129" s="131">
        <v>28</v>
      </c>
      <c r="M129" s="131">
        <v>39</v>
      </c>
      <c r="N129" s="131">
        <v>48</v>
      </c>
      <c r="O129" s="131">
        <v>55</v>
      </c>
      <c r="P129" s="131">
        <v>71.7</v>
      </c>
      <c r="Q129" s="131">
        <v>50</v>
      </c>
      <c r="R129" s="131">
        <v>53</v>
      </c>
      <c r="S129" s="131">
        <v>65.3</v>
      </c>
      <c r="T129" s="131">
        <v>55.1</v>
      </c>
      <c r="U129" s="131">
        <v>48.6</v>
      </c>
      <c r="V129" s="131">
        <v>51.8</v>
      </c>
      <c r="W129" s="131">
        <v>48.6</v>
      </c>
      <c r="X129" s="131">
        <v>48.6</v>
      </c>
      <c r="Y129" s="131">
        <v>53.4</v>
      </c>
      <c r="Z129" s="131">
        <v>-10.4</v>
      </c>
      <c r="AA129" s="131">
        <v>61.5</v>
      </c>
      <c r="AB129" s="131">
        <v>47</v>
      </c>
      <c r="AC129" s="131">
        <v>47</v>
      </c>
      <c r="AD129" s="131">
        <v>44</v>
      </c>
      <c r="AE129" s="131">
        <v>40</v>
      </c>
      <c r="AF129" s="131">
        <v>34</v>
      </c>
      <c r="AG129" s="128"/>
      <c r="AH129" s="48">
        <f>MAX(B129:AF129)</f>
        <v>71.7</v>
      </c>
      <c r="AI129" s="49">
        <f>MIN(B129:AF129)</f>
        <v>-10.4</v>
      </c>
    </row>
    <row r="130" spans="1:37" x14ac:dyDescent="0.25">
      <c r="A130" s="126" t="s">
        <v>150</v>
      </c>
      <c r="B130" s="131">
        <v>-361</v>
      </c>
      <c r="C130" s="131">
        <v>-361</v>
      </c>
      <c r="D130" s="131">
        <v>-380</v>
      </c>
      <c r="E130" s="131">
        <v>-378</v>
      </c>
      <c r="F130" s="131">
        <v>-380</v>
      </c>
      <c r="G130" s="131">
        <v>-371</v>
      </c>
      <c r="H130" s="131">
        <v>-367</v>
      </c>
      <c r="I130" s="131">
        <v>-362</v>
      </c>
      <c r="J130" s="131">
        <v>-329</v>
      </c>
      <c r="K130" s="131">
        <v>-329</v>
      </c>
      <c r="L130" s="131">
        <v>-329</v>
      </c>
      <c r="M130" s="131">
        <v>-325</v>
      </c>
      <c r="N130" s="131">
        <v>-336</v>
      </c>
      <c r="O130" s="131">
        <v>-323</v>
      </c>
      <c r="P130" s="131">
        <v>-298</v>
      </c>
      <c r="Q130" s="131">
        <v>-315</v>
      </c>
      <c r="R130" s="131">
        <v>-328</v>
      </c>
      <c r="S130" s="131">
        <v>-317</v>
      </c>
      <c r="T130" s="131">
        <v>-319</v>
      </c>
      <c r="U130" s="131">
        <v>-328.6</v>
      </c>
      <c r="V130" s="131">
        <v>-470</v>
      </c>
      <c r="W130" s="131">
        <v>-309.8</v>
      </c>
      <c r="X130" s="131">
        <v>-309.8</v>
      </c>
      <c r="Y130" s="131">
        <v>-321.10000000000002</v>
      </c>
      <c r="Z130" s="131">
        <v>-316</v>
      </c>
      <c r="AA130" s="131">
        <v>-309</v>
      </c>
      <c r="AB130" s="131">
        <v>-330</v>
      </c>
      <c r="AC130" s="131">
        <v>-330</v>
      </c>
      <c r="AD130" s="131">
        <v>-340</v>
      </c>
      <c r="AE130" s="131">
        <v>-344</v>
      </c>
      <c r="AF130" s="131">
        <v>-348</v>
      </c>
      <c r="AG130" s="128"/>
      <c r="AH130" s="48">
        <f>MAX(B130:AF130)</f>
        <v>-298</v>
      </c>
      <c r="AI130" s="49">
        <f>MIN(B130:AF130)</f>
        <v>-470</v>
      </c>
    </row>
    <row r="131" spans="1:37" x14ac:dyDescent="0.25">
      <c r="A131" s="129" t="s">
        <v>151</v>
      </c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28"/>
      <c r="AH131" s="48">
        <f>MAX(B131:AF131)</f>
        <v>0</v>
      </c>
      <c r="AI131" s="49">
        <f>MIN(B131:AF131)</f>
        <v>0</v>
      </c>
    </row>
    <row r="132" spans="1:37" x14ac:dyDescent="0.25">
      <c r="A132" s="129" t="s">
        <v>152</v>
      </c>
      <c r="B132" s="119">
        <v>2</v>
      </c>
      <c r="C132" s="119">
        <v>2</v>
      </c>
      <c r="D132" s="119">
        <v>10</v>
      </c>
      <c r="E132" s="119">
        <v>34</v>
      </c>
      <c r="F132" s="119">
        <v>27</v>
      </c>
      <c r="G132" s="119">
        <v>25.3</v>
      </c>
      <c r="H132" s="119">
        <v>23</v>
      </c>
      <c r="I132" s="119">
        <v>-2.2999999999999998</v>
      </c>
      <c r="J132" s="119">
        <v>1.7</v>
      </c>
      <c r="K132" s="119">
        <v>1.7</v>
      </c>
      <c r="L132" s="119">
        <v>1.7</v>
      </c>
      <c r="M132" s="119">
        <v>-1.5</v>
      </c>
      <c r="N132" s="119">
        <v>7.2</v>
      </c>
      <c r="O132" s="119">
        <v>4.7</v>
      </c>
      <c r="P132" s="119">
        <v>-1.4</v>
      </c>
      <c r="Q132" s="119">
        <v>4.2</v>
      </c>
      <c r="R132" s="119">
        <v>-10</v>
      </c>
      <c r="S132" s="119">
        <v>-7.9</v>
      </c>
      <c r="T132" s="119">
        <v>-6.2</v>
      </c>
      <c r="U132" s="119">
        <v>7.9</v>
      </c>
      <c r="V132" s="119">
        <v>-1.7</v>
      </c>
      <c r="W132" s="119">
        <v>-15.2</v>
      </c>
      <c r="X132" s="119">
        <v>-15.2</v>
      </c>
      <c r="Y132" s="119">
        <v>-20.100000000000001</v>
      </c>
      <c r="Z132" s="119">
        <v>-10.199999999999999</v>
      </c>
      <c r="AA132" s="119">
        <v>-9.6</v>
      </c>
      <c r="AB132" s="119">
        <v>-4.5999999999999996</v>
      </c>
      <c r="AC132" s="119">
        <v>-4.5999999999999996</v>
      </c>
      <c r="AD132" s="119">
        <v>-3.2</v>
      </c>
      <c r="AE132" s="119">
        <v>0</v>
      </c>
      <c r="AF132" s="119">
        <v>-0.8</v>
      </c>
      <c r="AG132" s="128"/>
      <c r="AH132" s="48">
        <f>MAX(B132:AF132)</f>
        <v>34</v>
      </c>
      <c r="AI132" s="49">
        <f>MIN(B132:AF132)</f>
        <v>-20.100000000000001</v>
      </c>
    </row>
    <row r="133" spans="1:37" ht="15.75" thickBot="1" x14ac:dyDescent="0.3">
      <c r="A133" s="129" t="s">
        <v>153</v>
      </c>
      <c r="B133" s="119">
        <v>57</v>
      </c>
      <c r="C133" s="119">
        <v>57</v>
      </c>
      <c r="D133" s="119">
        <v>48</v>
      </c>
      <c r="E133" s="119">
        <v>36</v>
      </c>
      <c r="F133" s="119">
        <v>39</v>
      </c>
      <c r="G133" s="119">
        <v>37</v>
      </c>
      <c r="H133" s="119">
        <v>35</v>
      </c>
      <c r="I133" s="119">
        <v>45</v>
      </c>
      <c r="J133" s="119">
        <v>49.2</v>
      </c>
      <c r="K133" s="119">
        <v>49.2</v>
      </c>
      <c r="L133" s="119">
        <v>49.2</v>
      </c>
      <c r="M133" s="119">
        <v>47.8</v>
      </c>
      <c r="N133" s="119">
        <v>42.5</v>
      </c>
      <c r="O133" s="119">
        <v>45</v>
      </c>
      <c r="P133" s="119">
        <v>43.2</v>
      </c>
      <c r="Q133" s="119">
        <v>46.8</v>
      </c>
      <c r="R133" s="119">
        <v>54</v>
      </c>
      <c r="S133" s="119">
        <v>53.5</v>
      </c>
      <c r="T133" s="119">
        <v>52.9</v>
      </c>
      <c r="U133" s="119">
        <v>44.4</v>
      </c>
      <c r="V133" s="119">
        <v>45.5</v>
      </c>
      <c r="W133" s="119">
        <v>46.3</v>
      </c>
      <c r="X133" s="119">
        <v>46.3</v>
      </c>
      <c r="Y133" s="119">
        <v>44.8</v>
      </c>
      <c r="Z133" s="119">
        <v>48.3</v>
      </c>
      <c r="AA133" s="119">
        <v>46.6</v>
      </c>
      <c r="AB133" s="119">
        <v>53</v>
      </c>
      <c r="AC133" s="119">
        <v>53</v>
      </c>
      <c r="AD133" s="119">
        <v>57</v>
      </c>
      <c r="AE133" s="119">
        <v>59</v>
      </c>
      <c r="AF133" s="119">
        <v>57</v>
      </c>
      <c r="AG133" s="128"/>
      <c r="AH133" s="48">
        <f>MAX(B133:AF133)</f>
        <v>59</v>
      </c>
      <c r="AI133" s="49">
        <f>MIN(B133:AF133)</f>
        <v>35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 t="s">
        <v>162</v>
      </c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1484.17</v>
      </c>
      <c r="C140" s="142"/>
      <c r="D140" s="142"/>
      <c r="E140" s="142"/>
      <c r="F140" s="142"/>
      <c r="G140" s="142"/>
      <c r="H140" s="142">
        <v>1484.22</v>
      </c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>
        <v>1484.28</v>
      </c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4">SUM(B142:B246)</f>
        <v>0</v>
      </c>
      <c r="C247" s="161">
        <f t="shared" si="54"/>
        <v>0</v>
      </c>
      <c r="D247" s="161">
        <f t="shared" si="54"/>
        <v>0</v>
      </c>
      <c r="E247" s="161">
        <f t="shared" si="54"/>
        <v>0</v>
      </c>
      <c r="F247" s="161">
        <f t="shared" si="54"/>
        <v>0</v>
      </c>
      <c r="G247" s="161">
        <f t="shared" si="54"/>
        <v>0</v>
      </c>
      <c r="H247" s="161">
        <f t="shared" si="54"/>
        <v>0</v>
      </c>
      <c r="I247" s="161">
        <f t="shared" si="54"/>
        <v>0</v>
      </c>
      <c r="J247" s="161">
        <f t="shared" si="54"/>
        <v>0</v>
      </c>
      <c r="K247" s="161">
        <f t="shared" si="54"/>
        <v>0</v>
      </c>
      <c r="L247" s="161">
        <f t="shared" si="54"/>
        <v>0</v>
      </c>
      <c r="M247" s="161">
        <f t="shared" si="54"/>
        <v>0</v>
      </c>
      <c r="N247" s="161">
        <f t="shared" si="54"/>
        <v>0</v>
      </c>
      <c r="O247" s="161">
        <f t="shared" si="54"/>
        <v>0</v>
      </c>
      <c r="P247" s="161">
        <f t="shared" si="54"/>
        <v>0</v>
      </c>
      <c r="Q247" s="161">
        <f t="shared" si="54"/>
        <v>0</v>
      </c>
      <c r="R247" s="161">
        <f t="shared" si="54"/>
        <v>0</v>
      </c>
      <c r="S247" s="161">
        <f t="shared" si="54"/>
        <v>0</v>
      </c>
      <c r="T247" s="161">
        <f t="shared" si="54"/>
        <v>0</v>
      </c>
      <c r="U247" s="161">
        <f t="shared" si="54"/>
        <v>0</v>
      </c>
      <c r="V247" s="161">
        <f t="shared" si="54"/>
        <v>0</v>
      </c>
      <c r="W247" s="161">
        <f t="shared" si="54"/>
        <v>0</v>
      </c>
      <c r="X247" s="161">
        <f t="shared" si="54"/>
        <v>0</v>
      </c>
      <c r="Y247" s="161">
        <f t="shared" si="54"/>
        <v>0</v>
      </c>
      <c r="Z247" s="161">
        <f t="shared" si="54"/>
        <v>0</v>
      </c>
      <c r="AA247" s="161">
        <f t="shared" si="54"/>
        <v>0</v>
      </c>
      <c r="AB247" s="161">
        <f t="shared" si="54"/>
        <v>0</v>
      </c>
      <c r="AC247" s="161">
        <f t="shared" si="54"/>
        <v>0</v>
      </c>
      <c r="AD247" s="161">
        <f t="shared" si="54"/>
        <v>0</v>
      </c>
      <c r="AE247" s="161">
        <f t="shared" si="54"/>
        <v>0</v>
      </c>
      <c r="AF247" s="162">
        <f t="shared" si="54"/>
        <v>0</v>
      </c>
      <c r="AG247" s="163">
        <f t="shared" si="5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5">AF249</f>
        <v>0.3</v>
      </c>
      <c r="C249" s="166">
        <v>0.3</v>
      </c>
      <c r="D249" s="166">
        <f t="shared" ref="D249:S254" si="56">C249</f>
        <v>0.3</v>
      </c>
      <c r="E249" s="166">
        <f t="shared" si="56"/>
        <v>0.3</v>
      </c>
      <c r="F249" s="166">
        <f t="shared" si="56"/>
        <v>0.3</v>
      </c>
      <c r="G249" s="166">
        <f t="shared" si="56"/>
        <v>0.3</v>
      </c>
      <c r="H249" s="166">
        <f t="shared" si="56"/>
        <v>0.3</v>
      </c>
      <c r="I249" s="166">
        <f t="shared" si="56"/>
        <v>0.3</v>
      </c>
      <c r="J249" s="166">
        <f t="shared" si="56"/>
        <v>0.3</v>
      </c>
      <c r="K249" s="166">
        <f t="shared" si="56"/>
        <v>0.3</v>
      </c>
      <c r="L249" s="166">
        <f t="shared" si="56"/>
        <v>0.3</v>
      </c>
      <c r="M249" s="166">
        <f t="shared" si="56"/>
        <v>0.3</v>
      </c>
      <c r="N249" s="166">
        <f t="shared" si="56"/>
        <v>0.3</v>
      </c>
      <c r="O249" s="166">
        <f t="shared" si="56"/>
        <v>0.3</v>
      </c>
      <c r="P249" s="166">
        <f t="shared" si="56"/>
        <v>0.3</v>
      </c>
      <c r="Q249" s="166">
        <f t="shared" si="56"/>
        <v>0.3</v>
      </c>
      <c r="R249" s="166">
        <f t="shared" si="56"/>
        <v>0.3</v>
      </c>
      <c r="S249" s="166">
        <f t="shared" si="56"/>
        <v>0.3</v>
      </c>
      <c r="T249" s="166">
        <f t="shared" ref="T249:AF254" si="57">S249</f>
        <v>0.3</v>
      </c>
      <c r="U249" s="166">
        <f t="shared" si="57"/>
        <v>0.3</v>
      </c>
      <c r="V249" s="166">
        <f t="shared" si="57"/>
        <v>0.3</v>
      </c>
      <c r="W249" s="166">
        <f t="shared" si="57"/>
        <v>0.3</v>
      </c>
      <c r="X249" s="166">
        <f t="shared" si="57"/>
        <v>0.3</v>
      </c>
      <c r="Y249" s="166">
        <f t="shared" si="57"/>
        <v>0.3</v>
      </c>
      <c r="Z249" s="166">
        <f t="shared" si="57"/>
        <v>0.3</v>
      </c>
      <c r="AA249" s="166">
        <f t="shared" si="57"/>
        <v>0.3</v>
      </c>
      <c r="AB249" s="166">
        <f t="shared" si="57"/>
        <v>0.3</v>
      </c>
      <c r="AC249" s="166">
        <f t="shared" si="57"/>
        <v>0.3</v>
      </c>
      <c r="AD249" s="166">
        <f t="shared" si="57"/>
        <v>0.3</v>
      </c>
      <c r="AE249" s="166">
        <f t="shared" si="57"/>
        <v>0.3</v>
      </c>
      <c r="AF249" s="166">
        <f t="shared" si="5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5"/>
        <v>0.4</v>
      </c>
      <c r="C250" s="152">
        <v>0.4</v>
      </c>
      <c r="D250" s="152">
        <f t="shared" si="56"/>
        <v>0.4</v>
      </c>
      <c r="E250" s="152">
        <f t="shared" si="56"/>
        <v>0.4</v>
      </c>
      <c r="F250" s="152">
        <f t="shared" si="56"/>
        <v>0.4</v>
      </c>
      <c r="G250" s="152">
        <f t="shared" si="56"/>
        <v>0.4</v>
      </c>
      <c r="H250" s="152">
        <f t="shared" si="56"/>
        <v>0.4</v>
      </c>
      <c r="I250" s="152">
        <f t="shared" si="56"/>
        <v>0.4</v>
      </c>
      <c r="J250" s="152">
        <f t="shared" si="56"/>
        <v>0.4</v>
      </c>
      <c r="K250" s="152">
        <f t="shared" si="56"/>
        <v>0.4</v>
      </c>
      <c r="L250" s="152">
        <f t="shared" si="56"/>
        <v>0.4</v>
      </c>
      <c r="M250" s="152">
        <f t="shared" si="56"/>
        <v>0.4</v>
      </c>
      <c r="N250" s="152">
        <f t="shared" si="56"/>
        <v>0.4</v>
      </c>
      <c r="O250" s="152">
        <f t="shared" si="56"/>
        <v>0.4</v>
      </c>
      <c r="P250" s="152">
        <f t="shared" si="56"/>
        <v>0.4</v>
      </c>
      <c r="Q250" s="152">
        <f t="shared" si="56"/>
        <v>0.4</v>
      </c>
      <c r="R250" s="152">
        <f t="shared" si="56"/>
        <v>0.4</v>
      </c>
      <c r="S250" s="152">
        <f t="shared" si="56"/>
        <v>0.4</v>
      </c>
      <c r="T250" s="152">
        <f t="shared" si="57"/>
        <v>0.4</v>
      </c>
      <c r="U250" s="152">
        <f t="shared" si="57"/>
        <v>0.4</v>
      </c>
      <c r="V250" s="152">
        <f t="shared" si="57"/>
        <v>0.4</v>
      </c>
      <c r="W250" s="152">
        <f t="shared" si="57"/>
        <v>0.4</v>
      </c>
      <c r="X250" s="152">
        <f t="shared" si="57"/>
        <v>0.4</v>
      </c>
      <c r="Y250" s="152">
        <f t="shared" si="57"/>
        <v>0.4</v>
      </c>
      <c r="Z250" s="152">
        <f t="shared" si="57"/>
        <v>0.4</v>
      </c>
      <c r="AA250" s="152">
        <f t="shared" si="57"/>
        <v>0.4</v>
      </c>
      <c r="AB250" s="152">
        <f t="shared" si="57"/>
        <v>0.4</v>
      </c>
      <c r="AC250" s="152">
        <f t="shared" si="57"/>
        <v>0.4</v>
      </c>
      <c r="AD250" s="152">
        <f t="shared" si="57"/>
        <v>0.4</v>
      </c>
      <c r="AE250" s="152">
        <f t="shared" si="57"/>
        <v>0.4</v>
      </c>
      <c r="AF250" s="152">
        <f t="shared" si="5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5"/>
        <v>1.5</v>
      </c>
      <c r="C251" s="152">
        <v>1.5</v>
      </c>
      <c r="D251" s="152">
        <f t="shared" si="56"/>
        <v>1.5</v>
      </c>
      <c r="E251" s="152">
        <f t="shared" si="56"/>
        <v>1.5</v>
      </c>
      <c r="F251" s="152">
        <f t="shared" si="56"/>
        <v>1.5</v>
      </c>
      <c r="G251" s="152">
        <f t="shared" si="56"/>
        <v>1.5</v>
      </c>
      <c r="H251" s="152">
        <f t="shared" si="56"/>
        <v>1.5</v>
      </c>
      <c r="I251" s="152">
        <f t="shared" si="56"/>
        <v>1.5</v>
      </c>
      <c r="J251" s="152">
        <f t="shared" si="56"/>
        <v>1.5</v>
      </c>
      <c r="K251" s="152">
        <f t="shared" si="56"/>
        <v>1.5</v>
      </c>
      <c r="L251" s="152">
        <f t="shared" si="56"/>
        <v>1.5</v>
      </c>
      <c r="M251" s="152">
        <f t="shared" si="56"/>
        <v>1.5</v>
      </c>
      <c r="N251" s="152">
        <f t="shared" si="56"/>
        <v>1.5</v>
      </c>
      <c r="O251" s="152">
        <f t="shared" si="56"/>
        <v>1.5</v>
      </c>
      <c r="P251" s="152">
        <f t="shared" si="56"/>
        <v>1.5</v>
      </c>
      <c r="Q251" s="152">
        <f t="shared" si="56"/>
        <v>1.5</v>
      </c>
      <c r="R251" s="152">
        <f t="shared" si="56"/>
        <v>1.5</v>
      </c>
      <c r="S251" s="152">
        <f t="shared" si="56"/>
        <v>1.5</v>
      </c>
      <c r="T251" s="152">
        <f t="shared" si="57"/>
        <v>1.5</v>
      </c>
      <c r="U251" s="152">
        <f t="shared" si="57"/>
        <v>1.5</v>
      </c>
      <c r="V251" s="152">
        <f t="shared" si="57"/>
        <v>1.5</v>
      </c>
      <c r="W251" s="152">
        <f t="shared" si="57"/>
        <v>1.5</v>
      </c>
      <c r="X251" s="152">
        <f t="shared" si="57"/>
        <v>1.5</v>
      </c>
      <c r="Y251" s="152">
        <f t="shared" si="57"/>
        <v>1.5</v>
      </c>
      <c r="Z251" s="152">
        <f t="shared" si="57"/>
        <v>1.5</v>
      </c>
      <c r="AA251" s="152">
        <f t="shared" si="57"/>
        <v>1.5</v>
      </c>
      <c r="AB251" s="152">
        <f t="shared" si="57"/>
        <v>1.5</v>
      </c>
      <c r="AC251" s="152">
        <f t="shared" si="57"/>
        <v>1.5</v>
      </c>
      <c r="AD251" s="152">
        <f t="shared" si="57"/>
        <v>1.5</v>
      </c>
      <c r="AE251" s="152">
        <f t="shared" si="57"/>
        <v>1.5</v>
      </c>
      <c r="AF251" s="152">
        <f t="shared" si="5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5"/>
        <v>0.3</v>
      </c>
      <c r="C252" s="152">
        <v>0.3</v>
      </c>
      <c r="D252" s="152">
        <f t="shared" si="56"/>
        <v>0.3</v>
      </c>
      <c r="E252" s="152">
        <f t="shared" si="56"/>
        <v>0.3</v>
      </c>
      <c r="F252" s="152">
        <f t="shared" si="56"/>
        <v>0.3</v>
      </c>
      <c r="G252" s="152">
        <f t="shared" si="56"/>
        <v>0.3</v>
      </c>
      <c r="H252" s="152">
        <f t="shared" si="56"/>
        <v>0.3</v>
      </c>
      <c r="I252" s="152">
        <f t="shared" si="56"/>
        <v>0.3</v>
      </c>
      <c r="J252" s="152">
        <f t="shared" si="56"/>
        <v>0.3</v>
      </c>
      <c r="K252" s="152">
        <f t="shared" si="56"/>
        <v>0.3</v>
      </c>
      <c r="L252" s="152">
        <f t="shared" si="56"/>
        <v>0.3</v>
      </c>
      <c r="M252" s="152">
        <f t="shared" si="56"/>
        <v>0.3</v>
      </c>
      <c r="N252" s="152">
        <f t="shared" si="56"/>
        <v>0.3</v>
      </c>
      <c r="O252" s="152">
        <f t="shared" si="56"/>
        <v>0.3</v>
      </c>
      <c r="P252" s="152">
        <f t="shared" si="56"/>
        <v>0.3</v>
      </c>
      <c r="Q252" s="152">
        <f t="shared" si="56"/>
        <v>0.3</v>
      </c>
      <c r="R252" s="152">
        <f t="shared" si="56"/>
        <v>0.3</v>
      </c>
      <c r="S252" s="152">
        <f t="shared" si="56"/>
        <v>0.3</v>
      </c>
      <c r="T252" s="152">
        <f t="shared" si="57"/>
        <v>0.3</v>
      </c>
      <c r="U252" s="152">
        <f t="shared" si="57"/>
        <v>0.3</v>
      </c>
      <c r="V252" s="152">
        <f t="shared" si="57"/>
        <v>0.3</v>
      </c>
      <c r="W252" s="152">
        <f t="shared" si="57"/>
        <v>0.3</v>
      </c>
      <c r="X252" s="152">
        <f t="shared" si="57"/>
        <v>0.3</v>
      </c>
      <c r="Y252" s="152">
        <f t="shared" si="57"/>
        <v>0.3</v>
      </c>
      <c r="Z252" s="152">
        <f t="shared" si="57"/>
        <v>0.3</v>
      </c>
      <c r="AA252" s="152">
        <f t="shared" si="57"/>
        <v>0.3</v>
      </c>
      <c r="AB252" s="152">
        <f t="shared" si="57"/>
        <v>0.3</v>
      </c>
      <c r="AC252" s="152">
        <f t="shared" si="57"/>
        <v>0.3</v>
      </c>
      <c r="AD252" s="152">
        <f t="shared" si="57"/>
        <v>0.3</v>
      </c>
      <c r="AE252" s="152">
        <f t="shared" si="57"/>
        <v>0.3</v>
      </c>
      <c r="AF252" s="152">
        <f t="shared" si="5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5"/>
        <v>0.4</v>
      </c>
      <c r="C253" s="152">
        <v>0.4</v>
      </c>
      <c r="D253" s="152">
        <f t="shared" si="56"/>
        <v>0.4</v>
      </c>
      <c r="E253" s="152">
        <f t="shared" si="56"/>
        <v>0.4</v>
      </c>
      <c r="F253" s="152">
        <f t="shared" si="56"/>
        <v>0.4</v>
      </c>
      <c r="G253" s="152">
        <f t="shared" si="56"/>
        <v>0.4</v>
      </c>
      <c r="H253" s="152">
        <f t="shared" si="56"/>
        <v>0.4</v>
      </c>
      <c r="I253" s="152">
        <f t="shared" si="56"/>
        <v>0.4</v>
      </c>
      <c r="J253" s="152">
        <f t="shared" si="56"/>
        <v>0.4</v>
      </c>
      <c r="K253" s="152">
        <f t="shared" si="56"/>
        <v>0.4</v>
      </c>
      <c r="L253" s="152">
        <f t="shared" si="56"/>
        <v>0.4</v>
      </c>
      <c r="M253" s="152">
        <f t="shared" si="56"/>
        <v>0.4</v>
      </c>
      <c r="N253" s="152">
        <f t="shared" si="56"/>
        <v>0.4</v>
      </c>
      <c r="O253" s="152">
        <f t="shared" si="56"/>
        <v>0.4</v>
      </c>
      <c r="P253" s="152">
        <f t="shared" si="56"/>
        <v>0.4</v>
      </c>
      <c r="Q253" s="152">
        <f t="shared" si="56"/>
        <v>0.4</v>
      </c>
      <c r="R253" s="152">
        <f t="shared" si="56"/>
        <v>0.4</v>
      </c>
      <c r="S253" s="152">
        <f t="shared" si="56"/>
        <v>0.4</v>
      </c>
      <c r="T253" s="152">
        <f t="shared" si="57"/>
        <v>0.4</v>
      </c>
      <c r="U253" s="152">
        <f t="shared" si="57"/>
        <v>0.4</v>
      </c>
      <c r="V253" s="152">
        <f t="shared" si="57"/>
        <v>0.4</v>
      </c>
      <c r="W253" s="152">
        <f t="shared" si="57"/>
        <v>0.4</v>
      </c>
      <c r="X253" s="152">
        <f t="shared" si="57"/>
        <v>0.4</v>
      </c>
      <c r="Y253" s="152">
        <f t="shared" si="57"/>
        <v>0.4</v>
      </c>
      <c r="Z253" s="152">
        <f t="shared" si="57"/>
        <v>0.4</v>
      </c>
      <c r="AA253" s="152">
        <f t="shared" si="57"/>
        <v>0.4</v>
      </c>
      <c r="AB253" s="152">
        <f t="shared" si="57"/>
        <v>0.4</v>
      </c>
      <c r="AC253" s="152">
        <f t="shared" si="57"/>
        <v>0.4</v>
      </c>
      <c r="AD253" s="152">
        <f t="shared" si="57"/>
        <v>0.4</v>
      </c>
      <c r="AE253" s="152">
        <f t="shared" si="57"/>
        <v>0.4</v>
      </c>
      <c r="AF253" s="152">
        <f t="shared" si="5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5"/>
        <v>0.64</v>
      </c>
      <c r="C254" s="157">
        <v>0.64</v>
      </c>
      <c r="D254" s="157">
        <f t="shared" si="56"/>
        <v>0.64</v>
      </c>
      <c r="E254" s="157">
        <f t="shared" si="56"/>
        <v>0.64</v>
      </c>
      <c r="F254" s="157">
        <f t="shared" si="56"/>
        <v>0.64</v>
      </c>
      <c r="G254" s="157">
        <f t="shared" si="56"/>
        <v>0.64</v>
      </c>
      <c r="H254" s="157">
        <f t="shared" si="56"/>
        <v>0.64</v>
      </c>
      <c r="I254" s="157">
        <f t="shared" si="56"/>
        <v>0.64</v>
      </c>
      <c r="J254" s="157">
        <f t="shared" si="56"/>
        <v>0.64</v>
      </c>
      <c r="K254" s="157">
        <f t="shared" si="56"/>
        <v>0.64</v>
      </c>
      <c r="L254" s="157">
        <f t="shared" si="56"/>
        <v>0.64</v>
      </c>
      <c r="M254" s="157">
        <f t="shared" si="56"/>
        <v>0.64</v>
      </c>
      <c r="N254" s="157">
        <f t="shared" si="56"/>
        <v>0.64</v>
      </c>
      <c r="O254" s="157">
        <f t="shared" si="56"/>
        <v>0.64</v>
      </c>
      <c r="P254" s="157">
        <f t="shared" si="56"/>
        <v>0.64</v>
      </c>
      <c r="Q254" s="157">
        <f t="shared" si="56"/>
        <v>0.64</v>
      </c>
      <c r="R254" s="157">
        <f t="shared" si="56"/>
        <v>0.64</v>
      </c>
      <c r="S254" s="157">
        <f t="shared" si="56"/>
        <v>0.64</v>
      </c>
      <c r="T254" s="157">
        <f t="shared" si="57"/>
        <v>0.64</v>
      </c>
      <c r="U254" s="157">
        <f t="shared" si="57"/>
        <v>0.64</v>
      </c>
      <c r="V254" s="157">
        <f t="shared" si="57"/>
        <v>0.64</v>
      </c>
      <c r="W254" s="157">
        <f t="shared" si="57"/>
        <v>0.64</v>
      </c>
      <c r="X254" s="157">
        <f t="shared" si="57"/>
        <v>0.64</v>
      </c>
      <c r="Y254" s="157">
        <f t="shared" si="57"/>
        <v>0.64</v>
      </c>
      <c r="Z254" s="157">
        <f t="shared" si="57"/>
        <v>0.64</v>
      </c>
      <c r="AA254" s="157">
        <f t="shared" si="57"/>
        <v>0.64</v>
      </c>
      <c r="AB254" s="157">
        <f t="shared" si="57"/>
        <v>0.64</v>
      </c>
      <c r="AC254" s="157">
        <f t="shared" si="57"/>
        <v>0.64</v>
      </c>
      <c r="AD254" s="157">
        <f t="shared" si="57"/>
        <v>0.64</v>
      </c>
      <c r="AE254" s="157">
        <f t="shared" si="57"/>
        <v>0.64</v>
      </c>
      <c r="AF254" s="157">
        <f t="shared" si="5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8">SUM(B249:B254)</f>
        <v>3.54</v>
      </c>
      <c r="C255" s="161">
        <f t="shared" si="58"/>
        <v>3.54</v>
      </c>
      <c r="D255" s="161">
        <f t="shared" si="58"/>
        <v>3.54</v>
      </c>
      <c r="E255" s="161">
        <f t="shared" si="58"/>
        <v>3.54</v>
      </c>
      <c r="F255" s="161">
        <f t="shared" si="58"/>
        <v>3.54</v>
      </c>
      <c r="G255" s="161">
        <f t="shared" si="58"/>
        <v>3.54</v>
      </c>
      <c r="H255" s="161">
        <f t="shared" si="58"/>
        <v>3.54</v>
      </c>
      <c r="I255" s="161">
        <f t="shared" si="58"/>
        <v>3.54</v>
      </c>
      <c r="J255" s="161">
        <f t="shared" si="58"/>
        <v>3.54</v>
      </c>
      <c r="K255" s="161">
        <f t="shared" si="58"/>
        <v>3.54</v>
      </c>
      <c r="L255" s="161">
        <f t="shared" si="58"/>
        <v>3.54</v>
      </c>
      <c r="M255" s="161">
        <f t="shared" si="58"/>
        <v>3.54</v>
      </c>
      <c r="N255" s="161">
        <f t="shared" si="58"/>
        <v>3.54</v>
      </c>
      <c r="O255" s="161">
        <f t="shared" si="58"/>
        <v>3.54</v>
      </c>
      <c r="P255" s="161">
        <f t="shared" si="58"/>
        <v>3.54</v>
      </c>
      <c r="Q255" s="161">
        <f t="shared" si="58"/>
        <v>3.54</v>
      </c>
      <c r="R255" s="161">
        <f t="shared" si="58"/>
        <v>3.54</v>
      </c>
      <c r="S255" s="161">
        <f t="shared" si="58"/>
        <v>3.54</v>
      </c>
      <c r="T255" s="161">
        <f t="shared" si="58"/>
        <v>3.54</v>
      </c>
      <c r="U255" s="161">
        <f t="shared" si="58"/>
        <v>3.54</v>
      </c>
      <c r="V255" s="161">
        <f t="shared" si="58"/>
        <v>3.54</v>
      </c>
      <c r="W255" s="161">
        <f t="shared" si="58"/>
        <v>3.54</v>
      </c>
      <c r="X255" s="161">
        <f t="shared" si="58"/>
        <v>3.54</v>
      </c>
      <c r="Y255" s="161">
        <f t="shared" si="58"/>
        <v>3.54</v>
      </c>
      <c r="Z255" s="161">
        <f t="shared" si="58"/>
        <v>3.54</v>
      </c>
      <c r="AA255" s="161">
        <f t="shared" si="58"/>
        <v>3.54</v>
      </c>
      <c r="AB255" s="161">
        <f t="shared" si="58"/>
        <v>3.54</v>
      </c>
      <c r="AC255" s="161">
        <f t="shared" si="58"/>
        <v>3.54</v>
      </c>
      <c r="AD255" s="161">
        <f t="shared" si="58"/>
        <v>3.54</v>
      </c>
      <c r="AE255" s="161">
        <f t="shared" si="58"/>
        <v>3.54</v>
      </c>
      <c r="AF255" s="161">
        <f t="shared" si="58"/>
        <v>3.54</v>
      </c>
      <c r="AG255" s="171">
        <f t="shared" si="5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1965.44</v>
      </c>
      <c r="C259" s="174">
        <f>INDEX(G9:N9,1,MATCH(MAX(G102:N102),G102:N102,0))</f>
        <v>0.27083333333333331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2080/10/16)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2352" priority="80">
      <formula>$AH11=0</formula>
    </cfRule>
  </conditionalFormatting>
  <conditionalFormatting sqref="A89">
    <cfRule type="expression" dxfId="2351" priority="138">
      <formula>$AH94=0</formula>
    </cfRule>
  </conditionalFormatting>
  <conditionalFormatting sqref="A90:A94">
    <cfRule type="expression" dxfId="2350" priority="81">
      <formula>$AH89=0</formula>
    </cfRule>
  </conditionalFormatting>
  <conditionalFormatting sqref="B8">
    <cfRule type="expression" dxfId="2349" priority="134">
      <formula>AND(C$9&gt;=14/24,C$9&lt;20/24)</formula>
    </cfRule>
    <cfRule type="expression" dxfId="2348" priority="135">
      <formula>AND(C$9&gt;=8/24,C$9&lt;14/24)</formula>
    </cfRule>
    <cfRule type="expression" dxfId="2347" priority="136">
      <formula>C$9&lt;8/24</formula>
    </cfRule>
    <cfRule type="expression" dxfId="2346" priority="137">
      <formula>C$9&gt;=20/24</formula>
    </cfRule>
  </conditionalFormatting>
  <conditionalFormatting sqref="B11:H57 I12:R57 S15:AF57 M62:R64 B62:L77 M66:O77 P69:AF77 M72:T77 B80:AF102 B9:AF10 B104:AF120 B122:AF140 B247:AF247 B249:B255">
    <cfRule type="expression" dxfId="2345" priority="41">
      <formula>B$9&gt;=20/24</formula>
    </cfRule>
  </conditionalFormatting>
  <conditionalFormatting sqref="B11:H83 M12:R60 I12:L83 Y15:AF58 S15:T60 W15:X61 U15:V77 AA60:AF60 T24:U24 T25:V25 T28:V28 T32:V32 T38:U38 T49:U49 T57:AF57 Y61:AG61 M61:T77 W62:AF64 W65:AG65 W66:AF77 M78:AF83 AG83">
    <cfRule type="expression" dxfId="2344" priority="40">
      <formula>B11&gt;$AG11</formula>
    </cfRule>
  </conditionalFormatting>
  <conditionalFormatting sqref="B9:AF10 B11:H57 I12:R57 S15:AF57 M62:R64 B62:L77 M66:O77 P69:AF77 M72:T77 B80:AF102 B104:AF120 B122:AF140 B247:AF247 B249:B255">
    <cfRule type="expression" dxfId="2343" priority="42">
      <formula>AND(B$9&gt;=14/24,B$9&lt;20/24)</formula>
    </cfRule>
    <cfRule type="expression" dxfId="2342" priority="43">
      <formula>AND(B$9&gt;=8/24,B$9&lt;14/24)</formula>
    </cfRule>
    <cfRule type="expression" dxfId="2341" priority="44">
      <formula>B$9&lt;8/24</formula>
    </cfRule>
  </conditionalFormatting>
  <conditionalFormatting sqref="B58:AF60">
    <cfRule type="expression" dxfId="2340" priority="37">
      <formula>B$9&gt;=20/24</formula>
    </cfRule>
    <cfRule type="expression" dxfId="2339" priority="38">
      <formula>AND(B$9&gt;=14/24,B$9&lt;20/24)</formula>
    </cfRule>
    <cfRule type="expression" dxfId="2338" priority="39">
      <formula>AND(B$9&gt;=8/24,B$9&lt;14/24)</formula>
    </cfRule>
    <cfRule type="expression" dxfId="2337" priority="49">
      <formula>B$9&lt;8/24</formula>
    </cfRule>
  </conditionalFormatting>
  <conditionalFormatting sqref="D249:AF255">
    <cfRule type="expression" dxfId="2336" priority="119">
      <formula>D$9&gt;=20/24</formula>
    </cfRule>
    <cfRule type="expression" dxfId="2335" priority="120">
      <formula>AND(D$9&gt;=14/24,D$9&lt;20/24)</formula>
    </cfRule>
    <cfRule type="expression" dxfId="2334" priority="121">
      <formula>AND(D$9&gt;=8/24,D$9&lt;14/24)</formula>
    </cfRule>
    <cfRule type="expression" dxfId="2333" priority="122">
      <formula>D$9&lt;8/24</formula>
    </cfRule>
  </conditionalFormatting>
  <conditionalFormatting sqref="I11:AA11 AB11:AF14 S12:AA14">
    <cfRule type="expression" dxfId="2332" priority="54">
      <formula>I11&gt;$AG11</formula>
    </cfRule>
    <cfRule type="expression" dxfId="2331" priority="55">
      <formula>I$9&gt;=20/24</formula>
    </cfRule>
    <cfRule type="expression" dxfId="2330" priority="56">
      <formula>AND(I$9&gt;=14/24,I$9&lt;20/24)</formula>
    </cfRule>
    <cfRule type="expression" dxfId="2329" priority="57">
      <formula>AND(I$9&gt;=8/24,I$9&lt;14/24)</formula>
    </cfRule>
    <cfRule type="expression" dxfId="2328" priority="58">
      <formula>I$9&lt;8/24</formula>
    </cfRule>
  </conditionalFormatting>
  <conditionalFormatting sqref="M8 S8 AB8">
    <cfRule type="expression" dxfId="2327" priority="126">
      <formula>AND(N$9&gt;=14/24,N$9&lt;20/24)</formula>
    </cfRule>
    <cfRule type="expression" dxfId="2326" priority="127">
      <formula>AND(N$9&gt;=8/24,N$9&lt;14/24)</formula>
    </cfRule>
    <cfRule type="expression" dxfId="2325" priority="128">
      <formula>N$9&lt;8/24</formula>
    </cfRule>
  </conditionalFormatting>
  <conditionalFormatting sqref="M62:AF65">
    <cfRule type="expression" dxfId="2324" priority="60">
      <formula>M$9&gt;=20/24</formula>
    </cfRule>
    <cfRule type="expression" dxfId="2323" priority="61">
      <formula>AND(M$9&gt;=14/24,M$9&lt;20/24)</formula>
    </cfRule>
    <cfRule type="expression" dxfId="2322" priority="62">
      <formula>AND(M$9&gt;=8/24,M$9&lt;14/24)</formula>
    </cfRule>
    <cfRule type="expression" dxfId="2321" priority="63">
      <formula>M$9&lt;8/24</formula>
    </cfRule>
  </conditionalFormatting>
  <conditionalFormatting sqref="M66:AF71">
    <cfRule type="expression" dxfId="2320" priority="68">
      <formula>M$9&gt;=20/24</formula>
    </cfRule>
    <cfRule type="expression" dxfId="2319" priority="69">
      <formula>AND(M$9&gt;=14/24,M$9&lt;20/24)</formula>
    </cfRule>
    <cfRule type="expression" dxfId="2318" priority="70">
      <formula>AND(M$9&gt;=8/24,M$9&lt;14/24)</formula>
    </cfRule>
    <cfRule type="expression" dxfId="2317" priority="71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316" priority="125">
      <formula>N$9&gt;=20/24</formula>
    </cfRule>
  </conditionalFormatting>
  <conditionalFormatting sqref="S8">
    <cfRule type="expression" dxfId="2315" priority="112">
      <formula>U$9&gt;=20/24</formula>
    </cfRule>
    <cfRule type="expression" dxfId="2314" priority="113">
      <formula>AND(U$9&gt;=14/24,U$9&lt;20/24)</formula>
    </cfRule>
    <cfRule type="expression" dxfId="2313" priority="114">
      <formula>AND(U$9&gt;=8/24,U$9&lt;14/24)</formula>
    </cfRule>
    <cfRule type="expression" dxfId="2312" priority="115">
      <formula>U$9&lt;8/24</formula>
    </cfRule>
  </conditionalFormatting>
  <conditionalFormatting sqref="T66:AF71">
    <cfRule type="expression" dxfId="2311" priority="64">
      <formula>T$9&gt;=20/24</formula>
    </cfRule>
    <cfRule type="expression" dxfId="2310" priority="65">
      <formula>AND(T$9&gt;=14/24,T$9&lt;20/24)</formula>
    </cfRule>
    <cfRule type="expression" dxfId="2309" priority="66">
      <formula>AND(T$9&gt;=8/24,T$9&lt;14/24)</formula>
    </cfRule>
    <cfRule type="expression" dxfId="2308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A59:AF59 Y59:Z60">
    <cfRule type="expression" dxfId="2307" priority="59">
      <formula>Y59&gt;$AG59</formula>
    </cfRule>
  </conditionalFormatting>
  <conditionalFormatting sqref="AB8">
    <cfRule type="expression" dxfId="2306" priority="108">
      <formula>AD$9&gt;=20/24</formula>
    </cfRule>
    <cfRule type="expression" dxfId="2305" priority="109">
      <formula>AND(AD$9&gt;=14/24,AD$9&lt;20/24)</formula>
    </cfRule>
    <cfRule type="expression" dxfId="2304" priority="110">
      <formula>AND(AD$9&gt;=8/24,AD$9&lt;14/24)</formula>
    </cfRule>
    <cfRule type="expression" dxfId="2303" priority="111">
      <formula>AD$9&lt;8/24</formula>
    </cfRule>
  </conditionalFormatting>
  <conditionalFormatting sqref="AG65">
    <cfRule type="expression" dxfId="2302" priority="87">
      <formula>AG$9&gt;=20/24</formula>
    </cfRule>
    <cfRule type="expression" dxfId="2301" priority="88">
      <formula>AND(AG$9&gt;=14/24,AG$9&lt;20/24)</formula>
    </cfRule>
    <cfRule type="expression" dxfId="2300" priority="89">
      <formula>AND(AG$9&gt;=8/24,AG$9&lt;14/24)</formula>
    </cfRule>
    <cfRule type="expression" dxfId="2299" priority="90">
      <formula>AG$9&lt;8/24</formula>
    </cfRule>
  </conditionalFormatting>
  <conditionalFormatting sqref="AG78:AG79">
    <cfRule type="expression" dxfId="2298" priority="82">
      <formula>AG78&gt;$AG78</formula>
    </cfRule>
  </conditionalFormatting>
  <conditionalFormatting sqref="AG83">
    <cfRule type="expression" dxfId="2297" priority="83">
      <formula>AG$9&gt;=20/24</formula>
    </cfRule>
    <cfRule type="expression" dxfId="2296" priority="84">
      <formula>AND(AG$9&gt;=14/24,AG$9&lt;20/24)</formula>
    </cfRule>
    <cfRule type="expression" dxfId="2295" priority="85">
      <formula>AND(AG$9&gt;=8/24,AG$9&lt;14/24)</formula>
    </cfRule>
    <cfRule type="expression" dxfId="2294" priority="86">
      <formula>AG$9&lt;8/24</formula>
    </cfRule>
  </conditionalFormatting>
  <conditionalFormatting sqref="AG100">
    <cfRule type="expression" dxfId="2293" priority="104">
      <formula>AG$9&gt;=20/24</formula>
    </cfRule>
    <cfRule type="expression" dxfId="2292" priority="105">
      <formula>AND(AG$9&gt;=14/24,AG$9&lt;20/24)</formula>
    </cfRule>
    <cfRule type="expression" dxfId="2291" priority="106">
      <formula>AND(AG$9&gt;=8/24,AG$9&lt;14/24)</formula>
    </cfRule>
    <cfRule type="expression" dxfId="2290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289" priority="129">
      <formula>AJ$9&gt;=20/24</formula>
    </cfRule>
    <cfRule type="expression" dxfId="2288" priority="130">
      <formula>AND(AJ$9&gt;=14/24,AJ$9&lt;20/24)</formula>
    </cfRule>
    <cfRule type="expression" dxfId="2287" priority="131">
      <formula>AND(AJ$9&gt;=8/24,AJ$9&lt;14/24)</formula>
    </cfRule>
    <cfRule type="expression" dxfId="2286" priority="132">
      <formula>AJ$9&lt;8/24</formula>
    </cfRule>
  </conditionalFormatting>
  <conditionalFormatting sqref="AL86:AN86 AL92:AN92">
    <cfRule type="expression" dxfId="2285" priority="97">
      <formula>AL$9&gt;=20/24</formula>
    </cfRule>
    <cfRule type="expression" dxfId="2284" priority="98">
      <formula>AND(AL$9&gt;=14/24,AL$9&lt;20/24)</formula>
    </cfRule>
    <cfRule type="expression" dxfId="2283" priority="99">
      <formula>AND(AL$9&gt;=8/24,AL$9&lt;14/24)</formula>
    </cfRule>
    <cfRule type="expression" dxfId="2282" priority="100">
      <formula>AL$9&lt;8/24</formula>
    </cfRule>
  </conditionalFormatting>
  <conditionalFormatting sqref="AM15:AM21 AN16:AR21">
    <cfRule type="expression" dxfId="2281" priority="13">
      <formula>AX$9&gt;=20/24</formula>
    </cfRule>
    <cfRule type="expression" dxfId="2280" priority="14">
      <formula>AND(AX$9&gt;=14/24,AX$9&lt;20/24)</formula>
    </cfRule>
    <cfRule type="expression" dxfId="2279" priority="15">
      <formula>AND(AX$9&gt;=8/24,AX$9&lt;14/24)</formula>
    </cfRule>
    <cfRule type="expression" dxfId="2278" priority="16">
      <formula>AX$9&lt;8/24</formula>
    </cfRule>
  </conditionalFormatting>
  <conditionalFormatting sqref="AN87:AN90">
    <cfRule type="expression" dxfId="2277" priority="93">
      <formula>AN$9&gt;=20/24</formula>
    </cfRule>
    <cfRule type="expression" dxfId="2276" priority="94">
      <formula>AND(AN$9&gt;=14/24,AN$9&lt;20/24)</formula>
    </cfRule>
    <cfRule type="expression" dxfId="2275" priority="95">
      <formula>AND(AN$9&gt;=8/24,AN$9&lt;14/24)</formula>
    </cfRule>
    <cfRule type="expression" dxfId="2274" priority="96">
      <formula>AN$9&lt;8/24</formula>
    </cfRule>
  </conditionalFormatting>
  <conditionalFormatting sqref="AN15:AR15">
    <cfRule type="expression" dxfId="2273" priority="1">
      <formula>U$9&gt;=20/24</formula>
    </cfRule>
    <cfRule type="expression" dxfId="2272" priority="2">
      <formula>AND(U$9&gt;=14/24,U$9&lt;20/24)</formula>
    </cfRule>
    <cfRule type="expression" dxfId="2271" priority="3">
      <formula>AND(U$9&gt;=8/24,U$9&lt;14/24)</formula>
    </cfRule>
    <cfRule type="expression" dxfId="2270" priority="4">
      <formula>U$9&lt;8/24</formula>
    </cfRule>
  </conditionalFormatting>
  <conditionalFormatting sqref="AS15">
    <cfRule type="expression" dxfId="2269" priority="9">
      <formula>AA$9&gt;=20/24</formula>
    </cfRule>
    <cfRule type="expression" dxfId="2268" priority="10">
      <formula>AND(AA$9&gt;=14/24,AA$9&lt;20/24)</formula>
    </cfRule>
    <cfRule type="expression" dxfId="2267" priority="11">
      <formula>AND(AA$9&gt;=8/24,AA$9&lt;14/24)</formula>
    </cfRule>
    <cfRule type="expression" dxfId="2266" priority="12">
      <formula>AA$9&lt;8/24</formula>
    </cfRule>
  </conditionalFormatting>
  <conditionalFormatting sqref="AS16:AS21">
    <cfRule type="expression" dxfId="2265" priority="17">
      <formula>BE$9&gt;=20/24</formula>
    </cfRule>
    <cfRule type="expression" dxfId="2264" priority="18">
      <formula>AND(BE$9&gt;=14/24,BE$9&lt;20/24)</formula>
    </cfRule>
    <cfRule type="expression" dxfId="2263" priority="19">
      <formula>AND(BE$9&gt;=8/24,BE$9&lt;14/24)</formula>
    </cfRule>
    <cfRule type="expression" dxfId="2262" priority="20">
      <formula>BE$9&lt;8/24</formula>
    </cfRule>
  </conditionalFormatting>
  <conditionalFormatting sqref="AT15 AX15:BJ15">
    <cfRule type="expression" dxfId="2261" priority="21">
      <formula>AC$9&gt;=20/24</formula>
    </cfRule>
    <cfRule type="expression" dxfId="2260" priority="22">
      <formula>AND(AC$9&gt;=14/24,AC$9&lt;20/24)</formula>
    </cfRule>
    <cfRule type="expression" dxfId="2259" priority="23">
      <formula>AND(AC$9&gt;=8/24,AC$9&lt;14/24)</formula>
    </cfRule>
    <cfRule type="expression" dxfId="2258" priority="24">
      <formula>AC$9&lt;8/24</formula>
    </cfRule>
  </conditionalFormatting>
  <conditionalFormatting sqref="AT16:AT21">
    <cfRule type="expression" dxfId="2257" priority="25">
      <formula>BG$9&gt;=20/24</formula>
    </cfRule>
    <cfRule type="expression" dxfId="2256" priority="26">
      <formula>AND(BG$9&gt;=14/24,BG$9&lt;20/24)</formula>
    </cfRule>
    <cfRule type="expression" dxfId="2255" priority="27">
      <formula>AND(BG$9&gt;=8/24,BG$9&lt;14/24)</formula>
    </cfRule>
    <cfRule type="expression" dxfId="2254" priority="28">
      <formula>BG$9&lt;8/24</formula>
    </cfRule>
  </conditionalFormatting>
  <conditionalFormatting sqref="AU15:AV15">
    <cfRule type="expression" dxfId="2253" priority="29">
      <formula>AE$9&gt;=20/24</formula>
    </cfRule>
    <cfRule type="expression" dxfId="2252" priority="30">
      <formula>AND(AE$9&gt;=14/24,AE$9&lt;20/24)</formula>
    </cfRule>
    <cfRule type="expression" dxfId="2251" priority="31">
      <formula>AND(AE$9&gt;=8/24,AE$9&lt;14/24)</formula>
    </cfRule>
    <cfRule type="expression" dxfId="2250" priority="32">
      <formula>AE$9&lt;8/24</formula>
    </cfRule>
  </conditionalFormatting>
  <conditionalFormatting sqref="AU16:BJ21">
    <cfRule type="expression" dxfId="2249" priority="33">
      <formula>BI$9&gt;=20/24</formula>
    </cfRule>
    <cfRule type="expression" dxfId="2248" priority="34">
      <formula>AND(BI$9&gt;=14/24,BI$9&lt;20/24)</formula>
    </cfRule>
    <cfRule type="expression" dxfId="2247" priority="35">
      <formula>AND(BI$9&gt;=8/24,BI$9&lt;14/24)</formula>
    </cfRule>
    <cfRule type="expression" dxfId="2246" priority="36">
      <formula>BI$9&lt;8/24</formula>
    </cfRule>
  </conditionalFormatting>
  <conditionalFormatting sqref="AW15">
    <cfRule type="expression" dxfId="2245" priority="5">
      <formula>B$9&gt;=20/24</formula>
    </cfRule>
    <cfRule type="expression" dxfId="2244" priority="6">
      <formula>AND(B$9&gt;=14/24,B$9&lt;20/24)</formula>
    </cfRule>
    <cfRule type="expression" dxfId="2243" priority="7">
      <formula>AND(B$9&gt;=8/24,B$9&lt;14/24)</formula>
    </cfRule>
    <cfRule type="expression" dxfId="2242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588B-22E7-45BD-9A29-A7890AD653D4}">
  <dimension ref="A1:CJ297"/>
  <sheetViews>
    <sheetView zoomScale="106" workbookViewId="0">
      <pane xSplit="1" ySplit="10" topLeftCell="H58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8554687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2080/10/17</v>
      </c>
      <c r="C4" s="189"/>
      <c r="D4" s="189"/>
      <c r="E4" s="190" t="str">
        <f ca="1">"2080/"&amp;"10/"&amp;INT(MID(CELL("filename",G6),FIND("]",CELL("filename",G6))+1,200))</f>
        <v>2080/10/17</v>
      </c>
      <c r="F4" s="190"/>
      <c r="G4" s="190"/>
      <c r="H4" s="190" t="str">
        <f ca="1">TEXT(E4,"dddd")</f>
        <v>Thursday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2239MW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Load=1363</v>
      </c>
      <c r="B7" s="35">
        <f t="shared" ref="B7:AF7" si="1">B103</f>
        <v>1524.54</v>
      </c>
      <c r="C7" s="35">
        <f t="shared" si="1"/>
        <v>1477.54</v>
      </c>
      <c r="D7" s="35">
        <f t="shared" si="1"/>
        <v>1390.54</v>
      </c>
      <c r="E7" s="35">
        <f t="shared" si="1"/>
        <v>1459.6399999999999</v>
      </c>
      <c r="F7" s="35">
        <f t="shared" si="1"/>
        <v>1450.54</v>
      </c>
      <c r="G7" s="35">
        <f t="shared" si="1"/>
        <v>1482.14</v>
      </c>
      <c r="H7" s="35">
        <f t="shared" si="1"/>
        <v>1419.6399999999999</v>
      </c>
      <c r="I7" s="35">
        <f t="shared" si="1"/>
        <v>1363.1399999999999</v>
      </c>
      <c r="J7" s="35">
        <f t="shared" si="1"/>
        <v>1499.6399999999999</v>
      </c>
      <c r="K7" s="35">
        <f t="shared" si="1"/>
        <v>1553.54</v>
      </c>
      <c r="L7" s="35">
        <f t="shared" si="1"/>
        <v>1634.8400000000001</v>
      </c>
      <c r="M7" s="35">
        <f t="shared" si="1"/>
        <v>1610.4400000000005</v>
      </c>
      <c r="N7" s="35">
        <f t="shared" si="1"/>
        <v>1657.3400000000001</v>
      </c>
      <c r="O7" s="35">
        <f t="shared" si="1"/>
        <v>1762.0400000000004</v>
      </c>
      <c r="P7" s="35">
        <f t="shared" si="1"/>
        <v>1669.74</v>
      </c>
      <c r="Q7" s="35">
        <f t="shared" si="1"/>
        <v>1772.04</v>
      </c>
      <c r="R7" s="35">
        <f t="shared" si="1"/>
        <v>1741.0400000000004</v>
      </c>
      <c r="S7" s="35">
        <f t="shared" si="1"/>
        <v>1723.0400000000004</v>
      </c>
      <c r="T7" s="35">
        <f t="shared" si="1"/>
        <v>1700.4400000000005</v>
      </c>
      <c r="U7" s="35">
        <f t="shared" si="1"/>
        <v>1639.7400000000002</v>
      </c>
      <c r="V7" s="35">
        <f t="shared" si="1"/>
        <v>1586.04</v>
      </c>
      <c r="W7" s="35">
        <f t="shared" si="1"/>
        <v>1539.6399999999999</v>
      </c>
      <c r="X7" s="35">
        <f t="shared" si="1"/>
        <v>1536.0400000000004</v>
      </c>
      <c r="Y7" s="35">
        <f t="shared" si="1"/>
        <v>1550.1400000000003</v>
      </c>
      <c r="Z7" s="35">
        <f t="shared" si="1"/>
        <v>1628.8400000000001</v>
      </c>
      <c r="AA7" s="35">
        <f t="shared" si="1"/>
        <v>1699.8400000000001</v>
      </c>
      <c r="AB7" s="35">
        <f t="shared" si="1"/>
        <v>1793.3400000000001</v>
      </c>
      <c r="AC7" s="35">
        <f t="shared" si="1"/>
        <v>1687.3400000000001</v>
      </c>
      <c r="AD7" s="35">
        <f t="shared" si="1"/>
        <v>1710.14</v>
      </c>
      <c r="AE7" s="35">
        <f t="shared" si="1"/>
        <v>1706.7400000000002</v>
      </c>
      <c r="AF7" s="35">
        <f t="shared" si="1"/>
        <v>1699.7400000000002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2309.64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1793.34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87.4</v>
      </c>
      <c r="C11" s="46">
        <v>87.4</v>
      </c>
      <c r="D11" s="46">
        <v>87.4</v>
      </c>
      <c r="E11" s="46">
        <v>87</v>
      </c>
      <c r="F11" s="46">
        <v>81</v>
      </c>
      <c r="G11" s="46">
        <v>80</v>
      </c>
      <c r="H11" s="46">
        <v>80</v>
      </c>
      <c r="I11" s="46">
        <v>80</v>
      </c>
      <c r="J11" s="46">
        <v>80</v>
      </c>
      <c r="K11" s="46">
        <v>80</v>
      </c>
      <c r="L11" s="46">
        <v>80.599999999999994</v>
      </c>
      <c r="M11" s="46">
        <v>80.599999999999994</v>
      </c>
      <c r="N11" s="46">
        <v>73.099999999999994</v>
      </c>
      <c r="O11" s="46">
        <v>79.099999999999994</v>
      </c>
      <c r="P11" s="46">
        <v>84.9</v>
      </c>
      <c r="Q11" s="46">
        <v>25.7</v>
      </c>
      <c r="R11" s="46">
        <v>90.2</v>
      </c>
      <c r="S11" s="46">
        <v>90.2</v>
      </c>
      <c r="T11" s="46">
        <v>90.2</v>
      </c>
      <c r="U11" s="46">
        <v>90.2</v>
      </c>
      <c r="V11" s="46">
        <v>87.1</v>
      </c>
      <c r="W11" s="46">
        <v>87.1</v>
      </c>
      <c r="X11" s="46">
        <v>87.1</v>
      </c>
      <c r="Y11" s="46">
        <v>87.1</v>
      </c>
      <c r="Z11" s="46">
        <v>87.1</v>
      </c>
      <c r="AA11" s="46">
        <v>87.1</v>
      </c>
      <c r="AB11" s="46">
        <v>32.4</v>
      </c>
      <c r="AC11" s="46">
        <v>32.4</v>
      </c>
      <c r="AD11" s="46">
        <v>86</v>
      </c>
      <c r="AE11" s="46">
        <v>86</v>
      </c>
      <c r="AF11" s="46">
        <v>86</v>
      </c>
      <c r="AG11" s="47">
        <v>86</v>
      </c>
      <c r="AH11" s="48">
        <f t="shared" ref="AH11:AH74" si="2">MAX(B11:AF11)</f>
        <v>90.2</v>
      </c>
      <c r="AI11" s="49">
        <f t="shared" ref="AI11:AI74" si="3">MIN(B11:AF11)</f>
        <v>25.7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50</v>
      </c>
      <c r="C12" s="46">
        <v>50</v>
      </c>
      <c r="D12" s="46">
        <v>50</v>
      </c>
      <c r="E12" s="46">
        <v>46</v>
      </c>
      <c r="F12" s="46">
        <v>46</v>
      </c>
      <c r="G12" s="46">
        <v>46</v>
      </c>
      <c r="H12" s="46">
        <v>46</v>
      </c>
      <c r="I12" s="46">
        <v>46</v>
      </c>
      <c r="J12" s="46">
        <v>46</v>
      </c>
      <c r="K12" s="46">
        <v>46</v>
      </c>
      <c r="L12" s="46">
        <v>51.9</v>
      </c>
      <c r="M12" s="46">
        <v>51.9</v>
      </c>
      <c r="N12" s="46">
        <v>67.400000000000006</v>
      </c>
      <c r="O12" s="46">
        <v>82.3</v>
      </c>
      <c r="P12" s="46">
        <v>82.3</v>
      </c>
      <c r="Q12" s="46">
        <v>82.3</v>
      </c>
      <c r="R12" s="46">
        <v>83.8</v>
      </c>
      <c r="S12" s="46">
        <v>83.8</v>
      </c>
      <c r="T12" s="46">
        <v>81.7</v>
      </c>
      <c r="U12" s="46">
        <v>57.3</v>
      </c>
      <c r="V12" s="46">
        <v>57.3</v>
      </c>
      <c r="W12" s="46">
        <v>57.3</v>
      </c>
      <c r="X12" s="46">
        <v>57.3</v>
      </c>
      <c r="Y12" s="46">
        <v>57.3</v>
      </c>
      <c r="Z12" s="46">
        <v>57.3</v>
      </c>
      <c r="AA12" s="46">
        <v>57.3</v>
      </c>
      <c r="AB12" s="46">
        <v>83.8</v>
      </c>
      <c r="AC12" s="46">
        <v>83.8</v>
      </c>
      <c r="AD12" s="46">
        <v>83.8</v>
      </c>
      <c r="AE12" s="46">
        <v>83.8</v>
      </c>
      <c r="AF12" s="46">
        <v>83.8</v>
      </c>
      <c r="AG12" s="50">
        <v>77</v>
      </c>
      <c r="AH12" s="48">
        <f t="shared" si="2"/>
        <v>83.8</v>
      </c>
      <c r="AI12" s="49">
        <f t="shared" si="3"/>
        <v>46</v>
      </c>
      <c r="AK12" s="51"/>
      <c r="AL12" s="52" t="str">
        <f ca="1">MID(CELL("filename",C7),FIND("]",CELL("filename",C7))+1,600)</f>
        <v>17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0.2</v>
      </c>
      <c r="S13" s="46">
        <v>0.2</v>
      </c>
      <c r="T13" s="46">
        <v>0.2</v>
      </c>
      <c r="U13" s="46">
        <v>0.2</v>
      </c>
      <c r="V13" s="46">
        <v>0.2</v>
      </c>
      <c r="W13" s="46">
        <v>0.2</v>
      </c>
      <c r="X13" s="46">
        <v>0.2</v>
      </c>
      <c r="Y13" s="46">
        <v>0.2</v>
      </c>
      <c r="Z13" s="46">
        <v>0.2</v>
      </c>
      <c r="AA13" s="46">
        <v>0.2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0.2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30</v>
      </c>
      <c r="C14" s="46">
        <v>25</v>
      </c>
      <c r="D14" s="46">
        <v>20</v>
      </c>
      <c r="E14" s="46">
        <v>30</v>
      </c>
      <c r="F14" s="46">
        <v>10</v>
      </c>
      <c r="G14" s="46">
        <v>30</v>
      </c>
      <c r="H14" s="46">
        <v>30</v>
      </c>
      <c r="I14" s="46">
        <v>10</v>
      </c>
      <c r="J14" s="46">
        <v>10</v>
      </c>
      <c r="K14" s="46">
        <v>30</v>
      </c>
      <c r="L14" s="46">
        <v>40</v>
      </c>
      <c r="M14" s="46">
        <v>40</v>
      </c>
      <c r="N14" s="46">
        <v>40</v>
      </c>
      <c r="O14" s="46">
        <v>40</v>
      </c>
      <c r="P14" s="46">
        <v>40</v>
      </c>
      <c r="Q14" s="46">
        <v>40</v>
      </c>
      <c r="R14" s="46">
        <v>40.700000000000003</v>
      </c>
      <c r="S14" s="46">
        <v>40.700000000000003</v>
      </c>
      <c r="T14" s="46">
        <v>40.700000000000003</v>
      </c>
      <c r="U14" s="46">
        <v>40.700000000000003</v>
      </c>
      <c r="V14" s="46">
        <v>40.700000000000003</v>
      </c>
      <c r="W14" s="46">
        <v>40.700000000000003</v>
      </c>
      <c r="X14" s="46">
        <v>30.8</v>
      </c>
      <c r="Y14" s="46">
        <v>30.8</v>
      </c>
      <c r="Z14" s="46">
        <v>30.8</v>
      </c>
      <c r="AA14" s="46">
        <v>30.8</v>
      </c>
      <c r="AB14" s="46">
        <v>40.799999999999997</v>
      </c>
      <c r="AC14" s="46">
        <v>40.799999999999997</v>
      </c>
      <c r="AD14" s="46">
        <v>40.799999999999997</v>
      </c>
      <c r="AE14" s="46">
        <v>40.799999999999997</v>
      </c>
      <c r="AF14" s="46">
        <v>40.799999999999997</v>
      </c>
      <c r="AG14" s="50">
        <v>71</v>
      </c>
      <c r="AH14" s="48">
        <f t="shared" si="2"/>
        <v>40.799999999999997</v>
      </c>
      <c r="AI14" s="49">
        <f t="shared" si="3"/>
        <v>10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30</v>
      </c>
      <c r="C15" s="46">
        <v>30</v>
      </c>
      <c r="D15" s="46">
        <v>30</v>
      </c>
      <c r="E15" s="46">
        <v>30</v>
      </c>
      <c r="F15" s="46">
        <v>30</v>
      </c>
      <c r="G15" s="46">
        <v>30</v>
      </c>
      <c r="H15" s="46">
        <v>30</v>
      </c>
      <c r="I15" s="46">
        <v>30</v>
      </c>
      <c r="J15" s="46">
        <v>30</v>
      </c>
      <c r="K15" s="46">
        <v>30</v>
      </c>
      <c r="L15" s="46">
        <v>40</v>
      </c>
      <c r="M15" s="46">
        <v>40</v>
      </c>
      <c r="N15" s="46">
        <v>46.1</v>
      </c>
      <c r="O15" s="46">
        <v>46.1</v>
      </c>
      <c r="P15" s="46">
        <v>46.1</v>
      </c>
      <c r="Q15" s="46">
        <v>46.1</v>
      </c>
      <c r="R15" s="46">
        <v>45.5</v>
      </c>
      <c r="S15" s="46">
        <v>45.5</v>
      </c>
      <c r="T15" s="46">
        <v>45.5</v>
      </c>
      <c r="U15" s="46">
        <v>45.5</v>
      </c>
      <c r="V15" s="46">
        <v>45.5</v>
      </c>
      <c r="W15" s="46">
        <v>45.5</v>
      </c>
      <c r="X15" s="46">
        <v>40</v>
      </c>
      <c r="Y15" s="46">
        <v>40</v>
      </c>
      <c r="Z15" s="46">
        <v>40</v>
      </c>
      <c r="AA15" s="46">
        <v>40</v>
      </c>
      <c r="AB15" s="46">
        <v>38</v>
      </c>
      <c r="AC15" s="46">
        <v>38</v>
      </c>
      <c r="AD15" s="46">
        <v>38</v>
      </c>
      <c r="AE15" s="46">
        <v>38</v>
      </c>
      <c r="AF15" s="46">
        <v>38</v>
      </c>
      <c r="AG15" s="50">
        <v>54</v>
      </c>
      <c r="AH15" s="48">
        <f t="shared" si="2"/>
        <v>46.1</v>
      </c>
      <c r="AI15" s="49">
        <f t="shared" si="3"/>
        <v>30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10</v>
      </c>
      <c r="C16" s="46">
        <v>10</v>
      </c>
      <c r="D16" s="46">
        <v>10</v>
      </c>
      <c r="E16" s="46">
        <v>10</v>
      </c>
      <c r="F16" s="46">
        <v>10</v>
      </c>
      <c r="G16" s="46">
        <v>10</v>
      </c>
      <c r="H16" s="46">
        <v>0</v>
      </c>
      <c r="I16" s="46">
        <v>0</v>
      </c>
      <c r="J16" s="46">
        <v>0</v>
      </c>
      <c r="K16" s="46">
        <v>27</v>
      </c>
      <c r="L16" s="46">
        <v>27</v>
      </c>
      <c r="M16" s="46">
        <v>27</v>
      </c>
      <c r="N16" s="46">
        <v>27</v>
      </c>
      <c r="O16" s="46">
        <v>27</v>
      </c>
      <c r="P16" s="46">
        <v>27</v>
      </c>
      <c r="Q16" s="46">
        <v>27</v>
      </c>
      <c r="R16" s="46">
        <v>27.2</v>
      </c>
      <c r="S16" s="46">
        <v>27.2</v>
      </c>
      <c r="T16" s="46">
        <v>27.2</v>
      </c>
      <c r="U16" s="46">
        <v>27.2</v>
      </c>
      <c r="V16" s="46">
        <v>27.2</v>
      </c>
      <c r="W16" s="46">
        <v>27.2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1156.2</v>
      </c>
      <c r="AN16" s="59">
        <f t="shared" si="4"/>
        <v>1151.2</v>
      </c>
      <c r="AO16" s="59">
        <f t="shared" si="4"/>
        <v>1146.2</v>
      </c>
      <c r="AP16" s="59">
        <f t="shared" si="4"/>
        <v>1160.5</v>
      </c>
      <c r="AQ16" s="59">
        <f t="shared" si="4"/>
        <v>1140.4000000000001</v>
      </c>
      <c r="AR16" s="59">
        <f t="shared" si="4"/>
        <v>1101.4000000000001</v>
      </c>
      <c r="AS16" s="59">
        <f>I61</f>
        <v>1106.5</v>
      </c>
      <c r="AT16" s="59">
        <f>K61</f>
        <v>1193.4000000000001</v>
      </c>
      <c r="AU16" s="59">
        <f t="shared" ref="AU16:BD16" si="5">M61</f>
        <v>1270.3000000000002</v>
      </c>
      <c r="AV16" s="59">
        <f t="shared" si="5"/>
        <v>1284.4000000000001</v>
      </c>
      <c r="AW16" s="59">
        <f t="shared" si="5"/>
        <v>1305.3000000000002</v>
      </c>
      <c r="AX16" s="59">
        <f t="shared" si="5"/>
        <v>1260.0999999999999</v>
      </c>
      <c r="AY16" s="59">
        <f t="shared" si="5"/>
        <v>1227.9000000000001</v>
      </c>
      <c r="AZ16" s="59">
        <f t="shared" si="5"/>
        <v>1317.9</v>
      </c>
      <c r="BA16" s="59">
        <f t="shared" si="5"/>
        <v>1317.9</v>
      </c>
      <c r="BB16" s="59">
        <f t="shared" si="5"/>
        <v>1315.8000000000002</v>
      </c>
      <c r="BC16" s="59">
        <f t="shared" si="5"/>
        <v>1291.4000000000001</v>
      </c>
      <c r="BD16" s="59">
        <f t="shared" si="5"/>
        <v>1288.3</v>
      </c>
      <c r="BE16" s="60">
        <f>X61</f>
        <v>1262.7000000000003</v>
      </c>
      <c r="BF16" s="60">
        <f>Z61</f>
        <v>1247.5</v>
      </c>
      <c r="BG16" s="60">
        <f>AB61</f>
        <v>1336</v>
      </c>
      <c r="BH16" s="60">
        <f>AD61</f>
        <v>1389.6000000000001</v>
      </c>
      <c r="BI16" s="60">
        <f>AE61</f>
        <v>1339.2000000000003</v>
      </c>
      <c r="BJ16" s="60">
        <f>AF61</f>
        <v>1339.2000000000003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55.5</v>
      </c>
      <c r="C17" s="46">
        <v>55.5</v>
      </c>
      <c r="D17" s="46">
        <v>55.5</v>
      </c>
      <c r="E17" s="46">
        <v>53</v>
      </c>
      <c r="F17" s="46">
        <v>53</v>
      </c>
      <c r="G17" s="46">
        <v>53</v>
      </c>
      <c r="H17" s="46">
        <v>52</v>
      </c>
      <c r="I17" s="46">
        <v>52</v>
      </c>
      <c r="J17" s="46">
        <v>52</v>
      </c>
      <c r="K17" s="46">
        <v>52</v>
      </c>
      <c r="L17" s="46">
        <v>54</v>
      </c>
      <c r="M17" s="46">
        <v>54</v>
      </c>
      <c r="N17" s="46">
        <v>54</v>
      </c>
      <c r="O17" s="46">
        <v>54</v>
      </c>
      <c r="P17" s="46">
        <v>54</v>
      </c>
      <c r="Q17" s="46">
        <v>54</v>
      </c>
      <c r="R17" s="46">
        <v>54</v>
      </c>
      <c r="S17" s="46">
        <v>54</v>
      </c>
      <c r="T17" s="46">
        <v>54</v>
      </c>
      <c r="U17" s="46">
        <v>54</v>
      </c>
      <c r="V17" s="46">
        <v>54</v>
      </c>
      <c r="W17" s="46">
        <v>54</v>
      </c>
      <c r="X17" s="46">
        <v>54</v>
      </c>
      <c r="Y17" s="46">
        <v>54</v>
      </c>
      <c r="Z17" s="46">
        <v>54</v>
      </c>
      <c r="AA17" s="46">
        <v>54</v>
      </c>
      <c r="AB17" s="46">
        <v>55.6</v>
      </c>
      <c r="AC17" s="46">
        <v>55.6</v>
      </c>
      <c r="AD17" s="46">
        <v>55.6</v>
      </c>
      <c r="AE17" s="46">
        <v>55.6</v>
      </c>
      <c r="AF17" s="46">
        <v>55.6</v>
      </c>
      <c r="AG17" s="47">
        <v>52.4</v>
      </c>
      <c r="AH17" s="48">
        <f t="shared" si="2"/>
        <v>55.6</v>
      </c>
      <c r="AI17" s="49">
        <f t="shared" si="3"/>
        <v>52</v>
      </c>
      <c r="AK17" s="51"/>
      <c r="AL17" s="54" t="s">
        <v>27</v>
      </c>
      <c r="AM17" s="59">
        <f t="shared" ref="AM17:AR17" si="6">B65</f>
        <v>542</v>
      </c>
      <c r="AN17" s="59">
        <f t="shared" si="6"/>
        <v>542</v>
      </c>
      <c r="AO17" s="59">
        <f t="shared" si="6"/>
        <v>542</v>
      </c>
      <c r="AP17" s="59">
        <f t="shared" si="6"/>
        <v>542</v>
      </c>
      <c r="AQ17" s="59">
        <f t="shared" si="6"/>
        <v>542</v>
      </c>
      <c r="AR17" s="59">
        <f t="shared" si="6"/>
        <v>542</v>
      </c>
      <c r="AS17" s="59">
        <f>I65</f>
        <v>542</v>
      </c>
      <c r="AT17" s="59">
        <f>K65</f>
        <v>542</v>
      </c>
      <c r="AU17" s="59">
        <f t="shared" ref="AU17:BD17" si="7">M65</f>
        <v>541.70000000000005</v>
      </c>
      <c r="AV17" s="59">
        <f t="shared" si="7"/>
        <v>541.70000000000005</v>
      </c>
      <c r="AW17" s="59">
        <f t="shared" si="7"/>
        <v>541.70000000000005</v>
      </c>
      <c r="AX17" s="59">
        <f t="shared" si="7"/>
        <v>541.70000000000005</v>
      </c>
      <c r="AY17" s="59">
        <f t="shared" si="7"/>
        <v>541.70000000000005</v>
      </c>
      <c r="AZ17" s="59">
        <f t="shared" si="7"/>
        <v>541.9</v>
      </c>
      <c r="BA17" s="59">
        <f t="shared" si="7"/>
        <v>541.9</v>
      </c>
      <c r="BB17" s="59">
        <f t="shared" si="7"/>
        <v>541.9</v>
      </c>
      <c r="BC17" s="59">
        <f t="shared" si="7"/>
        <v>541.9</v>
      </c>
      <c r="BD17" s="59">
        <f t="shared" si="7"/>
        <v>541.9</v>
      </c>
      <c r="BE17" s="60">
        <f>X65</f>
        <v>541.9</v>
      </c>
      <c r="BF17" s="60">
        <f>Z65</f>
        <v>541.9</v>
      </c>
      <c r="BG17" s="60">
        <f>AB65</f>
        <v>541.9</v>
      </c>
      <c r="BH17" s="60">
        <f>AD65</f>
        <v>232.6</v>
      </c>
      <c r="BI17" s="60">
        <f>AE65</f>
        <v>538.6</v>
      </c>
      <c r="BJ17" s="60">
        <f>AF65</f>
        <v>538.6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50.8</v>
      </c>
      <c r="F18" s="46">
        <v>50.8</v>
      </c>
      <c r="G18" s="46">
        <v>50.8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46">
        <v>50.5</v>
      </c>
      <c r="AB18" s="53">
        <v>50.4</v>
      </c>
      <c r="AC18" s="53">
        <v>50.4</v>
      </c>
      <c r="AD18" s="53">
        <v>50.4</v>
      </c>
      <c r="AE18" s="53">
        <v>0</v>
      </c>
      <c r="AF18" s="53">
        <v>0</v>
      </c>
      <c r="AG18" s="50">
        <v>50</v>
      </c>
      <c r="AH18" s="48">
        <f t="shared" si="2"/>
        <v>50.8</v>
      </c>
      <c r="AI18" s="49">
        <f t="shared" si="3"/>
        <v>0</v>
      </c>
      <c r="AK18" s="51"/>
      <c r="AL18" s="54" t="s">
        <v>29</v>
      </c>
      <c r="AM18" s="59">
        <f t="shared" ref="AM18:AR18" si="8">B79</f>
        <v>413.34000000000003</v>
      </c>
      <c r="AN18" s="59">
        <f t="shared" si="8"/>
        <v>413.34000000000003</v>
      </c>
      <c r="AO18" s="59">
        <f t="shared" si="8"/>
        <v>413.34000000000003</v>
      </c>
      <c r="AP18" s="59">
        <f t="shared" si="8"/>
        <v>413.14000000000004</v>
      </c>
      <c r="AQ18" s="59">
        <f t="shared" si="8"/>
        <v>413.14000000000004</v>
      </c>
      <c r="AR18" s="59">
        <f t="shared" si="8"/>
        <v>400.74000000000007</v>
      </c>
      <c r="AS18" s="59">
        <f>I79</f>
        <v>413.14000000000004</v>
      </c>
      <c r="AT18" s="59">
        <f>K79</f>
        <v>413.14000000000004</v>
      </c>
      <c r="AU18" s="59">
        <f t="shared" ref="AU18:BD18" si="9">M79</f>
        <v>383.44000000000005</v>
      </c>
      <c r="AV18" s="59">
        <f t="shared" si="9"/>
        <v>391.44000000000005</v>
      </c>
      <c r="AW18" s="59">
        <f t="shared" si="9"/>
        <v>428.24000000000007</v>
      </c>
      <c r="AX18" s="59">
        <f t="shared" si="9"/>
        <v>395.84000000000003</v>
      </c>
      <c r="AY18" s="59">
        <f t="shared" si="9"/>
        <v>416.74</v>
      </c>
      <c r="AZ18" s="59">
        <f t="shared" si="9"/>
        <v>428.44</v>
      </c>
      <c r="BA18" s="59">
        <f t="shared" si="9"/>
        <v>387.84</v>
      </c>
      <c r="BB18" s="59">
        <f t="shared" si="9"/>
        <v>388.04</v>
      </c>
      <c r="BC18" s="59">
        <f t="shared" si="9"/>
        <v>402.74</v>
      </c>
      <c r="BD18" s="59">
        <f t="shared" si="9"/>
        <v>412.84</v>
      </c>
      <c r="BE18" s="60">
        <f>X79</f>
        <v>411.44</v>
      </c>
      <c r="BF18" s="60">
        <f>Z79</f>
        <v>414.44</v>
      </c>
      <c r="BG18" s="60">
        <f>AB79</f>
        <v>414.44</v>
      </c>
      <c r="BH18" s="60">
        <f>AD79</f>
        <v>416.94</v>
      </c>
      <c r="BI18" s="60">
        <f>AE79</f>
        <v>416.94</v>
      </c>
      <c r="BJ18" s="60">
        <f>AF79</f>
        <v>416.94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42.6</v>
      </c>
      <c r="C19" s="46">
        <v>42.6</v>
      </c>
      <c r="D19" s="46">
        <v>42.6</v>
      </c>
      <c r="E19" s="46">
        <v>42.6</v>
      </c>
      <c r="F19" s="46">
        <v>42.6</v>
      </c>
      <c r="G19" s="46">
        <v>42.6</v>
      </c>
      <c r="H19" s="46">
        <v>42.6</v>
      </c>
      <c r="I19" s="46">
        <v>42.6</v>
      </c>
      <c r="J19" s="46">
        <v>42.6</v>
      </c>
      <c r="K19" s="46">
        <v>42.6</v>
      </c>
      <c r="L19" s="46">
        <v>42.6</v>
      </c>
      <c r="M19" s="46">
        <v>42.6</v>
      </c>
      <c r="N19" s="46">
        <v>42.6</v>
      </c>
      <c r="O19" s="46">
        <v>42.6</v>
      </c>
      <c r="P19" s="46">
        <v>42.6</v>
      </c>
      <c r="Q19" s="46">
        <v>42.6</v>
      </c>
      <c r="R19" s="46">
        <v>42.6</v>
      </c>
      <c r="S19" s="46">
        <v>42.6</v>
      </c>
      <c r="T19" s="46">
        <v>42.6</v>
      </c>
      <c r="U19" s="46">
        <v>42.6</v>
      </c>
      <c r="V19" s="46">
        <v>42.6</v>
      </c>
      <c r="W19" s="46">
        <v>42.6</v>
      </c>
      <c r="X19" s="46">
        <v>42.6</v>
      </c>
      <c r="Y19" s="46">
        <v>42.6</v>
      </c>
      <c r="Z19" s="46">
        <v>42.6</v>
      </c>
      <c r="AA19" s="46">
        <v>42.6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42.6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21.8</v>
      </c>
      <c r="AW20" s="59">
        <f t="shared" si="13"/>
        <v>21.8</v>
      </c>
      <c r="AX20" s="59">
        <f t="shared" si="13"/>
        <v>21.8</v>
      </c>
      <c r="AY20" s="59">
        <f t="shared" si="13"/>
        <v>21.700000000000003</v>
      </c>
      <c r="AZ20" s="59">
        <f t="shared" si="13"/>
        <v>21.4</v>
      </c>
      <c r="BA20" s="59">
        <f t="shared" si="13"/>
        <v>21.4</v>
      </c>
      <c r="BB20" s="59">
        <f t="shared" si="13"/>
        <v>17.700000000000003</v>
      </c>
      <c r="BC20" s="59">
        <f t="shared" si="13"/>
        <v>17.700000000000003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40</v>
      </c>
      <c r="C22" s="46">
        <v>40</v>
      </c>
      <c r="D22" s="46">
        <v>40</v>
      </c>
      <c r="E22" s="46">
        <v>34.5</v>
      </c>
      <c r="F22" s="46">
        <v>40</v>
      </c>
      <c r="G22" s="46">
        <v>0</v>
      </c>
      <c r="H22" s="46">
        <v>0</v>
      </c>
      <c r="I22" s="46">
        <v>0</v>
      </c>
      <c r="J22" s="46">
        <v>0</v>
      </c>
      <c r="K22" s="46">
        <v>27</v>
      </c>
      <c r="L22" s="46">
        <v>27</v>
      </c>
      <c r="M22" s="46">
        <v>27</v>
      </c>
      <c r="N22" s="46">
        <v>27</v>
      </c>
      <c r="O22" s="46">
        <v>27</v>
      </c>
      <c r="P22" s="46">
        <v>27</v>
      </c>
      <c r="Q22" s="46">
        <v>27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>
        <v>27</v>
      </c>
      <c r="X22" s="46">
        <v>40</v>
      </c>
      <c r="Y22" s="46">
        <v>40</v>
      </c>
      <c r="Z22" s="46">
        <v>40</v>
      </c>
      <c r="AA22" s="46">
        <v>40</v>
      </c>
      <c r="AB22" s="46">
        <v>40</v>
      </c>
      <c r="AC22" s="46">
        <v>40</v>
      </c>
      <c r="AD22" s="46">
        <v>40</v>
      </c>
      <c r="AE22" s="46">
        <v>40</v>
      </c>
      <c r="AF22" s="46">
        <v>40</v>
      </c>
      <c r="AG22" s="50">
        <v>38.46</v>
      </c>
      <c r="AH22" s="48">
        <f t="shared" si="2"/>
        <v>40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2111.54</v>
      </c>
      <c r="AN22" s="63">
        <f t="shared" si="16"/>
        <v>2106.54</v>
      </c>
      <c r="AO22" s="63">
        <f t="shared" si="16"/>
        <v>2101.54</v>
      </c>
      <c r="AP22" s="63">
        <f t="shared" si="16"/>
        <v>2115.64</v>
      </c>
      <c r="AQ22" s="63">
        <f t="shared" si="16"/>
        <v>2095.54</v>
      </c>
      <c r="AR22" s="63">
        <f t="shared" si="16"/>
        <v>2044.14</v>
      </c>
      <c r="AS22" s="63">
        <f t="shared" si="16"/>
        <v>2061.64</v>
      </c>
      <c r="AT22" s="63">
        <f t="shared" si="16"/>
        <v>2148.54</v>
      </c>
      <c r="AU22" s="63">
        <f t="shared" si="16"/>
        <v>2195.4400000000005</v>
      </c>
      <c r="AV22" s="63">
        <f t="shared" si="16"/>
        <v>2239.34</v>
      </c>
      <c r="AW22" s="63">
        <f t="shared" si="16"/>
        <v>2297.0400000000004</v>
      </c>
      <c r="AX22" s="63">
        <f t="shared" si="16"/>
        <v>2219.44</v>
      </c>
      <c r="AY22" s="63">
        <f t="shared" si="16"/>
        <v>2208.04</v>
      </c>
      <c r="AZ22" s="63">
        <f t="shared" si="16"/>
        <v>2309.6400000000003</v>
      </c>
      <c r="BA22" s="63">
        <f t="shared" si="16"/>
        <v>2269.0400000000004</v>
      </c>
      <c r="BB22" s="63">
        <f t="shared" si="16"/>
        <v>2263.44</v>
      </c>
      <c r="BC22" s="63">
        <f t="shared" si="16"/>
        <v>2253.7399999999998</v>
      </c>
      <c r="BD22" s="63">
        <f t="shared" si="16"/>
        <v>2243.04</v>
      </c>
      <c r="BE22" s="63">
        <f t="shared" si="16"/>
        <v>2216.0400000000004</v>
      </c>
      <c r="BF22" s="63">
        <f t="shared" si="16"/>
        <v>2203.84</v>
      </c>
      <c r="BG22" s="63">
        <f t="shared" si="16"/>
        <v>2292.34</v>
      </c>
      <c r="BH22" s="63">
        <f t="shared" si="16"/>
        <v>2039.14</v>
      </c>
      <c r="BI22" s="63">
        <f t="shared" si="16"/>
        <v>2294.7400000000002</v>
      </c>
      <c r="BJ22" s="63">
        <f t="shared" si="16"/>
        <v>2294.7400000000002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>
        <v>38</v>
      </c>
      <c r="D23" s="46">
        <v>38</v>
      </c>
      <c r="E23" s="46">
        <v>38</v>
      </c>
      <c r="F23" s="46">
        <v>38</v>
      </c>
      <c r="G23" s="46">
        <v>20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38</v>
      </c>
      <c r="O23" s="46">
        <v>38</v>
      </c>
      <c r="P23" s="46">
        <v>23</v>
      </c>
      <c r="Q23" s="46">
        <v>38</v>
      </c>
      <c r="R23" s="46">
        <v>38</v>
      </c>
      <c r="S23" s="46">
        <v>38</v>
      </c>
      <c r="T23" s="46">
        <v>38</v>
      </c>
      <c r="U23" s="46">
        <v>38</v>
      </c>
      <c r="V23" s="46">
        <v>38</v>
      </c>
      <c r="W23" s="46">
        <v>38</v>
      </c>
      <c r="X23" s="46">
        <v>38</v>
      </c>
      <c r="Y23" s="46">
        <v>38</v>
      </c>
      <c r="Z23" s="46">
        <v>38</v>
      </c>
      <c r="AA23" s="46">
        <v>38</v>
      </c>
      <c r="AB23" s="46">
        <v>38</v>
      </c>
      <c r="AC23" s="46">
        <v>38</v>
      </c>
      <c r="AD23" s="46">
        <v>38</v>
      </c>
      <c r="AE23" s="46">
        <v>38</v>
      </c>
      <c r="AF23" s="46">
        <v>38</v>
      </c>
      <c r="AG23" s="50">
        <v>38.46</v>
      </c>
      <c r="AH23" s="48">
        <f t="shared" si="2"/>
        <v>38</v>
      </c>
      <c r="AI23" s="49">
        <f t="shared" si="3"/>
        <v>20</v>
      </c>
      <c r="AK23" s="51"/>
      <c r="AL23" s="62" t="s">
        <v>39</v>
      </c>
      <c r="AM23" s="63">
        <f t="shared" ref="AM23:AR23" si="17">B110*-1</f>
        <v>-587</v>
      </c>
      <c r="AN23" s="63">
        <f t="shared" si="17"/>
        <v>-629</v>
      </c>
      <c r="AO23" s="63">
        <f t="shared" si="17"/>
        <v>-711</v>
      </c>
      <c r="AP23" s="63">
        <f t="shared" si="17"/>
        <v>-656</v>
      </c>
      <c r="AQ23" s="63">
        <f t="shared" si="17"/>
        <v>-645</v>
      </c>
      <c r="AR23" s="63">
        <f t="shared" si="17"/>
        <v>-562</v>
      </c>
      <c r="AS23" s="63">
        <f>I110*-1</f>
        <v>-698.5</v>
      </c>
      <c r="AT23" s="63">
        <f>K110*-1</f>
        <v>-595</v>
      </c>
      <c r="AU23" s="63">
        <f t="shared" ref="AU23:BD23" si="18">M110*-1</f>
        <v>-585</v>
      </c>
      <c r="AV23" s="63">
        <f t="shared" si="18"/>
        <v>-582</v>
      </c>
      <c r="AW23" s="63">
        <f t="shared" si="18"/>
        <v>-535</v>
      </c>
      <c r="AX23" s="63">
        <f t="shared" si="18"/>
        <v>-549.70000000000005</v>
      </c>
      <c r="AY23" s="63">
        <f t="shared" si="18"/>
        <v>-436</v>
      </c>
      <c r="AZ23" s="63">
        <f t="shared" si="18"/>
        <v>-568.6</v>
      </c>
      <c r="BA23" s="63">
        <f t="shared" si="18"/>
        <v>-546</v>
      </c>
      <c r="BB23" s="63">
        <f t="shared" si="18"/>
        <v>-563</v>
      </c>
      <c r="BC23" s="63">
        <f t="shared" si="18"/>
        <v>-614</v>
      </c>
      <c r="BD23" s="63">
        <f t="shared" si="18"/>
        <v>-657</v>
      </c>
      <c r="BE23" s="63">
        <f>X110*-1</f>
        <v>-680</v>
      </c>
      <c r="BF23" s="63">
        <f>Z110*-1</f>
        <v>-575</v>
      </c>
      <c r="BG23" s="63">
        <f>AB110*-1</f>
        <v>-499</v>
      </c>
      <c r="BH23" s="63">
        <f>AD110*-1</f>
        <v>-329</v>
      </c>
      <c r="BI23" s="63">
        <f>AE110*-1</f>
        <v>-588</v>
      </c>
      <c r="BJ23" s="63">
        <f>AF110*-1</f>
        <v>-595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30</v>
      </c>
      <c r="C24" s="46">
        <v>30</v>
      </c>
      <c r="D24" s="46">
        <v>30</v>
      </c>
      <c r="E24" s="46">
        <v>30</v>
      </c>
      <c r="F24" s="46">
        <v>30</v>
      </c>
      <c r="G24" s="46">
        <v>30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0</v>
      </c>
      <c r="Q24" s="46">
        <v>36</v>
      </c>
      <c r="R24" s="46">
        <v>36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1524.54</v>
      </c>
      <c r="AN24" s="63">
        <f t="shared" si="19"/>
        <v>1477.54</v>
      </c>
      <c r="AO24" s="63">
        <f t="shared" si="19"/>
        <v>1390.54</v>
      </c>
      <c r="AP24" s="63">
        <f t="shared" si="19"/>
        <v>1459.6399999999999</v>
      </c>
      <c r="AQ24" s="63">
        <f t="shared" si="19"/>
        <v>1450.54</v>
      </c>
      <c r="AR24" s="63">
        <f t="shared" si="19"/>
        <v>1482.14</v>
      </c>
      <c r="AS24" s="63">
        <f t="shared" si="19"/>
        <v>1363.1399999999999</v>
      </c>
      <c r="AT24" s="63">
        <f t="shared" si="19"/>
        <v>1553.54</v>
      </c>
      <c r="AU24" s="63">
        <f t="shared" si="19"/>
        <v>1610.4400000000005</v>
      </c>
      <c r="AV24" s="63">
        <f t="shared" si="19"/>
        <v>1657.3400000000001</v>
      </c>
      <c r="AW24" s="63">
        <f t="shared" si="19"/>
        <v>1762.0400000000004</v>
      </c>
      <c r="AX24" s="63">
        <f t="shared" si="19"/>
        <v>1669.74</v>
      </c>
      <c r="AY24" s="63">
        <f t="shared" si="19"/>
        <v>1772.04</v>
      </c>
      <c r="AZ24" s="63">
        <f t="shared" si="19"/>
        <v>1741.0400000000004</v>
      </c>
      <c r="BA24" s="63">
        <f t="shared" si="19"/>
        <v>1723.0400000000004</v>
      </c>
      <c r="BB24" s="63">
        <f t="shared" si="19"/>
        <v>1700.44</v>
      </c>
      <c r="BC24" s="63">
        <f t="shared" si="19"/>
        <v>1639.7399999999998</v>
      </c>
      <c r="BD24" s="63">
        <f t="shared" si="19"/>
        <v>1586.04</v>
      </c>
      <c r="BE24" s="63">
        <f t="shared" si="19"/>
        <v>1536.0400000000004</v>
      </c>
      <c r="BF24" s="63">
        <f t="shared" si="19"/>
        <v>1628.8400000000001</v>
      </c>
      <c r="BG24" s="63">
        <f t="shared" si="19"/>
        <v>1793.3400000000001</v>
      </c>
      <c r="BH24" s="63">
        <f t="shared" si="19"/>
        <v>1710.14</v>
      </c>
      <c r="BI24" s="63">
        <f t="shared" si="19"/>
        <v>1706.7400000000002</v>
      </c>
      <c r="BJ24" s="63">
        <f t="shared" si="19"/>
        <v>1699.7400000000002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10</v>
      </c>
      <c r="C25" s="46">
        <v>10</v>
      </c>
      <c r="D25" s="46">
        <v>10</v>
      </c>
      <c r="E25" s="46">
        <v>5</v>
      </c>
      <c r="F25" s="46">
        <v>5</v>
      </c>
      <c r="G25" s="46">
        <v>5</v>
      </c>
      <c r="H25" s="46">
        <v>15</v>
      </c>
      <c r="I25" s="46">
        <v>15</v>
      </c>
      <c r="J25" s="46">
        <v>15</v>
      </c>
      <c r="K25" s="46">
        <v>15</v>
      </c>
      <c r="L25" s="46">
        <v>30</v>
      </c>
      <c r="M25" s="46">
        <v>30</v>
      </c>
      <c r="N25" s="46">
        <v>30</v>
      </c>
      <c r="O25" s="46">
        <v>30</v>
      </c>
      <c r="P25" s="46">
        <v>30</v>
      </c>
      <c r="Q25" s="46">
        <v>30</v>
      </c>
      <c r="R25" s="46">
        <v>30</v>
      </c>
      <c r="S25" s="46">
        <v>30</v>
      </c>
      <c r="T25" s="46">
        <v>30</v>
      </c>
      <c r="U25" s="46">
        <v>30</v>
      </c>
      <c r="V25" s="46">
        <v>30</v>
      </c>
      <c r="W25" s="46">
        <v>30</v>
      </c>
      <c r="X25" s="46">
        <v>21.2</v>
      </c>
      <c r="Y25" s="46">
        <v>15</v>
      </c>
      <c r="Z25" s="46">
        <v>15</v>
      </c>
      <c r="AA25" s="46">
        <v>15</v>
      </c>
      <c r="AB25" s="46">
        <v>30.4</v>
      </c>
      <c r="AC25" s="46">
        <v>30.4</v>
      </c>
      <c r="AD25" s="46">
        <v>30.4</v>
      </c>
      <c r="AE25" s="46">
        <v>30.4</v>
      </c>
      <c r="AF25" s="46">
        <v>30.4</v>
      </c>
      <c r="AG25" s="61">
        <v>30</v>
      </c>
      <c r="AH25" s="48">
        <f t="shared" si="2"/>
        <v>30.4</v>
      </c>
      <c r="AI25" s="49">
        <f t="shared" si="3"/>
        <v>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21</v>
      </c>
      <c r="C26" s="46">
        <v>21</v>
      </c>
      <c r="D26" s="46">
        <v>21</v>
      </c>
      <c r="E26" s="46">
        <v>25.6</v>
      </c>
      <c r="F26" s="46">
        <v>25.6</v>
      </c>
      <c r="G26" s="46">
        <v>25.6</v>
      </c>
      <c r="H26" s="46">
        <v>25</v>
      </c>
      <c r="I26" s="46">
        <v>25</v>
      </c>
      <c r="J26" s="46">
        <v>25</v>
      </c>
      <c r="K26" s="46">
        <v>25</v>
      </c>
      <c r="L26" s="46">
        <v>25.6</v>
      </c>
      <c r="M26" s="46">
        <v>25.6</v>
      </c>
      <c r="N26" s="46">
        <v>25.6</v>
      </c>
      <c r="O26" s="46">
        <v>25.6</v>
      </c>
      <c r="P26" s="46">
        <v>25.6</v>
      </c>
      <c r="Q26" s="46">
        <v>25.6</v>
      </c>
      <c r="R26" s="46">
        <v>25.6</v>
      </c>
      <c r="S26" s="46">
        <v>25.6</v>
      </c>
      <c r="T26" s="46">
        <v>25.6</v>
      </c>
      <c r="U26" s="46">
        <v>25.6</v>
      </c>
      <c r="V26" s="46">
        <v>25.6</v>
      </c>
      <c r="W26" s="46">
        <v>25.6</v>
      </c>
      <c r="X26" s="46">
        <v>26</v>
      </c>
      <c r="Y26" s="46">
        <v>26</v>
      </c>
      <c r="Z26" s="46">
        <v>26</v>
      </c>
      <c r="AA26" s="46">
        <v>26</v>
      </c>
      <c r="AB26" s="46">
        <v>26</v>
      </c>
      <c r="AC26" s="46">
        <v>26</v>
      </c>
      <c r="AD26" s="46">
        <v>26</v>
      </c>
      <c r="AE26" s="46">
        <v>26</v>
      </c>
      <c r="AF26" s="46">
        <v>26</v>
      </c>
      <c r="AG26" s="50">
        <v>24.2</v>
      </c>
      <c r="AH26" s="48">
        <f t="shared" si="2"/>
        <v>26</v>
      </c>
      <c r="AI26" s="49">
        <f t="shared" si="3"/>
        <v>21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21</v>
      </c>
      <c r="C27" s="46">
        <v>21</v>
      </c>
      <c r="D27" s="46">
        <v>21</v>
      </c>
      <c r="E27" s="46">
        <v>28.7</v>
      </c>
      <c r="F27" s="46">
        <v>28.7</v>
      </c>
      <c r="G27" s="46">
        <v>28.7</v>
      </c>
      <c r="H27" s="46">
        <v>28.7</v>
      </c>
      <c r="I27" s="46">
        <v>28.7</v>
      </c>
      <c r="J27" s="46">
        <v>28.7</v>
      </c>
      <c r="K27" s="46">
        <v>28.7</v>
      </c>
      <c r="L27" s="46">
        <v>28.6</v>
      </c>
      <c r="M27" s="46">
        <v>28.6</v>
      </c>
      <c r="N27" s="46">
        <v>28.6</v>
      </c>
      <c r="O27" s="46">
        <v>28.6</v>
      </c>
      <c r="P27" s="46">
        <v>28.6</v>
      </c>
      <c r="Q27" s="46">
        <v>28.6</v>
      </c>
      <c r="R27" s="46">
        <v>28.6</v>
      </c>
      <c r="S27" s="46">
        <v>28.6</v>
      </c>
      <c r="T27" s="46">
        <v>28.6</v>
      </c>
      <c r="U27" s="46">
        <v>28.6</v>
      </c>
      <c r="V27" s="46">
        <v>28.6</v>
      </c>
      <c r="W27" s="46">
        <v>28.6</v>
      </c>
      <c r="X27" s="46">
        <v>28.6</v>
      </c>
      <c r="Y27" s="46">
        <v>28.6</v>
      </c>
      <c r="Z27" s="46">
        <v>28.6</v>
      </c>
      <c r="AA27" s="46">
        <v>28.6</v>
      </c>
      <c r="AB27" s="46">
        <v>28.7</v>
      </c>
      <c r="AC27" s="46">
        <v>28.7</v>
      </c>
      <c r="AD27" s="46">
        <v>28.7</v>
      </c>
      <c r="AE27" s="46">
        <v>28.7</v>
      </c>
      <c r="AF27" s="46">
        <v>28.7</v>
      </c>
      <c r="AG27" s="50">
        <v>28</v>
      </c>
      <c r="AH27" s="48">
        <f t="shared" si="2"/>
        <v>28.7</v>
      </c>
      <c r="AI27" s="49">
        <f t="shared" si="3"/>
        <v>21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10</v>
      </c>
      <c r="C28" s="46">
        <v>10</v>
      </c>
      <c r="D28" s="46">
        <v>10</v>
      </c>
      <c r="E28" s="46">
        <v>5</v>
      </c>
      <c r="F28" s="46">
        <v>5</v>
      </c>
      <c r="G28" s="46">
        <v>5</v>
      </c>
      <c r="H28" s="46">
        <v>10</v>
      </c>
      <c r="I28" s="46">
        <v>10</v>
      </c>
      <c r="J28" s="46">
        <v>10</v>
      </c>
      <c r="K28" s="46">
        <v>14</v>
      </c>
      <c r="L28" s="46">
        <v>27</v>
      </c>
      <c r="M28" s="46">
        <v>27</v>
      </c>
      <c r="N28" s="46">
        <v>27</v>
      </c>
      <c r="O28" s="46">
        <v>27</v>
      </c>
      <c r="P28" s="46">
        <v>27</v>
      </c>
      <c r="Q28" s="46">
        <v>27</v>
      </c>
      <c r="R28" s="46">
        <v>27</v>
      </c>
      <c r="S28" s="46">
        <v>27</v>
      </c>
      <c r="T28" s="46">
        <v>27</v>
      </c>
      <c r="U28" s="46">
        <v>27</v>
      </c>
      <c r="V28" s="46">
        <v>27</v>
      </c>
      <c r="W28" s="46">
        <v>27</v>
      </c>
      <c r="X28" s="46">
        <v>21</v>
      </c>
      <c r="Y28" s="46">
        <v>16</v>
      </c>
      <c r="Z28" s="46">
        <v>16</v>
      </c>
      <c r="AA28" s="46">
        <v>16</v>
      </c>
      <c r="AB28" s="46">
        <v>27</v>
      </c>
      <c r="AC28" s="46">
        <v>27</v>
      </c>
      <c r="AD28" s="46">
        <v>27</v>
      </c>
      <c r="AE28" s="46">
        <v>27</v>
      </c>
      <c r="AF28" s="46">
        <v>27</v>
      </c>
      <c r="AG28" s="61">
        <v>30</v>
      </c>
      <c r="AH28" s="48">
        <f t="shared" si="2"/>
        <v>27</v>
      </c>
      <c r="AI28" s="49">
        <f t="shared" si="3"/>
        <v>5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25.2</v>
      </c>
      <c r="AC29" s="46">
        <v>25.2</v>
      </c>
      <c r="AD29" s="46">
        <v>25.2</v>
      </c>
      <c r="AE29" s="46">
        <v>25.2</v>
      </c>
      <c r="AF29" s="46">
        <v>25.2</v>
      </c>
      <c r="AG29" s="50">
        <v>25</v>
      </c>
      <c r="AH29" s="48">
        <f t="shared" si="2"/>
        <v>25.2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22</v>
      </c>
      <c r="C31" s="46">
        <v>22</v>
      </c>
      <c r="D31" s="46">
        <v>22</v>
      </c>
      <c r="E31" s="46">
        <v>22</v>
      </c>
      <c r="F31" s="46">
        <v>22</v>
      </c>
      <c r="G31" s="46">
        <v>22</v>
      </c>
      <c r="H31" s="46">
        <v>22</v>
      </c>
      <c r="I31" s="46">
        <v>22</v>
      </c>
      <c r="J31" s="46">
        <v>22</v>
      </c>
      <c r="K31" s="46">
        <v>22</v>
      </c>
      <c r="L31" s="46">
        <v>22</v>
      </c>
      <c r="M31" s="46">
        <v>22</v>
      </c>
      <c r="N31" s="46">
        <v>22</v>
      </c>
      <c r="O31" s="46">
        <v>22</v>
      </c>
      <c r="P31" s="46">
        <v>22</v>
      </c>
      <c r="Q31" s="46">
        <v>22</v>
      </c>
      <c r="R31" s="46">
        <v>22</v>
      </c>
      <c r="S31" s="46">
        <v>22</v>
      </c>
      <c r="T31" s="46">
        <v>22</v>
      </c>
      <c r="U31" s="46">
        <v>22</v>
      </c>
      <c r="V31" s="46">
        <v>22</v>
      </c>
      <c r="W31" s="46">
        <v>22</v>
      </c>
      <c r="X31" s="46">
        <v>22</v>
      </c>
      <c r="Y31" s="46">
        <v>22</v>
      </c>
      <c r="Z31" s="46">
        <v>22</v>
      </c>
      <c r="AA31" s="46">
        <v>22</v>
      </c>
      <c r="AB31" s="46">
        <v>22</v>
      </c>
      <c r="AC31" s="46">
        <v>22</v>
      </c>
      <c r="AD31" s="46">
        <v>22</v>
      </c>
      <c r="AE31" s="46">
        <v>22</v>
      </c>
      <c r="AF31" s="46">
        <v>22</v>
      </c>
      <c r="AG31" s="50">
        <v>25</v>
      </c>
      <c r="AH31" s="48">
        <f t="shared" si="2"/>
        <v>22</v>
      </c>
      <c r="AI31" s="49">
        <f t="shared" si="3"/>
        <v>22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10</v>
      </c>
      <c r="C32" s="46">
        <v>10</v>
      </c>
      <c r="D32" s="46">
        <v>10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12.9</v>
      </c>
      <c r="L32" s="46">
        <v>25.8</v>
      </c>
      <c r="M32" s="46">
        <v>25.8</v>
      </c>
      <c r="N32" s="46">
        <v>25.8</v>
      </c>
      <c r="O32" s="46">
        <v>25.8</v>
      </c>
      <c r="P32" s="46">
        <v>25.8</v>
      </c>
      <c r="Q32" s="46">
        <v>25.8</v>
      </c>
      <c r="R32" s="46">
        <v>25.8</v>
      </c>
      <c r="S32" s="46">
        <v>25.8</v>
      </c>
      <c r="T32" s="46">
        <v>25.8</v>
      </c>
      <c r="U32" s="46">
        <v>25.8</v>
      </c>
      <c r="V32" s="46">
        <v>25.8</v>
      </c>
      <c r="W32" s="46">
        <v>25.8</v>
      </c>
      <c r="X32" s="46">
        <v>17</v>
      </c>
      <c r="Y32" s="46">
        <v>13</v>
      </c>
      <c r="Z32" s="46">
        <v>13</v>
      </c>
      <c r="AA32" s="46">
        <v>13</v>
      </c>
      <c r="AB32" s="46">
        <v>25.5</v>
      </c>
      <c r="AC32" s="46">
        <v>25.5</v>
      </c>
      <c r="AD32" s="46">
        <v>25.5</v>
      </c>
      <c r="AE32" s="46">
        <v>25.5</v>
      </c>
      <c r="AF32" s="46">
        <v>25.5</v>
      </c>
      <c r="AG32" s="50">
        <v>25</v>
      </c>
      <c r="AH32" s="48">
        <f t="shared" si="2"/>
        <v>25.8</v>
      </c>
      <c r="AI32" s="49">
        <f t="shared" si="3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24.9</v>
      </c>
      <c r="C33" s="46">
        <v>24.9</v>
      </c>
      <c r="D33" s="46">
        <v>24.9</v>
      </c>
      <c r="E33" s="46">
        <v>24</v>
      </c>
      <c r="F33" s="46">
        <v>24</v>
      </c>
      <c r="G33" s="46">
        <v>24</v>
      </c>
      <c r="H33" s="46">
        <v>24</v>
      </c>
      <c r="I33" s="46">
        <v>24</v>
      </c>
      <c r="J33" s="46">
        <v>24</v>
      </c>
      <c r="K33" s="46">
        <v>24</v>
      </c>
      <c r="L33" s="46">
        <v>24</v>
      </c>
      <c r="M33" s="46">
        <v>24</v>
      </c>
      <c r="N33" s="46">
        <v>24</v>
      </c>
      <c r="O33" s="46">
        <v>24</v>
      </c>
      <c r="P33" s="46">
        <v>24</v>
      </c>
      <c r="Q33" s="46">
        <v>0</v>
      </c>
      <c r="R33" s="46">
        <v>23.5</v>
      </c>
      <c r="S33" s="46">
        <v>23.5</v>
      </c>
      <c r="T33" s="46">
        <v>23.5</v>
      </c>
      <c r="U33" s="46">
        <v>23.5</v>
      </c>
      <c r="V33" s="46">
        <v>23.5</v>
      </c>
      <c r="W33" s="46">
        <v>23.5</v>
      </c>
      <c r="X33" s="46">
        <v>23.5</v>
      </c>
      <c r="Y33" s="46">
        <v>23.5</v>
      </c>
      <c r="Z33" s="46">
        <v>23.5</v>
      </c>
      <c r="AA33" s="46">
        <v>23.5</v>
      </c>
      <c r="AB33" s="46">
        <v>24.5</v>
      </c>
      <c r="AC33" s="46">
        <v>24.5</v>
      </c>
      <c r="AD33" s="46">
        <v>24.5</v>
      </c>
      <c r="AE33" s="46">
        <v>24.5</v>
      </c>
      <c r="AF33" s="46">
        <v>24.5</v>
      </c>
      <c r="AG33" s="50">
        <v>23.5</v>
      </c>
      <c r="AH33" s="48">
        <f t="shared" si="2"/>
        <v>24.9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12</v>
      </c>
      <c r="L34" s="46">
        <v>12</v>
      </c>
      <c r="M34" s="46">
        <v>12</v>
      </c>
      <c r="N34" s="46">
        <v>12</v>
      </c>
      <c r="O34" s="46">
        <v>12</v>
      </c>
      <c r="P34" s="46">
        <v>12</v>
      </c>
      <c r="Q34" s="46">
        <v>12</v>
      </c>
      <c r="R34" s="46">
        <v>12</v>
      </c>
      <c r="S34" s="46">
        <v>12</v>
      </c>
      <c r="T34" s="46">
        <v>12</v>
      </c>
      <c r="U34" s="46">
        <v>12</v>
      </c>
      <c r="V34" s="46">
        <v>12</v>
      </c>
      <c r="W34" s="46">
        <v>12</v>
      </c>
      <c r="X34" s="46">
        <v>12</v>
      </c>
      <c r="Y34" s="46">
        <v>12</v>
      </c>
      <c r="Z34" s="46">
        <v>12</v>
      </c>
      <c r="AA34" s="46">
        <v>12</v>
      </c>
      <c r="AB34" s="46">
        <v>12</v>
      </c>
      <c r="AC34" s="46">
        <v>12</v>
      </c>
      <c r="AD34" s="46">
        <v>12</v>
      </c>
      <c r="AE34" s="46">
        <v>12</v>
      </c>
      <c r="AF34" s="46">
        <v>12</v>
      </c>
      <c r="AG34" s="50">
        <v>22.2</v>
      </c>
      <c r="AH34" s="48">
        <f t="shared" si="2"/>
        <v>12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22.1</v>
      </c>
      <c r="AH35" s="48">
        <f t="shared" si="2"/>
        <v>4</v>
      </c>
      <c r="AI35" s="49">
        <f t="shared" si="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21.6</v>
      </c>
      <c r="C37" s="46">
        <v>21.6</v>
      </c>
      <c r="D37" s="46">
        <v>21.6</v>
      </c>
      <c r="E37" s="46">
        <v>21.6</v>
      </c>
      <c r="F37" s="46">
        <v>22</v>
      </c>
      <c r="G37" s="46">
        <v>22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>
        <v>22</v>
      </c>
      <c r="O37" s="46">
        <v>22</v>
      </c>
      <c r="P37" s="46">
        <v>22</v>
      </c>
      <c r="Q37" s="46">
        <v>22</v>
      </c>
      <c r="R37" s="46">
        <v>22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24.2</v>
      </c>
      <c r="AC37" s="46">
        <v>24.2</v>
      </c>
      <c r="AD37" s="46">
        <v>24.2</v>
      </c>
      <c r="AE37" s="46">
        <v>24.2</v>
      </c>
      <c r="AF37" s="46">
        <v>24.2</v>
      </c>
      <c r="AG37" s="50">
        <v>22</v>
      </c>
      <c r="AH37" s="48">
        <f t="shared" si="2"/>
        <v>24.2</v>
      </c>
      <c r="AI37" s="49">
        <f t="shared" si="3"/>
        <v>21.6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20.399999999999999</v>
      </c>
      <c r="AC38" s="46">
        <v>20.399999999999999</v>
      </c>
      <c r="AD38" s="46">
        <v>20.399999999999999</v>
      </c>
      <c r="AE38" s="46">
        <v>20.399999999999999</v>
      </c>
      <c r="AF38" s="46">
        <v>20.399999999999999</v>
      </c>
      <c r="AG38" s="50">
        <v>20</v>
      </c>
      <c r="AH38" s="48">
        <f t="shared" si="2"/>
        <v>20.399999999999999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16.2</v>
      </c>
      <c r="AC40" s="46">
        <v>16.2</v>
      </c>
      <c r="AD40" s="46">
        <v>16.2</v>
      </c>
      <c r="AE40" s="46">
        <v>16.2</v>
      </c>
      <c r="AF40" s="46">
        <v>16.2</v>
      </c>
      <c r="AG40" s="50">
        <v>18</v>
      </c>
      <c r="AH40" s="48">
        <f t="shared" si="2"/>
        <v>16.2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10</v>
      </c>
      <c r="C41" s="46">
        <v>10</v>
      </c>
      <c r="D41" s="46">
        <v>10</v>
      </c>
      <c r="E41" s="46">
        <v>10</v>
      </c>
      <c r="F41" s="46">
        <v>10</v>
      </c>
      <c r="G41" s="46">
        <v>10</v>
      </c>
      <c r="H41" s="46">
        <v>10</v>
      </c>
      <c r="I41" s="46">
        <v>8</v>
      </c>
      <c r="J41" s="46">
        <v>8</v>
      </c>
      <c r="K41" s="46">
        <v>8</v>
      </c>
      <c r="L41" s="46">
        <v>15</v>
      </c>
      <c r="M41" s="46">
        <v>15</v>
      </c>
      <c r="N41" s="46">
        <v>15</v>
      </c>
      <c r="O41" s="46">
        <v>15</v>
      </c>
      <c r="P41" s="46">
        <v>15</v>
      </c>
      <c r="Q41" s="46">
        <v>15</v>
      </c>
      <c r="R41" s="46">
        <v>15</v>
      </c>
      <c r="S41" s="46">
        <v>15</v>
      </c>
      <c r="T41" s="46">
        <v>15</v>
      </c>
      <c r="U41" s="46">
        <v>15</v>
      </c>
      <c r="V41" s="46">
        <v>15</v>
      </c>
      <c r="W41" s="46">
        <v>15</v>
      </c>
      <c r="X41" s="46">
        <v>15</v>
      </c>
      <c r="Y41" s="46">
        <v>15</v>
      </c>
      <c r="Z41" s="46">
        <v>15</v>
      </c>
      <c r="AA41" s="46">
        <v>15</v>
      </c>
      <c r="AB41" s="46">
        <v>15</v>
      </c>
      <c r="AC41" s="46">
        <v>15</v>
      </c>
      <c r="AD41" s="46">
        <v>15</v>
      </c>
      <c r="AE41" s="46">
        <v>15</v>
      </c>
      <c r="AF41" s="46">
        <v>15</v>
      </c>
      <c r="AG41" s="50">
        <v>15.33</v>
      </c>
      <c r="AH41" s="48">
        <f t="shared" si="2"/>
        <v>15</v>
      </c>
      <c r="AI41" s="49">
        <f t="shared" si="3"/>
        <v>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15.5</v>
      </c>
      <c r="C43" s="46">
        <v>15.5</v>
      </c>
      <c r="D43" s="46">
        <v>15.5</v>
      </c>
      <c r="E43" s="46">
        <v>15.5</v>
      </c>
      <c r="F43" s="46">
        <v>15.5</v>
      </c>
      <c r="G43" s="46">
        <v>15.5</v>
      </c>
      <c r="H43" s="46">
        <v>15.5</v>
      </c>
      <c r="I43" s="46">
        <v>15.5</v>
      </c>
      <c r="J43" s="46">
        <v>15.5</v>
      </c>
      <c r="K43" s="46">
        <v>15.5</v>
      </c>
      <c r="L43" s="46">
        <v>15.5</v>
      </c>
      <c r="M43" s="46">
        <v>15.5</v>
      </c>
      <c r="N43" s="46">
        <v>15.5</v>
      </c>
      <c r="O43" s="46">
        <v>15.5</v>
      </c>
      <c r="P43" s="46">
        <v>15.5</v>
      </c>
      <c r="Q43" s="46">
        <v>15.5</v>
      </c>
      <c r="R43" s="46">
        <v>15.5</v>
      </c>
      <c r="S43" s="46">
        <v>15.5</v>
      </c>
      <c r="T43" s="46">
        <v>15.5</v>
      </c>
      <c r="U43" s="46">
        <v>15.5</v>
      </c>
      <c r="V43" s="46">
        <v>15.5</v>
      </c>
      <c r="W43" s="46">
        <v>15.5</v>
      </c>
      <c r="X43" s="46">
        <v>15.5</v>
      </c>
      <c r="Y43" s="46">
        <v>15.5</v>
      </c>
      <c r="Z43" s="46">
        <v>15.5</v>
      </c>
      <c r="AA43" s="46">
        <v>15.5</v>
      </c>
      <c r="AB43" s="46">
        <v>15.5</v>
      </c>
      <c r="AC43" s="46">
        <v>15.5</v>
      </c>
      <c r="AD43" s="46">
        <v>15.5</v>
      </c>
      <c r="AE43" s="46">
        <v>15.5</v>
      </c>
      <c r="AF43" s="46">
        <v>15.5</v>
      </c>
      <c r="AG43" s="50">
        <v>14.9</v>
      </c>
      <c r="AH43" s="48">
        <f t="shared" si="2"/>
        <v>15.5</v>
      </c>
      <c r="AI43" s="49">
        <f t="shared" si="3"/>
        <v>15.5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14.3</v>
      </c>
      <c r="AH45" s="48">
        <f t="shared" si="2"/>
        <v>7</v>
      </c>
      <c r="AI45" s="49">
        <f t="shared" si="3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5.0999999999999996</v>
      </c>
      <c r="C46" s="46">
        <v>5.0999999999999996</v>
      </c>
      <c r="D46" s="46">
        <v>5.0999999999999996</v>
      </c>
      <c r="E46" s="46">
        <v>5.0999999999999996</v>
      </c>
      <c r="F46" s="46">
        <v>5.0999999999999996</v>
      </c>
      <c r="G46" s="46">
        <v>5.0999999999999996</v>
      </c>
      <c r="H46" s="46">
        <v>5.0999999999999996</v>
      </c>
      <c r="I46" s="46">
        <v>5.0999999999999996</v>
      </c>
      <c r="J46" s="46">
        <v>5.0999999999999996</v>
      </c>
      <c r="K46" s="46">
        <v>5.0999999999999996</v>
      </c>
      <c r="L46" s="46">
        <v>5.0999999999999996</v>
      </c>
      <c r="M46" s="46">
        <v>5.0999999999999996</v>
      </c>
      <c r="N46" s="46">
        <v>5.0999999999999996</v>
      </c>
      <c r="O46" s="46">
        <v>5.0999999999999996</v>
      </c>
      <c r="P46" s="46">
        <v>5.0999999999999996</v>
      </c>
      <c r="Q46" s="46">
        <v>5.0999999999999996</v>
      </c>
      <c r="R46" s="46">
        <v>5.0999999999999996</v>
      </c>
      <c r="S46" s="46">
        <v>5.0999999999999996</v>
      </c>
      <c r="T46" s="46">
        <v>5.0999999999999996</v>
      </c>
      <c r="U46" s="46">
        <v>5.0999999999999996</v>
      </c>
      <c r="V46" s="46">
        <v>5.0999999999999996</v>
      </c>
      <c r="W46" s="46">
        <v>5.0999999999999996</v>
      </c>
      <c r="X46" s="46">
        <v>5.0999999999999996</v>
      </c>
      <c r="Y46" s="46">
        <v>5.0999999999999996</v>
      </c>
      <c r="Z46" s="46">
        <v>5.0999999999999996</v>
      </c>
      <c r="AA46" s="46">
        <v>5.0999999999999996</v>
      </c>
      <c r="AB46" s="46">
        <v>7.3</v>
      </c>
      <c r="AC46" s="46">
        <v>7.3</v>
      </c>
      <c r="AD46" s="46">
        <v>7.3</v>
      </c>
      <c r="AE46" s="46">
        <v>7.3</v>
      </c>
      <c r="AF46" s="46">
        <v>7.3</v>
      </c>
      <c r="AG46" s="50">
        <v>14</v>
      </c>
      <c r="AH46" s="48">
        <f t="shared" si="2"/>
        <v>7.3</v>
      </c>
      <c r="AI46" s="49">
        <f t="shared" si="3"/>
        <v>5.0999999999999996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12</v>
      </c>
      <c r="C49" s="46">
        <v>12</v>
      </c>
      <c r="D49" s="46">
        <v>12</v>
      </c>
      <c r="E49" s="46">
        <v>12</v>
      </c>
      <c r="F49" s="46">
        <v>12</v>
      </c>
      <c r="G49" s="46">
        <v>12</v>
      </c>
      <c r="H49" s="46">
        <v>12</v>
      </c>
      <c r="I49" s="46">
        <v>12</v>
      </c>
      <c r="J49" s="46">
        <v>12</v>
      </c>
      <c r="K49" s="46">
        <v>12</v>
      </c>
      <c r="L49" s="46">
        <v>12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12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>
        <v>5.0999999999999996</v>
      </c>
      <c r="D50" s="46">
        <v>5.0999999999999996</v>
      </c>
      <c r="E50" s="46">
        <v>5.0999999999999996</v>
      </c>
      <c r="F50" s="46">
        <v>5.0999999999999996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>
        <v>5.0999999999999996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5.0999999999999996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6</v>
      </c>
      <c r="C51" s="46">
        <v>6</v>
      </c>
      <c r="D51" s="46">
        <v>6</v>
      </c>
      <c r="E51" s="46">
        <v>6</v>
      </c>
      <c r="F51" s="46">
        <v>6</v>
      </c>
      <c r="G51" s="46">
        <v>6</v>
      </c>
      <c r="H51" s="46">
        <v>6</v>
      </c>
      <c r="I51" s="46">
        <v>6</v>
      </c>
      <c r="J51" s="46">
        <v>6</v>
      </c>
      <c r="K51" s="46">
        <v>6</v>
      </c>
      <c r="L51" s="46">
        <v>6</v>
      </c>
      <c r="M51" s="46">
        <v>6</v>
      </c>
      <c r="N51" s="46">
        <v>6</v>
      </c>
      <c r="O51" s="46">
        <v>6</v>
      </c>
      <c r="P51" s="46">
        <v>6</v>
      </c>
      <c r="Q51" s="46">
        <v>6</v>
      </c>
      <c r="R51" s="46">
        <v>6</v>
      </c>
      <c r="S51" s="46">
        <v>6</v>
      </c>
      <c r="T51" s="46">
        <v>6</v>
      </c>
      <c r="U51" s="46">
        <v>6</v>
      </c>
      <c r="V51" s="46">
        <v>6</v>
      </c>
      <c r="W51" s="46">
        <v>6</v>
      </c>
      <c r="X51" s="46">
        <v>6</v>
      </c>
      <c r="Y51" s="46">
        <v>6</v>
      </c>
      <c r="Z51" s="46">
        <v>6</v>
      </c>
      <c r="AA51" s="46">
        <v>6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6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7</v>
      </c>
      <c r="C55" s="46">
        <v>7</v>
      </c>
      <c r="D55" s="46">
        <v>7</v>
      </c>
      <c r="E55" s="46">
        <v>7</v>
      </c>
      <c r="F55" s="46">
        <v>7</v>
      </c>
      <c r="G55" s="46">
        <v>7</v>
      </c>
      <c r="H55" s="46">
        <v>7</v>
      </c>
      <c r="I55" s="46">
        <v>7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10</v>
      </c>
      <c r="AC55" s="46">
        <v>10</v>
      </c>
      <c r="AD55" s="46">
        <v>10</v>
      </c>
      <c r="AE55" s="46">
        <v>10</v>
      </c>
      <c r="AF55" s="46">
        <v>10</v>
      </c>
      <c r="AG55" s="66">
        <v>11</v>
      </c>
      <c r="AH55" s="48">
        <f t="shared" si="2"/>
        <v>10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</v>
      </c>
      <c r="C56" s="46">
        <v>8</v>
      </c>
      <c r="D56" s="46">
        <v>8</v>
      </c>
      <c r="E56" s="46">
        <v>8</v>
      </c>
      <c r="F56" s="46">
        <v>8</v>
      </c>
      <c r="G56" s="46">
        <v>8</v>
      </c>
      <c r="H56" s="46">
        <v>8</v>
      </c>
      <c r="I56" s="46">
        <v>8</v>
      </c>
      <c r="J56" s="46">
        <v>8</v>
      </c>
      <c r="K56" s="46">
        <v>8</v>
      </c>
      <c r="L56" s="46">
        <v>8</v>
      </c>
      <c r="M56" s="46">
        <v>8</v>
      </c>
      <c r="N56" s="46">
        <v>8</v>
      </c>
      <c r="O56" s="46">
        <v>8</v>
      </c>
      <c r="P56" s="46">
        <v>8</v>
      </c>
      <c r="Q56" s="46">
        <v>8</v>
      </c>
      <c r="R56" s="46">
        <v>8</v>
      </c>
      <c r="S56" s="46">
        <v>8</v>
      </c>
      <c r="T56" s="46">
        <v>8</v>
      </c>
      <c r="U56" s="46">
        <v>8</v>
      </c>
      <c r="V56" s="46">
        <v>8</v>
      </c>
      <c r="W56" s="46">
        <v>8</v>
      </c>
      <c r="X56" s="46">
        <v>8</v>
      </c>
      <c r="Y56" s="46">
        <v>8</v>
      </c>
      <c r="Z56" s="46">
        <v>8</v>
      </c>
      <c r="AA56" s="46">
        <v>8</v>
      </c>
      <c r="AB56" s="46">
        <v>8.9</v>
      </c>
      <c r="AC56" s="46">
        <v>8.9</v>
      </c>
      <c r="AD56" s="46">
        <v>8.9</v>
      </c>
      <c r="AE56" s="46">
        <v>8.9</v>
      </c>
      <c r="AF56" s="46">
        <v>8.9</v>
      </c>
      <c r="AG56" s="66">
        <v>11</v>
      </c>
      <c r="AH56" s="48">
        <f t="shared" si="2"/>
        <v>8.9</v>
      </c>
      <c r="AI56" s="49">
        <f t="shared" si="3"/>
        <v>8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150.80000000000001</v>
      </c>
      <c r="C60" s="68">
        <v>150.80000000000001</v>
      </c>
      <c r="D60" s="68">
        <v>150.80000000000001</v>
      </c>
      <c r="E60" s="68">
        <v>152.9</v>
      </c>
      <c r="F60" s="68">
        <v>152</v>
      </c>
      <c r="G60" s="68">
        <v>147</v>
      </c>
      <c r="H60" s="68">
        <v>146</v>
      </c>
      <c r="I60" s="68">
        <v>146</v>
      </c>
      <c r="J60" s="68">
        <v>146</v>
      </c>
      <c r="K60" s="68">
        <v>146</v>
      </c>
      <c r="L60" s="68">
        <v>150</v>
      </c>
      <c r="M60" s="53">
        <f>49.9+98.6</f>
        <v>148.5</v>
      </c>
      <c r="N60" s="53">
        <f>100.8+49.9</f>
        <v>150.69999999999999</v>
      </c>
      <c r="O60" s="53">
        <f>101.8+50.1</f>
        <v>151.9</v>
      </c>
      <c r="P60" s="53">
        <f>101+50.6</f>
        <v>151.6</v>
      </c>
      <c r="Q60" s="53">
        <f>101.5+46</f>
        <v>147.5</v>
      </c>
      <c r="R60" s="53">
        <f>44.9+101.9</f>
        <v>146.80000000000001</v>
      </c>
      <c r="S60" s="53">
        <v>143.6</v>
      </c>
      <c r="T60" s="53">
        <v>143.6</v>
      </c>
      <c r="U60" s="53">
        <v>153</v>
      </c>
      <c r="V60" s="53">
        <v>152.80000000000001</v>
      </c>
      <c r="W60" s="53">
        <v>141.19999999999999</v>
      </c>
      <c r="X60" s="53">
        <v>141.19999999999999</v>
      </c>
      <c r="Y60" s="53">
        <v>141.19999999999999</v>
      </c>
      <c r="Z60" s="53">
        <v>134</v>
      </c>
      <c r="AA60" s="53">
        <v>134</v>
      </c>
      <c r="AB60" s="68">
        <v>139.5</v>
      </c>
      <c r="AC60" s="68">
        <v>139.5</v>
      </c>
      <c r="AD60" s="68">
        <v>139.5</v>
      </c>
      <c r="AE60" s="68">
        <v>139.5</v>
      </c>
      <c r="AF60" s="68">
        <v>139.5</v>
      </c>
      <c r="AG60" s="66">
        <v>240</v>
      </c>
      <c r="AH60" s="48">
        <f t="shared" si="2"/>
        <v>153</v>
      </c>
      <c r="AI60" s="49">
        <f t="shared" si="3"/>
        <v>134</v>
      </c>
      <c r="AK60" s="51"/>
    </row>
    <row r="61" spans="1:88" ht="15.75" thickBot="1" x14ac:dyDescent="0.3">
      <c r="A61" s="70" t="s">
        <v>75</v>
      </c>
      <c r="B61" s="71">
        <f>SUM(B11:B59)</f>
        <v>1156.2</v>
      </c>
      <c r="C61" s="71">
        <f t="shared" ref="C61:AG61" si="20">SUM(C11:C59)</f>
        <v>1151.2</v>
      </c>
      <c r="D61" s="71">
        <f t="shared" si="20"/>
        <v>1146.2</v>
      </c>
      <c r="E61" s="71">
        <f t="shared" si="20"/>
        <v>1160.5</v>
      </c>
      <c r="F61" s="71">
        <f t="shared" si="20"/>
        <v>1140.4000000000001</v>
      </c>
      <c r="G61" s="71">
        <f t="shared" si="20"/>
        <v>1101.4000000000001</v>
      </c>
      <c r="H61" s="71">
        <f t="shared" si="20"/>
        <v>1128.5</v>
      </c>
      <c r="I61" s="71">
        <f t="shared" si="20"/>
        <v>1106.5</v>
      </c>
      <c r="J61" s="71">
        <f t="shared" si="20"/>
        <v>1099.5</v>
      </c>
      <c r="K61" s="71">
        <f t="shared" si="20"/>
        <v>1193.4000000000001</v>
      </c>
      <c r="L61" s="71">
        <f t="shared" si="20"/>
        <v>1270.3000000000002</v>
      </c>
      <c r="M61" s="71">
        <f t="shared" si="20"/>
        <v>1270.3000000000002</v>
      </c>
      <c r="N61" s="71">
        <f t="shared" si="20"/>
        <v>1284.4000000000001</v>
      </c>
      <c r="O61" s="71">
        <f t="shared" ref="O61" si="21">SUM(O11:O59)</f>
        <v>1305.3000000000002</v>
      </c>
      <c r="P61" s="71">
        <f t="shared" si="20"/>
        <v>1260.0999999999999</v>
      </c>
      <c r="Q61" s="71">
        <f t="shared" si="20"/>
        <v>1227.9000000000001</v>
      </c>
      <c r="R61" s="71">
        <f t="shared" si="20"/>
        <v>1317.9</v>
      </c>
      <c r="S61" s="71">
        <f t="shared" ref="S61:T61" si="22">SUM(S11:S59)</f>
        <v>1317.9</v>
      </c>
      <c r="T61" s="71">
        <f t="shared" si="22"/>
        <v>1315.8000000000002</v>
      </c>
      <c r="U61" s="71">
        <f t="shared" ref="U61" si="23">SUM(U11:U59)</f>
        <v>1291.4000000000001</v>
      </c>
      <c r="V61" s="71">
        <f t="shared" ref="V61:AA61" si="24">SUM(V11:V59)</f>
        <v>1288.3</v>
      </c>
      <c r="W61" s="71">
        <f t="shared" si="24"/>
        <v>1288.3</v>
      </c>
      <c r="X61" s="71">
        <f t="shared" si="24"/>
        <v>1262.7000000000003</v>
      </c>
      <c r="Y61" s="71">
        <f t="shared" si="24"/>
        <v>1247.5</v>
      </c>
      <c r="Z61" s="71">
        <f t="shared" si="24"/>
        <v>1247.5</v>
      </c>
      <c r="AA61" s="71">
        <f t="shared" si="24"/>
        <v>1247.5</v>
      </c>
      <c r="AB61" s="71">
        <f t="shared" si="20"/>
        <v>1336</v>
      </c>
      <c r="AC61" s="71">
        <f t="shared" si="20"/>
        <v>1336</v>
      </c>
      <c r="AD61" s="71">
        <f t="shared" si="20"/>
        <v>1389.6000000000001</v>
      </c>
      <c r="AE61" s="71">
        <f t="shared" si="20"/>
        <v>1339.2000000000003</v>
      </c>
      <c r="AF61" s="71">
        <f t="shared" si="20"/>
        <v>1339.2000000000003</v>
      </c>
      <c r="AG61" s="71">
        <f t="shared" si="20"/>
        <v>1466.0300000000002</v>
      </c>
      <c r="AH61" s="48">
        <f t="shared" si="2"/>
        <v>1389.6000000000001</v>
      </c>
      <c r="AI61" s="49">
        <f t="shared" si="3"/>
        <v>1099.5</v>
      </c>
      <c r="AK61" s="51"/>
    </row>
    <row r="62" spans="1:88" x14ac:dyDescent="0.25">
      <c r="A62" s="73" t="s">
        <v>76</v>
      </c>
      <c r="B62" s="46">
        <v>459.3</v>
      </c>
      <c r="C62" s="46">
        <v>459.3</v>
      </c>
      <c r="D62" s="46">
        <v>459.3</v>
      </c>
      <c r="E62" s="46">
        <v>459.3</v>
      </c>
      <c r="F62" s="46">
        <v>459.3</v>
      </c>
      <c r="G62" s="46">
        <v>459.3</v>
      </c>
      <c r="H62" s="46">
        <v>459.3</v>
      </c>
      <c r="I62" s="46">
        <v>459.3</v>
      </c>
      <c r="J62" s="46">
        <v>459.3</v>
      </c>
      <c r="K62" s="46">
        <v>459.3</v>
      </c>
      <c r="L62" s="46">
        <v>459.3</v>
      </c>
      <c r="M62" s="46">
        <v>459</v>
      </c>
      <c r="N62" s="46">
        <v>459</v>
      </c>
      <c r="O62" s="46">
        <v>459</v>
      </c>
      <c r="P62" s="46">
        <v>459</v>
      </c>
      <c r="Q62" s="46">
        <v>459</v>
      </c>
      <c r="R62" s="74">
        <v>459.3</v>
      </c>
      <c r="S62" s="74">
        <v>459.3</v>
      </c>
      <c r="T62" s="74">
        <v>459.3</v>
      </c>
      <c r="U62" s="74">
        <v>459.3</v>
      </c>
      <c r="V62" s="74">
        <v>459.3</v>
      </c>
      <c r="W62" s="74">
        <v>459.3</v>
      </c>
      <c r="X62" s="74">
        <v>459.3</v>
      </c>
      <c r="Y62" s="74">
        <v>459.3</v>
      </c>
      <c r="Z62" s="74">
        <v>459.3</v>
      </c>
      <c r="AA62" s="74">
        <v>459.3</v>
      </c>
      <c r="AB62" s="74">
        <v>459.3</v>
      </c>
      <c r="AC62" s="74">
        <v>459.3</v>
      </c>
      <c r="AD62" s="74">
        <v>150</v>
      </c>
      <c r="AE62" s="74">
        <v>456</v>
      </c>
      <c r="AF62" s="74">
        <v>456</v>
      </c>
      <c r="AG62" s="61">
        <v>456</v>
      </c>
      <c r="AH62" s="48">
        <f t="shared" si="2"/>
        <v>459.3</v>
      </c>
      <c r="AI62" s="49">
        <f t="shared" si="3"/>
        <v>150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22.7</v>
      </c>
      <c r="C64" s="78">
        <v>22.7</v>
      </c>
      <c r="D64" s="78">
        <v>22.7</v>
      </c>
      <c r="E64" s="78">
        <v>22.7</v>
      </c>
      <c r="F64" s="78">
        <v>22.7</v>
      </c>
      <c r="G64" s="78">
        <v>22.7</v>
      </c>
      <c r="H64" s="78">
        <v>22.7</v>
      </c>
      <c r="I64" s="78">
        <v>22.7</v>
      </c>
      <c r="J64" s="78">
        <v>22.7</v>
      </c>
      <c r="K64" s="78">
        <v>22.7</v>
      </c>
      <c r="L64" s="78">
        <v>22.7</v>
      </c>
      <c r="M64" s="78">
        <v>22.7</v>
      </c>
      <c r="N64" s="78">
        <v>22.7</v>
      </c>
      <c r="O64" s="78">
        <v>22.7</v>
      </c>
      <c r="P64" s="78">
        <v>22.7</v>
      </c>
      <c r="Q64" s="78">
        <v>22.7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22.7</v>
      </c>
      <c r="AI64" s="49">
        <f t="shared" si="3"/>
        <v>22.6</v>
      </c>
      <c r="AK64" s="51"/>
    </row>
    <row r="65" spans="1:75" ht="15.75" thickBot="1" x14ac:dyDescent="0.3">
      <c r="A65" s="80" t="s">
        <v>79</v>
      </c>
      <c r="B65" s="71">
        <f t="shared" ref="B65:AG65" si="25">SUM(B62:B64)</f>
        <v>542</v>
      </c>
      <c r="C65" s="71">
        <f t="shared" si="25"/>
        <v>542</v>
      </c>
      <c r="D65" s="71">
        <f t="shared" si="25"/>
        <v>542</v>
      </c>
      <c r="E65" s="71">
        <f t="shared" si="25"/>
        <v>542</v>
      </c>
      <c r="F65" s="71">
        <f t="shared" si="25"/>
        <v>542</v>
      </c>
      <c r="G65" s="71">
        <f t="shared" si="25"/>
        <v>542</v>
      </c>
      <c r="H65" s="71">
        <f t="shared" si="25"/>
        <v>542</v>
      </c>
      <c r="I65" s="71">
        <f t="shared" si="25"/>
        <v>542</v>
      </c>
      <c r="J65" s="71">
        <f t="shared" si="25"/>
        <v>542</v>
      </c>
      <c r="K65" s="71">
        <f t="shared" si="25"/>
        <v>542</v>
      </c>
      <c r="L65" s="71">
        <f t="shared" si="25"/>
        <v>542</v>
      </c>
      <c r="M65" s="71">
        <f t="shared" si="25"/>
        <v>541.70000000000005</v>
      </c>
      <c r="N65" s="71">
        <f t="shared" si="25"/>
        <v>541.70000000000005</v>
      </c>
      <c r="O65" s="71">
        <f t="shared" ref="O65" si="26">SUM(O62:O64)</f>
        <v>541.70000000000005</v>
      </c>
      <c r="P65" s="71">
        <f t="shared" si="25"/>
        <v>541.70000000000005</v>
      </c>
      <c r="Q65" s="71">
        <f t="shared" si="25"/>
        <v>541.70000000000005</v>
      </c>
      <c r="R65" s="71">
        <f t="shared" si="25"/>
        <v>541.9</v>
      </c>
      <c r="S65" s="71">
        <f t="shared" ref="S65:T65" si="27">SUM(S62:S64)</f>
        <v>541.9</v>
      </c>
      <c r="T65" s="71">
        <f t="shared" si="27"/>
        <v>541.9</v>
      </c>
      <c r="U65" s="71">
        <f t="shared" ref="U65" si="28">SUM(U62:U64)</f>
        <v>541.9</v>
      </c>
      <c r="V65" s="71">
        <f t="shared" ref="V65:AA65" si="29">SUM(V62:V64)</f>
        <v>541.9</v>
      </c>
      <c r="W65" s="71">
        <f t="shared" si="29"/>
        <v>541.9</v>
      </c>
      <c r="X65" s="71">
        <f t="shared" si="29"/>
        <v>541.9</v>
      </c>
      <c r="Y65" s="71">
        <f t="shared" si="29"/>
        <v>541.9</v>
      </c>
      <c r="Z65" s="71">
        <f t="shared" si="29"/>
        <v>541.9</v>
      </c>
      <c r="AA65" s="71">
        <f t="shared" si="29"/>
        <v>541.9</v>
      </c>
      <c r="AB65" s="71">
        <f t="shared" si="25"/>
        <v>541.9</v>
      </c>
      <c r="AC65" s="71">
        <f t="shared" si="25"/>
        <v>541.9</v>
      </c>
      <c r="AD65" s="71">
        <f t="shared" si="25"/>
        <v>232.6</v>
      </c>
      <c r="AE65" s="71">
        <f t="shared" si="25"/>
        <v>538.6</v>
      </c>
      <c r="AF65" s="71">
        <f t="shared" si="25"/>
        <v>538.6</v>
      </c>
      <c r="AG65" s="72">
        <f t="shared" si="25"/>
        <v>538.1</v>
      </c>
      <c r="AH65" s="48">
        <f t="shared" si="2"/>
        <v>542</v>
      </c>
      <c r="AI65" s="49">
        <f t="shared" si="3"/>
        <v>232.6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139.5</v>
      </c>
      <c r="C66" s="46">
        <v>139.5</v>
      </c>
      <c r="D66" s="46">
        <v>139.5</v>
      </c>
      <c r="E66" s="46">
        <v>140.5</v>
      </c>
      <c r="F66" s="46">
        <v>140.5</v>
      </c>
      <c r="G66" s="46">
        <v>140.5</v>
      </c>
      <c r="H66" s="46">
        <v>140.5</v>
      </c>
      <c r="I66" s="46">
        <v>140.5</v>
      </c>
      <c r="J66" s="46">
        <v>140.5</v>
      </c>
      <c r="K66" s="46">
        <v>140.5</v>
      </c>
      <c r="L66" s="46">
        <v>138.5</v>
      </c>
      <c r="M66" s="46">
        <v>138.19999999999999</v>
      </c>
      <c r="N66" s="46">
        <v>138.19999999999999</v>
      </c>
      <c r="O66" s="46">
        <v>138.19999999999999</v>
      </c>
      <c r="P66" s="46">
        <v>138.19999999999999</v>
      </c>
      <c r="Q66" s="46">
        <v>138.19999999999999</v>
      </c>
      <c r="R66" s="46">
        <v>138.5</v>
      </c>
      <c r="S66" s="46">
        <v>138.5</v>
      </c>
      <c r="T66" s="46">
        <v>138.5</v>
      </c>
      <c r="U66" s="46">
        <v>138.5</v>
      </c>
      <c r="V66" s="46">
        <v>138.5</v>
      </c>
      <c r="W66" s="46">
        <v>138.5</v>
      </c>
      <c r="X66" s="46">
        <v>138.5</v>
      </c>
      <c r="Y66" s="46">
        <v>138.5</v>
      </c>
      <c r="Z66" s="46">
        <v>138.5</v>
      </c>
      <c r="AA66" s="46">
        <v>138.5</v>
      </c>
      <c r="AB66" s="46">
        <v>138.5</v>
      </c>
      <c r="AC66" s="46">
        <v>138.5</v>
      </c>
      <c r="AD66" s="46">
        <v>141</v>
      </c>
      <c r="AE66" s="46">
        <v>141</v>
      </c>
      <c r="AF66" s="46">
        <v>141</v>
      </c>
      <c r="AG66" s="61">
        <v>144</v>
      </c>
      <c r="AH66" s="48">
        <f t="shared" si="2"/>
        <v>141</v>
      </c>
      <c r="AI66" s="49">
        <f t="shared" si="3"/>
        <v>138.19999999999999</v>
      </c>
      <c r="AK66" s="51"/>
      <c r="AY66" s="1" t="s">
        <v>86</v>
      </c>
      <c r="AZ66" s="82">
        <f>ROUND(C84,0)</f>
        <v>-44</v>
      </c>
      <c r="BA66" s="81">
        <f t="shared" ref="BA66:BD70" si="30">D84</f>
        <v>-50</v>
      </c>
      <c r="BB66" s="81">
        <f t="shared" si="30"/>
        <v>-50</v>
      </c>
      <c r="BC66" s="81">
        <f t="shared" si="30"/>
        <v>-64</v>
      </c>
      <c r="BD66" s="81">
        <f t="shared" si="30"/>
        <v>-22</v>
      </c>
      <c r="BE66" s="82">
        <f>I84</f>
        <v>-49.5</v>
      </c>
      <c r="BF66" s="82">
        <f>K84</f>
        <v>-39</v>
      </c>
      <c r="BG66" s="82">
        <f t="shared" ref="BG66:BP70" si="31">M84</f>
        <v>-45</v>
      </c>
      <c r="BH66" s="82">
        <f t="shared" si="31"/>
        <v>-33</v>
      </c>
      <c r="BI66" s="82">
        <f t="shared" si="31"/>
        <v>-35</v>
      </c>
      <c r="BJ66" s="82">
        <f t="shared" si="31"/>
        <v>-25</v>
      </c>
      <c r="BK66" s="82">
        <f t="shared" si="31"/>
        <v>-30</v>
      </c>
      <c r="BL66" s="82">
        <f t="shared" si="31"/>
        <v>-27.9</v>
      </c>
      <c r="BM66" s="82">
        <f t="shared" si="31"/>
        <v>-30</v>
      </c>
      <c r="BN66" s="82">
        <f t="shared" si="31"/>
        <v>-35</v>
      </c>
      <c r="BO66" s="82">
        <f t="shared" si="31"/>
        <v>-51</v>
      </c>
      <c r="BP66" s="82">
        <f t="shared" si="31"/>
        <v>-65</v>
      </c>
      <c r="BQ66" s="82">
        <f>X84</f>
        <v>-60</v>
      </c>
      <c r="BR66" s="82">
        <f>Z84</f>
        <v>-48</v>
      </c>
      <c r="BS66" s="81">
        <f>AB84</f>
        <v>-61</v>
      </c>
      <c r="BT66" s="81">
        <f t="shared" ref="BT66:BV70" si="32">AD84</f>
        <v>-54</v>
      </c>
      <c r="BU66" s="81">
        <f t="shared" si="32"/>
        <v>-59</v>
      </c>
      <c r="BV66" s="81">
        <f t="shared" si="32"/>
        <v>-63</v>
      </c>
      <c r="BW66" s="81">
        <f>B84</f>
        <v>-37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35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35</v>
      </c>
      <c r="AK67" s="51"/>
      <c r="AY67" s="1" t="s">
        <v>88</v>
      </c>
      <c r="AZ67" s="82">
        <f>ROUND(C85,0)</f>
        <v>0</v>
      </c>
      <c r="BA67" s="81">
        <f t="shared" si="30"/>
        <v>0</v>
      </c>
      <c r="BB67" s="81">
        <f t="shared" si="30"/>
        <v>0</v>
      </c>
      <c r="BC67" s="81">
        <f t="shared" si="30"/>
        <v>0</v>
      </c>
      <c r="BD67" s="81">
        <f t="shared" si="30"/>
        <v>0</v>
      </c>
      <c r="BE67" s="82">
        <f>I85</f>
        <v>0</v>
      </c>
      <c r="BF67" s="82">
        <f>K85</f>
        <v>0</v>
      </c>
      <c r="BG67" s="82">
        <f t="shared" si="31"/>
        <v>0</v>
      </c>
      <c r="BH67" s="82">
        <f t="shared" si="31"/>
        <v>0</v>
      </c>
      <c r="BI67" s="82">
        <f t="shared" si="31"/>
        <v>0</v>
      </c>
      <c r="BJ67" s="82">
        <f t="shared" si="31"/>
        <v>0</v>
      </c>
      <c r="BK67" s="82">
        <f t="shared" si="31"/>
        <v>0</v>
      </c>
      <c r="BL67" s="82">
        <f t="shared" si="31"/>
        <v>0</v>
      </c>
      <c r="BM67" s="82">
        <f t="shared" si="31"/>
        <v>0</v>
      </c>
      <c r="BN67" s="82">
        <f t="shared" si="31"/>
        <v>0</v>
      </c>
      <c r="BO67" s="82">
        <f t="shared" si="31"/>
        <v>0</v>
      </c>
      <c r="BP67" s="82">
        <f t="shared" si="31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2"/>
        <v>0</v>
      </c>
      <c r="BU67" s="81">
        <f t="shared" si="32"/>
        <v>0</v>
      </c>
      <c r="BV67" s="81">
        <f t="shared" si="32"/>
        <v>0</v>
      </c>
      <c r="BW67" s="81">
        <f>B85</f>
        <v>0</v>
      </c>
    </row>
    <row r="68" spans="1:75" x14ac:dyDescent="0.25">
      <c r="A68" s="65" t="s">
        <v>82</v>
      </c>
      <c r="B68" s="76">
        <v>65.7</v>
      </c>
      <c r="C68" s="76">
        <v>65.7</v>
      </c>
      <c r="D68" s="76">
        <v>65.7</v>
      </c>
      <c r="E68" s="76">
        <v>64.5</v>
      </c>
      <c r="F68" s="76">
        <v>64.5</v>
      </c>
      <c r="G68" s="76">
        <v>64.5</v>
      </c>
      <c r="H68" s="76">
        <v>64.5</v>
      </c>
      <c r="I68" s="76">
        <v>64.5</v>
      </c>
      <c r="J68" s="76">
        <v>64.5</v>
      </c>
      <c r="K68" s="76">
        <v>64.5</v>
      </c>
      <c r="L68" s="76">
        <v>64.5</v>
      </c>
      <c r="M68" s="76">
        <v>64.5</v>
      </c>
      <c r="N68" s="76">
        <v>64.5</v>
      </c>
      <c r="O68" s="76">
        <v>64.5</v>
      </c>
      <c r="P68" s="76">
        <v>64.5</v>
      </c>
      <c r="Q68" s="76">
        <v>64.5</v>
      </c>
      <c r="R68" s="76">
        <v>65.099999999999994</v>
      </c>
      <c r="S68" s="76">
        <v>65.099999999999994</v>
      </c>
      <c r="T68" s="76">
        <v>65.099999999999994</v>
      </c>
      <c r="U68" s="76">
        <v>65.099999999999994</v>
      </c>
      <c r="V68" s="76">
        <v>65.099999999999994</v>
      </c>
      <c r="W68" s="76">
        <v>65.099999999999994</v>
      </c>
      <c r="X68" s="76">
        <v>65.099999999999994</v>
      </c>
      <c r="Y68" s="76">
        <v>65.099999999999994</v>
      </c>
      <c r="Z68" s="76">
        <v>65.099999999999994</v>
      </c>
      <c r="AA68" s="76">
        <v>65.099999999999994</v>
      </c>
      <c r="AB68" s="76">
        <v>65.099999999999994</v>
      </c>
      <c r="AC68" s="76">
        <v>65.099999999999994</v>
      </c>
      <c r="AD68" s="76">
        <v>65.099999999999994</v>
      </c>
      <c r="AE68" s="76">
        <v>65.099999999999994</v>
      </c>
      <c r="AF68" s="76">
        <v>65.099999999999994</v>
      </c>
      <c r="AG68" s="66">
        <v>69</v>
      </c>
      <c r="AH68" s="48">
        <f t="shared" si="2"/>
        <v>65.7</v>
      </c>
      <c r="AI68" s="49">
        <f t="shared" si="3"/>
        <v>64.5</v>
      </c>
      <c r="AK68" s="51"/>
      <c r="AL68" s="83"/>
      <c r="AO68" s="83"/>
      <c r="AY68" s="1" t="s">
        <v>90</v>
      </c>
      <c r="AZ68" s="82">
        <f>ROUND(C86,0)</f>
        <v>-585</v>
      </c>
      <c r="BA68" s="81">
        <f t="shared" si="30"/>
        <v>-661</v>
      </c>
      <c r="BB68" s="81">
        <f t="shared" si="30"/>
        <v>-606</v>
      </c>
      <c r="BC68" s="81">
        <f t="shared" si="30"/>
        <v>-581</v>
      </c>
      <c r="BD68" s="81">
        <f t="shared" si="30"/>
        <v>-540</v>
      </c>
      <c r="BE68" s="82">
        <f>I86</f>
        <v>-649</v>
      </c>
      <c r="BF68" s="82">
        <f>K86</f>
        <v>-556</v>
      </c>
      <c r="BG68" s="82">
        <f t="shared" si="31"/>
        <v>-540</v>
      </c>
      <c r="BH68" s="82">
        <f t="shared" si="31"/>
        <v>-549</v>
      </c>
      <c r="BI68" s="82">
        <f t="shared" si="31"/>
        <v>-500</v>
      </c>
      <c r="BJ68" s="82">
        <f t="shared" si="31"/>
        <v>-524.70000000000005</v>
      </c>
      <c r="BK68" s="82">
        <f t="shared" si="31"/>
        <v>-406</v>
      </c>
      <c r="BL68" s="82">
        <f t="shared" si="31"/>
        <v>-540.70000000000005</v>
      </c>
      <c r="BM68" s="82">
        <f t="shared" si="31"/>
        <v>-516</v>
      </c>
      <c r="BN68" s="82">
        <f t="shared" si="31"/>
        <v>-528</v>
      </c>
      <c r="BO68" s="82">
        <f t="shared" si="31"/>
        <v>-563</v>
      </c>
      <c r="BP68" s="82">
        <f t="shared" si="31"/>
        <v>-592</v>
      </c>
      <c r="BQ68" s="82">
        <f>X86</f>
        <v>-620</v>
      </c>
      <c r="BR68" s="82">
        <f>Z86</f>
        <v>-527</v>
      </c>
      <c r="BS68" s="81">
        <f>AB86</f>
        <v>-438</v>
      </c>
      <c r="BT68" s="81">
        <f t="shared" si="32"/>
        <v>-275</v>
      </c>
      <c r="BU68" s="81">
        <f t="shared" si="32"/>
        <v>-529</v>
      </c>
      <c r="BV68" s="81">
        <f t="shared" si="32"/>
        <v>-532</v>
      </c>
      <c r="BW68" s="81">
        <f>B86</f>
        <v>-550</v>
      </c>
    </row>
    <row r="69" spans="1:75" s="83" customFormat="1" x14ac:dyDescent="0.25">
      <c r="A69" s="65" t="s">
        <v>83</v>
      </c>
      <c r="B69" s="76">
        <v>60</v>
      </c>
      <c r="C69" s="76">
        <v>60</v>
      </c>
      <c r="D69" s="76">
        <v>60</v>
      </c>
      <c r="E69" s="76">
        <v>60</v>
      </c>
      <c r="F69" s="76">
        <v>60</v>
      </c>
      <c r="G69" s="76">
        <v>60</v>
      </c>
      <c r="H69" s="76">
        <v>60</v>
      </c>
      <c r="I69" s="76">
        <v>60</v>
      </c>
      <c r="J69" s="76">
        <v>60</v>
      </c>
      <c r="K69" s="76">
        <v>60</v>
      </c>
      <c r="L69" s="76">
        <v>60</v>
      </c>
      <c r="M69" s="76">
        <v>60</v>
      </c>
      <c r="N69" s="76">
        <v>60</v>
      </c>
      <c r="O69" s="76">
        <v>60</v>
      </c>
      <c r="P69" s="76">
        <v>30</v>
      </c>
      <c r="Q69" s="76">
        <v>60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76">
        <v>60.4</v>
      </c>
      <c r="AB69" s="76">
        <v>60.4</v>
      </c>
      <c r="AC69" s="76">
        <v>60.4</v>
      </c>
      <c r="AD69" s="76">
        <v>60.4</v>
      </c>
      <c r="AE69" s="76">
        <v>60.4</v>
      </c>
      <c r="AF69" s="76">
        <v>60.4</v>
      </c>
      <c r="AG69" s="66">
        <v>60</v>
      </c>
      <c r="AH69" s="48">
        <f t="shared" si="2"/>
        <v>60.4</v>
      </c>
      <c r="AI69" s="49">
        <f t="shared" si="3"/>
        <v>30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0"/>
        <v>0</v>
      </c>
      <c r="BB69" s="81">
        <f t="shared" si="30"/>
        <v>0</v>
      </c>
      <c r="BC69" s="81">
        <f t="shared" si="30"/>
        <v>0</v>
      </c>
      <c r="BD69" s="81">
        <f t="shared" si="30"/>
        <v>0</v>
      </c>
      <c r="BE69" s="82">
        <f>I87</f>
        <v>0</v>
      </c>
      <c r="BF69" s="82">
        <f>K87</f>
        <v>0</v>
      </c>
      <c r="BG69" s="82">
        <f t="shared" si="31"/>
        <v>0</v>
      </c>
      <c r="BH69" s="82">
        <f t="shared" si="31"/>
        <v>0</v>
      </c>
      <c r="BI69" s="82">
        <f t="shared" si="31"/>
        <v>0</v>
      </c>
      <c r="BJ69" s="82">
        <f t="shared" si="31"/>
        <v>0</v>
      </c>
      <c r="BK69" s="82">
        <f t="shared" si="31"/>
        <v>0</v>
      </c>
      <c r="BL69" s="82">
        <f t="shared" si="31"/>
        <v>0</v>
      </c>
      <c r="BM69" s="82">
        <f t="shared" si="31"/>
        <v>0</v>
      </c>
      <c r="BN69" s="82">
        <f t="shared" si="31"/>
        <v>0</v>
      </c>
      <c r="BO69" s="82">
        <f t="shared" si="31"/>
        <v>0</v>
      </c>
      <c r="BP69" s="82">
        <f t="shared" si="31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2"/>
        <v>0</v>
      </c>
      <c r="BU69" s="81">
        <f t="shared" si="32"/>
        <v>0</v>
      </c>
      <c r="BV69" s="81">
        <f t="shared" si="32"/>
        <v>0</v>
      </c>
      <c r="BW69" s="81">
        <f>B87</f>
        <v>0</v>
      </c>
    </row>
    <row r="70" spans="1:75" x14ac:dyDescent="0.25">
      <c r="A70" s="65" t="s">
        <v>84</v>
      </c>
      <c r="B70" s="46">
        <v>27.4</v>
      </c>
      <c r="C70" s="46">
        <v>27.4</v>
      </c>
      <c r="D70" s="46">
        <v>27.4</v>
      </c>
      <c r="E70" s="46">
        <v>27.4</v>
      </c>
      <c r="F70" s="46">
        <v>27.4</v>
      </c>
      <c r="G70" s="46">
        <v>15</v>
      </c>
      <c r="H70" s="46">
        <v>27.4</v>
      </c>
      <c r="I70" s="46">
        <v>27.4</v>
      </c>
      <c r="J70" s="46">
        <v>27.4</v>
      </c>
      <c r="K70" s="46">
        <v>27.4</v>
      </c>
      <c r="L70" s="46">
        <v>27.4</v>
      </c>
      <c r="M70" s="46">
        <v>0</v>
      </c>
      <c r="N70" s="46">
        <v>0</v>
      </c>
      <c r="O70" s="46">
        <v>27.7</v>
      </c>
      <c r="P70" s="46">
        <v>27.7</v>
      </c>
      <c r="Q70" s="46">
        <v>27.7</v>
      </c>
      <c r="R70" s="76">
        <v>27.5</v>
      </c>
      <c r="S70" s="76">
        <v>0</v>
      </c>
      <c r="T70" s="76">
        <v>0</v>
      </c>
      <c r="U70" s="76">
        <v>15</v>
      </c>
      <c r="V70" s="76">
        <v>27.5</v>
      </c>
      <c r="W70" s="76">
        <v>27.5</v>
      </c>
      <c r="X70" s="76">
        <v>27.5</v>
      </c>
      <c r="Y70" s="76">
        <v>27.5</v>
      </c>
      <c r="Z70" s="76">
        <v>27.5</v>
      </c>
      <c r="AA70" s="76">
        <v>27.5</v>
      </c>
      <c r="AB70" s="76">
        <v>27.5</v>
      </c>
      <c r="AC70" s="76">
        <v>27.5</v>
      </c>
      <c r="AD70" s="76">
        <v>27.5</v>
      </c>
      <c r="AE70" s="76">
        <v>27.5</v>
      </c>
      <c r="AF70" s="76">
        <v>27.5</v>
      </c>
      <c r="AG70" s="66">
        <v>30</v>
      </c>
      <c r="AH70" s="48">
        <f t="shared" si="2"/>
        <v>27.7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0"/>
        <v>0</v>
      </c>
      <c r="BB70" s="81">
        <f t="shared" si="30"/>
        <v>0</v>
      </c>
      <c r="BC70" s="81">
        <f t="shared" si="30"/>
        <v>0</v>
      </c>
      <c r="BD70" s="81">
        <f t="shared" si="30"/>
        <v>0</v>
      </c>
      <c r="BE70" s="82">
        <f>I88</f>
        <v>0</v>
      </c>
      <c r="BF70" s="82">
        <f>K88</f>
        <v>0</v>
      </c>
      <c r="BG70" s="82">
        <f t="shared" si="31"/>
        <v>0</v>
      </c>
      <c r="BH70" s="82">
        <f t="shared" si="31"/>
        <v>0</v>
      </c>
      <c r="BI70" s="82">
        <f t="shared" si="31"/>
        <v>0</v>
      </c>
      <c r="BJ70" s="82">
        <f t="shared" si="31"/>
        <v>0</v>
      </c>
      <c r="BK70" s="82">
        <f t="shared" si="31"/>
        <v>0</v>
      </c>
      <c r="BL70" s="82">
        <f t="shared" si="31"/>
        <v>0</v>
      </c>
      <c r="BM70" s="82">
        <f t="shared" si="31"/>
        <v>0</v>
      </c>
      <c r="BN70" s="82">
        <f t="shared" si="31"/>
        <v>0</v>
      </c>
      <c r="BO70" s="82">
        <f t="shared" si="31"/>
        <v>0</v>
      </c>
      <c r="BP70" s="82">
        <f t="shared" si="31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2"/>
        <v>0</v>
      </c>
      <c r="BU70" s="81">
        <f t="shared" si="32"/>
        <v>0</v>
      </c>
      <c r="BV70" s="81">
        <f t="shared" si="32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v>8</v>
      </c>
      <c r="O71" s="46">
        <v>17.100000000000001</v>
      </c>
      <c r="P71" s="46">
        <v>16.8</v>
      </c>
      <c r="Q71" s="46">
        <v>7.7</v>
      </c>
      <c r="R71" s="76">
        <v>18</v>
      </c>
      <c r="S71" s="76">
        <v>4.9000000000000004</v>
      </c>
      <c r="T71" s="76">
        <v>5.0999999999999996</v>
      </c>
      <c r="U71" s="76">
        <v>4.8</v>
      </c>
      <c r="V71" s="76">
        <v>2.4</v>
      </c>
      <c r="W71" s="76">
        <v>1</v>
      </c>
      <c r="X71" s="76">
        <v>1</v>
      </c>
      <c r="Y71" s="76">
        <v>0.3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18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3">M94</f>
        <v>0</v>
      </c>
      <c r="BH71" s="82">
        <f t="shared" si="33"/>
        <v>0</v>
      </c>
      <c r="BI71" s="82">
        <f t="shared" si="33"/>
        <v>0</v>
      </c>
      <c r="BJ71" s="82">
        <f t="shared" si="33"/>
        <v>0</v>
      </c>
      <c r="BK71" s="82">
        <f t="shared" si="33"/>
        <v>0</v>
      </c>
      <c r="BL71" s="82">
        <f t="shared" si="33"/>
        <v>0</v>
      </c>
      <c r="BM71" s="82">
        <f t="shared" si="33"/>
        <v>0</v>
      </c>
      <c r="BN71" s="82">
        <f t="shared" si="33"/>
        <v>0</v>
      </c>
      <c r="BO71" s="82">
        <f t="shared" si="33"/>
        <v>0</v>
      </c>
      <c r="BP71" s="82">
        <f t="shared" si="33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11.6</v>
      </c>
      <c r="C72" s="76">
        <v>11.6</v>
      </c>
      <c r="D72" s="76">
        <v>11.6</v>
      </c>
      <c r="E72" s="76">
        <v>11.6</v>
      </c>
      <c r="F72" s="76">
        <v>11.6</v>
      </c>
      <c r="G72" s="76">
        <v>11.6</v>
      </c>
      <c r="H72" s="76">
        <v>11.6</v>
      </c>
      <c r="I72" s="76">
        <v>11.6</v>
      </c>
      <c r="J72" s="76">
        <v>11.6</v>
      </c>
      <c r="K72" s="76">
        <v>11.6</v>
      </c>
      <c r="L72" s="76">
        <v>11.6</v>
      </c>
      <c r="M72" s="76">
        <v>11.6</v>
      </c>
      <c r="N72" s="76">
        <v>11.6</v>
      </c>
      <c r="O72" s="76">
        <v>11.6</v>
      </c>
      <c r="P72" s="76">
        <v>11.6</v>
      </c>
      <c r="Q72" s="76">
        <v>11.6</v>
      </c>
      <c r="R72" s="76">
        <v>11.9</v>
      </c>
      <c r="S72" s="76">
        <v>11.9</v>
      </c>
      <c r="T72" s="76">
        <v>11.9</v>
      </c>
      <c r="U72" s="76">
        <v>11.9</v>
      </c>
      <c r="V72" s="76">
        <v>11.9</v>
      </c>
      <c r="W72" s="76">
        <v>11.9</v>
      </c>
      <c r="X72" s="76">
        <v>11.9</v>
      </c>
      <c r="Y72" s="76">
        <v>11.9</v>
      </c>
      <c r="Z72" s="76">
        <v>11.9</v>
      </c>
      <c r="AA72" s="76">
        <v>11.9</v>
      </c>
      <c r="AB72" s="76">
        <v>11.9</v>
      </c>
      <c r="AC72" s="76">
        <v>11.9</v>
      </c>
      <c r="AD72" s="76">
        <v>11.9</v>
      </c>
      <c r="AE72" s="76">
        <v>11.9</v>
      </c>
      <c r="AF72" s="76">
        <v>11.9</v>
      </c>
      <c r="AG72" s="66">
        <v>24</v>
      </c>
      <c r="AH72" s="48">
        <f t="shared" si="2"/>
        <v>11.9</v>
      </c>
      <c r="AI72" s="49">
        <f t="shared" si="3"/>
        <v>11.6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2.1</v>
      </c>
      <c r="C73" s="76">
        <v>2.1</v>
      </c>
      <c r="D73" s="76">
        <v>2.1</v>
      </c>
      <c r="E73" s="76">
        <v>2.1</v>
      </c>
      <c r="F73" s="76">
        <v>2.1</v>
      </c>
      <c r="G73" s="76">
        <v>2.1</v>
      </c>
      <c r="H73" s="76">
        <v>2.1</v>
      </c>
      <c r="I73" s="76">
        <v>2.1</v>
      </c>
      <c r="J73" s="76">
        <v>2.1</v>
      </c>
      <c r="K73" s="76">
        <v>2.1</v>
      </c>
      <c r="L73" s="76">
        <v>2.1</v>
      </c>
      <c r="M73" s="76">
        <v>2.1</v>
      </c>
      <c r="N73" s="76">
        <v>2.1</v>
      </c>
      <c r="O73" s="76">
        <v>2.1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66">
        <v>15</v>
      </c>
      <c r="AH73" s="48">
        <f t="shared" si="2"/>
        <v>2.1</v>
      </c>
      <c r="AI73" s="49">
        <f t="shared" si="3"/>
        <v>0</v>
      </c>
      <c r="AK73" s="51"/>
      <c r="AZ73" s="82">
        <f t="shared" ref="AZ73:BW78" si="34">VALUE(AZ66)</f>
        <v>-44</v>
      </c>
      <c r="BA73" s="82">
        <f t="shared" si="34"/>
        <v>-50</v>
      </c>
      <c r="BB73" s="82">
        <f t="shared" si="34"/>
        <v>-50</v>
      </c>
      <c r="BC73" s="82">
        <f t="shared" si="34"/>
        <v>-64</v>
      </c>
      <c r="BD73" s="82">
        <f t="shared" si="34"/>
        <v>-22</v>
      </c>
      <c r="BE73" s="82">
        <f t="shared" si="34"/>
        <v>-49.5</v>
      </c>
      <c r="BF73" s="82">
        <f t="shared" si="34"/>
        <v>-39</v>
      </c>
      <c r="BG73" s="82">
        <f t="shared" si="34"/>
        <v>-45</v>
      </c>
      <c r="BH73" s="82">
        <f t="shared" si="34"/>
        <v>-33</v>
      </c>
      <c r="BI73" s="82">
        <f t="shared" si="34"/>
        <v>-35</v>
      </c>
      <c r="BJ73" s="82">
        <f t="shared" si="34"/>
        <v>-25</v>
      </c>
      <c r="BK73" s="82">
        <f t="shared" si="34"/>
        <v>-30</v>
      </c>
      <c r="BL73" s="82">
        <f t="shared" si="34"/>
        <v>-27.9</v>
      </c>
      <c r="BM73" s="82">
        <f t="shared" si="34"/>
        <v>-30</v>
      </c>
      <c r="BN73" s="82">
        <f t="shared" si="34"/>
        <v>-35</v>
      </c>
      <c r="BO73" s="82">
        <f t="shared" si="34"/>
        <v>-51</v>
      </c>
      <c r="BP73" s="82">
        <f t="shared" si="34"/>
        <v>-65</v>
      </c>
      <c r="BQ73" s="82">
        <f t="shared" si="34"/>
        <v>-60</v>
      </c>
      <c r="BR73" s="82">
        <f t="shared" si="34"/>
        <v>-48</v>
      </c>
      <c r="BS73" s="82">
        <f t="shared" si="34"/>
        <v>-61</v>
      </c>
      <c r="BT73" s="82">
        <f t="shared" si="34"/>
        <v>-54</v>
      </c>
      <c r="BU73" s="82">
        <f t="shared" si="34"/>
        <v>-59</v>
      </c>
      <c r="BV73" s="82">
        <f t="shared" si="34"/>
        <v>-63</v>
      </c>
      <c r="BW73" s="82">
        <f t="shared" si="34"/>
        <v>-37</v>
      </c>
    </row>
    <row r="74" spans="1:75" x14ac:dyDescent="0.25">
      <c r="A74" s="65" t="s">
        <v>91</v>
      </c>
      <c r="B74" s="76">
        <v>8.6</v>
      </c>
      <c r="C74" s="76">
        <v>8.6</v>
      </c>
      <c r="D74" s="76">
        <v>8.6</v>
      </c>
      <c r="E74" s="76">
        <v>8.6</v>
      </c>
      <c r="F74" s="76">
        <v>8.6</v>
      </c>
      <c r="G74" s="76">
        <v>8.6</v>
      </c>
      <c r="H74" s="76">
        <v>8.6</v>
      </c>
      <c r="I74" s="76">
        <v>8.6</v>
      </c>
      <c r="J74" s="76">
        <v>8.6</v>
      </c>
      <c r="K74" s="76">
        <v>8.6</v>
      </c>
      <c r="L74" s="76">
        <v>8.6</v>
      </c>
      <c r="M74" s="76">
        <v>8.6</v>
      </c>
      <c r="N74" s="76">
        <v>8.6</v>
      </c>
      <c r="O74" s="76">
        <v>8.6</v>
      </c>
      <c r="P74" s="76">
        <v>8.6</v>
      </c>
      <c r="Q74" s="76">
        <v>8.6</v>
      </c>
      <c r="R74" s="76">
        <v>8.6</v>
      </c>
      <c r="S74" s="76">
        <v>8.6</v>
      </c>
      <c r="T74" s="76">
        <v>8.6</v>
      </c>
      <c r="U74" s="76">
        <v>8.6</v>
      </c>
      <c r="V74" s="76">
        <v>8.6</v>
      </c>
      <c r="W74" s="76">
        <v>8.6</v>
      </c>
      <c r="X74" s="76">
        <v>8.6</v>
      </c>
      <c r="Y74" s="76">
        <v>8.6</v>
      </c>
      <c r="Z74" s="76">
        <v>8.6</v>
      </c>
      <c r="AA74" s="76">
        <v>8.6</v>
      </c>
      <c r="AB74" s="76">
        <v>8.6</v>
      </c>
      <c r="AC74" s="76">
        <v>8.6</v>
      </c>
      <c r="AD74" s="76">
        <v>8.6</v>
      </c>
      <c r="AE74" s="76">
        <v>8.6</v>
      </c>
      <c r="AF74" s="76">
        <v>8.6</v>
      </c>
      <c r="AG74" s="66">
        <v>14.1</v>
      </c>
      <c r="AH74" s="48">
        <f t="shared" si="2"/>
        <v>8.6</v>
      </c>
      <c r="AI74" s="49">
        <f t="shared" si="3"/>
        <v>8.6</v>
      </c>
      <c r="AK74" s="51"/>
      <c r="AZ74" s="82">
        <f t="shared" si="34"/>
        <v>0</v>
      </c>
      <c r="BA74" s="82">
        <f t="shared" si="34"/>
        <v>0</v>
      </c>
      <c r="BB74" s="82">
        <f t="shared" si="34"/>
        <v>0</v>
      </c>
      <c r="BC74" s="82">
        <f t="shared" si="34"/>
        <v>0</v>
      </c>
      <c r="BD74" s="82">
        <f t="shared" si="34"/>
        <v>0</v>
      </c>
      <c r="BE74" s="82">
        <f t="shared" si="34"/>
        <v>0</v>
      </c>
      <c r="BF74" s="82">
        <f t="shared" si="34"/>
        <v>0</v>
      </c>
      <c r="BG74" s="82">
        <f t="shared" si="34"/>
        <v>0</v>
      </c>
      <c r="BH74" s="82">
        <f t="shared" si="34"/>
        <v>0</v>
      </c>
      <c r="BI74" s="82">
        <f t="shared" si="34"/>
        <v>0</v>
      </c>
      <c r="BJ74" s="82">
        <f t="shared" si="34"/>
        <v>0</v>
      </c>
      <c r="BK74" s="82">
        <f t="shared" si="34"/>
        <v>0</v>
      </c>
      <c r="BL74" s="82">
        <f t="shared" si="34"/>
        <v>0</v>
      </c>
      <c r="BM74" s="82">
        <f t="shared" si="34"/>
        <v>0</v>
      </c>
      <c r="BN74" s="82">
        <f t="shared" si="34"/>
        <v>0</v>
      </c>
      <c r="BO74" s="82">
        <f t="shared" si="34"/>
        <v>0</v>
      </c>
      <c r="BP74" s="82">
        <f t="shared" si="34"/>
        <v>0</v>
      </c>
      <c r="BQ74" s="82">
        <f t="shared" si="34"/>
        <v>0</v>
      </c>
      <c r="BR74" s="82">
        <f t="shared" si="34"/>
        <v>0</v>
      </c>
      <c r="BS74" s="82">
        <f t="shared" si="34"/>
        <v>0</v>
      </c>
      <c r="BT74" s="82">
        <f t="shared" si="34"/>
        <v>0</v>
      </c>
      <c r="BU74" s="82">
        <f t="shared" si="34"/>
        <v>0</v>
      </c>
      <c r="BV74" s="82">
        <f t="shared" si="34"/>
        <v>0</v>
      </c>
      <c r="BW74" s="82">
        <f t="shared" si="34"/>
        <v>0</v>
      </c>
    </row>
    <row r="75" spans="1:75" x14ac:dyDescent="0.25">
      <c r="A75" s="84" t="s">
        <v>93</v>
      </c>
      <c r="B75" s="76">
        <v>10</v>
      </c>
      <c r="C75" s="76">
        <v>10</v>
      </c>
      <c r="D75" s="76">
        <v>10</v>
      </c>
      <c r="E75" s="76">
        <v>10</v>
      </c>
      <c r="F75" s="76">
        <v>10</v>
      </c>
      <c r="G75" s="76">
        <v>10</v>
      </c>
      <c r="H75" s="76">
        <v>10</v>
      </c>
      <c r="I75" s="76">
        <v>10</v>
      </c>
      <c r="J75" s="76">
        <v>10</v>
      </c>
      <c r="K75" s="76">
        <v>10</v>
      </c>
      <c r="L75" s="76">
        <v>10</v>
      </c>
      <c r="M75" s="76">
        <v>10</v>
      </c>
      <c r="N75" s="76">
        <v>10</v>
      </c>
      <c r="O75" s="76">
        <v>10</v>
      </c>
      <c r="P75" s="76">
        <v>10</v>
      </c>
      <c r="Q75" s="76">
        <v>10</v>
      </c>
      <c r="R75" s="76">
        <v>10</v>
      </c>
      <c r="S75" s="76">
        <v>10</v>
      </c>
      <c r="T75" s="76">
        <v>10</v>
      </c>
      <c r="U75" s="76">
        <v>10</v>
      </c>
      <c r="V75" s="76">
        <v>10</v>
      </c>
      <c r="W75" s="76">
        <v>10</v>
      </c>
      <c r="X75" s="76">
        <v>10</v>
      </c>
      <c r="Y75" s="76">
        <v>14</v>
      </c>
      <c r="Z75" s="76">
        <v>14</v>
      </c>
      <c r="AA75" s="76">
        <v>14</v>
      </c>
      <c r="AB75" s="76">
        <v>14</v>
      </c>
      <c r="AC75" s="76">
        <v>14</v>
      </c>
      <c r="AD75" s="76">
        <v>14</v>
      </c>
      <c r="AE75" s="76">
        <v>14</v>
      </c>
      <c r="AF75" s="76">
        <v>14</v>
      </c>
      <c r="AG75" s="66">
        <v>14</v>
      </c>
      <c r="AH75" s="48">
        <f t="shared" ref="AH75:AH126" si="35">MAX(B75:AF75)</f>
        <v>14</v>
      </c>
      <c r="AI75" s="49">
        <f t="shared" ref="AI75:AI126" si="36">MIN(B75:AF75)</f>
        <v>10</v>
      </c>
      <c r="AK75" s="51"/>
      <c r="AZ75" s="82">
        <f t="shared" si="34"/>
        <v>-585</v>
      </c>
      <c r="BA75" s="82">
        <f t="shared" si="34"/>
        <v>-661</v>
      </c>
      <c r="BB75" s="82">
        <f t="shared" si="34"/>
        <v>-606</v>
      </c>
      <c r="BC75" s="82">
        <f t="shared" si="34"/>
        <v>-581</v>
      </c>
      <c r="BD75" s="82">
        <f t="shared" si="34"/>
        <v>-540</v>
      </c>
      <c r="BE75" s="82">
        <f t="shared" si="34"/>
        <v>-649</v>
      </c>
      <c r="BF75" s="82">
        <f t="shared" si="34"/>
        <v>-556</v>
      </c>
      <c r="BG75" s="82">
        <f t="shared" si="34"/>
        <v>-540</v>
      </c>
      <c r="BH75" s="82">
        <f t="shared" si="34"/>
        <v>-549</v>
      </c>
      <c r="BI75" s="82">
        <f t="shared" si="34"/>
        <v>-500</v>
      </c>
      <c r="BJ75" s="82">
        <f t="shared" si="34"/>
        <v>-524.70000000000005</v>
      </c>
      <c r="BK75" s="82">
        <f t="shared" si="34"/>
        <v>-406</v>
      </c>
      <c r="BL75" s="82">
        <f t="shared" si="34"/>
        <v>-540.70000000000005</v>
      </c>
      <c r="BM75" s="82">
        <f t="shared" si="34"/>
        <v>-516</v>
      </c>
      <c r="BN75" s="82">
        <f t="shared" si="34"/>
        <v>-528</v>
      </c>
      <c r="BO75" s="82">
        <f t="shared" si="34"/>
        <v>-563</v>
      </c>
      <c r="BP75" s="82">
        <f t="shared" si="34"/>
        <v>-592</v>
      </c>
      <c r="BQ75" s="82">
        <f t="shared" si="34"/>
        <v>-620</v>
      </c>
      <c r="BR75" s="82">
        <f t="shared" si="34"/>
        <v>-527</v>
      </c>
      <c r="BS75" s="82">
        <f t="shared" si="34"/>
        <v>-438</v>
      </c>
      <c r="BT75" s="82">
        <f t="shared" si="34"/>
        <v>-275</v>
      </c>
      <c r="BU75" s="82">
        <f t="shared" si="34"/>
        <v>-529</v>
      </c>
      <c r="BV75" s="82">
        <f t="shared" si="34"/>
        <v>-532</v>
      </c>
      <c r="BW75" s="82">
        <f t="shared" si="34"/>
        <v>-550</v>
      </c>
    </row>
    <row r="76" spans="1:75" x14ac:dyDescent="0.25">
      <c r="A76" s="65" t="s">
        <v>95</v>
      </c>
      <c r="B76" s="76">
        <v>8.9</v>
      </c>
      <c r="C76" s="76">
        <v>8.9</v>
      </c>
      <c r="D76" s="76">
        <v>8.9</v>
      </c>
      <c r="E76" s="76">
        <v>8.9</v>
      </c>
      <c r="F76" s="76">
        <v>8.9</v>
      </c>
      <c r="G76" s="76">
        <v>8.9</v>
      </c>
      <c r="H76" s="76">
        <v>8.9</v>
      </c>
      <c r="I76" s="76">
        <v>8.9</v>
      </c>
      <c r="J76" s="76">
        <v>8.9</v>
      </c>
      <c r="K76" s="76">
        <v>8.9</v>
      </c>
      <c r="L76" s="76">
        <v>8.9</v>
      </c>
      <c r="M76" s="76">
        <v>8.9</v>
      </c>
      <c r="N76" s="76">
        <v>8.9</v>
      </c>
      <c r="O76" s="76">
        <v>8.9</v>
      </c>
      <c r="P76" s="76">
        <v>8.9</v>
      </c>
      <c r="Q76" s="76">
        <v>8.9</v>
      </c>
      <c r="R76" s="76">
        <v>8.9</v>
      </c>
      <c r="S76" s="76">
        <v>8.9</v>
      </c>
      <c r="T76" s="76">
        <v>8.9</v>
      </c>
      <c r="U76" s="76">
        <v>8.9</v>
      </c>
      <c r="V76" s="76">
        <v>8.9</v>
      </c>
      <c r="W76" s="76">
        <v>8.9</v>
      </c>
      <c r="X76" s="76">
        <v>8.9</v>
      </c>
      <c r="Y76" s="76">
        <v>8.9</v>
      </c>
      <c r="Z76" s="76">
        <v>8.9</v>
      </c>
      <c r="AA76" s="76">
        <v>8.9</v>
      </c>
      <c r="AB76" s="76">
        <v>8.9</v>
      </c>
      <c r="AC76" s="76">
        <v>8.9</v>
      </c>
      <c r="AD76" s="76">
        <v>8.9</v>
      </c>
      <c r="AE76" s="76">
        <v>8.9</v>
      </c>
      <c r="AF76" s="76">
        <v>8.9</v>
      </c>
      <c r="AG76" s="66">
        <v>10.050000000000001</v>
      </c>
      <c r="AH76" s="48">
        <f t="shared" si="35"/>
        <v>8.9</v>
      </c>
      <c r="AI76" s="49">
        <f t="shared" si="36"/>
        <v>8.9</v>
      </c>
      <c r="AK76" s="51"/>
      <c r="AZ76" s="82">
        <f t="shared" si="34"/>
        <v>0</v>
      </c>
      <c r="BA76" s="82">
        <f t="shared" si="34"/>
        <v>0</v>
      </c>
      <c r="BB76" s="82">
        <f t="shared" si="34"/>
        <v>0</v>
      </c>
      <c r="BC76" s="82">
        <f t="shared" si="34"/>
        <v>0</v>
      </c>
      <c r="BD76" s="82">
        <f t="shared" si="34"/>
        <v>0</v>
      </c>
      <c r="BE76" s="82">
        <f t="shared" si="34"/>
        <v>0</v>
      </c>
      <c r="BF76" s="82">
        <f t="shared" si="34"/>
        <v>0</v>
      </c>
      <c r="BG76" s="82">
        <f t="shared" si="34"/>
        <v>0</v>
      </c>
      <c r="BH76" s="82">
        <f t="shared" si="34"/>
        <v>0</v>
      </c>
      <c r="BI76" s="82">
        <f t="shared" si="34"/>
        <v>0</v>
      </c>
      <c r="BJ76" s="82">
        <f t="shared" si="34"/>
        <v>0</v>
      </c>
      <c r="BK76" s="82">
        <f t="shared" si="34"/>
        <v>0</v>
      </c>
      <c r="BL76" s="82">
        <f t="shared" si="34"/>
        <v>0</v>
      </c>
      <c r="BM76" s="82">
        <f t="shared" si="34"/>
        <v>0</v>
      </c>
      <c r="BN76" s="82">
        <f t="shared" si="34"/>
        <v>0</v>
      </c>
      <c r="BO76" s="82">
        <f t="shared" si="34"/>
        <v>0</v>
      </c>
      <c r="BP76" s="82">
        <f t="shared" si="34"/>
        <v>0</v>
      </c>
      <c r="BQ76" s="82">
        <f t="shared" si="34"/>
        <v>0</v>
      </c>
      <c r="BR76" s="82">
        <f t="shared" si="34"/>
        <v>0</v>
      </c>
      <c r="BS76" s="82">
        <f t="shared" si="34"/>
        <v>0</v>
      </c>
      <c r="BT76" s="82">
        <f t="shared" si="34"/>
        <v>0</v>
      </c>
      <c r="BU76" s="82">
        <f t="shared" si="34"/>
        <v>0</v>
      </c>
      <c r="BV76" s="82">
        <f t="shared" si="34"/>
        <v>0</v>
      </c>
      <c r="BW76" s="82">
        <f t="shared" si="34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35"/>
        <v>6</v>
      </c>
      <c r="AI77" s="49">
        <f t="shared" si="36"/>
        <v>6</v>
      </c>
      <c r="AK77" s="51"/>
      <c r="AZ77" s="82">
        <f t="shared" si="34"/>
        <v>0</v>
      </c>
      <c r="BA77" s="82">
        <f t="shared" si="34"/>
        <v>0</v>
      </c>
      <c r="BB77" s="82">
        <f t="shared" si="34"/>
        <v>0</v>
      </c>
      <c r="BC77" s="82">
        <f t="shared" si="34"/>
        <v>0</v>
      </c>
      <c r="BD77" s="82">
        <f t="shared" si="34"/>
        <v>0</v>
      </c>
      <c r="BE77" s="82">
        <f t="shared" si="34"/>
        <v>0</v>
      </c>
      <c r="BF77" s="82">
        <f t="shared" si="34"/>
        <v>0</v>
      </c>
      <c r="BG77" s="82">
        <f t="shared" si="34"/>
        <v>0</v>
      </c>
      <c r="BH77" s="82">
        <f t="shared" si="34"/>
        <v>0</v>
      </c>
      <c r="BI77" s="82">
        <f t="shared" si="34"/>
        <v>0</v>
      </c>
      <c r="BJ77" s="82">
        <f t="shared" si="34"/>
        <v>0</v>
      </c>
      <c r="BK77" s="82">
        <f t="shared" si="34"/>
        <v>0</v>
      </c>
      <c r="BL77" s="82">
        <f t="shared" si="34"/>
        <v>0</v>
      </c>
      <c r="BM77" s="82">
        <f t="shared" si="34"/>
        <v>0</v>
      </c>
      <c r="BN77" s="82">
        <f t="shared" si="34"/>
        <v>0</v>
      </c>
      <c r="BO77" s="82">
        <f t="shared" si="34"/>
        <v>0</v>
      </c>
      <c r="BP77" s="82">
        <f t="shared" si="34"/>
        <v>0</v>
      </c>
      <c r="BQ77" s="82">
        <f t="shared" si="34"/>
        <v>0</v>
      </c>
      <c r="BR77" s="82">
        <f t="shared" si="34"/>
        <v>0</v>
      </c>
      <c r="BS77" s="82">
        <f t="shared" si="34"/>
        <v>0</v>
      </c>
      <c r="BT77" s="82">
        <f t="shared" si="34"/>
        <v>0</v>
      </c>
      <c r="BU77" s="82">
        <f t="shared" si="34"/>
        <v>0</v>
      </c>
      <c r="BV77" s="82">
        <f t="shared" si="34"/>
        <v>0</v>
      </c>
      <c r="BW77" s="82">
        <f t="shared" si="34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5"/>
        <v>3.54</v>
      </c>
      <c r="AI78" s="49">
        <f t="shared" si="36"/>
        <v>3.54</v>
      </c>
      <c r="AK78" s="51"/>
      <c r="AZ78" s="82">
        <f t="shared" si="34"/>
        <v>0</v>
      </c>
      <c r="BA78" s="82">
        <f t="shared" si="34"/>
        <v>0</v>
      </c>
      <c r="BB78" s="82">
        <f t="shared" si="34"/>
        <v>0</v>
      </c>
      <c r="BC78" s="82">
        <f t="shared" si="34"/>
        <v>0</v>
      </c>
      <c r="BD78" s="82">
        <f t="shared" si="34"/>
        <v>0</v>
      </c>
      <c r="BE78" s="82">
        <f t="shared" si="34"/>
        <v>0</v>
      </c>
      <c r="BF78" s="82">
        <f t="shared" si="34"/>
        <v>0</v>
      </c>
      <c r="BG78" s="82">
        <f t="shared" si="34"/>
        <v>0</v>
      </c>
      <c r="BH78" s="82">
        <f t="shared" si="34"/>
        <v>0</v>
      </c>
      <c r="BI78" s="82">
        <f t="shared" si="34"/>
        <v>0</v>
      </c>
      <c r="BJ78" s="82">
        <f t="shared" si="34"/>
        <v>0</v>
      </c>
      <c r="BK78" s="82">
        <f t="shared" si="34"/>
        <v>0</v>
      </c>
      <c r="BL78" s="82">
        <f t="shared" si="34"/>
        <v>0</v>
      </c>
      <c r="BM78" s="82">
        <f t="shared" si="34"/>
        <v>0</v>
      </c>
      <c r="BN78" s="82">
        <f t="shared" si="34"/>
        <v>0</v>
      </c>
      <c r="BO78" s="82">
        <f t="shared" si="34"/>
        <v>0</v>
      </c>
      <c r="BP78" s="82">
        <f t="shared" si="34"/>
        <v>0</v>
      </c>
      <c r="BQ78" s="82">
        <f t="shared" si="34"/>
        <v>0</v>
      </c>
      <c r="BR78" s="82">
        <f t="shared" si="34"/>
        <v>0</v>
      </c>
      <c r="BS78" s="82">
        <f t="shared" si="34"/>
        <v>0</v>
      </c>
      <c r="BT78" s="82">
        <f t="shared" si="34"/>
        <v>0</v>
      </c>
      <c r="BU78" s="82">
        <f t="shared" si="34"/>
        <v>0</v>
      </c>
      <c r="BV78" s="82">
        <f t="shared" si="34"/>
        <v>0</v>
      </c>
      <c r="BW78" s="82">
        <f t="shared" si="34"/>
        <v>0</v>
      </c>
    </row>
    <row r="79" spans="1:75" ht="15.75" thickBot="1" x14ac:dyDescent="0.3">
      <c r="A79" s="87" t="s">
        <v>99</v>
      </c>
      <c r="B79" s="71">
        <f t="shared" ref="B79:AG79" si="37">SUM(B66:B78)</f>
        <v>413.34000000000003</v>
      </c>
      <c r="C79" s="71">
        <f t="shared" si="37"/>
        <v>413.34000000000003</v>
      </c>
      <c r="D79" s="71">
        <f t="shared" si="37"/>
        <v>413.34000000000003</v>
      </c>
      <c r="E79" s="71">
        <f t="shared" si="37"/>
        <v>413.14000000000004</v>
      </c>
      <c r="F79" s="71">
        <f t="shared" si="37"/>
        <v>413.14000000000004</v>
      </c>
      <c r="G79" s="71">
        <f t="shared" si="37"/>
        <v>400.74000000000007</v>
      </c>
      <c r="H79" s="71">
        <f t="shared" si="37"/>
        <v>378.14000000000004</v>
      </c>
      <c r="I79" s="71">
        <f t="shared" si="37"/>
        <v>413.14000000000004</v>
      </c>
      <c r="J79" s="71">
        <f t="shared" si="37"/>
        <v>413.14000000000004</v>
      </c>
      <c r="K79" s="71">
        <f t="shared" si="37"/>
        <v>413.14000000000004</v>
      </c>
      <c r="L79" s="71">
        <f t="shared" si="37"/>
        <v>411.14000000000004</v>
      </c>
      <c r="M79" s="71">
        <f t="shared" si="37"/>
        <v>383.44000000000005</v>
      </c>
      <c r="N79" s="71">
        <f t="shared" si="37"/>
        <v>391.44000000000005</v>
      </c>
      <c r="O79" s="71">
        <f t="shared" si="37"/>
        <v>428.24000000000007</v>
      </c>
      <c r="P79" s="71">
        <f t="shared" si="37"/>
        <v>395.84000000000003</v>
      </c>
      <c r="Q79" s="71">
        <f t="shared" si="37"/>
        <v>416.74</v>
      </c>
      <c r="R79" s="71">
        <f t="shared" si="37"/>
        <v>428.44</v>
      </c>
      <c r="S79" s="71">
        <f t="shared" ref="S79:T79" si="38">SUM(S66:S78)</f>
        <v>387.84</v>
      </c>
      <c r="T79" s="71">
        <f t="shared" si="38"/>
        <v>388.04</v>
      </c>
      <c r="U79" s="71">
        <f t="shared" ref="U79:V79" si="39">SUM(U66:U78)</f>
        <v>402.74</v>
      </c>
      <c r="V79" s="71">
        <f t="shared" si="39"/>
        <v>412.84</v>
      </c>
      <c r="W79" s="71">
        <f t="shared" ref="W79:X79" si="40">SUM(W66:W78)</f>
        <v>411.44</v>
      </c>
      <c r="X79" s="71">
        <f t="shared" si="40"/>
        <v>411.44</v>
      </c>
      <c r="Y79" s="71">
        <f t="shared" ref="Y79:Z79" si="41">SUM(Y66:Y78)</f>
        <v>414.74</v>
      </c>
      <c r="Z79" s="71">
        <f t="shared" si="41"/>
        <v>414.44</v>
      </c>
      <c r="AA79" s="71">
        <f t="shared" ref="AA79" si="42">SUM(AA66:AA78)</f>
        <v>414.44</v>
      </c>
      <c r="AB79" s="71">
        <f t="shared" si="37"/>
        <v>414.44</v>
      </c>
      <c r="AC79" s="71">
        <f t="shared" si="37"/>
        <v>414.44</v>
      </c>
      <c r="AD79" s="71">
        <f t="shared" si="37"/>
        <v>416.94</v>
      </c>
      <c r="AE79" s="71">
        <f t="shared" si="37"/>
        <v>416.94</v>
      </c>
      <c r="AF79" s="71">
        <f t="shared" si="37"/>
        <v>416.94</v>
      </c>
      <c r="AG79" s="72">
        <f t="shared" si="37"/>
        <v>489.91</v>
      </c>
      <c r="AH79" s="48">
        <f t="shared" si="35"/>
        <v>428.44</v>
      </c>
      <c r="AI79" s="49">
        <f t="shared" si="36"/>
        <v>378.14000000000004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>
        <v>14</v>
      </c>
      <c r="O80" s="46">
        <v>14</v>
      </c>
      <c r="P80" s="46">
        <v>14</v>
      </c>
      <c r="Q80" s="46">
        <v>13.9</v>
      </c>
      <c r="R80" s="46">
        <v>14</v>
      </c>
      <c r="S80" s="46">
        <v>14</v>
      </c>
      <c r="T80" s="46">
        <v>10.3</v>
      </c>
      <c r="U80" s="46">
        <v>10.3</v>
      </c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0</v>
      </c>
      <c r="AB80" s="46"/>
      <c r="AC80" s="46"/>
      <c r="AD80" s="46"/>
      <c r="AE80" s="46"/>
      <c r="AF80" s="46"/>
      <c r="AG80" s="61">
        <v>60</v>
      </c>
      <c r="AH80" s="48">
        <f t="shared" si="35"/>
        <v>14</v>
      </c>
      <c r="AI80" s="49">
        <f t="shared" si="36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>
        <v>5.7</v>
      </c>
      <c r="O81" s="76">
        <v>5.7</v>
      </c>
      <c r="P81" s="76">
        <v>5.7</v>
      </c>
      <c r="Q81" s="76">
        <v>5.7</v>
      </c>
      <c r="R81" s="76">
        <v>5.4</v>
      </c>
      <c r="S81" s="76">
        <v>5.4</v>
      </c>
      <c r="T81" s="76">
        <v>5.4</v>
      </c>
      <c r="U81" s="76">
        <v>5.4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/>
      <c r="AC81" s="76"/>
      <c r="AD81" s="76"/>
      <c r="AE81" s="76"/>
      <c r="AF81" s="76"/>
      <c r="AG81" s="66">
        <v>32</v>
      </c>
      <c r="AH81" s="48">
        <f t="shared" si="35"/>
        <v>5.7</v>
      </c>
      <c r="AI81" s="49">
        <f t="shared" si="36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>
        <v>2.1</v>
      </c>
      <c r="O82" s="78">
        <v>2.1</v>
      </c>
      <c r="P82" s="78">
        <v>2.1</v>
      </c>
      <c r="Q82" s="78">
        <v>2.1</v>
      </c>
      <c r="R82" s="78">
        <v>2</v>
      </c>
      <c r="S82" s="78">
        <v>2</v>
      </c>
      <c r="T82" s="78">
        <v>2</v>
      </c>
      <c r="U82" s="78">
        <v>2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/>
      <c r="AC82" s="78"/>
      <c r="AD82" s="78"/>
      <c r="AE82" s="78"/>
      <c r="AF82" s="78"/>
      <c r="AG82" s="79">
        <v>14</v>
      </c>
      <c r="AH82" s="48">
        <f t="shared" si="35"/>
        <v>2.1</v>
      </c>
      <c r="AI82" s="49">
        <f t="shared" si="36"/>
        <v>0</v>
      </c>
      <c r="AK82" s="51"/>
      <c r="AY82" s="82"/>
      <c r="BF82" s="81"/>
      <c r="BG82" s="82">
        <f t="array" ref="BG82:BL105">TRANSPOSE(AZ66:BW71)</f>
        <v>-44</v>
      </c>
      <c r="BH82" s="82">
        <v>0</v>
      </c>
      <c r="BI82" s="82">
        <v>-585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43">B80+B81+B82</f>
        <v>0</v>
      </c>
      <c r="C83" s="71">
        <f t="shared" si="43"/>
        <v>0</v>
      </c>
      <c r="D83" s="71">
        <f t="shared" si="43"/>
        <v>0</v>
      </c>
      <c r="E83" s="71">
        <f t="shared" si="43"/>
        <v>0</v>
      </c>
      <c r="F83" s="71">
        <f t="shared" si="43"/>
        <v>0</v>
      </c>
      <c r="G83" s="71">
        <f t="shared" si="43"/>
        <v>0</v>
      </c>
      <c r="H83" s="71">
        <f t="shared" si="43"/>
        <v>0</v>
      </c>
      <c r="I83" s="71">
        <f t="shared" si="43"/>
        <v>0</v>
      </c>
      <c r="J83" s="71">
        <f t="shared" si="43"/>
        <v>0</v>
      </c>
      <c r="K83" s="71">
        <f t="shared" si="43"/>
        <v>0</v>
      </c>
      <c r="L83" s="71">
        <f t="shared" si="43"/>
        <v>0</v>
      </c>
      <c r="M83" s="71">
        <f t="shared" si="43"/>
        <v>0</v>
      </c>
      <c r="N83" s="71">
        <f t="shared" si="43"/>
        <v>21.8</v>
      </c>
      <c r="O83" s="71">
        <f t="shared" si="43"/>
        <v>21.8</v>
      </c>
      <c r="P83" s="71">
        <f t="shared" si="43"/>
        <v>21.8</v>
      </c>
      <c r="Q83" s="71">
        <f t="shared" si="43"/>
        <v>21.700000000000003</v>
      </c>
      <c r="R83" s="71">
        <f t="shared" si="43"/>
        <v>21.4</v>
      </c>
      <c r="S83" s="71">
        <f t="shared" ref="S83:T83" si="44">S80+S81+S82</f>
        <v>21.4</v>
      </c>
      <c r="T83" s="71">
        <f t="shared" si="44"/>
        <v>17.700000000000003</v>
      </c>
      <c r="U83" s="71">
        <f t="shared" ref="U83:V83" si="45">U80+U81+U82</f>
        <v>17.700000000000003</v>
      </c>
      <c r="V83" s="71">
        <f t="shared" si="45"/>
        <v>0</v>
      </c>
      <c r="W83" s="71">
        <f t="shared" ref="W83:X83" si="46">W80+W81+W82</f>
        <v>0</v>
      </c>
      <c r="X83" s="71">
        <f t="shared" si="46"/>
        <v>0</v>
      </c>
      <c r="Y83" s="71">
        <f t="shared" ref="Y83:Z83" si="47">Y80+Y81+Y82</f>
        <v>0</v>
      </c>
      <c r="Z83" s="71">
        <f t="shared" si="47"/>
        <v>0</v>
      </c>
      <c r="AA83" s="71">
        <f t="shared" ref="AA83" si="48">AA80+AA81+AA82</f>
        <v>0</v>
      </c>
      <c r="AB83" s="71">
        <f t="shared" si="43"/>
        <v>0</v>
      </c>
      <c r="AC83" s="71">
        <f t="shared" si="43"/>
        <v>0</v>
      </c>
      <c r="AD83" s="71">
        <f t="shared" si="43"/>
        <v>0</v>
      </c>
      <c r="AE83" s="71">
        <f t="shared" si="43"/>
        <v>0</v>
      </c>
      <c r="AF83" s="71">
        <f t="shared" si="43"/>
        <v>0</v>
      </c>
      <c r="AG83" s="72">
        <f>SUM(AG80:AG82)</f>
        <v>106</v>
      </c>
      <c r="AH83" s="48">
        <f t="shared" si="35"/>
        <v>21.8</v>
      </c>
      <c r="AI83" s="49">
        <f t="shared" si="36"/>
        <v>0</v>
      </c>
      <c r="AK83" s="51"/>
      <c r="AY83" s="82"/>
      <c r="BF83" s="81"/>
      <c r="BG83" s="82">
        <v>-50</v>
      </c>
      <c r="BH83" s="82">
        <v>0</v>
      </c>
      <c r="BI83" s="82">
        <v>-661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-37</v>
      </c>
      <c r="C84" s="46">
        <v>-44</v>
      </c>
      <c r="D84" s="46">
        <v>-50</v>
      </c>
      <c r="E84" s="46">
        <v>-50</v>
      </c>
      <c r="F84" s="46">
        <v>-64</v>
      </c>
      <c r="G84" s="46">
        <v>-22</v>
      </c>
      <c r="H84" s="46">
        <v>-44</v>
      </c>
      <c r="I84" s="46">
        <v>-49.5</v>
      </c>
      <c r="J84" s="46">
        <v>-35</v>
      </c>
      <c r="K84" s="46">
        <v>-39</v>
      </c>
      <c r="L84" s="46">
        <v>-40.6</v>
      </c>
      <c r="M84" s="46">
        <v>-45</v>
      </c>
      <c r="N84" s="46">
        <v>-33</v>
      </c>
      <c r="O84" s="46">
        <v>-35</v>
      </c>
      <c r="P84" s="46">
        <v>-25</v>
      </c>
      <c r="Q84" s="46">
        <v>-30</v>
      </c>
      <c r="R84" s="46">
        <v>-27.9</v>
      </c>
      <c r="S84" s="46">
        <v>-30</v>
      </c>
      <c r="T84" s="46">
        <v>-35</v>
      </c>
      <c r="U84" s="46">
        <v>-51</v>
      </c>
      <c r="V84" s="46">
        <v>-65</v>
      </c>
      <c r="W84" s="46">
        <v>-57</v>
      </c>
      <c r="X84" s="46">
        <v>-60</v>
      </c>
      <c r="Y84" s="46">
        <v>-58</v>
      </c>
      <c r="Z84" s="46">
        <v>-48</v>
      </c>
      <c r="AA84" s="46">
        <v>-54</v>
      </c>
      <c r="AB84" s="46">
        <v>-61</v>
      </c>
      <c r="AC84" s="46">
        <v>-52</v>
      </c>
      <c r="AD84" s="46">
        <v>-54</v>
      </c>
      <c r="AE84" s="46">
        <v>-59</v>
      </c>
      <c r="AF84" s="46">
        <v>-63</v>
      </c>
      <c r="AG84" s="61"/>
      <c r="AH84" s="48">
        <f t="shared" si="35"/>
        <v>-22</v>
      </c>
      <c r="AI84" s="49">
        <f t="shared" si="36"/>
        <v>-65</v>
      </c>
      <c r="AK84" s="51"/>
      <c r="AY84" s="82"/>
      <c r="BF84" s="81"/>
      <c r="BG84" s="82">
        <v>-50</v>
      </c>
      <c r="BH84" s="82">
        <v>0</v>
      </c>
      <c r="BI84" s="82">
        <v>-606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5"/>
        <v>0</v>
      </c>
      <c r="AI85" s="49">
        <f t="shared" si="36"/>
        <v>0</v>
      </c>
      <c r="AK85" s="51"/>
      <c r="AL85" s="91" t="s">
        <v>111</v>
      </c>
      <c r="AM85" s="91"/>
      <c r="AY85" s="82"/>
      <c r="BF85" s="82"/>
      <c r="BG85" s="82">
        <v>-64</v>
      </c>
      <c r="BH85" s="82">
        <v>0</v>
      </c>
      <c r="BI85" s="82">
        <v>-581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-550</v>
      </c>
      <c r="C86" s="76">
        <v>-585</v>
      </c>
      <c r="D86" s="76">
        <v>-661</v>
      </c>
      <c r="E86" s="76">
        <v>-606</v>
      </c>
      <c r="F86" s="76">
        <v>-581</v>
      </c>
      <c r="G86" s="76">
        <v>-540</v>
      </c>
      <c r="H86" s="76">
        <v>-585</v>
      </c>
      <c r="I86" s="76">
        <v>-649</v>
      </c>
      <c r="J86" s="76">
        <v>-520</v>
      </c>
      <c r="K86" s="76">
        <v>-556</v>
      </c>
      <c r="L86" s="76">
        <v>-548</v>
      </c>
      <c r="M86" s="76">
        <v>-540</v>
      </c>
      <c r="N86" s="76">
        <v>-549</v>
      </c>
      <c r="O86" s="76">
        <v>-500</v>
      </c>
      <c r="P86" s="76">
        <v>-524.70000000000005</v>
      </c>
      <c r="Q86" s="76">
        <v>-406</v>
      </c>
      <c r="R86" s="76">
        <v>-540.70000000000005</v>
      </c>
      <c r="S86" s="76">
        <v>-516</v>
      </c>
      <c r="T86" s="76">
        <v>-528</v>
      </c>
      <c r="U86" s="76">
        <v>-563</v>
      </c>
      <c r="V86" s="76">
        <v>-592</v>
      </c>
      <c r="W86" s="76">
        <v>-645</v>
      </c>
      <c r="X86" s="76">
        <v>-620</v>
      </c>
      <c r="Y86" s="76">
        <v>-596</v>
      </c>
      <c r="Z86" s="76">
        <v>-527</v>
      </c>
      <c r="AA86" s="76">
        <v>-450</v>
      </c>
      <c r="AB86" s="76">
        <v>-438</v>
      </c>
      <c r="AC86" s="76">
        <v>-553</v>
      </c>
      <c r="AD86" s="76">
        <v>-275</v>
      </c>
      <c r="AE86" s="76">
        <v>-529</v>
      </c>
      <c r="AF86" s="76">
        <v>-532</v>
      </c>
      <c r="AG86" s="88"/>
      <c r="AH86" s="48">
        <f t="shared" si="35"/>
        <v>-275</v>
      </c>
      <c r="AI86" s="49">
        <f t="shared" si="36"/>
        <v>-661</v>
      </c>
      <c r="AK86" s="92"/>
      <c r="AL86" s="93"/>
      <c r="AM86" s="93"/>
      <c r="AN86" s="94"/>
      <c r="AY86" s="82"/>
      <c r="BF86" s="82"/>
      <c r="BG86" s="82">
        <v>-22</v>
      </c>
      <c r="BH86" s="82">
        <v>0</v>
      </c>
      <c r="BI86" s="82">
        <v>-540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35"/>
        <v>0</v>
      </c>
      <c r="AI87" s="49">
        <f t="shared" si="36"/>
        <v>0</v>
      </c>
      <c r="AK87" s="95" t="s">
        <v>114</v>
      </c>
      <c r="AL87" s="76"/>
      <c r="AM87" s="89"/>
      <c r="AN87" s="96"/>
      <c r="AY87" s="82"/>
      <c r="BF87" s="82"/>
      <c r="BG87" s="82">
        <v>-49.5</v>
      </c>
      <c r="BH87" s="82">
        <v>0</v>
      </c>
      <c r="BI87" s="82">
        <v>-649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35"/>
        <v>0</v>
      </c>
      <c r="AI88" s="49">
        <f t="shared" si="36"/>
        <v>0</v>
      </c>
      <c r="AK88" s="95" t="s">
        <v>116</v>
      </c>
      <c r="AL88" s="89"/>
      <c r="AM88" s="89"/>
      <c r="AN88" s="96"/>
      <c r="AY88" s="82"/>
      <c r="BF88" s="82"/>
      <c r="BG88" s="82">
        <v>-39</v>
      </c>
      <c r="BH88" s="82">
        <v>0</v>
      </c>
      <c r="BI88" s="82">
        <v>-556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36"/>
        <v>0</v>
      </c>
      <c r="AK89" s="99"/>
      <c r="AL89" s="46"/>
      <c r="AM89" s="46"/>
      <c r="AN89" s="100"/>
      <c r="AY89" s="82"/>
      <c r="BF89" s="82"/>
      <c r="BG89" s="82">
        <v>-45</v>
      </c>
      <c r="BH89" s="82">
        <v>0</v>
      </c>
      <c r="BI89" s="82">
        <v>-540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5"/>
        <v>0</v>
      </c>
      <c r="AI90" s="49">
        <f t="shared" si="36"/>
        <v>0</v>
      </c>
      <c r="AK90" s="99"/>
      <c r="AL90" s="90"/>
      <c r="AM90" s="102"/>
      <c r="AN90" s="204"/>
      <c r="AY90" s="82"/>
      <c r="BF90" s="82"/>
      <c r="BG90" s="82">
        <v>-33</v>
      </c>
      <c r="BH90" s="82">
        <v>0</v>
      </c>
      <c r="BI90" s="82">
        <v>-549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5"/>
        <v>0</v>
      </c>
      <c r="AI91" s="49">
        <f t="shared" si="36"/>
        <v>0</v>
      </c>
      <c r="AK91" s="99"/>
      <c r="AL91" s="90"/>
      <c r="AM91" s="90"/>
      <c r="AN91" s="205"/>
      <c r="BF91" s="82"/>
      <c r="BG91" s="82">
        <v>-35</v>
      </c>
      <c r="BH91" s="82">
        <v>0</v>
      </c>
      <c r="BI91" s="82">
        <v>-500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5"/>
        <v>0</v>
      </c>
      <c r="AI92" s="49">
        <f t="shared" si="36"/>
        <v>0</v>
      </c>
      <c r="AK92" s="104"/>
      <c r="AL92" s="105"/>
      <c r="AM92" s="105"/>
      <c r="AN92" s="106"/>
      <c r="BF92" s="82"/>
      <c r="BG92" s="82">
        <v>-25</v>
      </c>
      <c r="BH92" s="82">
        <v>0</v>
      </c>
      <c r="BI92" s="82">
        <v>-524.70000000000005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5"/>
        <v>0</v>
      </c>
      <c r="AI93" s="49">
        <f t="shared" si="36"/>
        <v>0</v>
      </c>
      <c r="BF93" s="82"/>
      <c r="BG93" s="82">
        <v>-30</v>
      </c>
      <c r="BH93" s="82">
        <v>0</v>
      </c>
      <c r="BI93" s="82">
        <v>-406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5"/>
        <v>0</v>
      </c>
      <c r="AI94" s="49">
        <f t="shared" si="36"/>
        <v>0</v>
      </c>
      <c r="BF94" s="82"/>
      <c r="BG94" s="82">
        <v>-27.9</v>
      </c>
      <c r="BH94" s="82">
        <v>0</v>
      </c>
      <c r="BI94" s="82">
        <v>-540.70000000000005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49">SUMIF(D84:D94,"&gt;0")</f>
        <v>0</v>
      </c>
      <c r="E95" s="71">
        <f t="shared" si="49"/>
        <v>0</v>
      </c>
      <c r="F95" s="71">
        <f t="shared" si="49"/>
        <v>0</v>
      </c>
      <c r="G95" s="71">
        <f t="shared" si="49"/>
        <v>0</v>
      </c>
      <c r="H95" s="71">
        <f t="shared" si="49"/>
        <v>0</v>
      </c>
      <c r="I95" s="71">
        <f t="shared" si="49"/>
        <v>0</v>
      </c>
      <c r="J95" s="71">
        <f t="shared" si="49"/>
        <v>0</v>
      </c>
      <c r="K95" s="71">
        <f t="shared" si="49"/>
        <v>0</v>
      </c>
      <c r="L95" s="71">
        <f t="shared" si="49"/>
        <v>0</v>
      </c>
      <c r="M95" s="71">
        <f t="shared" si="49"/>
        <v>0</v>
      </c>
      <c r="N95" s="71">
        <f t="shared" si="49"/>
        <v>0</v>
      </c>
      <c r="O95" s="71">
        <f t="shared" si="49"/>
        <v>0</v>
      </c>
      <c r="P95" s="71">
        <f t="shared" si="49"/>
        <v>0</v>
      </c>
      <c r="Q95" s="71">
        <f t="shared" si="49"/>
        <v>0</v>
      </c>
      <c r="R95" s="71">
        <f t="shared" si="49"/>
        <v>0</v>
      </c>
      <c r="S95" s="71">
        <f t="shared" si="49"/>
        <v>0</v>
      </c>
      <c r="T95" s="71">
        <f t="shared" si="49"/>
        <v>0</v>
      </c>
      <c r="U95" s="71">
        <f>SUMIF(U84:U94,"&gt;0")</f>
        <v>0</v>
      </c>
      <c r="V95" s="71">
        <f t="shared" si="49"/>
        <v>0</v>
      </c>
      <c r="W95" s="71">
        <f t="shared" si="49"/>
        <v>0</v>
      </c>
      <c r="X95" s="71">
        <f t="shared" si="49"/>
        <v>0</v>
      </c>
      <c r="Y95" s="71">
        <f t="shared" si="49"/>
        <v>0</v>
      </c>
      <c r="Z95" s="71">
        <f t="shared" si="49"/>
        <v>0</v>
      </c>
      <c r="AA95" s="71">
        <f t="shared" si="49"/>
        <v>0</v>
      </c>
      <c r="AB95" s="71">
        <f t="shared" si="49"/>
        <v>0</v>
      </c>
      <c r="AC95" s="71">
        <f t="shared" si="49"/>
        <v>0</v>
      </c>
      <c r="AD95" s="71">
        <f t="shared" si="49"/>
        <v>0</v>
      </c>
      <c r="AE95" s="71">
        <f t="shared" si="49"/>
        <v>0</v>
      </c>
      <c r="AF95" s="71">
        <f t="shared" si="49"/>
        <v>0</v>
      </c>
      <c r="AG95" s="101">
        <f>SUM(AG84:AG94)</f>
        <v>0</v>
      </c>
      <c r="AH95" s="48">
        <f t="shared" si="35"/>
        <v>0</v>
      </c>
      <c r="AI95" s="49">
        <f t="shared" si="36"/>
        <v>0</v>
      </c>
      <c r="BF95" s="82"/>
      <c r="BG95" s="82">
        <v>-30</v>
      </c>
      <c r="BH95" s="82">
        <v>0</v>
      </c>
      <c r="BI95" s="82">
        <v>-516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5"/>
        <v>0</v>
      </c>
      <c r="AI96" s="49">
        <f t="shared" si="36"/>
        <v>0</v>
      </c>
      <c r="BF96" s="82"/>
      <c r="BG96" s="82">
        <v>-35</v>
      </c>
      <c r="BH96" s="82">
        <v>0</v>
      </c>
      <c r="BI96" s="82">
        <v>-528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5"/>
        <v>0</v>
      </c>
      <c r="AI97" s="49">
        <f t="shared" si="36"/>
        <v>0</v>
      </c>
      <c r="BF97" s="82"/>
      <c r="BG97" s="82">
        <v>-51</v>
      </c>
      <c r="BH97" s="82">
        <v>0</v>
      </c>
      <c r="BI97" s="82">
        <v>-563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5"/>
        <v>0</v>
      </c>
      <c r="AI98" s="49">
        <f t="shared" si="36"/>
        <v>0</v>
      </c>
      <c r="BF98" s="82"/>
      <c r="BG98" s="82">
        <v>-65</v>
      </c>
      <c r="BH98" s="82">
        <v>0</v>
      </c>
      <c r="BI98" s="82">
        <v>-592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5"/>
        <v>0</v>
      </c>
      <c r="AI99" s="49">
        <f t="shared" si="36"/>
        <v>0</v>
      </c>
      <c r="BF99" s="81"/>
      <c r="BG99" s="82">
        <v>-60</v>
      </c>
      <c r="BH99" s="82">
        <v>0</v>
      </c>
      <c r="BI99" s="82">
        <v>-620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50">B61+B65+B83+B79+B95+B99</f>
        <v>2111.54</v>
      </c>
      <c r="C100" s="108">
        <f t="shared" si="50"/>
        <v>2106.54</v>
      </c>
      <c r="D100" s="108">
        <f t="shared" si="50"/>
        <v>2101.54</v>
      </c>
      <c r="E100" s="108">
        <f t="shared" si="50"/>
        <v>2115.64</v>
      </c>
      <c r="F100" s="108">
        <f t="shared" si="50"/>
        <v>2095.54</v>
      </c>
      <c r="G100" s="108">
        <f t="shared" si="50"/>
        <v>2044.14</v>
      </c>
      <c r="H100" s="108">
        <f t="shared" si="50"/>
        <v>2048.64</v>
      </c>
      <c r="I100" s="108">
        <f t="shared" si="50"/>
        <v>2061.64</v>
      </c>
      <c r="J100" s="108">
        <f t="shared" si="50"/>
        <v>2054.64</v>
      </c>
      <c r="K100" s="108">
        <f t="shared" si="50"/>
        <v>2148.54</v>
      </c>
      <c r="L100" s="108">
        <f t="shared" si="50"/>
        <v>2223.44</v>
      </c>
      <c r="M100" s="108">
        <f t="shared" si="50"/>
        <v>2195.4400000000005</v>
      </c>
      <c r="N100" s="108">
        <f t="shared" si="50"/>
        <v>2239.34</v>
      </c>
      <c r="O100" s="108">
        <f t="shared" si="50"/>
        <v>2297.0400000000004</v>
      </c>
      <c r="P100" s="108">
        <f t="shared" si="50"/>
        <v>2219.44</v>
      </c>
      <c r="Q100" s="108">
        <f t="shared" si="50"/>
        <v>2208.04</v>
      </c>
      <c r="R100" s="108">
        <f t="shared" si="50"/>
        <v>2309.6400000000003</v>
      </c>
      <c r="S100" s="108">
        <f t="shared" si="50"/>
        <v>2269.0400000000004</v>
      </c>
      <c r="T100" s="108">
        <f t="shared" si="50"/>
        <v>2263.4400000000005</v>
      </c>
      <c r="U100" s="108">
        <f t="shared" si="50"/>
        <v>2253.7400000000002</v>
      </c>
      <c r="V100" s="108">
        <f t="shared" si="50"/>
        <v>2243.04</v>
      </c>
      <c r="W100" s="108">
        <f t="shared" si="50"/>
        <v>2241.64</v>
      </c>
      <c r="X100" s="108">
        <f t="shared" si="50"/>
        <v>2216.0400000000004</v>
      </c>
      <c r="Y100" s="108">
        <f t="shared" si="50"/>
        <v>2204.1400000000003</v>
      </c>
      <c r="Z100" s="108">
        <f t="shared" si="50"/>
        <v>2203.84</v>
      </c>
      <c r="AA100" s="108">
        <f t="shared" si="50"/>
        <v>2203.84</v>
      </c>
      <c r="AB100" s="108">
        <f t="shared" si="50"/>
        <v>2292.34</v>
      </c>
      <c r="AC100" s="108">
        <f t="shared" si="50"/>
        <v>2292.34</v>
      </c>
      <c r="AD100" s="108">
        <f t="shared" si="50"/>
        <v>2039.14</v>
      </c>
      <c r="AE100" s="108">
        <f t="shared" si="50"/>
        <v>2294.7400000000002</v>
      </c>
      <c r="AF100" s="108">
        <f t="shared" si="50"/>
        <v>2294.7400000000002</v>
      </c>
      <c r="AG100" s="72">
        <f t="shared" si="50"/>
        <v>2655.44</v>
      </c>
      <c r="AH100" s="48">
        <f t="shared" si="35"/>
        <v>2309.6400000000003</v>
      </c>
      <c r="AI100" s="49">
        <f t="shared" si="36"/>
        <v>2039.14</v>
      </c>
      <c r="BF100" s="81"/>
      <c r="BG100" s="82">
        <v>-48</v>
      </c>
      <c r="BH100" s="82">
        <v>0</v>
      </c>
      <c r="BI100" s="82">
        <v>-527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35"/>
        <v>0</v>
      </c>
      <c r="AI101" s="49">
        <f t="shared" si="36"/>
        <v>0</v>
      </c>
      <c r="BF101" s="81"/>
      <c r="BG101" s="82">
        <v>-61</v>
      </c>
      <c r="BH101" s="82">
        <v>0</v>
      </c>
      <c r="BI101" s="82">
        <v>-438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2111.54</v>
      </c>
      <c r="C102" s="108">
        <f t="shared" ref="C102:AF102" si="51">C100+C101</f>
        <v>2106.54</v>
      </c>
      <c r="D102" s="108">
        <f t="shared" si="51"/>
        <v>2101.54</v>
      </c>
      <c r="E102" s="108">
        <f t="shared" si="51"/>
        <v>2115.64</v>
      </c>
      <c r="F102" s="108">
        <f t="shared" si="51"/>
        <v>2095.54</v>
      </c>
      <c r="G102" s="108">
        <f t="shared" si="51"/>
        <v>2044.14</v>
      </c>
      <c r="H102" s="108">
        <f t="shared" si="51"/>
        <v>2048.64</v>
      </c>
      <c r="I102" s="108">
        <f t="shared" si="51"/>
        <v>2061.64</v>
      </c>
      <c r="J102" s="108">
        <f t="shared" si="51"/>
        <v>2054.64</v>
      </c>
      <c r="K102" s="108">
        <f t="shared" si="51"/>
        <v>2148.54</v>
      </c>
      <c r="L102" s="108">
        <f t="shared" si="51"/>
        <v>2223.44</v>
      </c>
      <c r="M102" s="108">
        <f t="shared" si="51"/>
        <v>2195.4400000000005</v>
      </c>
      <c r="N102" s="108">
        <f t="shared" si="51"/>
        <v>2239.34</v>
      </c>
      <c r="O102" s="108">
        <f t="shared" si="51"/>
        <v>2297.0400000000004</v>
      </c>
      <c r="P102" s="108">
        <f t="shared" si="51"/>
        <v>2219.44</v>
      </c>
      <c r="Q102" s="108">
        <f t="shared" si="51"/>
        <v>2208.04</v>
      </c>
      <c r="R102" s="108">
        <f t="shared" si="51"/>
        <v>2309.6400000000003</v>
      </c>
      <c r="S102" s="108">
        <f t="shared" si="51"/>
        <v>2269.0400000000004</v>
      </c>
      <c r="T102" s="108">
        <f t="shared" si="51"/>
        <v>2263.4400000000005</v>
      </c>
      <c r="U102" s="108">
        <f t="shared" si="51"/>
        <v>2253.7400000000002</v>
      </c>
      <c r="V102" s="108">
        <f t="shared" si="51"/>
        <v>2243.04</v>
      </c>
      <c r="W102" s="108">
        <f t="shared" si="51"/>
        <v>2241.64</v>
      </c>
      <c r="X102" s="108">
        <f t="shared" si="51"/>
        <v>2216.0400000000004</v>
      </c>
      <c r="Y102" s="108">
        <f t="shared" si="51"/>
        <v>2204.1400000000003</v>
      </c>
      <c r="Z102" s="108">
        <f t="shared" si="51"/>
        <v>2203.84</v>
      </c>
      <c r="AA102" s="108">
        <f t="shared" si="51"/>
        <v>2203.84</v>
      </c>
      <c r="AB102" s="108">
        <f t="shared" si="51"/>
        <v>2292.34</v>
      </c>
      <c r="AC102" s="108">
        <f t="shared" si="51"/>
        <v>2292.34</v>
      </c>
      <c r="AD102" s="108">
        <f t="shared" si="51"/>
        <v>2039.14</v>
      </c>
      <c r="AE102" s="108">
        <f t="shared" si="51"/>
        <v>2294.7400000000002</v>
      </c>
      <c r="AF102" s="108">
        <f t="shared" si="51"/>
        <v>2294.7400000000002</v>
      </c>
      <c r="AG102" s="101">
        <f>AG99+AG95+AG83+AG79+AG61+AG101</f>
        <v>2117.34</v>
      </c>
      <c r="AH102" s="48">
        <f t="shared" si="35"/>
        <v>2309.6400000000003</v>
      </c>
      <c r="AI102" s="49">
        <f t="shared" si="36"/>
        <v>2039.14</v>
      </c>
      <c r="BF102" s="81"/>
      <c r="BG102" s="82">
        <v>-54</v>
      </c>
      <c r="BH102" s="82">
        <v>0</v>
      </c>
      <c r="BI102" s="82">
        <v>-275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1524.54</v>
      </c>
      <c r="C103" s="108">
        <f t="shared" ref="C103:AF103" si="52">C102-(C110)</f>
        <v>1477.54</v>
      </c>
      <c r="D103" s="108">
        <f t="shared" si="52"/>
        <v>1390.54</v>
      </c>
      <c r="E103" s="108">
        <f t="shared" si="52"/>
        <v>1459.6399999999999</v>
      </c>
      <c r="F103" s="108">
        <f t="shared" si="52"/>
        <v>1450.54</v>
      </c>
      <c r="G103" s="108">
        <f t="shared" si="52"/>
        <v>1482.14</v>
      </c>
      <c r="H103" s="108">
        <f t="shared" si="52"/>
        <v>1419.6399999999999</v>
      </c>
      <c r="I103" s="108">
        <f t="shared" si="52"/>
        <v>1363.1399999999999</v>
      </c>
      <c r="J103" s="108">
        <f t="shared" si="52"/>
        <v>1499.6399999999999</v>
      </c>
      <c r="K103" s="108">
        <f t="shared" si="52"/>
        <v>1553.54</v>
      </c>
      <c r="L103" s="108">
        <f t="shared" si="52"/>
        <v>1634.8400000000001</v>
      </c>
      <c r="M103" s="108">
        <f t="shared" si="52"/>
        <v>1610.4400000000005</v>
      </c>
      <c r="N103" s="108">
        <f t="shared" si="52"/>
        <v>1657.3400000000001</v>
      </c>
      <c r="O103" s="108">
        <f t="shared" si="52"/>
        <v>1762.0400000000004</v>
      </c>
      <c r="P103" s="108">
        <f t="shared" si="52"/>
        <v>1669.74</v>
      </c>
      <c r="Q103" s="108">
        <f t="shared" si="52"/>
        <v>1772.04</v>
      </c>
      <c r="R103" s="108">
        <f t="shared" si="52"/>
        <v>1741.0400000000004</v>
      </c>
      <c r="S103" s="108">
        <f t="shared" si="52"/>
        <v>1723.0400000000004</v>
      </c>
      <c r="T103" s="108">
        <f t="shared" si="52"/>
        <v>1700.4400000000005</v>
      </c>
      <c r="U103" s="108">
        <f t="shared" si="52"/>
        <v>1639.7400000000002</v>
      </c>
      <c r="V103" s="108">
        <f t="shared" si="52"/>
        <v>1586.04</v>
      </c>
      <c r="W103" s="108">
        <f t="shared" si="52"/>
        <v>1539.6399999999999</v>
      </c>
      <c r="X103" s="108">
        <f t="shared" si="52"/>
        <v>1536.0400000000004</v>
      </c>
      <c r="Y103" s="108">
        <f t="shared" si="52"/>
        <v>1550.1400000000003</v>
      </c>
      <c r="Z103" s="108">
        <f t="shared" si="52"/>
        <v>1628.8400000000001</v>
      </c>
      <c r="AA103" s="108">
        <f t="shared" si="52"/>
        <v>1699.8400000000001</v>
      </c>
      <c r="AB103" s="108">
        <f t="shared" si="52"/>
        <v>1793.3400000000001</v>
      </c>
      <c r="AC103" s="108">
        <f t="shared" si="52"/>
        <v>1687.3400000000001</v>
      </c>
      <c r="AD103" s="108">
        <f t="shared" si="52"/>
        <v>1710.14</v>
      </c>
      <c r="AE103" s="108">
        <f t="shared" si="52"/>
        <v>1706.7400000000002</v>
      </c>
      <c r="AF103" s="108">
        <f t="shared" si="52"/>
        <v>1699.7400000000002</v>
      </c>
      <c r="AG103" s="101"/>
      <c r="AH103" s="48">
        <f t="shared" si="35"/>
        <v>1793.3400000000001</v>
      </c>
      <c r="AI103" s="49">
        <f t="shared" si="36"/>
        <v>1363.1399999999999</v>
      </c>
      <c r="BF103" s="81"/>
      <c r="BG103" s="82">
        <v>-59</v>
      </c>
      <c r="BH103" s="82">
        <v>0</v>
      </c>
      <c r="BI103" s="82">
        <v>-529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9" si="53">IF(B84&lt;0,B84*-1,0)</f>
        <v>37</v>
      </c>
      <c r="C104" s="89">
        <f t="shared" si="53"/>
        <v>44</v>
      </c>
      <c r="D104" s="89">
        <f t="shared" si="53"/>
        <v>50</v>
      </c>
      <c r="E104" s="89">
        <f t="shared" si="53"/>
        <v>50</v>
      </c>
      <c r="F104" s="89">
        <f t="shared" si="53"/>
        <v>64</v>
      </c>
      <c r="G104" s="89">
        <f t="shared" si="53"/>
        <v>22</v>
      </c>
      <c r="H104" s="89">
        <f t="shared" si="53"/>
        <v>44</v>
      </c>
      <c r="I104" s="89">
        <f t="shared" si="53"/>
        <v>49.5</v>
      </c>
      <c r="J104" s="89">
        <f t="shared" si="53"/>
        <v>35</v>
      </c>
      <c r="K104" s="89">
        <f t="shared" si="53"/>
        <v>39</v>
      </c>
      <c r="L104" s="89">
        <f t="shared" si="53"/>
        <v>40.6</v>
      </c>
      <c r="M104" s="89">
        <f t="shared" si="53"/>
        <v>45</v>
      </c>
      <c r="N104" s="89">
        <f t="shared" si="53"/>
        <v>33</v>
      </c>
      <c r="O104" s="89">
        <f t="shared" si="53"/>
        <v>35</v>
      </c>
      <c r="P104" s="89">
        <f t="shared" si="53"/>
        <v>25</v>
      </c>
      <c r="Q104" s="89">
        <f t="shared" si="53"/>
        <v>30</v>
      </c>
      <c r="R104" s="89">
        <f t="shared" si="53"/>
        <v>27.9</v>
      </c>
      <c r="S104" s="89">
        <f t="shared" si="53"/>
        <v>30</v>
      </c>
      <c r="T104" s="89">
        <f t="shared" si="53"/>
        <v>35</v>
      </c>
      <c r="U104" s="89">
        <f t="shared" si="53"/>
        <v>51</v>
      </c>
      <c r="V104" s="89">
        <f t="shared" si="53"/>
        <v>65</v>
      </c>
      <c r="W104" s="89">
        <f t="shared" si="53"/>
        <v>57</v>
      </c>
      <c r="X104" s="89">
        <f t="shared" si="53"/>
        <v>60</v>
      </c>
      <c r="Y104" s="89">
        <f t="shared" si="53"/>
        <v>58</v>
      </c>
      <c r="Z104" s="89">
        <f t="shared" si="53"/>
        <v>48</v>
      </c>
      <c r="AA104" s="89">
        <f t="shared" si="53"/>
        <v>54</v>
      </c>
      <c r="AB104" s="89">
        <f t="shared" si="53"/>
        <v>61</v>
      </c>
      <c r="AC104" s="89">
        <f t="shared" si="53"/>
        <v>52</v>
      </c>
      <c r="AD104" s="89">
        <f t="shared" si="53"/>
        <v>54</v>
      </c>
      <c r="AE104" s="89">
        <f t="shared" si="53"/>
        <v>59</v>
      </c>
      <c r="AF104" s="89">
        <f t="shared" si="53"/>
        <v>63</v>
      </c>
      <c r="AG104" s="61"/>
      <c r="AH104" s="48">
        <f t="shared" si="35"/>
        <v>65</v>
      </c>
      <c r="AI104" s="49">
        <f t="shared" si="36"/>
        <v>22</v>
      </c>
      <c r="BG104" s="82">
        <v>-63</v>
      </c>
      <c r="BH104" s="82">
        <v>0</v>
      </c>
      <c r="BI104" s="82">
        <v>-532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53"/>
        <v>0</v>
      </c>
      <c r="C105" s="89">
        <f t="shared" si="53"/>
        <v>0</v>
      </c>
      <c r="D105" s="89">
        <f t="shared" si="53"/>
        <v>0</v>
      </c>
      <c r="E105" s="89">
        <f t="shared" si="53"/>
        <v>0</v>
      </c>
      <c r="F105" s="89">
        <f t="shared" si="53"/>
        <v>0</v>
      </c>
      <c r="G105" s="89">
        <f t="shared" si="53"/>
        <v>0</v>
      </c>
      <c r="H105" s="89">
        <f t="shared" si="53"/>
        <v>0</v>
      </c>
      <c r="I105" s="89">
        <f t="shared" si="53"/>
        <v>0</v>
      </c>
      <c r="J105" s="89">
        <f t="shared" si="53"/>
        <v>0</v>
      </c>
      <c r="K105" s="89">
        <f t="shared" si="53"/>
        <v>0</v>
      </c>
      <c r="L105" s="89">
        <f t="shared" si="53"/>
        <v>0</v>
      </c>
      <c r="M105" s="89">
        <f t="shared" si="53"/>
        <v>0</v>
      </c>
      <c r="N105" s="89">
        <f t="shared" si="53"/>
        <v>0</v>
      </c>
      <c r="O105" s="89">
        <f t="shared" si="53"/>
        <v>0</v>
      </c>
      <c r="P105" s="89">
        <f t="shared" si="53"/>
        <v>0</v>
      </c>
      <c r="Q105" s="89">
        <f t="shared" si="53"/>
        <v>0</v>
      </c>
      <c r="R105" s="89">
        <f t="shared" si="53"/>
        <v>0</v>
      </c>
      <c r="S105" s="89">
        <f t="shared" si="53"/>
        <v>0</v>
      </c>
      <c r="T105" s="89">
        <f t="shared" si="53"/>
        <v>0</v>
      </c>
      <c r="U105" s="89">
        <f t="shared" si="53"/>
        <v>0</v>
      </c>
      <c r="V105" s="89">
        <f t="shared" si="53"/>
        <v>0</v>
      </c>
      <c r="W105" s="89">
        <f t="shared" si="53"/>
        <v>0</v>
      </c>
      <c r="X105" s="89">
        <f t="shared" si="53"/>
        <v>0</v>
      </c>
      <c r="Y105" s="89">
        <f t="shared" si="53"/>
        <v>0</v>
      </c>
      <c r="Z105" s="89">
        <f t="shared" si="53"/>
        <v>0</v>
      </c>
      <c r="AA105" s="89">
        <f t="shared" si="53"/>
        <v>0</v>
      </c>
      <c r="AB105" s="89">
        <f t="shared" si="53"/>
        <v>0</v>
      </c>
      <c r="AC105" s="89">
        <f t="shared" si="53"/>
        <v>0</v>
      </c>
      <c r="AD105" s="89">
        <f t="shared" si="53"/>
        <v>0</v>
      </c>
      <c r="AE105" s="89">
        <f t="shared" si="53"/>
        <v>0</v>
      </c>
      <c r="AF105" s="89">
        <f t="shared" si="53"/>
        <v>0</v>
      </c>
      <c r="AG105" s="66"/>
      <c r="AH105" s="48">
        <f t="shared" si="35"/>
        <v>0</v>
      </c>
      <c r="AI105" s="49">
        <f t="shared" si="36"/>
        <v>0</v>
      </c>
      <c r="AK105" s="51"/>
      <c r="BG105" s="82">
        <v>-37</v>
      </c>
      <c r="BH105" s="82">
        <v>0</v>
      </c>
      <c r="BI105" s="82">
        <v>-550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53"/>
        <v>550</v>
      </c>
      <c r="C106" s="89">
        <f t="shared" si="53"/>
        <v>585</v>
      </c>
      <c r="D106" s="89">
        <f t="shared" si="53"/>
        <v>661</v>
      </c>
      <c r="E106" s="89">
        <f t="shared" si="53"/>
        <v>606</v>
      </c>
      <c r="F106" s="89">
        <f t="shared" si="53"/>
        <v>581</v>
      </c>
      <c r="G106" s="89">
        <f t="shared" si="53"/>
        <v>540</v>
      </c>
      <c r="H106" s="89">
        <f t="shared" si="53"/>
        <v>585</v>
      </c>
      <c r="I106" s="89">
        <f t="shared" si="53"/>
        <v>649</v>
      </c>
      <c r="J106" s="89">
        <f t="shared" si="53"/>
        <v>520</v>
      </c>
      <c r="K106" s="89">
        <f t="shared" si="53"/>
        <v>556</v>
      </c>
      <c r="L106" s="89">
        <f t="shared" si="53"/>
        <v>548</v>
      </c>
      <c r="M106" s="89">
        <f t="shared" si="53"/>
        <v>540</v>
      </c>
      <c r="N106" s="89">
        <f t="shared" si="53"/>
        <v>549</v>
      </c>
      <c r="O106" s="89">
        <f t="shared" si="53"/>
        <v>500</v>
      </c>
      <c r="P106" s="89">
        <f t="shared" si="53"/>
        <v>524.70000000000005</v>
      </c>
      <c r="Q106" s="89">
        <f t="shared" si="53"/>
        <v>406</v>
      </c>
      <c r="R106" s="89">
        <f t="shared" si="53"/>
        <v>540.70000000000005</v>
      </c>
      <c r="S106" s="89">
        <f t="shared" si="53"/>
        <v>516</v>
      </c>
      <c r="T106" s="89">
        <f t="shared" si="53"/>
        <v>528</v>
      </c>
      <c r="U106" s="89">
        <f t="shared" si="53"/>
        <v>563</v>
      </c>
      <c r="V106" s="89">
        <f t="shared" si="53"/>
        <v>592</v>
      </c>
      <c r="W106" s="89">
        <f t="shared" si="53"/>
        <v>645</v>
      </c>
      <c r="X106" s="89">
        <f t="shared" si="53"/>
        <v>620</v>
      </c>
      <c r="Y106" s="89">
        <f t="shared" si="53"/>
        <v>596</v>
      </c>
      <c r="Z106" s="89">
        <f t="shared" si="53"/>
        <v>527</v>
      </c>
      <c r="AA106" s="89">
        <f t="shared" si="53"/>
        <v>450</v>
      </c>
      <c r="AB106" s="89">
        <f t="shared" si="53"/>
        <v>438</v>
      </c>
      <c r="AC106" s="89">
        <f t="shared" si="53"/>
        <v>553</v>
      </c>
      <c r="AD106" s="89">
        <f t="shared" si="53"/>
        <v>275</v>
      </c>
      <c r="AE106" s="89">
        <f t="shared" si="53"/>
        <v>529</v>
      </c>
      <c r="AF106" s="89">
        <f t="shared" si="53"/>
        <v>532</v>
      </c>
      <c r="AG106" s="111"/>
      <c r="AH106" s="48">
        <f t="shared" si="35"/>
        <v>661</v>
      </c>
      <c r="AI106" s="49">
        <f t="shared" si="36"/>
        <v>275</v>
      </c>
    </row>
    <row r="107" spans="1:64" x14ac:dyDescent="0.25">
      <c r="A107" s="97" t="s">
        <v>107</v>
      </c>
      <c r="B107" s="89">
        <f t="shared" si="53"/>
        <v>0</v>
      </c>
      <c r="C107" s="89">
        <f t="shared" si="53"/>
        <v>0</v>
      </c>
      <c r="D107" s="89">
        <f t="shared" si="53"/>
        <v>0</v>
      </c>
      <c r="E107" s="89">
        <f t="shared" si="53"/>
        <v>0</v>
      </c>
      <c r="F107" s="89">
        <f t="shared" si="53"/>
        <v>0</v>
      </c>
      <c r="G107" s="89">
        <f t="shared" si="53"/>
        <v>0</v>
      </c>
      <c r="H107" s="89">
        <f t="shared" si="53"/>
        <v>0</v>
      </c>
      <c r="I107" s="89">
        <f t="shared" si="53"/>
        <v>0</v>
      </c>
      <c r="J107" s="89">
        <f t="shared" si="53"/>
        <v>0</v>
      </c>
      <c r="K107" s="89">
        <f t="shared" si="53"/>
        <v>0</v>
      </c>
      <c r="L107" s="89">
        <f t="shared" si="53"/>
        <v>0</v>
      </c>
      <c r="M107" s="89">
        <f t="shared" si="53"/>
        <v>0</v>
      </c>
      <c r="N107" s="89">
        <f t="shared" si="53"/>
        <v>0</v>
      </c>
      <c r="O107" s="89">
        <f t="shared" si="53"/>
        <v>0</v>
      </c>
      <c r="P107" s="89">
        <f t="shared" si="53"/>
        <v>0</v>
      </c>
      <c r="Q107" s="89">
        <f t="shared" si="53"/>
        <v>0</v>
      </c>
      <c r="R107" s="89">
        <f t="shared" si="53"/>
        <v>0</v>
      </c>
      <c r="S107" s="89">
        <f t="shared" si="53"/>
        <v>0</v>
      </c>
      <c r="T107" s="89">
        <f t="shared" si="53"/>
        <v>0</v>
      </c>
      <c r="U107" s="89">
        <f t="shared" si="53"/>
        <v>0</v>
      </c>
      <c r="V107" s="89">
        <f t="shared" si="53"/>
        <v>0</v>
      </c>
      <c r="W107" s="89">
        <f t="shared" si="53"/>
        <v>0</v>
      </c>
      <c r="X107" s="89">
        <f t="shared" si="53"/>
        <v>0</v>
      </c>
      <c r="Y107" s="89">
        <f t="shared" si="53"/>
        <v>0</v>
      </c>
      <c r="Z107" s="89">
        <f t="shared" si="53"/>
        <v>0</v>
      </c>
      <c r="AA107" s="89">
        <f t="shared" si="53"/>
        <v>0</v>
      </c>
      <c r="AB107" s="89">
        <f t="shared" si="53"/>
        <v>0</v>
      </c>
      <c r="AC107" s="89">
        <f t="shared" si="53"/>
        <v>0</v>
      </c>
      <c r="AD107" s="89">
        <f t="shared" si="53"/>
        <v>0</v>
      </c>
      <c r="AE107" s="89">
        <f t="shared" si="53"/>
        <v>0</v>
      </c>
      <c r="AF107" s="89">
        <f t="shared" si="53"/>
        <v>0</v>
      </c>
      <c r="AG107" s="111"/>
      <c r="AH107" s="48">
        <f t="shared" si="35"/>
        <v>0</v>
      </c>
      <c r="AI107" s="49">
        <f t="shared" si="36"/>
        <v>0</v>
      </c>
    </row>
    <row r="108" spans="1:64" x14ac:dyDescent="0.25">
      <c r="A108" s="97" t="s">
        <v>108</v>
      </c>
      <c r="B108" s="89">
        <f t="shared" si="53"/>
        <v>0</v>
      </c>
      <c r="C108" s="89">
        <f t="shared" si="53"/>
        <v>0</v>
      </c>
      <c r="D108" s="89">
        <f t="shared" si="53"/>
        <v>0</v>
      </c>
      <c r="E108" s="89">
        <f t="shared" si="53"/>
        <v>0</v>
      </c>
      <c r="F108" s="89">
        <f t="shared" si="53"/>
        <v>0</v>
      </c>
      <c r="G108" s="89">
        <f t="shared" si="53"/>
        <v>0</v>
      </c>
      <c r="H108" s="89">
        <f t="shared" si="53"/>
        <v>0</v>
      </c>
      <c r="I108" s="89">
        <f t="shared" si="53"/>
        <v>0</v>
      </c>
      <c r="J108" s="89">
        <f t="shared" si="53"/>
        <v>0</v>
      </c>
      <c r="K108" s="89">
        <f t="shared" si="53"/>
        <v>0</v>
      </c>
      <c r="L108" s="89">
        <f t="shared" si="53"/>
        <v>0</v>
      </c>
      <c r="M108" s="89">
        <f t="shared" si="53"/>
        <v>0</v>
      </c>
      <c r="N108" s="89">
        <f t="shared" si="53"/>
        <v>0</v>
      </c>
      <c r="O108" s="89">
        <f t="shared" si="53"/>
        <v>0</v>
      </c>
      <c r="P108" s="89">
        <f t="shared" si="53"/>
        <v>0</v>
      </c>
      <c r="Q108" s="89">
        <f t="shared" si="53"/>
        <v>0</v>
      </c>
      <c r="R108" s="89">
        <f t="shared" si="53"/>
        <v>0</v>
      </c>
      <c r="S108" s="89">
        <f t="shared" si="53"/>
        <v>0</v>
      </c>
      <c r="T108" s="89">
        <f t="shared" si="53"/>
        <v>0</v>
      </c>
      <c r="U108" s="89">
        <f t="shared" si="53"/>
        <v>0</v>
      </c>
      <c r="V108" s="89">
        <f t="shared" si="53"/>
        <v>0</v>
      </c>
      <c r="W108" s="89">
        <f t="shared" si="53"/>
        <v>0</v>
      </c>
      <c r="X108" s="89">
        <f t="shared" si="53"/>
        <v>0</v>
      </c>
      <c r="Y108" s="89">
        <f t="shared" si="53"/>
        <v>0</v>
      </c>
      <c r="Z108" s="89">
        <f t="shared" si="53"/>
        <v>0</v>
      </c>
      <c r="AA108" s="89">
        <f t="shared" si="53"/>
        <v>0</v>
      </c>
      <c r="AB108" s="89">
        <f t="shared" si="53"/>
        <v>0</v>
      </c>
      <c r="AC108" s="89">
        <f t="shared" si="53"/>
        <v>0</v>
      </c>
      <c r="AD108" s="89">
        <f t="shared" si="53"/>
        <v>0</v>
      </c>
      <c r="AE108" s="89">
        <f t="shared" si="53"/>
        <v>0</v>
      </c>
      <c r="AF108" s="89">
        <f t="shared" si="53"/>
        <v>0</v>
      </c>
      <c r="AG108" s="111"/>
      <c r="AH108" s="48">
        <f t="shared" si="35"/>
        <v>0</v>
      </c>
      <c r="AI108" s="49">
        <f t="shared" si="36"/>
        <v>0</v>
      </c>
    </row>
    <row r="109" spans="1:64" ht="15.75" thickBot="1" x14ac:dyDescent="0.3">
      <c r="A109" s="97" t="s">
        <v>117</v>
      </c>
      <c r="B109" s="89">
        <f t="shared" si="53"/>
        <v>0</v>
      </c>
      <c r="C109" s="89">
        <f t="shared" si="53"/>
        <v>0</v>
      </c>
      <c r="D109" s="89">
        <f t="shared" si="53"/>
        <v>0</v>
      </c>
      <c r="E109" s="89">
        <f t="shared" si="53"/>
        <v>0</v>
      </c>
      <c r="F109" s="89">
        <f t="shared" si="53"/>
        <v>0</v>
      </c>
      <c r="G109" s="89">
        <f t="shared" si="53"/>
        <v>0</v>
      </c>
      <c r="H109" s="89">
        <f t="shared" si="53"/>
        <v>0</v>
      </c>
      <c r="I109" s="89">
        <f t="shared" si="53"/>
        <v>0</v>
      </c>
      <c r="J109" s="89">
        <f t="shared" si="53"/>
        <v>0</v>
      </c>
      <c r="K109" s="89">
        <f t="shared" si="53"/>
        <v>0</v>
      </c>
      <c r="L109" s="89">
        <f t="shared" si="53"/>
        <v>0</v>
      </c>
      <c r="M109" s="89">
        <f t="shared" si="53"/>
        <v>0</v>
      </c>
      <c r="N109" s="89">
        <f t="shared" si="53"/>
        <v>0</v>
      </c>
      <c r="O109" s="89">
        <f t="shared" si="53"/>
        <v>0</v>
      </c>
      <c r="P109" s="89">
        <f t="shared" si="53"/>
        <v>0</v>
      </c>
      <c r="Q109" s="89">
        <f t="shared" si="53"/>
        <v>0</v>
      </c>
      <c r="R109" s="89">
        <f t="shared" si="53"/>
        <v>0</v>
      </c>
      <c r="S109" s="89">
        <f t="shared" si="53"/>
        <v>0</v>
      </c>
      <c r="T109" s="89">
        <f t="shared" si="53"/>
        <v>0</v>
      </c>
      <c r="U109" s="89">
        <f t="shared" si="53"/>
        <v>0</v>
      </c>
      <c r="V109" s="89">
        <f t="shared" si="53"/>
        <v>0</v>
      </c>
      <c r="W109" s="89">
        <f t="shared" si="53"/>
        <v>0</v>
      </c>
      <c r="X109" s="89">
        <f t="shared" si="53"/>
        <v>0</v>
      </c>
      <c r="Y109" s="89">
        <f t="shared" si="53"/>
        <v>0</v>
      </c>
      <c r="Z109" s="89">
        <f t="shared" si="53"/>
        <v>0</v>
      </c>
      <c r="AA109" s="89">
        <f t="shared" si="53"/>
        <v>0</v>
      </c>
      <c r="AB109" s="89">
        <f t="shared" si="53"/>
        <v>0</v>
      </c>
      <c r="AC109" s="89">
        <f t="shared" si="53"/>
        <v>0</v>
      </c>
      <c r="AD109" s="89">
        <f t="shared" si="53"/>
        <v>0</v>
      </c>
      <c r="AE109" s="89">
        <f t="shared" si="53"/>
        <v>0</v>
      </c>
      <c r="AF109" s="89">
        <f t="shared" si="53"/>
        <v>0</v>
      </c>
      <c r="AG109" s="98"/>
      <c r="AH109" s="48">
        <f t="shared" si="35"/>
        <v>0</v>
      </c>
      <c r="AI109" s="49">
        <f t="shared" si="36"/>
        <v>0</v>
      </c>
    </row>
    <row r="110" spans="1:64" ht="15.75" thickBot="1" x14ac:dyDescent="0.3">
      <c r="A110" s="112" t="s">
        <v>130</v>
      </c>
      <c r="B110" s="71">
        <f>SUM(B104:B109)</f>
        <v>587</v>
      </c>
      <c r="C110" s="71">
        <f t="shared" ref="C110:AF110" si="54">SUM(C104:C109)</f>
        <v>629</v>
      </c>
      <c r="D110" s="71">
        <f t="shared" si="54"/>
        <v>711</v>
      </c>
      <c r="E110" s="71">
        <f t="shared" si="54"/>
        <v>656</v>
      </c>
      <c r="F110" s="71">
        <f t="shared" si="54"/>
        <v>645</v>
      </c>
      <c r="G110" s="71">
        <f t="shared" si="54"/>
        <v>562</v>
      </c>
      <c r="H110" s="71">
        <f t="shared" si="54"/>
        <v>629</v>
      </c>
      <c r="I110" s="71">
        <f t="shared" si="54"/>
        <v>698.5</v>
      </c>
      <c r="J110" s="71">
        <f t="shared" si="54"/>
        <v>555</v>
      </c>
      <c r="K110" s="71">
        <f t="shared" si="54"/>
        <v>595</v>
      </c>
      <c r="L110" s="71">
        <f t="shared" si="54"/>
        <v>588.6</v>
      </c>
      <c r="M110" s="71">
        <f t="shared" si="54"/>
        <v>585</v>
      </c>
      <c r="N110" s="71">
        <f t="shared" si="54"/>
        <v>582</v>
      </c>
      <c r="O110" s="71">
        <f t="shared" si="54"/>
        <v>535</v>
      </c>
      <c r="P110" s="71">
        <f t="shared" si="54"/>
        <v>549.70000000000005</v>
      </c>
      <c r="Q110" s="71">
        <f t="shared" si="54"/>
        <v>436</v>
      </c>
      <c r="R110" s="71">
        <f t="shared" si="54"/>
        <v>568.6</v>
      </c>
      <c r="S110" s="71">
        <f t="shared" si="54"/>
        <v>546</v>
      </c>
      <c r="T110" s="71">
        <f t="shared" si="54"/>
        <v>563</v>
      </c>
      <c r="U110" s="71">
        <f t="shared" si="54"/>
        <v>614</v>
      </c>
      <c r="V110" s="71">
        <f t="shared" si="54"/>
        <v>657</v>
      </c>
      <c r="W110" s="71">
        <f t="shared" si="54"/>
        <v>702</v>
      </c>
      <c r="X110" s="71">
        <f t="shared" si="54"/>
        <v>680</v>
      </c>
      <c r="Y110" s="71">
        <f t="shared" si="54"/>
        <v>654</v>
      </c>
      <c r="Z110" s="71">
        <f t="shared" si="54"/>
        <v>575</v>
      </c>
      <c r="AA110" s="71">
        <f t="shared" si="54"/>
        <v>504</v>
      </c>
      <c r="AB110" s="71">
        <f t="shared" si="54"/>
        <v>499</v>
      </c>
      <c r="AC110" s="71">
        <f t="shared" si="54"/>
        <v>605</v>
      </c>
      <c r="AD110" s="71">
        <f t="shared" si="54"/>
        <v>329</v>
      </c>
      <c r="AE110" s="71">
        <f t="shared" si="54"/>
        <v>588</v>
      </c>
      <c r="AF110" s="71">
        <f t="shared" si="54"/>
        <v>595</v>
      </c>
      <c r="AG110" s="101"/>
      <c r="AH110" s="48">
        <f t="shared" si="35"/>
        <v>711</v>
      </c>
      <c r="AI110" s="49">
        <f t="shared" si="36"/>
        <v>329</v>
      </c>
    </row>
    <row r="111" spans="1:64" ht="15.75" thickBot="1" x14ac:dyDescent="0.3">
      <c r="A111" s="87" t="s">
        <v>131</v>
      </c>
      <c r="B111" s="71">
        <f t="shared" ref="B111:AF111" si="55">B95-B110</f>
        <v>-587</v>
      </c>
      <c r="C111" s="71">
        <f t="shared" si="55"/>
        <v>-629</v>
      </c>
      <c r="D111" s="71">
        <f t="shared" si="55"/>
        <v>-711</v>
      </c>
      <c r="E111" s="71">
        <f t="shared" si="55"/>
        <v>-656</v>
      </c>
      <c r="F111" s="71">
        <f t="shared" si="55"/>
        <v>-645</v>
      </c>
      <c r="G111" s="71">
        <f t="shared" si="55"/>
        <v>-562</v>
      </c>
      <c r="H111" s="71">
        <f t="shared" si="55"/>
        <v>-629</v>
      </c>
      <c r="I111" s="71">
        <f t="shared" si="55"/>
        <v>-698.5</v>
      </c>
      <c r="J111" s="71">
        <f t="shared" si="55"/>
        <v>-555</v>
      </c>
      <c r="K111" s="71">
        <f t="shared" si="55"/>
        <v>-595</v>
      </c>
      <c r="L111" s="71">
        <f t="shared" si="55"/>
        <v>-588.6</v>
      </c>
      <c r="M111" s="71">
        <f t="shared" si="55"/>
        <v>-585</v>
      </c>
      <c r="N111" s="71">
        <f t="shared" si="55"/>
        <v>-582</v>
      </c>
      <c r="O111" s="71">
        <f t="shared" si="55"/>
        <v>-535</v>
      </c>
      <c r="P111" s="71">
        <f t="shared" si="55"/>
        <v>-549.70000000000005</v>
      </c>
      <c r="Q111" s="71">
        <f t="shared" si="55"/>
        <v>-436</v>
      </c>
      <c r="R111" s="71">
        <f t="shared" si="55"/>
        <v>-568.6</v>
      </c>
      <c r="S111" s="71">
        <f t="shared" si="55"/>
        <v>-546</v>
      </c>
      <c r="T111" s="71">
        <f t="shared" si="55"/>
        <v>-563</v>
      </c>
      <c r="U111" s="71">
        <f t="shared" si="55"/>
        <v>-614</v>
      </c>
      <c r="V111" s="71">
        <f t="shared" si="55"/>
        <v>-657</v>
      </c>
      <c r="W111" s="71">
        <f t="shared" si="55"/>
        <v>-702</v>
      </c>
      <c r="X111" s="71">
        <f t="shared" si="55"/>
        <v>-680</v>
      </c>
      <c r="Y111" s="71">
        <f t="shared" si="55"/>
        <v>-654</v>
      </c>
      <c r="Z111" s="71">
        <f t="shared" si="55"/>
        <v>-575</v>
      </c>
      <c r="AA111" s="71">
        <f t="shared" si="55"/>
        <v>-504</v>
      </c>
      <c r="AB111" s="71">
        <f t="shared" si="55"/>
        <v>-499</v>
      </c>
      <c r="AC111" s="71">
        <f t="shared" si="55"/>
        <v>-605</v>
      </c>
      <c r="AD111" s="71">
        <f t="shared" si="55"/>
        <v>-329</v>
      </c>
      <c r="AE111" s="71">
        <f t="shared" si="55"/>
        <v>-588</v>
      </c>
      <c r="AF111" s="71">
        <f t="shared" si="55"/>
        <v>-595</v>
      </c>
      <c r="AG111" s="101"/>
      <c r="AH111" s="48">
        <f t="shared" si="35"/>
        <v>-329</v>
      </c>
      <c r="AI111" s="49">
        <f t="shared" si="36"/>
        <v>-711</v>
      </c>
    </row>
    <row r="112" spans="1:64" x14ac:dyDescent="0.25">
      <c r="A112" s="113" t="s">
        <v>132</v>
      </c>
      <c r="B112" s="114">
        <v>50.033000000000001</v>
      </c>
      <c r="C112" s="114">
        <v>49.985999999999997</v>
      </c>
      <c r="D112" s="114">
        <v>49.973999999999997</v>
      </c>
      <c r="E112" s="114">
        <v>50</v>
      </c>
      <c r="F112" s="114">
        <v>50</v>
      </c>
      <c r="G112" s="114">
        <v>50.6</v>
      </c>
      <c r="H112" s="114">
        <v>50</v>
      </c>
      <c r="I112" s="114">
        <v>49.95</v>
      </c>
      <c r="J112" s="114">
        <v>49.92</v>
      </c>
      <c r="K112" s="114">
        <v>50</v>
      </c>
      <c r="L112" s="114">
        <v>49.941000000000003</v>
      </c>
      <c r="M112" s="114">
        <v>50.002000000000002</v>
      </c>
      <c r="N112" s="114">
        <v>50.106999999999999</v>
      </c>
      <c r="O112" s="114">
        <v>49.994999999999997</v>
      </c>
      <c r="P112" s="114">
        <v>50.03</v>
      </c>
      <c r="Q112" s="114"/>
      <c r="R112" s="114">
        <v>50.040999999999997</v>
      </c>
      <c r="S112" s="114">
        <v>50.02</v>
      </c>
      <c r="T112" s="114">
        <v>49.997999999999998</v>
      </c>
      <c r="U112" s="114">
        <v>50.121000000000002</v>
      </c>
      <c r="V112" s="114">
        <v>49.978000000000002</v>
      </c>
      <c r="W112" s="114">
        <v>50.04</v>
      </c>
      <c r="X112" s="114"/>
      <c r="Y112" s="114">
        <v>49.860999999999997</v>
      </c>
      <c r="Z112" s="114">
        <v>49.994</v>
      </c>
      <c r="AA112" s="114">
        <v>49.94</v>
      </c>
      <c r="AB112" s="114">
        <v>49.993000000000002</v>
      </c>
      <c r="AC112" s="114">
        <v>49.993000000000002</v>
      </c>
      <c r="AD112" s="114">
        <v>49.996000000000002</v>
      </c>
      <c r="AE112" s="114">
        <v>50.107999999999997</v>
      </c>
      <c r="AF112" s="114">
        <v>50.015000000000001</v>
      </c>
      <c r="AG112" s="115"/>
      <c r="AH112" s="48">
        <f t="shared" si="35"/>
        <v>50.6</v>
      </c>
      <c r="AI112" s="49">
        <f t="shared" si="36"/>
        <v>49.860999999999997</v>
      </c>
    </row>
    <row r="113" spans="1:35" x14ac:dyDescent="0.25">
      <c r="A113" s="116" t="s">
        <v>133</v>
      </c>
      <c r="B113" s="76">
        <v>122.5</v>
      </c>
      <c r="C113" s="76">
        <v>123.2</v>
      </c>
      <c r="D113" s="76">
        <v>124.6</v>
      </c>
      <c r="E113" s="76">
        <v>124.6</v>
      </c>
      <c r="F113" s="76">
        <v>122.7</v>
      </c>
      <c r="G113" s="76">
        <v>125</v>
      </c>
      <c r="H113" s="76">
        <v>125</v>
      </c>
      <c r="I113" s="76">
        <v>122.8</v>
      </c>
      <c r="J113" s="76">
        <v>122.8</v>
      </c>
      <c r="K113" s="76">
        <v>121</v>
      </c>
      <c r="L113" s="76">
        <v>119.6</v>
      </c>
      <c r="M113" s="76">
        <v>120.8</v>
      </c>
      <c r="N113" s="76">
        <v>116.8</v>
      </c>
      <c r="O113" s="76">
        <v>117.1</v>
      </c>
      <c r="P113" s="76">
        <v>120.3</v>
      </c>
      <c r="Q113" s="76"/>
      <c r="R113" s="76">
        <v>121.6</v>
      </c>
      <c r="S113" s="76">
        <v>122.4</v>
      </c>
      <c r="T113" s="76">
        <v>123.6</v>
      </c>
      <c r="U113" s="76">
        <v>124</v>
      </c>
      <c r="V113" s="76">
        <v>123.7</v>
      </c>
      <c r="W113" s="76">
        <v>123</v>
      </c>
      <c r="X113" s="76"/>
      <c r="Y113" s="76">
        <v>124.9</v>
      </c>
      <c r="Z113" s="76">
        <v>124.6</v>
      </c>
      <c r="AA113" s="76">
        <v>125</v>
      </c>
      <c r="AB113" s="76">
        <v>125.8</v>
      </c>
      <c r="AC113" s="76">
        <v>125.8</v>
      </c>
      <c r="AD113" s="76">
        <v>123.5</v>
      </c>
      <c r="AE113" s="76">
        <v>125.7</v>
      </c>
      <c r="AF113" s="76">
        <v>125.7</v>
      </c>
      <c r="AG113" s="117"/>
      <c r="AH113" s="48">
        <f t="shared" si="35"/>
        <v>125.8</v>
      </c>
      <c r="AI113" s="49">
        <f t="shared" si="36"/>
        <v>116.8</v>
      </c>
    </row>
    <row r="114" spans="1:35" x14ac:dyDescent="0.25">
      <c r="A114" s="116" t="s">
        <v>134</v>
      </c>
      <c r="B114" s="76">
        <v>127.4</v>
      </c>
      <c r="C114" s="76">
        <v>128.19999999999999</v>
      </c>
      <c r="D114" s="76">
        <v>128.80000000000001</v>
      </c>
      <c r="E114" s="76">
        <v>128.80000000000001</v>
      </c>
      <c r="F114" s="76">
        <v>128</v>
      </c>
      <c r="G114" s="76">
        <v>128</v>
      </c>
      <c r="H114" s="76">
        <v>128</v>
      </c>
      <c r="I114" s="76">
        <v>126</v>
      </c>
      <c r="J114" s="76">
        <v>126</v>
      </c>
      <c r="K114" s="76">
        <v>125</v>
      </c>
      <c r="L114" s="76">
        <v>123</v>
      </c>
      <c r="M114" s="76">
        <v>124.1</v>
      </c>
      <c r="N114" s="76">
        <v>121.7</v>
      </c>
      <c r="O114" s="76">
        <v>121.2</v>
      </c>
      <c r="P114" s="76">
        <v>123</v>
      </c>
      <c r="Q114" s="76"/>
      <c r="R114" s="76">
        <v>124.7</v>
      </c>
      <c r="S114" s="76">
        <v>125.2</v>
      </c>
      <c r="T114" s="76">
        <v>126.3</v>
      </c>
      <c r="U114" s="76">
        <v>126.3</v>
      </c>
      <c r="V114" s="76">
        <v>126.5</v>
      </c>
      <c r="W114" s="76">
        <v>125.6</v>
      </c>
      <c r="X114" s="76"/>
      <c r="Y114" s="76">
        <v>127.4</v>
      </c>
      <c r="Z114" s="76">
        <v>127.2</v>
      </c>
      <c r="AA114" s="76">
        <v>128</v>
      </c>
      <c r="AB114" s="76">
        <v>128.9</v>
      </c>
      <c r="AC114" s="76">
        <v>128.9</v>
      </c>
      <c r="AD114" s="76">
        <v>127.4</v>
      </c>
      <c r="AE114" s="76">
        <v>129.19999999999999</v>
      </c>
      <c r="AF114" s="76">
        <v>129.6</v>
      </c>
      <c r="AG114" s="117"/>
      <c r="AH114" s="48">
        <f t="shared" si="35"/>
        <v>129.6</v>
      </c>
      <c r="AI114" s="49">
        <f t="shared" si="36"/>
        <v>121.2</v>
      </c>
    </row>
    <row r="115" spans="1:35" x14ac:dyDescent="0.25">
      <c r="A115" s="116" t="s">
        <v>135</v>
      </c>
      <c r="B115" s="76">
        <v>129.30000000000001</v>
      </c>
      <c r="C115" s="76">
        <v>129.4</v>
      </c>
      <c r="D115" s="76">
        <v>130.19999999999999</v>
      </c>
      <c r="E115" s="76">
        <v>130.19999999999999</v>
      </c>
      <c r="F115" s="76">
        <v>131.9</v>
      </c>
      <c r="G115" s="76">
        <v>131.9</v>
      </c>
      <c r="H115" s="76">
        <v>131.9</v>
      </c>
      <c r="I115" s="76">
        <v>130</v>
      </c>
      <c r="J115" s="76">
        <v>130</v>
      </c>
      <c r="K115" s="76">
        <v>130</v>
      </c>
      <c r="L115" s="76">
        <v>128.9</v>
      </c>
      <c r="M115" s="76">
        <v>129.80000000000001</v>
      </c>
      <c r="N115" s="76">
        <v>129.80000000000001</v>
      </c>
      <c r="O115" s="76">
        <v>127.5</v>
      </c>
      <c r="P115" s="76">
        <v>129.19999999999999</v>
      </c>
      <c r="Q115" s="76"/>
      <c r="R115" s="76">
        <v>127.4</v>
      </c>
      <c r="S115" s="76">
        <v>127.5</v>
      </c>
      <c r="T115" s="76">
        <v>129.5</v>
      </c>
      <c r="U115" s="76">
        <v>130.69999999999999</v>
      </c>
      <c r="V115" s="76">
        <v>131.30000000000001</v>
      </c>
      <c r="W115" s="76">
        <v>131</v>
      </c>
      <c r="X115" s="76"/>
      <c r="Y115" s="76"/>
      <c r="Z115" s="76">
        <v>130.19999999999999</v>
      </c>
      <c r="AA115" s="76">
        <v>130</v>
      </c>
      <c r="AB115" s="76">
        <v>129.69999999999999</v>
      </c>
      <c r="AC115" s="76">
        <v>129.69999999999999</v>
      </c>
      <c r="AD115" s="76">
        <v>128.69999999999999</v>
      </c>
      <c r="AE115" s="76">
        <v>130.30000000000001</v>
      </c>
      <c r="AF115" s="76">
        <v>129.6</v>
      </c>
      <c r="AG115" s="117"/>
      <c r="AH115" s="48">
        <f t="shared" si="35"/>
        <v>131.9</v>
      </c>
      <c r="AI115" s="49">
        <f t="shared" si="36"/>
        <v>127.4</v>
      </c>
    </row>
    <row r="116" spans="1:35" x14ac:dyDescent="0.25">
      <c r="A116" s="118" t="s">
        <v>136</v>
      </c>
      <c r="B116" s="76">
        <v>131.5</v>
      </c>
      <c r="C116" s="76">
        <v>132.80000000000001</v>
      </c>
      <c r="D116" s="76">
        <v>131.19999999999999</v>
      </c>
      <c r="E116" s="76">
        <v>131.19999999999999</v>
      </c>
      <c r="F116" s="76">
        <v>131.5</v>
      </c>
      <c r="G116" s="76">
        <v>131.5</v>
      </c>
      <c r="H116" s="76">
        <v>131.5</v>
      </c>
      <c r="I116" s="76">
        <v>130.69999999999999</v>
      </c>
      <c r="J116" s="76">
        <v>130.69999999999999</v>
      </c>
      <c r="K116" s="76">
        <v>132</v>
      </c>
      <c r="L116" s="76">
        <v>131</v>
      </c>
      <c r="M116" s="76">
        <v>129</v>
      </c>
      <c r="N116" s="76">
        <v>131.5</v>
      </c>
      <c r="O116" s="76">
        <v>129</v>
      </c>
      <c r="P116" s="76">
        <v>129.80000000000001</v>
      </c>
      <c r="Q116" s="76"/>
      <c r="R116" s="76">
        <v>130</v>
      </c>
      <c r="S116" s="76">
        <v>128.30000000000001</v>
      </c>
      <c r="T116" s="76">
        <v>129.19999999999999</v>
      </c>
      <c r="U116" s="76">
        <v>131.5</v>
      </c>
      <c r="V116" s="76">
        <v>133</v>
      </c>
      <c r="W116" s="76">
        <v>133.69999999999999</v>
      </c>
      <c r="X116" s="76"/>
      <c r="Y116" s="76"/>
      <c r="Z116" s="76">
        <v>130.4</v>
      </c>
      <c r="AA116" s="76">
        <v>130</v>
      </c>
      <c r="AB116" s="76">
        <v>131.19999999999999</v>
      </c>
      <c r="AC116" s="76">
        <v>131.19999999999999</v>
      </c>
      <c r="AD116" s="76">
        <v>128</v>
      </c>
      <c r="AE116" s="76">
        <v>130.5</v>
      </c>
      <c r="AF116" s="76">
        <v>129.80000000000001</v>
      </c>
      <c r="AG116" s="117"/>
      <c r="AH116" s="48">
        <f t="shared" si="35"/>
        <v>133.69999999999999</v>
      </c>
      <c r="AI116" s="49">
        <f t="shared" si="36"/>
        <v>128</v>
      </c>
    </row>
    <row r="117" spans="1:35" x14ac:dyDescent="0.25">
      <c r="A117" s="118" t="s">
        <v>137</v>
      </c>
      <c r="B117" s="119">
        <v>131.9</v>
      </c>
      <c r="C117" s="119">
        <v>134.30000000000001</v>
      </c>
      <c r="D117" s="119">
        <v>133.5</v>
      </c>
      <c r="E117" s="119">
        <v>133.5</v>
      </c>
      <c r="F117" s="119">
        <v>134.5</v>
      </c>
      <c r="G117" s="119">
        <v>134.5</v>
      </c>
      <c r="H117" s="119">
        <v>134.5</v>
      </c>
      <c r="I117" s="119">
        <v>133</v>
      </c>
      <c r="J117" s="119">
        <v>133</v>
      </c>
      <c r="K117" s="119">
        <v>132.80000000000001</v>
      </c>
      <c r="L117" s="119">
        <v>131</v>
      </c>
      <c r="M117" s="119">
        <v>132.5</v>
      </c>
      <c r="N117" s="119">
        <v>134.1</v>
      </c>
      <c r="O117" s="119">
        <v>133.30000000000001</v>
      </c>
      <c r="P117" s="119">
        <v>134.80000000000001</v>
      </c>
      <c r="Q117" s="119"/>
      <c r="R117" s="119">
        <v>132.9</v>
      </c>
      <c r="S117" s="119">
        <v>135.19999999999999</v>
      </c>
      <c r="T117" s="119">
        <v>134.80000000000001</v>
      </c>
      <c r="U117" s="119">
        <v>135</v>
      </c>
      <c r="V117" s="119">
        <v>136.5</v>
      </c>
      <c r="W117" s="119">
        <v>130.9</v>
      </c>
      <c r="X117" s="119"/>
      <c r="Y117" s="119">
        <v>132</v>
      </c>
      <c r="Z117" s="119">
        <v>133.19999999999999</v>
      </c>
      <c r="AA117" s="119">
        <v>134</v>
      </c>
      <c r="AB117" s="119">
        <v>135.30000000000001</v>
      </c>
      <c r="AC117" s="119">
        <v>135.30000000000001</v>
      </c>
      <c r="AD117" s="119">
        <v>133.80000000000001</v>
      </c>
      <c r="AE117" s="119">
        <v>132</v>
      </c>
      <c r="AF117" s="119">
        <v>134</v>
      </c>
      <c r="AG117" s="120"/>
      <c r="AH117" s="48">
        <f t="shared" si="35"/>
        <v>136.5</v>
      </c>
      <c r="AI117" s="49">
        <f t="shared" si="36"/>
        <v>130.9</v>
      </c>
    </row>
    <row r="118" spans="1:35" x14ac:dyDescent="0.25">
      <c r="A118" s="116" t="s">
        <v>138</v>
      </c>
      <c r="B118" s="76">
        <v>124.5</v>
      </c>
      <c r="C118" s="76">
        <v>125.4</v>
      </c>
      <c r="D118" s="76">
        <v>128.80000000000001</v>
      </c>
      <c r="E118" s="76">
        <v>128.80000000000001</v>
      </c>
      <c r="F118" s="76">
        <v>130</v>
      </c>
      <c r="G118" s="76">
        <v>130</v>
      </c>
      <c r="H118" s="76">
        <v>130</v>
      </c>
      <c r="I118" s="76">
        <v>127</v>
      </c>
      <c r="J118" s="76">
        <v>127</v>
      </c>
      <c r="K118" s="76">
        <v>130</v>
      </c>
      <c r="L118" s="76">
        <v>121</v>
      </c>
      <c r="M118" s="76">
        <v>123.2</v>
      </c>
      <c r="N118" s="76">
        <v>125.4</v>
      </c>
      <c r="O118" s="76">
        <v>124</v>
      </c>
      <c r="P118" s="76">
        <v>121.4</v>
      </c>
      <c r="Q118" s="76"/>
      <c r="R118" s="76">
        <v>125.3</v>
      </c>
      <c r="S118" s="76">
        <v>127.9</v>
      </c>
      <c r="T118" s="76">
        <v>127.1</v>
      </c>
      <c r="U118" s="76">
        <v>127</v>
      </c>
      <c r="V118" s="76">
        <v>130.6</v>
      </c>
      <c r="W118" s="76">
        <v>124</v>
      </c>
      <c r="X118" s="76"/>
      <c r="Y118" s="76">
        <v>131.4</v>
      </c>
      <c r="Z118" s="76">
        <v>134.1</v>
      </c>
      <c r="AA118" s="76">
        <v>132</v>
      </c>
      <c r="AB118" s="76">
        <v>128.9</v>
      </c>
      <c r="AC118" s="76">
        <v>128.9</v>
      </c>
      <c r="AD118" s="76">
        <v>122.5</v>
      </c>
      <c r="AE118" s="76">
        <v>116.8</v>
      </c>
      <c r="AF118" s="76">
        <v>126.8</v>
      </c>
      <c r="AG118" s="117"/>
      <c r="AH118" s="48">
        <f t="shared" si="35"/>
        <v>134.1</v>
      </c>
      <c r="AI118" s="49">
        <f t="shared" si="36"/>
        <v>116.8</v>
      </c>
    </row>
    <row r="119" spans="1:35" ht="15.75" thickBot="1" x14ac:dyDescent="0.3">
      <c r="A119" s="116" t="s">
        <v>139</v>
      </c>
      <c r="B119" s="105">
        <v>64.099999999999994</v>
      </c>
      <c r="C119" s="105">
        <v>64.099999999999994</v>
      </c>
      <c r="D119" s="105">
        <v>65</v>
      </c>
      <c r="E119" s="105">
        <v>65</v>
      </c>
      <c r="F119" s="105">
        <v>64.400000000000006</v>
      </c>
      <c r="G119" s="105">
        <v>64.400000000000006</v>
      </c>
      <c r="H119" s="105">
        <v>64.400000000000006</v>
      </c>
      <c r="I119" s="105">
        <v>63.6</v>
      </c>
      <c r="J119" s="105">
        <v>63.6</v>
      </c>
      <c r="K119" s="105">
        <v>63.7</v>
      </c>
      <c r="L119" s="105">
        <v>62.4</v>
      </c>
      <c r="M119" s="105">
        <v>62.4</v>
      </c>
      <c r="N119" s="105">
        <v>61.3</v>
      </c>
      <c r="O119" s="105">
        <v>60.7</v>
      </c>
      <c r="P119" s="105">
        <v>61.5</v>
      </c>
      <c r="Q119" s="105"/>
      <c r="R119" s="105">
        <v>62.7</v>
      </c>
      <c r="S119" s="105">
        <v>63.1</v>
      </c>
      <c r="T119" s="105">
        <v>63.4</v>
      </c>
      <c r="U119" s="105">
        <v>63.6</v>
      </c>
      <c r="V119" s="105">
        <v>63.3</v>
      </c>
      <c r="W119" s="105">
        <v>63</v>
      </c>
      <c r="X119" s="105"/>
      <c r="Y119" s="105">
        <v>64</v>
      </c>
      <c r="Z119" s="105">
        <v>64</v>
      </c>
      <c r="AA119" s="105">
        <v>64.2</v>
      </c>
      <c r="AB119" s="105">
        <v>64.5</v>
      </c>
      <c r="AC119" s="105">
        <v>64.5</v>
      </c>
      <c r="AD119" s="105">
        <v>63.9</v>
      </c>
      <c r="AE119" s="105">
        <v>65.099999999999994</v>
      </c>
      <c r="AF119" s="105">
        <v>65</v>
      </c>
      <c r="AG119" s="121"/>
      <c r="AH119" s="48">
        <f t="shared" si="35"/>
        <v>65.099999999999994</v>
      </c>
      <c r="AI119" s="49">
        <f t="shared" si="36"/>
        <v>60.7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5"/>
        <v>0</v>
      </c>
      <c r="AI120" s="49">
        <f t="shared" si="36"/>
        <v>0</v>
      </c>
    </row>
    <row r="121" spans="1:35" ht="15.75" thickBot="1" x14ac:dyDescent="0.3">
      <c r="A121" s="123" t="s">
        <v>141</v>
      </c>
      <c r="B121" s="124">
        <f t="shared" ref="B121:O121" si="56">SUM(B25,B31,B34:B35,B69,B71:B72,B74,B76,B122:B126,B158,B164,B170,B179,B181,B193,B200,B203:B204,B211,B213,B215,B219:B221,B223:B225,B230,B236:B237,B239:B241,B249,B254)</f>
        <v>31.740000000000013</v>
      </c>
      <c r="C121" s="124">
        <f t="shared" si="56"/>
        <v>17.339999999999979</v>
      </c>
      <c r="D121" s="124">
        <f t="shared" si="56"/>
        <v>17.039999999999996</v>
      </c>
      <c r="E121" s="124">
        <f t="shared" si="56"/>
        <v>13.540000000000003</v>
      </c>
      <c r="F121" s="124">
        <f t="shared" si="56"/>
        <v>17.239999999999977</v>
      </c>
      <c r="G121" s="124">
        <f t="shared" si="56"/>
        <v>63.039999999999992</v>
      </c>
      <c r="H121" s="124">
        <f t="shared" si="56"/>
        <v>71.339999999999975</v>
      </c>
      <c r="I121" s="124">
        <f t="shared" si="56"/>
        <v>91.139999999999972</v>
      </c>
      <c r="J121" s="124">
        <f t="shared" si="56"/>
        <v>135.04</v>
      </c>
      <c r="K121" s="124">
        <f t="shared" si="56"/>
        <v>164.14</v>
      </c>
      <c r="L121" s="124">
        <f t="shared" si="56"/>
        <v>206.44</v>
      </c>
      <c r="M121" s="124">
        <f t="shared" si="56"/>
        <v>222.93999999999994</v>
      </c>
      <c r="N121" s="124">
        <f t="shared" si="56"/>
        <v>212.94000000000003</v>
      </c>
      <c r="O121" s="124">
        <f t="shared" si="56"/>
        <v>178.22999999999996</v>
      </c>
      <c r="P121" s="124">
        <v>42</v>
      </c>
      <c r="Q121" s="124">
        <f t="shared" ref="Q121:X121" si="57">SUM(Q25,Q31,Q34:Q35,Q69,Q71:Q72,Q74,Q76,Q122:Q126,Q158,Q164,Q170,Q179,Q181,Q193,Q200,Q203:Q204,Q211,Q213,Q215,Q219:Q221,Q223:Q225,Q230,Q236:Q237,Q239:Q241,Q249,Q254)</f>
        <v>165.73999999999998</v>
      </c>
      <c r="R121" s="124">
        <f t="shared" si="57"/>
        <v>516.24</v>
      </c>
      <c r="S121" s="124">
        <f t="shared" si="57"/>
        <v>216.04000000000005</v>
      </c>
      <c r="T121" s="124">
        <f t="shared" si="57"/>
        <v>221.04</v>
      </c>
      <c r="U121" s="124">
        <f t="shared" si="57"/>
        <v>207.54000000000002</v>
      </c>
      <c r="V121" s="124">
        <f t="shared" si="57"/>
        <v>211.24</v>
      </c>
      <c r="W121" s="124">
        <f t="shared" si="57"/>
        <v>203.74</v>
      </c>
      <c r="X121" s="124">
        <f t="shared" si="57"/>
        <v>150.94</v>
      </c>
      <c r="Y121" s="124">
        <f>SUM(Y23,Y29,Y40:Y41,Y69,Y71:Y72,Y74,Y76,Y122:Y126,Y151,Y157,Y163,Y172,Y174,Y186,Y193,Y196:Y197,Y204,Y206,Y208,Y212:Y214,Y216:Y218,Y223,Y229:Y230,Y232:Y234,Y242,Y247)</f>
        <v>198.50000000000003</v>
      </c>
      <c r="Z121" s="124">
        <f>SUM(Z23,Z29,Z40:Z41,Z69,Z71:Z72,Z74,Z76,Z122:Z126,Z151,Z157,Z163,Z172,Z174,Z186,Z193,Z196:Z197,Z204,Z206,Z208,Z212:Z214,Z216:Z218,Z223,Z229:Z230,Z232:Z234,Z242,Z247)</f>
        <v>244.8</v>
      </c>
      <c r="AA121" s="124">
        <f t="shared" ref="AA121:AF121" si="58">SUM(AA25,AA31,AA34:AA35,AA69,AA71:AA72,AA74,AA76,AA122:AA126,AA158,AA164,AA170,AA179,AA181,AA193,AA200,AA203:AA204,AA211,AA213,AA215,AA219:AA221,AA223:AA225,AA230,AA236:AA237,AA239:AA241,AA249,AA254)</f>
        <v>252.14000000000004</v>
      </c>
      <c r="AB121" s="124">
        <f t="shared" si="58"/>
        <v>227.94000000000005</v>
      </c>
      <c r="AC121" s="124">
        <f t="shared" si="58"/>
        <v>227.94000000000005</v>
      </c>
      <c r="AD121" s="124">
        <f t="shared" si="58"/>
        <v>152.44</v>
      </c>
      <c r="AE121" s="124">
        <f t="shared" si="58"/>
        <v>122.14000000000004</v>
      </c>
      <c r="AF121" s="124">
        <f t="shared" si="58"/>
        <v>104.14000000000004</v>
      </c>
      <c r="AG121" s="125"/>
      <c r="AH121" s="48">
        <f t="shared" si="35"/>
        <v>516.24</v>
      </c>
      <c r="AI121" s="49">
        <f t="shared" si="36"/>
        <v>13.540000000000003</v>
      </c>
    </row>
    <row r="122" spans="1:35" x14ac:dyDescent="0.25">
      <c r="A122" s="126" t="s">
        <v>142</v>
      </c>
      <c r="B122" s="127">
        <v>41.9</v>
      </c>
      <c r="C122" s="127">
        <v>35.299999999999997</v>
      </c>
      <c r="D122" s="127">
        <v>35</v>
      </c>
      <c r="E122" s="127">
        <v>27.7</v>
      </c>
      <c r="F122" s="127">
        <v>36.5</v>
      </c>
      <c r="G122" s="127">
        <v>22</v>
      </c>
      <c r="H122" s="127">
        <v>31.6</v>
      </c>
      <c r="I122" s="127">
        <v>51.8</v>
      </c>
      <c r="J122" s="127"/>
      <c r="K122" s="127">
        <v>58.9</v>
      </c>
      <c r="L122" s="127">
        <v>65.599999999999994</v>
      </c>
      <c r="M122" s="127">
        <v>55.6</v>
      </c>
      <c r="N122" s="127">
        <v>70.5</v>
      </c>
      <c r="O122" s="127">
        <v>58.09</v>
      </c>
      <c r="P122" s="127">
        <v>67.7</v>
      </c>
      <c r="Q122" s="127"/>
      <c r="R122" s="127">
        <v>62.7</v>
      </c>
      <c r="S122" s="127">
        <v>74</v>
      </c>
      <c r="T122" s="127">
        <v>73</v>
      </c>
      <c r="U122" s="127">
        <v>67</v>
      </c>
      <c r="V122" s="127">
        <v>72.099999999999994</v>
      </c>
      <c r="W122" s="127">
        <v>87</v>
      </c>
      <c r="X122" s="127"/>
      <c r="Y122" s="127">
        <v>51</v>
      </c>
      <c r="Z122" s="127">
        <v>51.5</v>
      </c>
      <c r="AA122" s="127">
        <v>57</v>
      </c>
      <c r="AB122" s="127">
        <v>53.5</v>
      </c>
      <c r="AC122" s="127">
        <v>53.5</v>
      </c>
      <c r="AD122" s="127">
        <v>58.3</v>
      </c>
      <c r="AE122" s="127">
        <v>45</v>
      </c>
      <c r="AF122" s="127">
        <v>40.9</v>
      </c>
      <c r="AG122" s="128">
        <v>75</v>
      </c>
      <c r="AH122" s="48">
        <f t="shared" si="35"/>
        <v>87</v>
      </c>
      <c r="AI122" s="49">
        <f t="shared" si="36"/>
        <v>22</v>
      </c>
    </row>
    <row r="123" spans="1:35" x14ac:dyDescent="0.25">
      <c r="A123" s="129" t="s">
        <v>143</v>
      </c>
      <c r="B123" s="130">
        <v>67.8</v>
      </c>
      <c r="C123" s="130">
        <v>59</v>
      </c>
      <c r="D123" s="130">
        <v>59</v>
      </c>
      <c r="E123" s="130">
        <v>47.7</v>
      </c>
      <c r="F123" s="130">
        <v>59.3</v>
      </c>
      <c r="G123" s="130">
        <v>38</v>
      </c>
      <c r="H123" s="130">
        <v>49.7</v>
      </c>
      <c r="I123" s="130">
        <v>76</v>
      </c>
      <c r="J123" s="130"/>
      <c r="K123" s="130">
        <v>87</v>
      </c>
      <c r="L123" s="130">
        <v>98</v>
      </c>
      <c r="M123" s="130">
        <v>84.5</v>
      </c>
      <c r="N123" s="130">
        <v>104</v>
      </c>
      <c r="O123" s="130">
        <v>88.8</v>
      </c>
      <c r="P123" s="130">
        <v>102.5</v>
      </c>
      <c r="Q123" s="130"/>
      <c r="R123" s="130">
        <v>121.3</v>
      </c>
      <c r="S123" s="130">
        <v>110</v>
      </c>
      <c r="T123" s="130">
        <v>108.1</v>
      </c>
      <c r="U123" s="130">
        <v>102</v>
      </c>
      <c r="V123" s="130">
        <v>105</v>
      </c>
      <c r="W123" s="130">
        <v>125</v>
      </c>
      <c r="X123" s="130"/>
      <c r="Y123" s="130">
        <v>75</v>
      </c>
      <c r="Z123" s="130">
        <v>77</v>
      </c>
      <c r="AA123" s="130">
        <v>82.4</v>
      </c>
      <c r="AB123" s="130">
        <v>81.5</v>
      </c>
      <c r="AC123" s="130">
        <v>81.5</v>
      </c>
      <c r="AD123" s="130">
        <v>89</v>
      </c>
      <c r="AE123" s="130">
        <v>73</v>
      </c>
      <c r="AF123" s="130">
        <v>64.599999999999994</v>
      </c>
      <c r="AG123" s="128">
        <v>240</v>
      </c>
      <c r="AH123" s="48">
        <f t="shared" si="35"/>
        <v>125</v>
      </c>
      <c r="AI123" s="49">
        <f t="shared" si="36"/>
        <v>38</v>
      </c>
    </row>
    <row r="124" spans="1:35" x14ac:dyDescent="0.25">
      <c r="A124" s="129" t="s">
        <v>144</v>
      </c>
      <c r="B124" s="130">
        <v>-180</v>
      </c>
      <c r="C124" s="130">
        <v>-180</v>
      </c>
      <c r="D124" s="130">
        <v>-180</v>
      </c>
      <c r="E124" s="130">
        <v>-160</v>
      </c>
      <c r="F124" s="130">
        <v>-182</v>
      </c>
      <c r="G124" s="130">
        <v>-130</v>
      </c>
      <c r="H124" s="130">
        <v>-150</v>
      </c>
      <c r="I124" s="130">
        <v>-165</v>
      </c>
      <c r="J124" s="130"/>
      <c r="K124" s="130">
        <v>-155</v>
      </c>
      <c r="L124" s="130">
        <v>-155</v>
      </c>
      <c r="M124" s="130">
        <f>-66.9-72.2</f>
        <v>-139.10000000000002</v>
      </c>
      <c r="N124" s="130">
        <f>-77-84</f>
        <v>-161</v>
      </c>
      <c r="O124" s="130">
        <f>-68-73</f>
        <v>-141</v>
      </c>
      <c r="P124" s="130">
        <f>-59.5-64.6</f>
        <v>-124.1</v>
      </c>
      <c r="Q124" s="130"/>
      <c r="R124" s="130">
        <v>124.7</v>
      </c>
      <c r="S124" s="130">
        <v>-162</v>
      </c>
      <c r="T124" s="130">
        <v>-155</v>
      </c>
      <c r="U124" s="130">
        <v>-153</v>
      </c>
      <c r="V124" s="130">
        <v>-151</v>
      </c>
      <c r="W124" s="130">
        <v>-171</v>
      </c>
      <c r="X124" s="130"/>
      <c r="Y124" s="130">
        <v>-99</v>
      </c>
      <c r="Z124" s="130">
        <v>-94</v>
      </c>
      <c r="AA124" s="130">
        <v>-59</v>
      </c>
      <c r="AB124" s="130">
        <v>-70</v>
      </c>
      <c r="AC124" s="130">
        <v>-70</v>
      </c>
      <c r="AD124" s="130">
        <v>-140</v>
      </c>
      <c r="AE124" s="130">
        <v>-140</v>
      </c>
      <c r="AF124" s="130">
        <v>-145</v>
      </c>
      <c r="AG124" s="128">
        <v>240</v>
      </c>
      <c r="AH124" s="48">
        <f t="shared" si="35"/>
        <v>124.7</v>
      </c>
      <c r="AI124" s="49">
        <f t="shared" si="36"/>
        <v>-182</v>
      </c>
    </row>
    <row r="125" spans="1:35" ht="15.75" thickBot="1" x14ac:dyDescent="0.3">
      <c r="A125" s="129" t="s">
        <v>145</v>
      </c>
      <c r="B125" s="130">
        <v>-28</v>
      </c>
      <c r="C125" s="130">
        <v>-27</v>
      </c>
      <c r="D125" s="130">
        <v>-27</v>
      </c>
      <c r="E125" s="130">
        <v>-25.7</v>
      </c>
      <c r="F125" s="130">
        <v>-29.6</v>
      </c>
      <c r="G125" s="130">
        <v>-22</v>
      </c>
      <c r="H125" s="130">
        <v>-22</v>
      </c>
      <c r="I125" s="130">
        <v>-18.7</v>
      </c>
      <c r="J125" s="130"/>
      <c r="K125" s="130">
        <v>-11</v>
      </c>
      <c r="L125" s="130">
        <v>-5</v>
      </c>
      <c r="M125" s="130">
        <v>-4.9000000000000004</v>
      </c>
      <c r="N125" s="130">
        <v>-9.1</v>
      </c>
      <c r="O125" s="130">
        <v>-2.8</v>
      </c>
      <c r="P125" s="130">
        <v>7.1</v>
      </c>
      <c r="Q125" s="130"/>
      <c r="R125" s="130">
        <v>8.1</v>
      </c>
      <c r="S125" s="130">
        <v>8</v>
      </c>
      <c r="T125" s="130">
        <v>7.1</v>
      </c>
      <c r="U125" s="130">
        <v>7</v>
      </c>
      <c r="V125" s="130">
        <v>-8</v>
      </c>
      <c r="W125" s="130">
        <v>-10</v>
      </c>
      <c r="X125" s="130"/>
      <c r="Y125" s="130">
        <v>3.4</v>
      </c>
      <c r="Z125" s="130">
        <v>4.5</v>
      </c>
      <c r="AA125" s="130">
        <v>10</v>
      </c>
      <c r="AB125" s="130">
        <v>3.8</v>
      </c>
      <c r="AC125" s="130">
        <v>3.8</v>
      </c>
      <c r="AD125" s="130">
        <v>-10</v>
      </c>
      <c r="AE125" s="130">
        <v>-6</v>
      </c>
      <c r="AF125" s="130">
        <v>-14.5</v>
      </c>
      <c r="AG125" s="128">
        <v>60</v>
      </c>
      <c r="AH125" s="48">
        <f t="shared" si="35"/>
        <v>10</v>
      </c>
      <c r="AI125" s="49">
        <f t="shared" si="36"/>
        <v>-29.6</v>
      </c>
    </row>
    <row r="126" spans="1:35" x14ac:dyDescent="0.25">
      <c r="A126" s="126" t="s">
        <v>146</v>
      </c>
      <c r="B126" s="131"/>
      <c r="C126" s="131"/>
      <c r="D126" s="131"/>
      <c r="E126" s="131">
        <v>-1.2</v>
      </c>
      <c r="F126" s="131">
        <v>8</v>
      </c>
      <c r="G126" s="131">
        <v>30</v>
      </c>
      <c r="H126" s="131">
        <v>27</v>
      </c>
      <c r="I126" s="131">
        <v>12</v>
      </c>
      <c r="J126" s="131"/>
      <c r="K126" s="131">
        <v>41.2</v>
      </c>
      <c r="L126" s="131">
        <v>44.8</v>
      </c>
      <c r="M126" s="131">
        <v>68.8</v>
      </c>
      <c r="N126" s="131">
        <v>42.5</v>
      </c>
      <c r="O126" s="131"/>
      <c r="P126" s="131">
        <v>74.400000000000006</v>
      </c>
      <c r="Q126" s="131"/>
      <c r="R126" s="131">
        <v>22.7</v>
      </c>
      <c r="S126" s="131">
        <v>22.4</v>
      </c>
      <c r="T126" s="131">
        <v>24</v>
      </c>
      <c r="U126" s="131">
        <v>21</v>
      </c>
      <c r="V126" s="131">
        <v>32</v>
      </c>
      <c r="W126" s="131">
        <v>13</v>
      </c>
      <c r="X126" s="131"/>
      <c r="Y126" s="131"/>
      <c r="Z126" s="131">
        <v>38</v>
      </c>
      <c r="AA126" s="131">
        <v>18</v>
      </c>
      <c r="AB126" s="131"/>
      <c r="AC126" s="131"/>
      <c r="AD126" s="131">
        <v>-4</v>
      </c>
      <c r="AE126" s="131">
        <v>-9</v>
      </c>
      <c r="AF126" s="131">
        <v>-1</v>
      </c>
      <c r="AG126" s="132">
        <v>120</v>
      </c>
      <c r="AH126" s="48">
        <f t="shared" si="35"/>
        <v>74.400000000000006</v>
      </c>
      <c r="AI126" s="49">
        <f t="shared" si="36"/>
        <v>-9</v>
      </c>
    </row>
    <row r="127" spans="1:35" x14ac:dyDescent="0.25">
      <c r="A127" s="129" t="s">
        <v>147</v>
      </c>
      <c r="B127" s="131">
        <v>87</v>
      </c>
      <c r="C127" s="131">
        <v>88</v>
      </c>
      <c r="D127" s="131">
        <v>80</v>
      </c>
      <c r="E127" s="131">
        <v>81.8</v>
      </c>
      <c r="F127" s="131">
        <v>86.1</v>
      </c>
      <c r="G127" s="131">
        <v>91</v>
      </c>
      <c r="H127" s="131">
        <v>91.1</v>
      </c>
      <c r="I127" s="131">
        <v>84.6</v>
      </c>
      <c r="J127" s="131"/>
      <c r="K127" s="131">
        <v>100</v>
      </c>
      <c r="L127" s="131">
        <v>101.6</v>
      </c>
      <c r="M127" s="131">
        <v>97.1</v>
      </c>
      <c r="N127" s="131">
        <v>100.1</v>
      </c>
      <c r="O127" s="131">
        <v>105.2</v>
      </c>
      <c r="P127" s="131">
        <v>98.7</v>
      </c>
      <c r="Q127" s="131"/>
      <c r="R127" s="131">
        <v>88.8</v>
      </c>
      <c r="S127" s="131">
        <v>92</v>
      </c>
      <c r="T127" s="131">
        <v>91.3</v>
      </c>
      <c r="U127" s="131">
        <v>94</v>
      </c>
      <c r="V127" s="131">
        <v>92</v>
      </c>
      <c r="W127" s="131">
        <v>87</v>
      </c>
      <c r="X127" s="131"/>
      <c r="Y127" s="131">
        <v>97</v>
      </c>
      <c r="Z127" s="131">
        <v>98.7</v>
      </c>
      <c r="AA127" s="131">
        <v>90</v>
      </c>
      <c r="AB127" s="131">
        <v>80.400000000000006</v>
      </c>
      <c r="AC127" s="131">
        <v>80.400000000000006</v>
      </c>
      <c r="AD127" s="131">
        <v>79</v>
      </c>
      <c r="AE127" s="131">
        <v>73</v>
      </c>
      <c r="AF127" s="131">
        <v>74</v>
      </c>
      <c r="AG127" s="132"/>
      <c r="AH127" s="48"/>
      <c r="AI127" s="49"/>
    </row>
    <row r="128" spans="1:35" x14ac:dyDescent="0.25">
      <c r="A128" s="129" t="s">
        <v>148</v>
      </c>
      <c r="B128" s="131">
        <v>79</v>
      </c>
      <c r="C128" s="131">
        <v>81</v>
      </c>
      <c r="D128" s="131">
        <v>60</v>
      </c>
      <c r="E128" s="131">
        <v>60</v>
      </c>
      <c r="F128" s="131">
        <v>67.400000000000006</v>
      </c>
      <c r="G128" s="131">
        <v>73</v>
      </c>
      <c r="H128" s="131">
        <v>69</v>
      </c>
      <c r="I128" s="131">
        <v>46.3</v>
      </c>
      <c r="J128" s="131"/>
      <c r="K128" s="131">
        <v>33</v>
      </c>
      <c r="L128" s="131">
        <v>19.8</v>
      </c>
      <c r="M128" s="131">
        <v>29.6</v>
      </c>
      <c r="N128" s="131">
        <v>33.9</v>
      </c>
      <c r="O128" s="131">
        <v>40.1</v>
      </c>
      <c r="P128" s="131">
        <v>30.8</v>
      </c>
      <c r="Q128" s="131"/>
      <c r="R128" s="131">
        <v>21.1</v>
      </c>
      <c r="S128" s="131">
        <v>17</v>
      </c>
      <c r="T128" s="131">
        <v>20.2</v>
      </c>
      <c r="U128" s="131">
        <v>26</v>
      </c>
      <c r="V128" s="131">
        <v>17</v>
      </c>
      <c r="W128" s="131">
        <v>5</v>
      </c>
      <c r="X128" s="131"/>
      <c r="Y128" s="131">
        <v>18</v>
      </c>
      <c r="Z128" s="131">
        <v>10.1</v>
      </c>
      <c r="AA128" s="131">
        <v>-23</v>
      </c>
      <c r="AB128" s="131">
        <v>-20.8</v>
      </c>
      <c r="AC128" s="131">
        <v>-20.8</v>
      </c>
      <c r="AD128" s="131">
        <v>16</v>
      </c>
      <c r="AE128" s="131">
        <v>30</v>
      </c>
      <c r="AF128" s="131">
        <v>40.9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43</v>
      </c>
      <c r="C129" s="131">
        <v>40</v>
      </c>
      <c r="D129" s="131">
        <v>20</v>
      </c>
      <c r="E129" s="131">
        <v>24.3</v>
      </c>
      <c r="F129" s="131">
        <v>37.9</v>
      </c>
      <c r="G129" s="131">
        <v>62</v>
      </c>
      <c r="H129" s="131">
        <v>39.4</v>
      </c>
      <c r="I129" s="131">
        <v>28.8</v>
      </c>
      <c r="J129" s="131"/>
      <c r="K129" s="131">
        <v>54.3</v>
      </c>
      <c r="L129" s="131">
        <v>51.2</v>
      </c>
      <c r="M129" s="131">
        <v>60.5</v>
      </c>
      <c r="N129" s="131">
        <v>-15.3</v>
      </c>
      <c r="O129" s="131">
        <v>56</v>
      </c>
      <c r="P129" s="131">
        <v>55.5</v>
      </c>
      <c r="Q129" s="131"/>
      <c r="R129" s="131">
        <v>27.5</v>
      </c>
      <c r="S129" s="131">
        <v>34</v>
      </c>
      <c r="T129" s="131">
        <v>28</v>
      </c>
      <c r="U129" s="131">
        <v>28</v>
      </c>
      <c r="V129" s="131">
        <v>31</v>
      </c>
      <c r="W129" s="131">
        <v>19</v>
      </c>
      <c r="X129" s="131"/>
      <c r="Y129" s="131">
        <v>28</v>
      </c>
      <c r="Z129" s="131">
        <v>26.2</v>
      </c>
      <c r="AA129" s="131">
        <v>54</v>
      </c>
      <c r="AB129" s="131">
        <v>66.400000000000006</v>
      </c>
      <c r="AC129" s="131">
        <v>66.400000000000006</v>
      </c>
      <c r="AD129" s="131">
        <v>8</v>
      </c>
      <c r="AE129" s="131">
        <v>20</v>
      </c>
      <c r="AF129" s="131">
        <v>16</v>
      </c>
      <c r="AG129" s="128"/>
      <c r="AH129" s="48">
        <f>MAX(B129:AF129)</f>
        <v>66.400000000000006</v>
      </c>
      <c r="AI129" s="49">
        <f>MIN(B129:AF129)</f>
        <v>-15.3</v>
      </c>
    </row>
    <row r="130" spans="1:37" x14ac:dyDescent="0.25">
      <c r="A130" s="126" t="s">
        <v>150</v>
      </c>
      <c r="B130" s="131">
        <v>-345</v>
      </c>
      <c r="C130" s="131">
        <v>-353</v>
      </c>
      <c r="D130" s="131">
        <v>-352</v>
      </c>
      <c r="E130" s="131">
        <v>-348</v>
      </c>
      <c r="F130" s="131">
        <v>-340</v>
      </c>
      <c r="G130" s="131">
        <v>-310</v>
      </c>
      <c r="H130" s="131">
        <v>-336.5</v>
      </c>
      <c r="I130" s="131">
        <v>-342</v>
      </c>
      <c r="J130" s="131"/>
      <c r="K130" s="131">
        <v>-327</v>
      </c>
      <c r="L130" s="131">
        <v>-333.3</v>
      </c>
      <c r="M130" s="131">
        <v>-323</v>
      </c>
      <c r="N130" s="131">
        <v>-342.9</v>
      </c>
      <c r="O130" s="131">
        <v>-345.6</v>
      </c>
      <c r="P130" s="131">
        <v>-338.1</v>
      </c>
      <c r="Q130" s="131"/>
      <c r="R130" s="131">
        <v>-363.7</v>
      </c>
      <c r="S130" s="131">
        <v>-354</v>
      </c>
      <c r="T130" s="131">
        <v>-361</v>
      </c>
      <c r="U130" s="131">
        <v>-354</v>
      </c>
      <c r="V130" s="131">
        <v>-344</v>
      </c>
      <c r="W130" s="131">
        <v>-354</v>
      </c>
      <c r="X130" s="131"/>
      <c r="Y130" s="131"/>
      <c r="Z130" s="131">
        <v>-338</v>
      </c>
      <c r="AA130" s="131">
        <v>-349</v>
      </c>
      <c r="AB130" s="131">
        <v>-370.5</v>
      </c>
      <c r="AC130" s="131">
        <v>-370.5</v>
      </c>
      <c r="AD130" s="131">
        <v>-335</v>
      </c>
      <c r="AE130" s="131">
        <v>-342</v>
      </c>
      <c r="AF130" s="131">
        <v>-352</v>
      </c>
      <c r="AG130" s="128"/>
      <c r="AH130" s="48">
        <f>MAX(B130:AF130)</f>
        <v>-310</v>
      </c>
      <c r="AI130" s="49">
        <f>MIN(B130:AF130)</f>
        <v>-370.5</v>
      </c>
    </row>
    <row r="131" spans="1:37" x14ac:dyDescent="0.25">
      <c r="A131" s="129" t="s">
        <v>151</v>
      </c>
      <c r="B131" s="119">
        <v>66</v>
      </c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>
        <v>65</v>
      </c>
      <c r="X131" s="119"/>
      <c r="Y131" s="119"/>
      <c r="Z131" s="119">
        <v>59.1</v>
      </c>
      <c r="AA131" s="119">
        <v>47</v>
      </c>
      <c r="AB131" s="119">
        <v>60</v>
      </c>
      <c r="AC131" s="119">
        <v>60</v>
      </c>
      <c r="AD131" s="119">
        <v>73</v>
      </c>
      <c r="AE131" s="119">
        <v>75</v>
      </c>
      <c r="AF131" s="119">
        <v>81</v>
      </c>
      <c r="AG131" s="128"/>
      <c r="AH131" s="48">
        <f>MAX(B131:AF131)</f>
        <v>81</v>
      </c>
      <c r="AI131" s="49">
        <f>MIN(B131:AF131)</f>
        <v>47</v>
      </c>
    </row>
    <row r="132" spans="1:37" x14ac:dyDescent="0.25">
      <c r="A132" s="129" t="s">
        <v>152</v>
      </c>
      <c r="B132" s="119">
        <v>-4</v>
      </c>
      <c r="C132" s="119">
        <v>-10</v>
      </c>
      <c r="D132" s="119">
        <v>-16</v>
      </c>
      <c r="E132" s="119">
        <v>-15.8</v>
      </c>
      <c r="F132" s="119">
        <v>-19.5</v>
      </c>
      <c r="G132" s="119">
        <v>-22.9</v>
      </c>
      <c r="H132" s="119">
        <v>-20.8</v>
      </c>
      <c r="I132" s="119">
        <v>-19.899999999999999</v>
      </c>
      <c r="J132" s="119"/>
      <c r="K132" s="119">
        <v>-22.5</v>
      </c>
      <c r="L132" s="119">
        <v>-19.3</v>
      </c>
      <c r="M132" s="119">
        <v>-23.1</v>
      </c>
      <c r="N132" s="119">
        <v>-15.4</v>
      </c>
      <c r="O132" s="119">
        <v>-15.7</v>
      </c>
      <c r="P132" s="119">
        <v>-14.4</v>
      </c>
      <c r="Q132" s="119"/>
      <c r="R132" s="119">
        <v>8.6</v>
      </c>
      <c r="S132" s="119">
        <v>3.1</v>
      </c>
      <c r="T132" s="119">
        <v>9</v>
      </c>
      <c r="U132" s="119">
        <v>0</v>
      </c>
      <c r="V132" s="119">
        <v>-6</v>
      </c>
      <c r="W132" s="119">
        <v>-8</v>
      </c>
      <c r="X132" s="119"/>
      <c r="Y132" s="119"/>
      <c r="Z132" s="119">
        <v>-5.2</v>
      </c>
      <c r="AA132" s="119">
        <v>0</v>
      </c>
      <c r="AB132" s="119">
        <v>25.5</v>
      </c>
      <c r="AC132" s="119">
        <v>25.5</v>
      </c>
      <c r="AD132" s="119">
        <v>-1.6</v>
      </c>
      <c r="AE132" s="119">
        <v>0</v>
      </c>
      <c r="AF132" s="119">
        <v>1.7</v>
      </c>
      <c r="AG132" s="128"/>
      <c r="AH132" s="48">
        <f>MAX(B132:AF132)</f>
        <v>25.5</v>
      </c>
      <c r="AI132" s="49">
        <f>MIN(B132:AF132)</f>
        <v>-23.1</v>
      </c>
    </row>
    <row r="133" spans="1:37" ht="15.75" thickBot="1" x14ac:dyDescent="0.3">
      <c r="A133" s="129" t="s">
        <v>153</v>
      </c>
      <c r="B133" s="119">
        <v>55</v>
      </c>
      <c r="C133" s="119">
        <v>53</v>
      </c>
      <c r="D133" s="119">
        <v>47</v>
      </c>
      <c r="E133" s="119">
        <v>47.9</v>
      </c>
      <c r="F133" s="119">
        <v>40.700000000000003</v>
      </c>
      <c r="G133" s="119">
        <v>36</v>
      </c>
      <c r="H133" s="119">
        <v>-38.9</v>
      </c>
      <c r="I133" s="119">
        <v>40.6</v>
      </c>
      <c r="J133" s="119"/>
      <c r="K133" s="119">
        <v>41.1</v>
      </c>
      <c r="L133" s="119">
        <v>42.9</v>
      </c>
      <c r="M133" s="119">
        <v>42.4</v>
      </c>
      <c r="N133" s="119">
        <v>42.4</v>
      </c>
      <c r="O133" s="119">
        <v>47.1</v>
      </c>
      <c r="P133" s="119">
        <v>46.6</v>
      </c>
      <c r="Q133" s="119"/>
      <c r="R133" s="119">
        <v>49.5</v>
      </c>
      <c r="S133" s="119">
        <v>52</v>
      </c>
      <c r="T133" s="119">
        <v>57</v>
      </c>
      <c r="U133" s="119">
        <v>50</v>
      </c>
      <c r="V133" s="119">
        <v>43</v>
      </c>
      <c r="W133" s="119">
        <v>45.3</v>
      </c>
      <c r="X133" s="119"/>
      <c r="Y133" s="119"/>
      <c r="Z133" s="119">
        <v>45.3</v>
      </c>
      <c r="AA133" s="119">
        <v>47</v>
      </c>
      <c r="AB133" s="119">
        <v>35.200000000000003</v>
      </c>
      <c r="AC133" s="119">
        <v>35.200000000000003</v>
      </c>
      <c r="AD133" s="119">
        <v>49</v>
      </c>
      <c r="AE133" s="119">
        <v>47</v>
      </c>
      <c r="AF133" s="119">
        <v>46</v>
      </c>
      <c r="AG133" s="128"/>
      <c r="AH133" s="48">
        <f>MAX(B133:AF133)</f>
        <v>57</v>
      </c>
      <c r="AI133" s="49">
        <f>MIN(B133:AF133)</f>
        <v>-38.9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1484.36</v>
      </c>
      <c r="C140" s="142"/>
      <c r="D140" s="142"/>
      <c r="E140" s="142"/>
      <c r="F140" s="142"/>
      <c r="G140" s="142"/>
      <c r="H140" s="142"/>
      <c r="I140" s="142"/>
      <c r="J140" s="142"/>
      <c r="K140" s="142">
        <v>1484.44</v>
      </c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>
        <v>1484.41</v>
      </c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9">SUM(B142:B246)</f>
        <v>0</v>
      </c>
      <c r="C247" s="161">
        <f t="shared" si="59"/>
        <v>0</v>
      </c>
      <c r="D247" s="161">
        <f t="shared" si="59"/>
        <v>0</v>
      </c>
      <c r="E247" s="161">
        <f t="shared" si="59"/>
        <v>0</v>
      </c>
      <c r="F247" s="161">
        <f t="shared" si="59"/>
        <v>0</v>
      </c>
      <c r="G247" s="161">
        <f t="shared" si="59"/>
        <v>0</v>
      </c>
      <c r="H247" s="161">
        <f t="shared" si="59"/>
        <v>0</v>
      </c>
      <c r="I247" s="161">
        <f t="shared" si="59"/>
        <v>0</v>
      </c>
      <c r="J247" s="161">
        <f t="shared" si="59"/>
        <v>0</v>
      </c>
      <c r="K247" s="161">
        <f t="shared" si="59"/>
        <v>0</v>
      </c>
      <c r="L247" s="161">
        <f t="shared" si="59"/>
        <v>0</v>
      </c>
      <c r="M247" s="161">
        <f t="shared" si="59"/>
        <v>0</v>
      </c>
      <c r="N247" s="161">
        <f t="shared" si="59"/>
        <v>0</v>
      </c>
      <c r="O247" s="161">
        <f t="shared" si="59"/>
        <v>0</v>
      </c>
      <c r="P247" s="161">
        <f t="shared" si="59"/>
        <v>0</v>
      </c>
      <c r="Q247" s="161">
        <f t="shared" si="59"/>
        <v>0</v>
      </c>
      <c r="R247" s="161">
        <f t="shared" si="59"/>
        <v>0</v>
      </c>
      <c r="S247" s="161">
        <f t="shared" si="59"/>
        <v>0</v>
      </c>
      <c r="T247" s="161">
        <f t="shared" si="59"/>
        <v>0</v>
      </c>
      <c r="U247" s="161">
        <f t="shared" si="59"/>
        <v>0</v>
      </c>
      <c r="V247" s="161">
        <f t="shared" si="59"/>
        <v>0</v>
      </c>
      <c r="W247" s="161">
        <f t="shared" si="59"/>
        <v>0</v>
      </c>
      <c r="X247" s="161">
        <f t="shared" si="59"/>
        <v>0</v>
      </c>
      <c r="Y247" s="161">
        <f t="shared" si="59"/>
        <v>0</v>
      </c>
      <c r="Z247" s="161">
        <f t="shared" si="59"/>
        <v>0</v>
      </c>
      <c r="AA247" s="161">
        <f t="shared" si="59"/>
        <v>0</v>
      </c>
      <c r="AB247" s="161">
        <f t="shared" si="59"/>
        <v>0</v>
      </c>
      <c r="AC247" s="161">
        <f t="shared" si="59"/>
        <v>0</v>
      </c>
      <c r="AD247" s="161">
        <f t="shared" si="59"/>
        <v>0</v>
      </c>
      <c r="AE247" s="161">
        <f t="shared" si="59"/>
        <v>0</v>
      </c>
      <c r="AF247" s="162">
        <f t="shared" si="59"/>
        <v>0</v>
      </c>
      <c r="AG247" s="163">
        <f t="shared" si="59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60">AF249</f>
        <v>0.3</v>
      </c>
      <c r="C249" s="166">
        <v>0.3</v>
      </c>
      <c r="D249" s="166">
        <f t="shared" ref="D249:S254" si="61">C249</f>
        <v>0.3</v>
      </c>
      <c r="E249" s="166">
        <f t="shared" si="61"/>
        <v>0.3</v>
      </c>
      <c r="F249" s="166">
        <f t="shared" si="61"/>
        <v>0.3</v>
      </c>
      <c r="G249" s="166">
        <f t="shared" si="61"/>
        <v>0.3</v>
      </c>
      <c r="H249" s="166">
        <f t="shared" si="61"/>
        <v>0.3</v>
      </c>
      <c r="I249" s="166">
        <f t="shared" si="61"/>
        <v>0.3</v>
      </c>
      <c r="J249" s="166">
        <f t="shared" si="61"/>
        <v>0.3</v>
      </c>
      <c r="K249" s="166">
        <f t="shared" si="61"/>
        <v>0.3</v>
      </c>
      <c r="L249" s="166">
        <f t="shared" si="61"/>
        <v>0.3</v>
      </c>
      <c r="M249" s="166">
        <f t="shared" si="61"/>
        <v>0.3</v>
      </c>
      <c r="N249" s="166">
        <f t="shared" si="61"/>
        <v>0.3</v>
      </c>
      <c r="O249" s="166">
        <f t="shared" si="61"/>
        <v>0.3</v>
      </c>
      <c r="P249" s="166">
        <f t="shared" si="61"/>
        <v>0.3</v>
      </c>
      <c r="Q249" s="166">
        <f t="shared" si="61"/>
        <v>0.3</v>
      </c>
      <c r="R249" s="166">
        <f t="shared" si="61"/>
        <v>0.3</v>
      </c>
      <c r="S249" s="166">
        <f t="shared" si="61"/>
        <v>0.3</v>
      </c>
      <c r="T249" s="166">
        <f t="shared" ref="T249:AF254" si="62">S249</f>
        <v>0.3</v>
      </c>
      <c r="U249" s="166">
        <f t="shared" si="62"/>
        <v>0.3</v>
      </c>
      <c r="V249" s="166">
        <f t="shared" si="62"/>
        <v>0.3</v>
      </c>
      <c r="W249" s="166">
        <f t="shared" si="62"/>
        <v>0.3</v>
      </c>
      <c r="X249" s="166">
        <f t="shared" si="62"/>
        <v>0.3</v>
      </c>
      <c r="Y249" s="166">
        <f t="shared" si="62"/>
        <v>0.3</v>
      </c>
      <c r="Z249" s="166">
        <f t="shared" si="62"/>
        <v>0.3</v>
      </c>
      <c r="AA249" s="166">
        <f t="shared" si="62"/>
        <v>0.3</v>
      </c>
      <c r="AB249" s="166">
        <f t="shared" si="62"/>
        <v>0.3</v>
      </c>
      <c r="AC249" s="166">
        <f t="shared" si="62"/>
        <v>0.3</v>
      </c>
      <c r="AD249" s="166">
        <f t="shared" si="62"/>
        <v>0.3</v>
      </c>
      <c r="AE249" s="166">
        <f t="shared" si="62"/>
        <v>0.3</v>
      </c>
      <c r="AF249" s="166">
        <f t="shared" si="62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60"/>
        <v>0.4</v>
      </c>
      <c r="C250" s="152">
        <v>0.4</v>
      </c>
      <c r="D250" s="152">
        <f t="shared" si="61"/>
        <v>0.4</v>
      </c>
      <c r="E250" s="152">
        <f t="shared" si="61"/>
        <v>0.4</v>
      </c>
      <c r="F250" s="152">
        <f t="shared" si="61"/>
        <v>0.4</v>
      </c>
      <c r="G250" s="152">
        <f t="shared" si="61"/>
        <v>0.4</v>
      </c>
      <c r="H250" s="152">
        <f t="shared" si="61"/>
        <v>0.4</v>
      </c>
      <c r="I250" s="152">
        <f t="shared" si="61"/>
        <v>0.4</v>
      </c>
      <c r="J250" s="152">
        <f t="shared" si="61"/>
        <v>0.4</v>
      </c>
      <c r="K250" s="152">
        <f t="shared" si="61"/>
        <v>0.4</v>
      </c>
      <c r="L250" s="152">
        <f t="shared" si="61"/>
        <v>0.4</v>
      </c>
      <c r="M250" s="152">
        <f t="shared" si="61"/>
        <v>0.4</v>
      </c>
      <c r="N250" s="152">
        <f t="shared" si="61"/>
        <v>0.4</v>
      </c>
      <c r="O250" s="152">
        <f t="shared" si="61"/>
        <v>0.4</v>
      </c>
      <c r="P250" s="152">
        <f t="shared" si="61"/>
        <v>0.4</v>
      </c>
      <c r="Q250" s="152">
        <f t="shared" si="61"/>
        <v>0.4</v>
      </c>
      <c r="R250" s="152">
        <f t="shared" si="61"/>
        <v>0.4</v>
      </c>
      <c r="S250" s="152">
        <f t="shared" si="61"/>
        <v>0.4</v>
      </c>
      <c r="T250" s="152">
        <f t="shared" si="62"/>
        <v>0.4</v>
      </c>
      <c r="U250" s="152">
        <f t="shared" si="62"/>
        <v>0.4</v>
      </c>
      <c r="V250" s="152">
        <f t="shared" si="62"/>
        <v>0.4</v>
      </c>
      <c r="W250" s="152">
        <f t="shared" si="62"/>
        <v>0.4</v>
      </c>
      <c r="X250" s="152">
        <f t="shared" si="62"/>
        <v>0.4</v>
      </c>
      <c r="Y250" s="152">
        <f t="shared" si="62"/>
        <v>0.4</v>
      </c>
      <c r="Z250" s="152">
        <f t="shared" si="62"/>
        <v>0.4</v>
      </c>
      <c r="AA250" s="152">
        <f t="shared" si="62"/>
        <v>0.4</v>
      </c>
      <c r="AB250" s="152">
        <f t="shared" si="62"/>
        <v>0.4</v>
      </c>
      <c r="AC250" s="152">
        <f t="shared" si="62"/>
        <v>0.4</v>
      </c>
      <c r="AD250" s="152">
        <f t="shared" si="62"/>
        <v>0.4</v>
      </c>
      <c r="AE250" s="152">
        <f t="shared" si="62"/>
        <v>0.4</v>
      </c>
      <c r="AF250" s="152">
        <f t="shared" si="62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60"/>
        <v>1.5</v>
      </c>
      <c r="C251" s="152">
        <v>1.5</v>
      </c>
      <c r="D251" s="152">
        <f t="shared" si="61"/>
        <v>1.5</v>
      </c>
      <c r="E251" s="152">
        <f t="shared" si="61"/>
        <v>1.5</v>
      </c>
      <c r="F251" s="152">
        <f t="shared" si="61"/>
        <v>1.5</v>
      </c>
      <c r="G251" s="152">
        <f t="shared" si="61"/>
        <v>1.5</v>
      </c>
      <c r="H251" s="152">
        <f t="shared" si="61"/>
        <v>1.5</v>
      </c>
      <c r="I251" s="152">
        <f t="shared" si="61"/>
        <v>1.5</v>
      </c>
      <c r="J251" s="152">
        <f t="shared" si="61"/>
        <v>1.5</v>
      </c>
      <c r="K251" s="152">
        <f t="shared" si="61"/>
        <v>1.5</v>
      </c>
      <c r="L251" s="152">
        <f t="shared" si="61"/>
        <v>1.5</v>
      </c>
      <c r="M251" s="152">
        <f t="shared" si="61"/>
        <v>1.5</v>
      </c>
      <c r="N251" s="152">
        <f t="shared" si="61"/>
        <v>1.5</v>
      </c>
      <c r="O251" s="152">
        <f t="shared" si="61"/>
        <v>1.5</v>
      </c>
      <c r="P251" s="152">
        <f t="shared" si="61"/>
        <v>1.5</v>
      </c>
      <c r="Q251" s="152">
        <f t="shared" si="61"/>
        <v>1.5</v>
      </c>
      <c r="R251" s="152">
        <f t="shared" si="61"/>
        <v>1.5</v>
      </c>
      <c r="S251" s="152">
        <f t="shared" si="61"/>
        <v>1.5</v>
      </c>
      <c r="T251" s="152">
        <f t="shared" si="62"/>
        <v>1.5</v>
      </c>
      <c r="U251" s="152">
        <f t="shared" si="62"/>
        <v>1.5</v>
      </c>
      <c r="V251" s="152">
        <f t="shared" si="62"/>
        <v>1.5</v>
      </c>
      <c r="W251" s="152">
        <f t="shared" si="62"/>
        <v>1.5</v>
      </c>
      <c r="X251" s="152">
        <f t="shared" si="62"/>
        <v>1.5</v>
      </c>
      <c r="Y251" s="152">
        <f t="shared" si="62"/>
        <v>1.5</v>
      </c>
      <c r="Z251" s="152">
        <f t="shared" si="62"/>
        <v>1.5</v>
      </c>
      <c r="AA251" s="152">
        <f t="shared" si="62"/>
        <v>1.5</v>
      </c>
      <c r="AB251" s="152">
        <f t="shared" si="62"/>
        <v>1.5</v>
      </c>
      <c r="AC251" s="152">
        <f t="shared" si="62"/>
        <v>1.5</v>
      </c>
      <c r="AD251" s="152">
        <f t="shared" si="62"/>
        <v>1.5</v>
      </c>
      <c r="AE251" s="152">
        <f t="shared" si="62"/>
        <v>1.5</v>
      </c>
      <c r="AF251" s="152">
        <f t="shared" si="62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60"/>
        <v>0.3</v>
      </c>
      <c r="C252" s="152">
        <v>0.3</v>
      </c>
      <c r="D252" s="152">
        <f t="shared" si="61"/>
        <v>0.3</v>
      </c>
      <c r="E252" s="152">
        <f t="shared" si="61"/>
        <v>0.3</v>
      </c>
      <c r="F252" s="152">
        <f t="shared" si="61"/>
        <v>0.3</v>
      </c>
      <c r="G252" s="152">
        <f t="shared" si="61"/>
        <v>0.3</v>
      </c>
      <c r="H252" s="152">
        <f t="shared" si="61"/>
        <v>0.3</v>
      </c>
      <c r="I252" s="152">
        <f t="shared" si="61"/>
        <v>0.3</v>
      </c>
      <c r="J252" s="152">
        <f t="shared" si="61"/>
        <v>0.3</v>
      </c>
      <c r="K252" s="152">
        <f t="shared" si="61"/>
        <v>0.3</v>
      </c>
      <c r="L252" s="152">
        <f t="shared" si="61"/>
        <v>0.3</v>
      </c>
      <c r="M252" s="152">
        <f t="shared" si="61"/>
        <v>0.3</v>
      </c>
      <c r="N252" s="152">
        <f t="shared" si="61"/>
        <v>0.3</v>
      </c>
      <c r="O252" s="152">
        <f t="shared" si="61"/>
        <v>0.3</v>
      </c>
      <c r="P252" s="152">
        <f t="shared" si="61"/>
        <v>0.3</v>
      </c>
      <c r="Q252" s="152">
        <f t="shared" si="61"/>
        <v>0.3</v>
      </c>
      <c r="R252" s="152">
        <f t="shared" si="61"/>
        <v>0.3</v>
      </c>
      <c r="S252" s="152">
        <f t="shared" si="61"/>
        <v>0.3</v>
      </c>
      <c r="T252" s="152">
        <f t="shared" si="62"/>
        <v>0.3</v>
      </c>
      <c r="U252" s="152">
        <f t="shared" si="62"/>
        <v>0.3</v>
      </c>
      <c r="V252" s="152">
        <f t="shared" si="62"/>
        <v>0.3</v>
      </c>
      <c r="W252" s="152">
        <f t="shared" si="62"/>
        <v>0.3</v>
      </c>
      <c r="X252" s="152">
        <f t="shared" si="62"/>
        <v>0.3</v>
      </c>
      <c r="Y252" s="152">
        <f t="shared" si="62"/>
        <v>0.3</v>
      </c>
      <c r="Z252" s="152">
        <f t="shared" si="62"/>
        <v>0.3</v>
      </c>
      <c r="AA252" s="152">
        <f t="shared" si="62"/>
        <v>0.3</v>
      </c>
      <c r="AB252" s="152">
        <f t="shared" si="62"/>
        <v>0.3</v>
      </c>
      <c r="AC252" s="152">
        <f t="shared" si="62"/>
        <v>0.3</v>
      </c>
      <c r="AD252" s="152">
        <f t="shared" si="62"/>
        <v>0.3</v>
      </c>
      <c r="AE252" s="152">
        <f t="shared" si="62"/>
        <v>0.3</v>
      </c>
      <c r="AF252" s="152">
        <f t="shared" si="62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60"/>
        <v>0.4</v>
      </c>
      <c r="C253" s="152">
        <v>0.4</v>
      </c>
      <c r="D253" s="152">
        <f t="shared" si="61"/>
        <v>0.4</v>
      </c>
      <c r="E253" s="152">
        <f t="shared" si="61"/>
        <v>0.4</v>
      </c>
      <c r="F253" s="152">
        <f t="shared" si="61"/>
        <v>0.4</v>
      </c>
      <c r="G253" s="152">
        <f t="shared" si="61"/>
        <v>0.4</v>
      </c>
      <c r="H253" s="152">
        <f t="shared" si="61"/>
        <v>0.4</v>
      </c>
      <c r="I253" s="152">
        <f t="shared" si="61"/>
        <v>0.4</v>
      </c>
      <c r="J253" s="152">
        <f t="shared" si="61"/>
        <v>0.4</v>
      </c>
      <c r="K253" s="152">
        <f t="shared" si="61"/>
        <v>0.4</v>
      </c>
      <c r="L253" s="152">
        <f t="shared" si="61"/>
        <v>0.4</v>
      </c>
      <c r="M253" s="152">
        <f t="shared" si="61"/>
        <v>0.4</v>
      </c>
      <c r="N253" s="152">
        <f t="shared" si="61"/>
        <v>0.4</v>
      </c>
      <c r="O253" s="152">
        <f t="shared" si="61"/>
        <v>0.4</v>
      </c>
      <c r="P253" s="152">
        <f t="shared" si="61"/>
        <v>0.4</v>
      </c>
      <c r="Q253" s="152">
        <f t="shared" si="61"/>
        <v>0.4</v>
      </c>
      <c r="R253" s="152">
        <f t="shared" si="61"/>
        <v>0.4</v>
      </c>
      <c r="S253" s="152">
        <f t="shared" si="61"/>
        <v>0.4</v>
      </c>
      <c r="T253" s="152">
        <f t="shared" si="62"/>
        <v>0.4</v>
      </c>
      <c r="U253" s="152">
        <f t="shared" si="62"/>
        <v>0.4</v>
      </c>
      <c r="V253" s="152">
        <f t="shared" si="62"/>
        <v>0.4</v>
      </c>
      <c r="W253" s="152">
        <f t="shared" si="62"/>
        <v>0.4</v>
      </c>
      <c r="X253" s="152">
        <f t="shared" si="62"/>
        <v>0.4</v>
      </c>
      <c r="Y253" s="152">
        <f t="shared" si="62"/>
        <v>0.4</v>
      </c>
      <c r="Z253" s="152">
        <f t="shared" si="62"/>
        <v>0.4</v>
      </c>
      <c r="AA253" s="152">
        <f t="shared" si="62"/>
        <v>0.4</v>
      </c>
      <c r="AB253" s="152">
        <f t="shared" si="62"/>
        <v>0.4</v>
      </c>
      <c r="AC253" s="152">
        <f t="shared" si="62"/>
        <v>0.4</v>
      </c>
      <c r="AD253" s="152">
        <f t="shared" si="62"/>
        <v>0.4</v>
      </c>
      <c r="AE253" s="152">
        <f t="shared" si="62"/>
        <v>0.4</v>
      </c>
      <c r="AF253" s="152">
        <f t="shared" si="62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60"/>
        <v>0.64</v>
      </c>
      <c r="C254" s="157">
        <v>0.64</v>
      </c>
      <c r="D254" s="157">
        <f t="shared" si="61"/>
        <v>0.64</v>
      </c>
      <c r="E254" s="157">
        <f t="shared" si="61"/>
        <v>0.64</v>
      </c>
      <c r="F254" s="157">
        <f t="shared" si="61"/>
        <v>0.64</v>
      </c>
      <c r="G254" s="157">
        <f t="shared" si="61"/>
        <v>0.64</v>
      </c>
      <c r="H254" s="157">
        <f t="shared" si="61"/>
        <v>0.64</v>
      </c>
      <c r="I254" s="157">
        <f t="shared" si="61"/>
        <v>0.64</v>
      </c>
      <c r="J254" s="157">
        <f t="shared" si="61"/>
        <v>0.64</v>
      </c>
      <c r="K254" s="157">
        <f t="shared" si="61"/>
        <v>0.64</v>
      </c>
      <c r="L254" s="157">
        <f t="shared" si="61"/>
        <v>0.64</v>
      </c>
      <c r="M254" s="157">
        <f t="shared" si="61"/>
        <v>0.64</v>
      </c>
      <c r="N254" s="157">
        <f t="shared" si="61"/>
        <v>0.64</v>
      </c>
      <c r="O254" s="157">
        <f t="shared" si="61"/>
        <v>0.64</v>
      </c>
      <c r="P254" s="157">
        <f t="shared" si="61"/>
        <v>0.64</v>
      </c>
      <c r="Q254" s="157">
        <f t="shared" si="61"/>
        <v>0.64</v>
      </c>
      <c r="R254" s="157">
        <f t="shared" si="61"/>
        <v>0.64</v>
      </c>
      <c r="S254" s="157">
        <f t="shared" si="61"/>
        <v>0.64</v>
      </c>
      <c r="T254" s="157">
        <f t="shared" si="62"/>
        <v>0.64</v>
      </c>
      <c r="U254" s="157">
        <f t="shared" si="62"/>
        <v>0.64</v>
      </c>
      <c r="V254" s="157">
        <f t="shared" si="62"/>
        <v>0.64</v>
      </c>
      <c r="W254" s="157">
        <f t="shared" si="62"/>
        <v>0.64</v>
      </c>
      <c r="X254" s="157">
        <f t="shared" si="62"/>
        <v>0.64</v>
      </c>
      <c r="Y254" s="157">
        <f t="shared" si="62"/>
        <v>0.64</v>
      </c>
      <c r="Z254" s="157">
        <f t="shared" si="62"/>
        <v>0.64</v>
      </c>
      <c r="AA254" s="157">
        <f t="shared" si="62"/>
        <v>0.64</v>
      </c>
      <c r="AB254" s="157">
        <f t="shared" si="62"/>
        <v>0.64</v>
      </c>
      <c r="AC254" s="157">
        <f t="shared" si="62"/>
        <v>0.64</v>
      </c>
      <c r="AD254" s="157">
        <f t="shared" si="62"/>
        <v>0.64</v>
      </c>
      <c r="AE254" s="157">
        <f t="shared" si="62"/>
        <v>0.64</v>
      </c>
      <c r="AF254" s="157">
        <f t="shared" si="62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63">SUM(B249:B254)</f>
        <v>3.54</v>
      </c>
      <c r="C255" s="161">
        <f t="shared" si="63"/>
        <v>3.54</v>
      </c>
      <c r="D255" s="161">
        <f t="shared" si="63"/>
        <v>3.54</v>
      </c>
      <c r="E255" s="161">
        <f t="shared" si="63"/>
        <v>3.54</v>
      </c>
      <c r="F255" s="161">
        <f t="shared" si="63"/>
        <v>3.54</v>
      </c>
      <c r="G255" s="161">
        <f t="shared" si="63"/>
        <v>3.54</v>
      </c>
      <c r="H255" s="161">
        <f t="shared" si="63"/>
        <v>3.54</v>
      </c>
      <c r="I255" s="161">
        <f t="shared" si="63"/>
        <v>3.54</v>
      </c>
      <c r="J255" s="161">
        <f t="shared" si="63"/>
        <v>3.54</v>
      </c>
      <c r="K255" s="161">
        <f t="shared" si="63"/>
        <v>3.54</v>
      </c>
      <c r="L255" s="161">
        <f t="shared" si="63"/>
        <v>3.54</v>
      </c>
      <c r="M255" s="161">
        <f t="shared" si="63"/>
        <v>3.54</v>
      </c>
      <c r="N255" s="161">
        <f t="shared" si="63"/>
        <v>3.54</v>
      </c>
      <c r="O255" s="161">
        <f t="shared" si="63"/>
        <v>3.54</v>
      </c>
      <c r="P255" s="161">
        <f t="shared" si="63"/>
        <v>3.54</v>
      </c>
      <c r="Q255" s="161">
        <f t="shared" si="63"/>
        <v>3.54</v>
      </c>
      <c r="R255" s="161">
        <f t="shared" si="63"/>
        <v>3.54</v>
      </c>
      <c r="S255" s="161">
        <f t="shared" si="63"/>
        <v>3.54</v>
      </c>
      <c r="T255" s="161">
        <f t="shared" si="63"/>
        <v>3.54</v>
      </c>
      <c r="U255" s="161">
        <f t="shared" si="63"/>
        <v>3.54</v>
      </c>
      <c r="V255" s="161">
        <f t="shared" si="63"/>
        <v>3.54</v>
      </c>
      <c r="W255" s="161">
        <f t="shared" si="63"/>
        <v>3.54</v>
      </c>
      <c r="X255" s="161">
        <f t="shared" si="63"/>
        <v>3.54</v>
      </c>
      <c r="Y255" s="161">
        <f t="shared" si="63"/>
        <v>3.54</v>
      </c>
      <c r="Z255" s="161">
        <f t="shared" si="63"/>
        <v>3.54</v>
      </c>
      <c r="AA255" s="161">
        <f t="shared" si="63"/>
        <v>3.54</v>
      </c>
      <c r="AB255" s="161">
        <f t="shared" si="63"/>
        <v>3.54</v>
      </c>
      <c r="AC255" s="161">
        <f t="shared" si="63"/>
        <v>3.54</v>
      </c>
      <c r="AD255" s="161">
        <f t="shared" si="63"/>
        <v>3.54</v>
      </c>
      <c r="AE255" s="161">
        <f t="shared" si="63"/>
        <v>3.54</v>
      </c>
      <c r="AF255" s="161">
        <f t="shared" si="63"/>
        <v>3.54</v>
      </c>
      <c r="AG255" s="171">
        <f t="shared" si="63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2239.34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2080/10/17)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2241" priority="80">
      <formula>$AH11=0</formula>
    </cfRule>
  </conditionalFormatting>
  <conditionalFormatting sqref="A89">
    <cfRule type="expression" dxfId="2240" priority="138">
      <formula>$AH94=0</formula>
    </cfRule>
  </conditionalFormatting>
  <conditionalFormatting sqref="A90:A94">
    <cfRule type="expression" dxfId="2239" priority="81">
      <formula>$AH89=0</formula>
    </cfRule>
  </conditionalFormatting>
  <conditionalFormatting sqref="B8">
    <cfRule type="expression" dxfId="2238" priority="134">
      <formula>AND(C$9&gt;=14/24,C$9&lt;20/24)</formula>
    </cfRule>
    <cfRule type="expression" dxfId="2237" priority="135">
      <formula>AND(C$9&gt;=8/24,C$9&lt;14/24)</formula>
    </cfRule>
    <cfRule type="expression" dxfId="2236" priority="136">
      <formula>C$9&lt;8/24</formula>
    </cfRule>
    <cfRule type="expression" dxfId="2235" priority="137">
      <formula>C$9&gt;=20/24</formula>
    </cfRule>
  </conditionalFormatting>
  <conditionalFormatting sqref="B11:B60 AE15:AF60 AB55:AD60 P55:R77 S55:AA83 C58:N60 O58:O77 C59:R59 C11:E11 J12:Q14 C12:I53 J15:AD53 C54:AD54 C55:O57 AB61:AG61 B61:N77 AB62:AF64 AB65:AG65 AB66:AF83 B78:R83 AG83">
    <cfRule type="expression" dxfId="2234" priority="40">
      <formula>B11&gt;$AG11</formula>
    </cfRule>
  </conditionalFormatting>
  <conditionalFormatting sqref="B9:AF10 C11:E11 B11:B57 J12:Q14 C12:I53 J15:AA53 C54:AF57 E62:L64 B62:D71 E69:P77 Q70:Q72 B72:N77 P72:AF77 B80:AF102 B104:AF120 B122:AF140 B247:AF247 B249:B255">
    <cfRule type="expression" dxfId="2233" priority="42">
      <formula>AND(B$9&gt;=14/24,B$9&lt;20/24)</formula>
    </cfRule>
    <cfRule type="expression" dxfId="2232" priority="43">
      <formula>AND(B$9&gt;=8/24,B$9&lt;14/24)</formula>
    </cfRule>
    <cfRule type="expression" dxfId="2231" priority="44">
      <formula>B$9&lt;8/24</formula>
    </cfRule>
  </conditionalFormatting>
  <conditionalFormatting sqref="B58:AF60">
    <cfRule type="expression" dxfId="2230" priority="37">
      <formula>B$9&gt;=20/24</formula>
    </cfRule>
    <cfRule type="expression" dxfId="2229" priority="38">
      <formula>AND(B$9&gt;=14/24,B$9&lt;20/24)</formula>
    </cfRule>
    <cfRule type="expression" dxfId="2228" priority="39">
      <formula>AND(B$9&gt;=8/24,B$9&lt;14/24)</formula>
    </cfRule>
    <cfRule type="expression" dxfId="2227" priority="49">
      <formula>B$9&lt;8/24</formula>
    </cfRule>
  </conditionalFormatting>
  <conditionalFormatting sqref="C11:E11 B11:B57 J12:Q14 C12:I53 J15:AA53 C54:AF57 E62:L64 B62:D71 E69:P77 Q70:Q72 B72:N77 P72:AF77 B80:AF102 B9:AF10 B104:AF120 B122:AF140 B247:AF247 B249:B255">
    <cfRule type="expression" dxfId="2226" priority="41">
      <formula>B$9&gt;=20/24</formula>
    </cfRule>
  </conditionalFormatting>
  <conditionalFormatting sqref="D249:AF255">
    <cfRule type="expression" dxfId="2225" priority="119">
      <formula>D$9&gt;=20/24</formula>
    </cfRule>
    <cfRule type="expression" dxfId="2224" priority="120">
      <formula>AND(D$9&gt;=14/24,D$9&lt;20/24)</formula>
    </cfRule>
    <cfRule type="expression" dxfId="2223" priority="121">
      <formula>AND(D$9&gt;=8/24,D$9&lt;14/24)</formula>
    </cfRule>
    <cfRule type="expression" dxfId="2222" priority="122">
      <formula>D$9&lt;8/24</formula>
    </cfRule>
  </conditionalFormatting>
  <conditionalFormatting sqref="E66:K70 L67:P70 Q70 Q67:Q68">
    <cfRule type="expression" dxfId="2221" priority="50">
      <formula>E$9&gt;=20/24</formula>
    </cfRule>
  </conditionalFormatting>
  <conditionalFormatting sqref="E66:K70 Q67:Q68 L67:P70 Q70">
    <cfRule type="expression" dxfId="2220" priority="51">
      <formula>AND(E$9&gt;=14/24,E$9&lt;20/24)</formula>
    </cfRule>
    <cfRule type="expression" dxfId="2219" priority="52">
      <formula>AND(E$9&gt;=8/24,E$9&lt;14/24)</formula>
    </cfRule>
    <cfRule type="expression" dxfId="2218" priority="53">
      <formula>E$9&lt;8/24</formula>
    </cfRule>
  </conditionalFormatting>
  <conditionalFormatting sqref="E11:Q11 R11:AA14 AB11:AF53">
    <cfRule type="expression" dxfId="2217" priority="55">
      <formula>E$9&gt;=20/24</formula>
    </cfRule>
    <cfRule type="expression" dxfId="2216" priority="56">
      <formula>AND(E$9&gt;=14/24,E$9&lt;20/24)</formula>
    </cfRule>
    <cfRule type="expression" dxfId="2215" priority="57">
      <formula>AND(E$9&gt;=8/24,E$9&lt;14/24)</formula>
    </cfRule>
    <cfRule type="expression" dxfId="2214" priority="58">
      <formula>E$9&lt;8/24</formula>
    </cfRule>
  </conditionalFormatting>
  <conditionalFormatting sqref="E11:Q11 R11:AF14">
    <cfRule type="expression" dxfId="2213" priority="54">
      <formula>E11&gt;$AG11</formula>
    </cfRule>
  </conditionalFormatting>
  <conditionalFormatting sqref="E71:Q71">
    <cfRule type="expression" dxfId="2212" priority="45">
      <formula>E$9&gt;=20/24</formula>
    </cfRule>
    <cfRule type="expression" dxfId="2211" priority="46">
      <formula>AND(E$9&gt;=14/24,E$9&lt;20/24)</formula>
    </cfRule>
    <cfRule type="expression" dxfId="2210" priority="47">
      <formula>AND(E$9&gt;=8/24,E$9&lt;14/24)</formula>
    </cfRule>
    <cfRule type="expression" dxfId="2209" priority="48">
      <formula>E$9&lt;8/24</formula>
    </cfRule>
  </conditionalFormatting>
  <conditionalFormatting sqref="E62:AF65">
    <cfRule type="expression" dxfId="2208" priority="60">
      <formula>E$9&gt;=20/24</formula>
    </cfRule>
    <cfRule type="expression" dxfId="2207" priority="61">
      <formula>AND(E$9&gt;=14/24,E$9&lt;20/24)</formula>
    </cfRule>
    <cfRule type="expression" dxfId="2206" priority="62">
      <formula>AND(E$9&gt;=8/24,E$9&lt;14/24)</formula>
    </cfRule>
    <cfRule type="expression" dxfId="2205" priority="63">
      <formula>E$9&lt;8/24</formula>
    </cfRule>
  </conditionalFormatting>
  <conditionalFormatting sqref="F66:L68 M67:Q68">
    <cfRule type="expression" dxfId="2204" priority="72">
      <formula>F$9&gt;=20/24</formula>
    </cfRule>
    <cfRule type="expression" dxfId="2203" priority="73">
      <formula>AND(F$9&gt;=14/24,F$9&lt;20/24)</formula>
    </cfRule>
    <cfRule type="expression" dxfId="2202" priority="74">
      <formula>AND(F$9&gt;=8/24,F$9&lt;14/24)</formula>
    </cfRule>
    <cfRule type="expression" dxfId="2201" priority="75">
      <formula>F$9&lt;8/24</formula>
    </cfRule>
  </conditionalFormatting>
  <conditionalFormatting sqref="L71:AF71">
    <cfRule type="expression" dxfId="2200" priority="68">
      <formula>L$9&gt;=20/24</formula>
    </cfRule>
    <cfRule type="expression" dxfId="2199" priority="69">
      <formula>AND(L$9&gt;=14/24,L$9&lt;20/24)</formula>
    </cfRule>
    <cfRule type="expression" dxfId="2198" priority="70">
      <formula>AND(L$9&gt;=8/24,L$9&lt;14/24)</formula>
    </cfRule>
    <cfRule type="expression" dxfId="2197" priority="71">
      <formula>L$9&lt;8/24</formula>
    </cfRule>
  </conditionalFormatting>
  <conditionalFormatting sqref="M8 S8 AB8">
    <cfRule type="expression" dxfId="2196" priority="126">
      <formula>AND(N$9&gt;=14/24,N$9&lt;20/24)</formula>
    </cfRule>
    <cfRule type="expression" dxfId="2195" priority="127">
      <formula>AND(N$9&gt;=8/24,N$9&lt;14/24)</formula>
    </cfRule>
    <cfRule type="expression" dxfId="2194" priority="128">
      <formula>N$9&lt;8/24</formula>
    </cfRule>
  </conditionalFormatting>
  <conditionalFormatting sqref="M66:AF70">
    <cfRule type="expression" dxfId="2193" priority="76">
      <formula>M$9&gt;=20/24</formula>
    </cfRule>
    <cfRule type="expression" dxfId="2192" priority="77">
      <formula>AND(M$9&gt;=14/24,M$9&lt;20/24)</formula>
    </cfRule>
    <cfRule type="expression" dxfId="2191" priority="78">
      <formula>AND(M$9&gt;=8/24,M$9&lt;14/24)</formula>
    </cfRule>
    <cfRule type="expression" dxfId="2190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89" priority="125">
      <formula>N$9&gt;=20/24</formula>
    </cfRule>
  </conditionalFormatting>
  <conditionalFormatting sqref="S8">
    <cfRule type="expression" dxfId="2188" priority="112">
      <formula>U$9&gt;=20/24</formula>
    </cfRule>
    <cfRule type="expression" dxfId="2187" priority="113">
      <formula>AND(U$9&gt;=14/24,U$9&lt;20/24)</formula>
    </cfRule>
    <cfRule type="expression" dxfId="2186" priority="114">
      <formula>AND(U$9&gt;=8/24,U$9&lt;14/24)</formula>
    </cfRule>
    <cfRule type="expression" dxfId="2185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184" priority="108">
      <formula>AD$9&gt;=20/24</formula>
    </cfRule>
    <cfRule type="expression" dxfId="2183" priority="109">
      <formula>AND(AD$9&gt;=14/24,AD$9&lt;20/24)</formula>
    </cfRule>
    <cfRule type="expression" dxfId="2182" priority="110">
      <formula>AND(AD$9&gt;=8/24,AD$9&lt;14/24)</formula>
    </cfRule>
    <cfRule type="expression" dxfId="2181" priority="111">
      <formula>AD$9&lt;8/24</formula>
    </cfRule>
  </conditionalFormatting>
  <conditionalFormatting sqref="AB66:AF71">
    <cfRule type="expression" dxfId="2180" priority="64">
      <formula>AB$9&gt;=20/24</formula>
    </cfRule>
    <cfRule type="expression" dxfId="2179" priority="65">
      <formula>AND(AB$9&gt;=14/24,AB$9&lt;20/24)</formula>
    </cfRule>
    <cfRule type="expression" dxfId="2178" priority="66">
      <formula>AND(AB$9&gt;=8/24,AB$9&lt;14/24)</formula>
    </cfRule>
    <cfRule type="expression" dxfId="2177" priority="67">
      <formula>AB$9&lt;8/24</formula>
    </cfRule>
  </conditionalFormatting>
  <conditionalFormatting sqref="AG65">
    <cfRule type="expression" dxfId="2176" priority="87">
      <formula>AG$9&gt;=20/24</formula>
    </cfRule>
    <cfRule type="expression" dxfId="2175" priority="88">
      <formula>AND(AG$9&gt;=14/24,AG$9&lt;20/24)</formula>
    </cfRule>
    <cfRule type="expression" dxfId="2174" priority="89">
      <formula>AND(AG$9&gt;=8/24,AG$9&lt;14/24)</formula>
    </cfRule>
    <cfRule type="expression" dxfId="2173" priority="90">
      <formula>AG$9&lt;8/24</formula>
    </cfRule>
  </conditionalFormatting>
  <conditionalFormatting sqref="AG78:AG79">
    <cfRule type="expression" dxfId="2172" priority="82">
      <formula>AG78&gt;$AG78</formula>
    </cfRule>
  </conditionalFormatting>
  <conditionalFormatting sqref="AG83">
    <cfRule type="expression" dxfId="2171" priority="83">
      <formula>AG$9&gt;=20/24</formula>
    </cfRule>
    <cfRule type="expression" dxfId="2170" priority="84">
      <formula>AND(AG$9&gt;=14/24,AG$9&lt;20/24)</formula>
    </cfRule>
    <cfRule type="expression" dxfId="2169" priority="85">
      <formula>AND(AG$9&gt;=8/24,AG$9&lt;14/24)</formula>
    </cfRule>
    <cfRule type="expression" dxfId="2168" priority="86">
      <formula>AG$9&lt;8/24</formula>
    </cfRule>
  </conditionalFormatting>
  <conditionalFormatting sqref="AG100">
    <cfRule type="expression" dxfId="2167" priority="104">
      <formula>AG$9&gt;=20/24</formula>
    </cfRule>
    <cfRule type="expression" dxfId="2166" priority="105">
      <formula>AND(AG$9&gt;=14/24,AG$9&lt;20/24)</formula>
    </cfRule>
    <cfRule type="expression" dxfId="2165" priority="106">
      <formula>AND(AG$9&gt;=8/24,AG$9&lt;14/24)</formula>
    </cfRule>
    <cfRule type="expression" dxfId="216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163" priority="129">
      <formula>AJ$9&gt;=20/24</formula>
    </cfRule>
    <cfRule type="expression" dxfId="2162" priority="130">
      <formula>AND(AJ$9&gt;=14/24,AJ$9&lt;20/24)</formula>
    </cfRule>
    <cfRule type="expression" dxfId="2161" priority="131">
      <formula>AND(AJ$9&gt;=8/24,AJ$9&lt;14/24)</formula>
    </cfRule>
    <cfRule type="expression" dxfId="2160" priority="132">
      <formula>AJ$9&lt;8/24</formula>
    </cfRule>
  </conditionalFormatting>
  <conditionalFormatting sqref="AL86:AN86 AL92:AN92">
    <cfRule type="expression" dxfId="2159" priority="97">
      <formula>AL$9&gt;=20/24</formula>
    </cfRule>
    <cfRule type="expression" dxfId="2158" priority="98">
      <formula>AND(AL$9&gt;=14/24,AL$9&lt;20/24)</formula>
    </cfRule>
    <cfRule type="expression" dxfId="2157" priority="99">
      <formula>AND(AL$9&gt;=8/24,AL$9&lt;14/24)</formula>
    </cfRule>
    <cfRule type="expression" dxfId="2156" priority="100">
      <formula>AL$9&lt;8/24</formula>
    </cfRule>
  </conditionalFormatting>
  <conditionalFormatting sqref="AM15:AM21 AN16:AR21">
    <cfRule type="expression" dxfId="2155" priority="13">
      <formula>AX$9&gt;=20/24</formula>
    </cfRule>
    <cfRule type="expression" dxfId="2154" priority="14">
      <formula>AND(AX$9&gt;=14/24,AX$9&lt;20/24)</formula>
    </cfRule>
    <cfRule type="expression" dxfId="2153" priority="15">
      <formula>AND(AX$9&gt;=8/24,AX$9&lt;14/24)</formula>
    </cfRule>
    <cfRule type="expression" dxfId="2152" priority="16">
      <formula>AX$9&lt;8/24</formula>
    </cfRule>
  </conditionalFormatting>
  <conditionalFormatting sqref="AN87:AN90">
    <cfRule type="expression" dxfId="2151" priority="93">
      <formula>AN$9&gt;=20/24</formula>
    </cfRule>
    <cfRule type="expression" dxfId="2150" priority="94">
      <formula>AND(AN$9&gt;=14/24,AN$9&lt;20/24)</formula>
    </cfRule>
    <cfRule type="expression" dxfId="2149" priority="95">
      <formula>AND(AN$9&gt;=8/24,AN$9&lt;14/24)</formula>
    </cfRule>
    <cfRule type="expression" dxfId="2148" priority="96">
      <formula>AN$9&lt;8/24</formula>
    </cfRule>
  </conditionalFormatting>
  <conditionalFormatting sqref="AN15:AR15">
    <cfRule type="expression" dxfId="2147" priority="1">
      <formula>U$9&gt;=20/24</formula>
    </cfRule>
    <cfRule type="expression" dxfId="2146" priority="2">
      <formula>AND(U$9&gt;=14/24,U$9&lt;20/24)</formula>
    </cfRule>
    <cfRule type="expression" dxfId="2145" priority="3">
      <formula>AND(U$9&gt;=8/24,U$9&lt;14/24)</formula>
    </cfRule>
    <cfRule type="expression" dxfId="2144" priority="4">
      <formula>U$9&lt;8/24</formula>
    </cfRule>
  </conditionalFormatting>
  <conditionalFormatting sqref="AS15">
    <cfRule type="expression" dxfId="2143" priority="9">
      <formula>AA$9&gt;=20/24</formula>
    </cfRule>
    <cfRule type="expression" dxfId="2142" priority="10">
      <formula>AND(AA$9&gt;=14/24,AA$9&lt;20/24)</formula>
    </cfRule>
    <cfRule type="expression" dxfId="2141" priority="11">
      <formula>AND(AA$9&gt;=8/24,AA$9&lt;14/24)</formula>
    </cfRule>
    <cfRule type="expression" dxfId="2140" priority="12">
      <formula>AA$9&lt;8/24</formula>
    </cfRule>
  </conditionalFormatting>
  <conditionalFormatting sqref="AS16:AS21">
    <cfRule type="expression" dxfId="2139" priority="17">
      <formula>BE$9&gt;=20/24</formula>
    </cfRule>
    <cfRule type="expression" dxfId="2138" priority="18">
      <formula>AND(BE$9&gt;=14/24,BE$9&lt;20/24)</formula>
    </cfRule>
    <cfRule type="expression" dxfId="2137" priority="19">
      <formula>AND(BE$9&gt;=8/24,BE$9&lt;14/24)</formula>
    </cfRule>
    <cfRule type="expression" dxfId="2136" priority="20">
      <formula>BE$9&lt;8/24</formula>
    </cfRule>
  </conditionalFormatting>
  <conditionalFormatting sqref="AT15 AX15:BJ15">
    <cfRule type="expression" dxfId="2135" priority="21">
      <formula>AC$9&gt;=20/24</formula>
    </cfRule>
    <cfRule type="expression" dxfId="2134" priority="22">
      <formula>AND(AC$9&gt;=14/24,AC$9&lt;20/24)</formula>
    </cfRule>
    <cfRule type="expression" dxfId="2133" priority="23">
      <formula>AND(AC$9&gt;=8/24,AC$9&lt;14/24)</formula>
    </cfRule>
    <cfRule type="expression" dxfId="2132" priority="24">
      <formula>AC$9&lt;8/24</formula>
    </cfRule>
  </conditionalFormatting>
  <conditionalFormatting sqref="AT16:AT21">
    <cfRule type="expression" dxfId="2131" priority="25">
      <formula>BG$9&gt;=20/24</formula>
    </cfRule>
    <cfRule type="expression" dxfId="2130" priority="26">
      <formula>AND(BG$9&gt;=14/24,BG$9&lt;20/24)</formula>
    </cfRule>
    <cfRule type="expression" dxfId="2129" priority="27">
      <formula>AND(BG$9&gt;=8/24,BG$9&lt;14/24)</formula>
    </cfRule>
    <cfRule type="expression" dxfId="2128" priority="28">
      <formula>BG$9&lt;8/24</formula>
    </cfRule>
  </conditionalFormatting>
  <conditionalFormatting sqref="AU15:AV15">
    <cfRule type="expression" dxfId="2127" priority="29">
      <formula>AE$9&gt;=20/24</formula>
    </cfRule>
    <cfRule type="expression" dxfId="2126" priority="30">
      <formula>AND(AE$9&gt;=14/24,AE$9&lt;20/24)</formula>
    </cfRule>
    <cfRule type="expression" dxfId="2125" priority="31">
      <formula>AND(AE$9&gt;=8/24,AE$9&lt;14/24)</formula>
    </cfRule>
    <cfRule type="expression" dxfId="2124" priority="32">
      <formula>AE$9&lt;8/24</formula>
    </cfRule>
  </conditionalFormatting>
  <conditionalFormatting sqref="AU16:BJ21">
    <cfRule type="expression" dxfId="2123" priority="33">
      <formula>BI$9&gt;=20/24</formula>
    </cfRule>
    <cfRule type="expression" dxfId="2122" priority="34">
      <formula>AND(BI$9&gt;=14/24,BI$9&lt;20/24)</formula>
    </cfRule>
    <cfRule type="expression" dxfId="2121" priority="35">
      <formula>AND(BI$9&gt;=8/24,BI$9&lt;14/24)</formula>
    </cfRule>
    <cfRule type="expression" dxfId="2120" priority="36">
      <formula>BI$9&lt;8/24</formula>
    </cfRule>
  </conditionalFormatting>
  <conditionalFormatting sqref="AW15">
    <cfRule type="expression" dxfId="2119" priority="5">
      <formula>B$9&gt;=20/24</formula>
    </cfRule>
    <cfRule type="expression" dxfId="2118" priority="6">
      <formula>AND(B$9&gt;=14/24,B$9&lt;20/24)</formula>
    </cfRule>
    <cfRule type="expression" dxfId="2117" priority="7">
      <formula>AND(B$9&gt;=8/24,B$9&lt;14/24)</formula>
    </cfRule>
    <cfRule type="expression" dxfId="211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1B18-A696-4E1D-AB53-764A623649A7}">
  <dimension ref="A1:CJ297"/>
  <sheetViews>
    <sheetView zoomScaleNormal="100" workbookViewId="0">
      <pane xSplit="1" ySplit="10" topLeftCell="B73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D130" sqref="AD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2080/10/18</v>
      </c>
      <c r="C4" s="189"/>
      <c r="D4" s="189"/>
      <c r="E4" s="190" t="str">
        <f ca="1">"2080/"&amp;"10/"&amp;INT(MID(CELL("filename",G6),FIND("]",CELL("filename",G6))+1,200))</f>
        <v>2080/10/18</v>
      </c>
      <c r="F4" s="190"/>
      <c r="G4" s="190"/>
      <c r="H4" s="190" t="str">
        <f ca="1">TEXT(E4,"dddd")</f>
        <v>Friday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2333MW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Load=1422</v>
      </c>
      <c r="B7" s="35">
        <f t="shared" ref="B7:AF7" si="1">B103</f>
        <v>1676.7400000000002</v>
      </c>
      <c r="C7" s="35">
        <f t="shared" si="1"/>
        <v>1676.7400000000002</v>
      </c>
      <c r="D7" s="35">
        <f t="shared" si="1"/>
        <v>1662.7400000000002</v>
      </c>
      <c r="E7" s="35">
        <f t="shared" si="1"/>
        <v>1536.54</v>
      </c>
      <c r="F7" s="35">
        <f t="shared" si="1"/>
        <v>1486.3399999999997</v>
      </c>
      <c r="G7" s="35">
        <f t="shared" si="1"/>
        <v>1468.6399999999999</v>
      </c>
      <c r="H7" s="35">
        <f t="shared" si="1"/>
        <v>1422.1399999999999</v>
      </c>
      <c r="I7" s="35">
        <f t="shared" si="1"/>
        <v>1460.6399999999999</v>
      </c>
      <c r="J7" s="35">
        <f t="shared" si="1"/>
        <v>1574.94</v>
      </c>
      <c r="K7" s="35">
        <f t="shared" si="1"/>
        <v>1609.1399999999999</v>
      </c>
      <c r="L7" s="35">
        <f t="shared" si="1"/>
        <v>1630.8400000000001</v>
      </c>
      <c r="M7" s="35">
        <f t="shared" si="1"/>
        <v>1640.7399999999998</v>
      </c>
      <c r="N7" s="35">
        <f t="shared" si="1"/>
        <v>1650.2399999999998</v>
      </c>
      <c r="O7" s="35">
        <f t="shared" si="1"/>
        <v>1691.44</v>
      </c>
      <c r="P7" s="35">
        <f t="shared" si="1"/>
        <v>1661.44</v>
      </c>
      <c r="Q7" s="35">
        <f t="shared" si="1"/>
        <v>1640.1399999999999</v>
      </c>
      <c r="R7" s="35">
        <f t="shared" si="1"/>
        <v>1610.94</v>
      </c>
      <c r="S7" s="35">
        <f t="shared" si="1"/>
        <v>1638.54</v>
      </c>
      <c r="T7" s="35">
        <f t="shared" si="1"/>
        <v>1645.1399999999999</v>
      </c>
      <c r="U7" s="35">
        <f t="shared" si="1"/>
        <v>1649.1399999999999</v>
      </c>
      <c r="V7" s="35">
        <f t="shared" si="1"/>
        <v>1632.44</v>
      </c>
      <c r="W7" s="35">
        <f t="shared" si="1"/>
        <v>1614.4399999999996</v>
      </c>
      <c r="X7" s="35">
        <f t="shared" si="1"/>
        <v>1630.7399999999998</v>
      </c>
      <c r="Y7" s="35">
        <f t="shared" si="1"/>
        <v>1582.1399999999999</v>
      </c>
      <c r="Z7" s="35">
        <f t="shared" si="1"/>
        <v>1619.7399999999998</v>
      </c>
      <c r="AA7" s="35">
        <f t="shared" si="1"/>
        <v>1772.2400000000002</v>
      </c>
      <c r="AB7" s="35">
        <f t="shared" si="1"/>
        <v>1787.2400000000002</v>
      </c>
      <c r="AC7" s="35">
        <f t="shared" si="1"/>
        <v>1685.2399999999998</v>
      </c>
      <c r="AD7" s="35">
        <f t="shared" si="1"/>
        <v>1594.6399999999999</v>
      </c>
      <c r="AE7" s="35">
        <f t="shared" si="1"/>
        <v>1448.6400000000003</v>
      </c>
      <c r="AF7" s="35">
        <f t="shared" si="1"/>
        <v>1576.1400000000003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2364.74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1787.24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</v>
      </c>
      <c r="C11" s="46">
        <v>86</v>
      </c>
      <c r="D11" s="46">
        <v>86</v>
      </c>
      <c r="E11" s="46">
        <v>89</v>
      </c>
      <c r="F11" s="46">
        <v>48.2</v>
      </c>
      <c r="G11" s="46">
        <v>80.900000000000006</v>
      </c>
      <c r="H11" s="46">
        <v>58.5</v>
      </c>
      <c r="I11" s="46">
        <v>58.5</v>
      </c>
      <c r="J11" s="46">
        <v>58.5</v>
      </c>
      <c r="K11" s="46">
        <v>76.400000000000006</v>
      </c>
      <c r="L11" s="46">
        <v>76.400000000000006</v>
      </c>
      <c r="M11" s="46">
        <v>76</v>
      </c>
      <c r="N11" s="46">
        <v>76</v>
      </c>
      <c r="O11" s="46">
        <v>76</v>
      </c>
      <c r="P11" s="46">
        <v>76</v>
      </c>
      <c r="Q11" s="46">
        <v>76</v>
      </c>
      <c r="R11" s="46">
        <v>76</v>
      </c>
      <c r="S11" s="46">
        <v>90</v>
      </c>
      <c r="T11" s="46">
        <v>90</v>
      </c>
      <c r="U11" s="46">
        <v>90</v>
      </c>
      <c r="V11" s="46">
        <v>90</v>
      </c>
      <c r="W11" s="46">
        <v>90</v>
      </c>
      <c r="X11" s="46">
        <v>90</v>
      </c>
      <c r="Y11" s="46">
        <v>90.2</v>
      </c>
      <c r="Z11" s="46">
        <v>90</v>
      </c>
      <c r="AA11" s="46">
        <v>90.1</v>
      </c>
      <c r="AB11" s="46">
        <v>90.1</v>
      </c>
      <c r="AC11" s="46">
        <v>90.1</v>
      </c>
      <c r="AD11" s="46">
        <v>90.1</v>
      </c>
      <c r="AE11" s="46">
        <v>90.1</v>
      </c>
      <c r="AF11" s="46">
        <v>90.1</v>
      </c>
      <c r="AG11" s="47">
        <v>86</v>
      </c>
      <c r="AH11" s="48">
        <f t="shared" ref="AH11:AH74" si="2">MAX(B11:AF11)</f>
        <v>90.2</v>
      </c>
      <c r="AI11" s="49">
        <f t="shared" ref="AI11:AI74" si="3">MIN(B11:AF11)</f>
        <v>48.2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83.8</v>
      </c>
      <c r="C12" s="46">
        <v>83.8</v>
      </c>
      <c r="D12" s="46">
        <v>83.8</v>
      </c>
      <c r="E12" s="46">
        <v>55</v>
      </c>
      <c r="F12" s="46">
        <v>55</v>
      </c>
      <c r="G12" s="46">
        <v>50</v>
      </c>
      <c r="H12" s="46">
        <v>50</v>
      </c>
      <c r="I12" s="46">
        <v>50</v>
      </c>
      <c r="J12" s="46">
        <v>50</v>
      </c>
      <c r="K12" s="46">
        <v>50</v>
      </c>
      <c r="L12" s="46">
        <v>50</v>
      </c>
      <c r="M12" s="46">
        <v>50</v>
      </c>
      <c r="N12" s="46">
        <v>50</v>
      </c>
      <c r="O12" s="46">
        <v>50</v>
      </c>
      <c r="P12" s="46">
        <v>58</v>
      </c>
      <c r="Q12" s="46">
        <v>58</v>
      </c>
      <c r="R12" s="46">
        <v>58</v>
      </c>
      <c r="S12" s="46">
        <v>58</v>
      </c>
      <c r="T12" s="46">
        <v>76.099999999999994</v>
      </c>
      <c r="U12" s="46">
        <v>31.3</v>
      </c>
      <c r="V12" s="46">
        <v>31.3</v>
      </c>
      <c r="W12" s="46">
        <v>31.3</v>
      </c>
      <c r="X12" s="46">
        <v>31.3</v>
      </c>
      <c r="Y12" s="46">
        <v>31.3</v>
      </c>
      <c r="Z12" s="46">
        <v>31.3</v>
      </c>
      <c r="AA12" s="46">
        <v>31.3</v>
      </c>
      <c r="AB12" s="46">
        <v>31.3</v>
      </c>
      <c r="AC12" s="46">
        <v>18</v>
      </c>
      <c r="AD12" s="46">
        <v>0</v>
      </c>
      <c r="AE12" s="46">
        <v>0</v>
      </c>
      <c r="AF12" s="46">
        <v>58</v>
      </c>
      <c r="AG12" s="50">
        <v>77</v>
      </c>
      <c r="AH12" s="48">
        <f t="shared" si="2"/>
        <v>83.8</v>
      </c>
      <c r="AI12" s="49">
        <f t="shared" si="3"/>
        <v>0</v>
      </c>
      <c r="AK12" s="51"/>
      <c r="AL12" s="52" t="str">
        <f ca="1">MID(CELL("filename",C7),FIND("]",CELL("filename",C7))+1,600)</f>
        <v>18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12.7</v>
      </c>
      <c r="H13" s="46">
        <v>12.7</v>
      </c>
      <c r="I13" s="46">
        <v>12.7</v>
      </c>
      <c r="J13" s="46">
        <v>12.7</v>
      </c>
      <c r="K13" s="46">
        <v>12.7</v>
      </c>
      <c r="L13" s="46">
        <v>12.7</v>
      </c>
      <c r="M13" s="46">
        <v>14.4</v>
      </c>
      <c r="N13" s="46">
        <v>36</v>
      </c>
      <c r="O13" s="46">
        <v>36</v>
      </c>
      <c r="P13" s="46">
        <v>36</v>
      </c>
      <c r="Q13" s="46">
        <v>20</v>
      </c>
      <c r="R13" s="46">
        <v>21</v>
      </c>
      <c r="S13" s="46">
        <v>37</v>
      </c>
      <c r="T13" s="46">
        <v>41.9</v>
      </c>
      <c r="U13" s="46">
        <v>54</v>
      </c>
      <c r="V13" s="46">
        <v>54</v>
      </c>
      <c r="W13" s="46">
        <v>54</v>
      </c>
      <c r="X13" s="46">
        <v>41</v>
      </c>
      <c r="Y13" s="46">
        <v>41</v>
      </c>
      <c r="Z13" s="46">
        <v>41</v>
      </c>
      <c r="AA13" s="46">
        <v>54.5</v>
      </c>
      <c r="AB13" s="46">
        <v>54.5</v>
      </c>
      <c r="AC13" s="46">
        <v>54.5</v>
      </c>
      <c r="AD13" s="46">
        <v>54.5</v>
      </c>
      <c r="AE13" s="46">
        <v>54.5</v>
      </c>
      <c r="AF13" s="46">
        <v>54.5</v>
      </c>
      <c r="AG13" s="50">
        <v>73</v>
      </c>
      <c r="AH13" s="48">
        <f t="shared" si="2"/>
        <v>54.5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40.799999999999997</v>
      </c>
      <c r="C14" s="46">
        <v>40.799999999999997</v>
      </c>
      <c r="D14" s="46">
        <v>40.799999999999997</v>
      </c>
      <c r="E14" s="46">
        <v>40.5</v>
      </c>
      <c r="F14" s="46">
        <v>40.5</v>
      </c>
      <c r="G14" s="46">
        <v>40.5</v>
      </c>
      <c r="H14" s="46">
        <v>40.5</v>
      </c>
      <c r="I14" s="46">
        <v>40.5</v>
      </c>
      <c r="J14" s="46">
        <v>40.5</v>
      </c>
      <c r="K14" s="46">
        <v>40.5</v>
      </c>
      <c r="L14" s="46">
        <v>40.5</v>
      </c>
      <c r="M14" s="46">
        <v>40.5</v>
      </c>
      <c r="N14" s="46">
        <v>40.5</v>
      </c>
      <c r="O14" s="46">
        <v>40.5</v>
      </c>
      <c r="P14" s="46">
        <v>40.5</v>
      </c>
      <c r="Q14" s="46">
        <v>30</v>
      </c>
      <c r="R14" s="46">
        <v>27.3</v>
      </c>
      <c r="S14" s="46">
        <v>11</v>
      </c>
      <c r="T14" s="46">
        <v>0</v>
      </c>
      <c r="U14" s="46">
        <v>0</v>
      </c>
      <c r="V14" s="46">
        <v>40.5</v>
      </c>
      <c r="W14" s="46">
        <v>40.5</v>
      </c>
      <c r="X14" s="46">
        <v>40.5</v>
      </c>
      <c r="Y14" s="46">
        <v>40.5</v>
      </c>
      <c r="Z14" s="46">
        <v>40.5</v>
      </c>
      <c r="AA14" s="46">
        <v>40.6</v>
      </c>
      <c r="AB14" s="46">
        <v>40.6</v>
      </c>
      <c r="AC14" s="46">
        <v>20</v>
      </c>
      <c r="AD14" s="46">
        <v>11</v>
      </c>
      <c r="AE14" s="46">
        <v>11</v>
      </c>
      <c r="AF14" s="46">
        <v>0</v>
      </c>
      <c r="AG14" s="50">
        <v>71</v>
      </c>
      <c r="AH14" s="48">
        <f t="shared" si="2"/>
        <v>40.799999999999997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38</v>
      </c>
      <c r="C15" s="46">
        <v>38</v>
      </c>
      <c r="D15" s="46">
        <v>38</v>
      </c>
      <c r="E15" s="46">
        <v>36.5</v>
      </c>
      <c r="F15" s="46">
        <v>36.5</v>
      </c>
      <c r="G15" s="46">
        <v>36.5</v>
      </c>
      <c r="H15" s="46">
        <v>36.5</v>
      </c>
      <c r="I15" s="46">
        <v>36.5</v>
      </c>
      <c r="J15" s="46">
        <v>36.5</v>
      </c>
      <c r="K15" s="46">
        <v>36.5</v>
      </c>
      <c r="L15" s="46">
        <v>36.5</v>
      </c>
      <c r="M15" s="46">
        <v>36.5</v>
      </c>
      <c r="N15" s="46">
        <v>36.5</v>
      </c>
      <c r="O15" s="46">
        <v>36.5</v>
      </c>
      <c r="P15" s="46">
        <v>36.5</v>
      </c>
      <c r="Q15" s="46">
        <v>34.1</v>
      </c>
      <c r="R15" s="46">
        <v>34.1</v>
      </c>
      <c r="S15" s="46">
        <v>34.1</v>
      </c>
      <c r="T15" s="46">
        <v>59.9</v>
      </c>
      <c r="U15" s="46">
        <v>49</v>
      </c>
      <c r="V15" s="46">
        <v>49</v>
      </c>
      <c r="W15" s="46">
        <v>49</v>
      </c>
      <c r="X15" s="46">
        <v>49</v>
      </c>
      <c r="Y15" s="46">
        <v>49</v>
      </c>
      <c r="Z15" s="46">
        <v>49</v>
      </c>
      <c r="AA15" s="46">
        <v>26.2</v>
      </c>
      <c r="AB15" s="46">
        <v>26.2</v>
      </c>
      <c r="AC15" s="46">
        <v>26.2</v>
      </c>
      <c r="AD15" s="46">
        <v>26.2</v>
      </c>
      <c r="AE15" s="46">
        <v>33</v>
      </c>
      <c r="AF15" s="46">
        <v>33</v>
      </c>
      <c r="AG15" s="50">
        <v>54</v>
      </c>
      <c r="AH15" s="48">
        <f t="shared" si="2"/>
        <v>59.9</v>
      </c>
      <c r="AI15" s="49">
        <f t="shared" si="3"/>
        <v>26.2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27.2</v>
      </c>
      <c r="C16" s="46">
        <v>27.2</v>
      </c>
      <c r="D16" s="46">
        <v>27.2</v>
      </c>
      <c r="E16" s="46">
        <v>15.4</v>
      </c>
      <c r="F16" s="46">
        <v>15.4</v>
      </c>
      <c r="G16" s="46">
        <v>15.4</v>
      </c>
      <c r="H16" s="46">
        <v>15.4</v>
      </c>
      <c r="I16" s="46">
        <v>15.4</v>
      </c>
      <c r="J16" s="46">
        <v>15.4</v>
      </c>
      <c r="K16" s="46">
        <v>15.4</v>
      </c>
      <c r="L16" s="46">
        <v>15.4</v>
      </c>
      <c r="M16" s="46">
        <v>27</v>
      </c>
      <c r="N16" s="46">
        <v>27</v>
      </c>
      <c r="O16" s="46">
        <v>27</v>
      </c>
      <c r="P16" s="46">
        <v>27</v>
      </c>
      <c r="Q16" s="46">
        <v>27</v>
      </c>
      <c r="R16" s="46">
        <v>27</v>
      </c>
      <c r="S16" s="46">
        <v>27</v>
      </c>
      <c r="T16" s="46">
        <v>27</v>
      </c>
      <c r="U16" s="46">
        <v>27</v>
      </c>
      <c r="V16" s="46">
        <v>27</v>
      </c>
      <c r="W16" s="46">
        <v>27</v>
      </c>
      <c r="X16" s="46">
        <v>27</v>
      </c>
      <c r="Y16" s="46">
        <v>27</v>
      </c>
      <c r="Z16" s="46">
        <v>27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19</v>
      </c>
      <c r="AF16" s="46">
        <v>23</v>
      </c>
      <c r="AG16" s="50">
        <v>54</v>
      </c>
      <c r="AH16" s="48">
        <f t="shared" si="2"/>
        <v>27.2</v>
      </c>
      <c r="AI16" s="49">
        <f t="shared" si="3"/>
        <v>15.4</v>
      </c>
      <c r="AK16" s="51"/>
      <c r="AL16" s="54" t="s">
        <v>7</v>
      </c>
      <c r="AM16" s="59">
        <f t="shared" ref="AM16:AR16" si="4">B61</f>
        <v>1359.2000000000003</v>
      </c>
      <c r="AN16" s="59">
        <f t="shared" si="4"/>
        <v>1359.2000000000003</v>
      </c>
      <c r="AO16" s="59">
        <f t="shared" si="4"/>
        <v>1409.2000000000003</v>
      </c>
      <c r="AP16" s="59">
        <f t="shared" si="4"/>
        <v>1265.8</v>
      </c>
      <c r="AQ16" s="59">
        <f t="shared" si="4"/>
        <v>1216</v>
      </c>
      <c r="AR16" s="59">
        <f t="shared" si="4"/>
        <v>1270.8</v>
      </c>
      <c r="AS16" s="59">
        <f>I61</f>
        <v>1248.4000000000001</v>
      </c>
      <c r="AT16" s="59">
        <f>K61</f>
        <v>1275.3</v>
      </c>
      <c r="AU16" s="59">
        <f t="shared" ref="AU16:BD16" si="5">M61</f>
        <v>1314.1</v>
      </c>
      <c r="AV16" s="59">
        <f t="shared" si="5"/>
        <v>1381.7</v>
      </c>
      <c r="AW16" s="59">
        <f t="shared" si="5"/>
        <v>1381.7</v>
      </c>
      <c r="AX16" s="59">
        <f t="shared" si="5"/>
        <v>1389.7</v>
      </c>
      <c r="AY16" s="59">
        <f t="shared" si="5"/>
        <v>1378</v>
      </c>
      <c r="AZ16" s="59">
        <f t="shared" si="5"/>
        <v>1376.3000000000002</v>
      </c>
      <c r="BA16" s="59">
        <f t="shared" si="5"/>
        <v>1321.2</v>
      </c>
      <c r="BB16" s="59">
        <f t="shared" si="5"/>
        <v>1307.3</v>
      </c>
      <c r="BC16" s="59">
        <f t="shared" si="5"/>
        <v>1284</v>
      </c>
      <c r="BD16" s="59">
        <f t="shared" si="5"/>
        <v>1324.5</v>
      </c>
      <c r="BE16" s="60">
        <f>X61</f>
        <v>1311.5</v>
      </c>
      <c r="BF16" s="60">
        <f>Z61</f>
        <v>1311.5</v>
      </c>
      <c r="BG16" s="60">
        <f>AB61</f>
        <v>1305.4000000000001</v>
      </c>
      <c r="BH16" s="60">
        <f>AD61</f>
        <v>1243.8</v>
      </c>
      <c r="BI16" s="60">
        <f>AE61</f>
        <v>1198.8000000000002</v>
      </c>
      <c r="BJ16" s="60">
        <f>AF61</f>
        <v>1264.6000000000001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55.6</v>
      </c>
      <c r="C17" s="46">
        <v>55.6</v>
      </c>
      <c r="D17" s="46">
        <v>55.6</v>
      </c>
      <c r="E17" s="46">
        <v>56</v>
      </c>
      <c r="F17" s="46">
        <v>56</v>
      </c>
      <c r="G17" s="46">
        <v>56</v>
      </c>
      <c r="H17" s="46">
        <v>56</v>
      </c>
      <c r="I17" s="46">
        <v>56</v>
      </c>
      <c r="J17" s="46">
        <v>56</v>
      </c>
      <c r="K17" s="46">
        <v>56</v>
      </c>
      <c r="L17" s="46">
        <v>56</v>
      </c>
      <c r="M17" s="46">
        <v>55</v>
      </c>
      <c r="N17" s="46">
        <v>55</v>
      </c>
      <c r="O17" s="46">
        <v>55</v>
      </c>
      <c r="P17" s="46">
        <v>55</v>
      </c>
      <c r="Q17" s="46">
        <v>55</v>
      </c>
      <c r="R17" s="46">
        <v>55</v>
      </c>
      <c r="S17" s="46">
        <v>55</v>
      </c>
      <c r="T17" s="46">
        <v>55</v>
      </c>
      <c r="U17" s="46">
        <v>55.5</v>
      </c>
      <c r="V17" s="46">
        <v>55.5</v>
      </c>
      <c r="W17" s="46">
        <v>55.5</v>
      </c>
      <c r="X17" s="46">
        <v>55.5</v>
      </c>
      <c r="Y17" s="46">
        <v>55.5</v>
      </c>
      <c r="Z17" s="46">
        <v>55.5</v>
      </c>
      <c r="AA17" s="46">
        <v>55.8</v>
      </c>
      <c r="AB17" s="46">
        <v>55.8</v>
      </c>
      <c r="AC17" s="46">
        <v>55.8</v>
      </c>
      <c r="AD17" s="46">
        <v>55.8</v>
      </c>
      <c r="AE17" s="46">
        <v>55.8</v>
      </c>
      <c r="AF17" s="46">
        <v>55.8</v>
      </c>
      <c r="AG17" s="47">
        <v>52.4</v>
      </c>
      <c r="AH17" s="48">
        <f t="shared" si="2"/>
        <v>56</v>
      </c>
      <c r="AI17" s="49">
        <f t="shared" si="3"/>
        <v>55</v>
      </c>
      <c r="AK17" s="51"/>
      <c r="AL17" s="54" t="s">
        <v>27</v>
      </c>
      <c r="AM17" s="59">
        <f t="shared" ref="AM17:AR17" si="6">B65</f>
        <v>538.6</v>
      </c>
      <c r="AN17" s="59">
        <f t="shared" si="6"/>
        <v>538.6</v>
      </c>
      <c r="AO17" s="59">
        <f t="shared" si="6"/>
        <v>538.6</v>
      </c>
      <c r="AP17" s="59">
        <f t="shared" si="6"/>
        <v>538</v>
      </c>
      <c r="AQ17" s="59">
        <f t="shared" si="6"/>
        <v>538</v>
      </c>
      <c r="AR17" s="59">
        <f t="shared" si="6"/>
        <v>538</v>
      </c>
      <c r="AS17" s="59">
        <f>I65</f>
        <v>538</v>
      </c>
      <c r="AT17" s="59">
        <f>K65</f>
        <v>538</v>
      </c>
      <c r="AU17" s="59">
        <f t="shared" ref="AU17:BD17" si="7">M65</f>
        <v>538</v>
      </c>
      <c r="AV17" s="59">
        <f t="shared" si="7"/>
        <v>538</v>
      </c>
      <c r="AW17" s="59">
        <f t="shared" si="7"/>
        <v>538</v>
      </c>
      <c r="AX17" s="59">
        <f t="shared" si="7"/>
        <v>538</v>
      </c>
      <c r="AY17" s="59">
        <f t="shared" si="7"/>
        <v>538</v>
      </c>
      <c r="AZ17" s="59">
        <f t="shared" si="7"/>
        <v>538</v>
      </c>
      <c r="BA17" s="59">
        <f t="shared" si="7"/>
        <v>538</v>
      </c>
      <c r="BB17" s="59">
        <f t="shared" si="7"/>
        <v>538</v>
      </c>
      <c r="BC17" s="59">
        <f t="shared" si="7"/>
        <v>538</v>
      </c>
      <c r="BD17" s="59">
        <f t="shared" si="7"/>
        <v>538</v>
      </c>
      <c r="BE17" s="60">
        <f>X65</f>
        <v>538</v>
      </c>
      <c r="BF17" s="60">
        <f>Z65</f>
        <v>538</v>
      </c>
      <c r="BG17" s="60">
        <f>AB65</f>
        <v>538</v>
      </c>
      <c r="BH17" s="60">
        <f>AD65</f>
        <v>538</v>
      </c>
      <c r="BI17" s="60">
        <f>AE65</f>
        <v>538</v>
      </c>
      <c r="BJ17" s="60">
        <f>AF65</f>
        <v>538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0</v>
      </c>
      <c r="C18" s="46">
        <v>0</v>
      </c>
      <c r="D18" s="46">
        <v>50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50.4</v>
      </c>
      <c r="Q18" s="46">
        <v>50.4</v>
      </c>
      <c r="R18" s="46">
        <v>50.4</v>
      </c>
      <c r="S18" s="46">
        <v>25.6</v>
      </c>
      <c r="T18" s="46">
        <v>25.6</v>
      </c>
      <c r="U18" s="46">
        <v>25.6</v>
      </c>
      <c r="V18" s="46">
        <v>25.6</v>
      </c>
      <c r="W18" s="46">
        <v>25.6</v>
      </c>
      <c r="X18" s="46">
        <v>25.6</v>
      </c>
      <c r="Y18" s="46">
        <v>25.6</v>
      </c>
      <c r="Z18" s="46">
        <v>25.6</v>
      </c>
      <c r="AA18" s="53">
        <v>25.6</v>
      </c>
      <c r="AB18" s="53">
        <v>25.6</v>
      </c>
      <c r="AC18" s="53">
        <v>25.6</v>
      </c>
      <c r="AD18" s="53">
        <v>25.6</v>
      </c>
      <c r="AE18" s="53">
        <v>0</v>
      </c>
      <c r="AF18" s="53">
        <v>0</v>
      </c>
      <c r="AG18" s="50">
        <v>50</v>
      </c>
      <c r="AH18" s="48">
        <f t="shared" si="2"/>
        <v>50.4</v>
      </c>
      <c r="AI18" s="49">
        <f t="shared" si="3"/>
        <v>0</v>
      </c>
      <c r="AK18" s="51"/>
      <c r="AL18" s="54" t="s">
        <v>29</v>
      </c>
      <c r="AM18" s="59">
        <f t="shared" ref="AM18:AR18" si="8">B79</f>
        <v>416.94</v>
      </c>
      <c r="AN18" s="59">
        <f t="shared" si="8"/>
        <v>416.94</v>
      </c>
      <c r="AO18" s="59">
        <f t="shared" si="8"/>
        <v>416.94</v>
      </c>
      <c r="AP18" s="59">
        <f t="shared" si="8"/>
        <v>417.73999999999995</v>
      </c>
      <c r="AQ18" s="59">
        <f t="shared" si="8"/>
        <v>417.73999999999995</v>
      </c>
      <c r="AR18" s="59">
        <f t="shared" si="8"/>
        <v>417.73999999999995</v>
      </c>
      <c r="AS18" s="59">
        <f>I79</f>
        <v>417.73999999999995</v>
      </c>
      <c r="AT18" s="59">
        <f>K79</f>
        <v>418.93999999999994</v>
      </c>
      <c r="AU18" s="59">
        <f t="shared" ref="AU18:BD18" si="9">M79</f>
        <v>416.14</v>
      </c>
      <c r="AV18" s="59">
        <f t="shared" si="9"/>
        <v>413.53999999999996</v>
      </c>
      <c r="AW18" s="59">
        <f t="shared" si="9"/>
        <v>413.53999999999996</v>
      </c>
      <c r="AX18" s="59">
        <f t="shared" si="9"/>
        <v>362.54</v>
      </c>
      <c r="AY18" s="59">
        <f t="shared" si="9"/>
        <v>352.94</v>
      </c>
      <c r="AZ18" s="59">
        <f t="shared" si="9"/>
        <v>352.64</v>
      </c>
      <c r="BA18" s="59">
        <f t="shared" si="9"/>
        <v>359.34</v>
      </c>
      <c r="BB18" s="59">
        <f t="shared" si="9"/>
        <v>359.34</v>
      </c>
      <c r="BC18" s="59">
        <f t="shared" si="9"/>
        <v>373.44</v>
      </c>
      <c r="BD18" s="59">
        <f t="shared" si="9"/>
        <v>373.44</v>
      </c>
      <c r="BE18" s="60">
        <f>X79</f>
        <v>368.24</v>
      </c>
      <c r="BF18" s="60">
        <f>Z79</f>
        <v>354.24</v>
      </c>
      <c r="BG18" s="60">
        <f>AB79</f>
        <v>376.1400000000001</v>
      </c>
      <c r="BH18" s="60">
        <f>AD79</f>
        <v>319.04000000000008</v>
      </c>
      <c r="BI18" s="60">
        <f>AE79</f>
        <v>349.04000000000008</v>
      </c>
      <c r="BJ18" s="60">
        <f>AF79</f>
        <v>349.04000000000008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36</v>
      </c>
      <c r="G19" s="46">
        <v>36</v>
      </c>
      <c r="H19" s="46">
        <v>36</v>
      </c>
      <c r="I19" s="46">
        <v>36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0</v>
      </c>
      <c r="AG19" s="50">
        <v>45</v>
      </c>
      <c r="AH19" s="48">
        <f t="shared" si="2"/>
        <v>45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18.2</v>
      </c>
      <c r="AX20" s="59">
        <f t="shared" si="13"/>
        <v>18.2</v>
      </c>
      <c r="AY20" s="59">
        <f t="shared" si="13"/>
        <v>18.2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33.700000000000003</v>
      </c>
      <c r="BD20" s="59">
        <f t="shared" si="13"/>
        <v>15.5</v>
      </c>
      <c r="BE20" s="60">
        <f>X83</f>
        <v>0</v>
      </c>
      <c r="BF20" s="60">
        <f>Z83</f>
        <v>0</v>
      </c>
      <c r="BG20" s="60">
        <f>AB83</f>
        <v>20.7</v>
      </c>
      <c r="BH20" s="60">
        <f>AD83</f>
        <v>32.799999999999997</v>
      </c>
      <c r="BI20" s="60">
        <f>AE83</f>
        <v>22.799999999999997</v>
      </c>
      <c r="BJ20" s="60">
        <f>AF83</f>
        <v>14.5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40</v>
      </c>
      <c r="C22" s="46">
        <v>40</v>
      </c>
      <c r="D22" s="46">
        <v>40</v>
      </c>
      <c r="E22" s="46">
        <v>0</v>
      </c>
      <c r="F22" s="46">
        <v>0</v>
      </c>
      <c r="G22" s="46">
        <v>14.4</v>
      </c>
      <c r="H22" s="46">
        <v>14.4</v>
      </c>
      <c r="I22" s="46">
        <v>14.4</v>
      </c>
      <c r="J22" s="46">
        <v>14.4</v>
      </c>
      <c r="K22" s="46">
        <v>14.4</v>
      </c>
      <c r="L22" s="46">
        <v>14.4</v>
      </c>
      <c r="M22" s="46">
        <v>14.4</v>
      </c>
      <c r="N22" s="46">
        <v>14.4</v>
      </c>
      <c r="O22" s="46">
        <v>14.4</v>
      </c>
      <c r="P22" s="46">
        <v>14.4</v>
      </c>
      <c r="Q22" s="46">
        <v>39.700000000000003</v>
      </c>
      <c r="R22" s="46">
        <v>39.700000000000003</v>
      </c>
      <c r="S22" s="46">
        <v>39.700000000000003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21.1</v>
      </c>
      <c r="AB22" s="46">
        <v>21.1</v>
      </c>
      <c r="AC22" s="46">
        <v>40</v>
      </c>
      <c r="AD22" s="46">
        <v>40</v>
      </c>
      <c r="AE22" s="46">
        <v>27</v>
      </c>
      <c r="AF22" s="46">
        <v>27</v>
      </c>
      <c r="AG22" s="50">
        <v>38.46</v>
      </c>
      <c r="AH22" s="48">
        <f t="shared" si="2"/>
        <v>40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2314.7400000000002</v>
      </c>
      <c r="AN22" s="63">
        <f t="shared" si="16"/>
        <v>2314.7400000000002</v>
      </c>
      <c r="AO22" s="63">
        <f t="shared" si="16"/>
        <v>2364.7400000000002</v>
      </c>
      <c r="AP22" s="63">
        <f t="shared" si="16"/>
        <v>2221.54</v>
      </c>
      <c r="AQ22" s="63">
        <f t="shared" si="16"/>
        <v>2171.7399999999998</v>
      </c>
      <c r="AR22" s="63">
        <f t="shared" si="16"/>
        <v>2226.54</v>
      </c>
      <c r="AS22" s="63">
        <f t="shared" si="16"/>
        <v>2204.14</v>
      </c>
      <c r="AT22" s="63">
        <f t="shared" si="16"/>
        <v>2232.2399999999998</v>
      </c>
      <c r="AU22" s="63">
        <f t="shared" si="16"/>
        <v>2268.2399999999998</v>
      </c>
      <c r="AV22" s="63">
        <f t="shared" si="16"/>
        <v>2333.2399999999998</v>
      </c>
      <c r="AW22" s="63">
        <f t="shared" si="16"/>
        <v>2351.4399999999996</v>
      </c>
      <c r="AX22" s="63">
        <f t="shared" si="16"/>
        <v>2308.44</v>
      </c>
      <c r="AY22" s="63">
        <f t="shared" si="16"/>
        <v>2287.14</v>
      </c>
      <c r="AZ22" s="63">
        <f t="shared" si="16"/>
        <v>2266.94</v>
      </c>
      <c r="BA22" s="63">
        <f t="shared" si="16"/>
        <v>2218.54</v>
      </c>
      <c r="BB22" s="63">
        <f t="shared" si="16"/>
        <v>2204.64</v>
      </c>
      <c r="BC22" s="63">
        <f t="shared" si="16"/>
        <v>2229.14</v>
      </c>
      <c r="BD22" s="63">
        <f t="shared" si="16"/>
        <v>2251.44</v>
      </c>
      <c r="BE22" s="63">
        <f t="shared" si="16"/>
        <v>2217.7399999999998</v>
      </c>
      <c r="BF22" s="63">
        <f t="shared" si="16"/>
        <v>2203.7399999999998</v>
      </c>
      <c r="BG22" s="63">
        <f t="shared" si="16"/>
        <v>2240.2399999999998</v>
      </c>
      <c r="BH22" s="63">
        <f t="shared" si="16"/>
        <v>2133.6400000000003</v>
      </c>
      <c r="BI22" s="63">
        <f t="shared" si="16"/>
        <v>2108.6400000000003</v>
      </c>
      <c r="BJ22" s="63">
        <f t="shared" si="16"/>
        <v>2166.1400000000003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>
        <v>38</v>
      </c>
      <c r="D23" s="46">
        <v>38</v>
      </c>
      <c r="E23" s="46">
        <v>38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38</v>
      </c>
      <c r="O23" s="46">
        <v>38</v>
      </c>
      <c r="P23" s="46">
        <v>38</v>
      </c>
      <c r="Q23" s="46">
        <v>38</v>
      </c>
      <c r="R23" s="46">
        <v>38</v>
      </c>
      <c r="S23" s="46">
        <v>38</v>
      </c>
      <c r="T23" s="46">
        <v>38</v>
      </c>
      <c r="U23" s="46">
        <v>38</v>
      </c>
      <c r="V23" s="46">
        <v>38</v>
      </c>
      <c r="W23" s="46">
        <v>38</v>
      </c>
      <c r="X23" s="46">
        <v>38</v>
      </c>
      <c r="Y23" s="46">
        <v>38</v>
      </c>
      <c r="Z23" s="46">
        <v>38</v>
      </c>
      <c r="AA23" s="46">
        <v>38</v>
      </c>
      <c r="AB23" s="46">
        <v>38</v>
      </c>
      <c r="AC23" s="46">
        <v>38</v>
      </c>
      <c r="AD23" s="46">
        <v>38</v>
      </c>
      <c r="AE23" s="46">
        <v>38</v>
      </c>
      <c r="AF23" s="46">
        <v>38</v>
      </c>
      <c r="AG23" s="50">
        <v>38.46</v>
      </c>
      <c r="AH23" s="48">
        <f t="shared" si="2"/>
        <v>38</v>
      </c>
      <c r="AI23" s="49">
        <f t="shared" si="3"/>
        <v>38</v>
      </c>
      <c r="AK23" s="51"/>
      <c r="AL23" s="62" t="s">
        <v>39</v>
      </c>
      <c r="AM23" s="63">
        <f t="shared" ref="AM23:AR23" si="17">B110*-1</f>
        <v>-638</v>
      </c>
      <c r="AN23" s="63">
        <f t="shared" si="17"/>
        <v>-638</v>
      </c>
      <c r="AO23" s="63">
        <f t="shared" si="17"/>
        <v>-702</v>
      </c>
      <c r="AP23" s="63">
        <f t="shared" si="17"/>
        <v>-685</v>
      </c>
      <c r="AQ23" s="63">
        <f t="shared" si="17"/>
        <v>-685.4</v>
      </c>
      <c r="AR23" s="63">
        <f t="shared" si="17"/>
        <v>-757.9</v>
      </c>
      <c r="AS23" s="63">
        <f>I110*-1</f>
        <v>-743.5</v>
      </c>
      <c r="AT23" s="63">
        <f>K110*-1</f>
        <v>-623.1</v>
      </c>
      <c r="AU23" s="63">
        <f t="shared" ref="AU23:BD23" si="18">M110*-1</f>
        <v>-627.5</v>
      </c>
      <c r="AV23" s="63">
        <f t="shared" si="18"/>
        <v>-683</v>
      </c>
      <c r="AW23" s="63">
        <f t="shared" si="18"/>
        <v>-660</v>
      </c>
      <c r="AX23" s="63">
        <f t="shared" si="18"/>
        <v>-647</v>
      </c>
      <c r="AY23" s="63">
        <f t="shared" si="18"/>
        <v>-647</v>
      </c>
      <c r="AZ23" s="63">
        <f t="shared" si="18"/>
        <v>-656</v>
      </c>
      <c r="BA23" s="63">
        <f t="shared" si="18"/>
        <v>-580</v>
      </c>
      <c r="BB23" s="63">
        <f t="shared" si="18"/>
        <v>-559.5</v>
      </c>
      <c r="BC23" s="63">
        <f t="shared" si="18"/>
        <v>-580</v>
      </c>
      <c r="BD23" s="63">
        <f t="shared" si="18"/>
        <v>-619</v>
      </c>
      <c r="BE23" s="63">
        <f>X110*-1</f>
        <v>-587</v>
      </c>
      <c r="BF23" s="63">
        <f>Z110*-1</f>
        <v>-584</v>
      </c>
      <c r="BG23" s="63">
        <f>AB110*-1</f>
        <v>-453</v>
      </c>
      <c r="BH23" s="63">
        <f>AD110*-1</f>
        <v>-539</v>
      </c>
      <c r="BI23" s="63">
        <f>AE110*-1</f>
        <v>-660</v>
      </c>
      <c r="BJ23" s="63">
        <f>AF110*-1</f>
        <v>-590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>
        <v>36</v>
      </c>
      <c r="R24" s="46">
        <v>36</v>
      </c>
      <c r="S24" s="46">
        <v>36</v>
      </c>
      <c r="T24" s="46">
        <v>24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0</v>
      </c>
      <c r="AB24" s="46">
        <v>0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1676.7400000000002</v>
      </c>
      <c r="AN24" s="63">
        <f t="shared" si="19"/>
        <v>1676.7400000000002</v>
      </c>
      <c r="AO24" s="63">
        <f t="shared" si="19"/>
        <v>1662.7400000000002</v>
      </c>
      <c r="AP24" s="63">
        <f t="shared" si="19"/>
        <v>1536.54</v>
      </c>
      <c r="AQ24" s="63">
        <f t="shared" si="19"/>
        <v>1486.3399999999997</v>
      </c>
      <c r="AR24" s="63">
        <f t="shared" si="19"/>
        <v>1468.6399999999999</v>
      </c>
      <c r="AS24" s="63">
        <f t="shared" si="19"/>
        <v>1460.6399999999999</v>
      </c>
      <c r="AT24" s="63">
        <f t="shared" si="19"/>
        <v>1609.1399999999999</v>
      </c>
      <c r="AU24" s="63">
        <f t="shared" si="19"/>
        <v>1640.7399999999998</v>
      </c>
      <c r="AV24" s="63">
        <f t="shared" si="19"/>
        <v>1650.2399999999998</v>
      </c>
      <c r="AW24" s="63">
        <f t="shared" si="19"/>
        <v>1691.4399999999996</v>
      </c>
      <c r="AX24" s="63">
        <f t="shared" si="19"/>
        <v>1661.44</v>
      </c>
      <c r="AY24" s="63">
        <f t="shared" si="19"/>
        <v>1640.1399999999999</v>
      </c>
      <c r="AZ24" s="63">
        <f t="shared" si="19"/>
        <v>1610.94</v>
      </c>
      <c r="BA24" s="63">
        <f t="shared" si="19"/>
        <v>1638.54</v>
      </c>
      <c r="BB24" s="63">
        <f t="shared" si="19"/>
        <v>1645.1399999999999</v>
      </c>
      <c r="BC24" s="63">
        <f t="shared" si="19"/>
        <v>1649.1399999999999</v>
      </c>
      <c r="BD24" s="63">
        <f t="shared" si="19"/>
        <v>1632.44</v>
      </c>
      <c r="BE24" s="63">
        <f t="shared" si="19"/>
        <v>1630.7399999999998</v>
      </c>
      <c r="BF24" s="63">
        <f t="shared" si="19"/>
        <v>1619.7399999999998</v>
      </c>
      <c r="BG24" s="63">
        <f t="shared" si="19"/>
        <v>1787.2399999999998</v>
      </c>
      <c r="BH24" s="63">
        <f t="shared" si="19"/>
        <v>1594.6400000000003</v>
      </c>
      <c r="BI24" s="63">
        <f t="shared" si="19"/>
        <v>1448.6400000000003</v>
      </c>
      <c r="BJ24" s="63">
        <f t="shared" si="19"/>
        <v>1576.1400000000003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30.4</v>
      </c>
      <c r="C25" s="46">
        <v>30.4</v>
      </c>
      <c r="D25" s="46">
        <v>30.4</v>
      </c>
      <c r="E25" s="46">
        <v>10</v>
      </c>
      <c r="F25" s="46">
        <v>10</v>
      </c>
      <c r="G25" s="46">
        <v>10</v>
      </c>
      <c r="H25" s="46">
        <v>10</v>
      </c>
      <c r="I25" s="46">
        <v>10</v>
      </c>
      <c r="J25" s="46">
        <v>10</v>
      </c>
      <c r="K25" s="46">
        <v>10</v>
      </c>
      <c r="L25" s="46">
        <v>10</v>
      </c>
      <c r="M25" s="46">
        <v>10</v>
      </c>
      <c r="N25" s="46">
        <v>30</v>
      </c>
      <c r="O25" s="46">
        <v>30</v>
      </c>
      <c r="P25" s="46">
        <v>30</v>
      </c>
      <c r="Q25" s="46">
        <v>30</v>
      </c>
      <c r="R25" s="46">
        <v>30</v>
      </c>
      <c r="S25" s="46">
        <v>30</v>
      </c>
      <c r="T25" s="46">
        <v>30</v>
      </c>
      <c r="U25" s="46">
        <v>30</v>
      </c>
      <c r="V25" s="46">
        <v>30</v>
      </c>
      <c r="W25" s="46">
        <v>30</v>
      </c>
      <c r="X25" s="46">
        <v>30</v>
      </c>
      <c r="Y25" s="46">
        <v>30</v>
      </c>
      <c r="Z25" s="46">
        <v>30</v>
      </c>
      <c r="AA25" s="46">
        <v>30</v>
      </c>
      <c r="AB25" s="46">
        <v>30</v>
      </c>
      <c r="AC25" s="46">
        <v>20</v>
      </c>
      <c r="AD25" s="46">
        <v>0</v>
      </c>
      <c r="AE25" s="46">
        <v>0</v>
      </c>
      <c r="AF25" s="46">
        <v>30</v>
      </c>
      <c r="AG25" s="61">
        <v>30</v>
      </c>
      <c r="AH25" s="48">
        <f t="shared" si="2"/>
        <v>30.4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26</v>
      </c>
      <c r="C26" s="46">
        <v>26</v>
      </c>
      <c r="D26" s="46">
        <v>26</v>
      </c>
      <c r="E26" s="46">
        <v>26</v>
      </c>
      <c r="F26" s="46">
        <v>26</v>
      </c>
      <c r="G26" s="46">
        <v>26</v>
      </c>
      <c r="H26" s="46">
        <v>26</v>
      </c>
      <c r="I26" s="46">
        <v>26</v>
      </c>
      <c r="J26" s="46">
        <v>26</v>
      </c>
      <c r="K26" s="46">
        <v>26</v>
      </c>
      <c r="L26" s="46">
        <v>26</v>
      </c>
      <c r="M26" s="46">
        <v>26</v>
      </c>
      <c r="N26" s="46">
        <v>26</v>
      </c>
      <c r="O26" s="46">
        <v>26</v>
      </c>
      <c r="P26" s="46">
        <v>26</v>
      </c>
      <c r="Q26" s="46">
        <v>25.4</v>
      </c>
      <c r="R26" s="46">
        <v>25.4</v>
      </c>
      <c r="S26" s="46">
        <v>25.4</v>
      </c>
      <c r="T26" s="46">
        <v>25.4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33</v>
      </c>
      <c r="AF26" s="46">
        <v>33</v>
      </c>
      <c r="AG26" s="50">
        <v>24.2</v>
      </c>
      <c r="AH26" s="48">
        <f t="shared" si="2"/>
        <v>33</v>
      </c>
      <c r="AI26" s="49">
        <f t="shared" si="3"/>
        <v>25.4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28.7</v>
      </c>
      <c r="C27" s="46">
        <v>28.7</v>
      </c>
      <c r="D27" s="46">
        <v>28.7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28.6</v>
      </c>
      <c r="N27" s="46">
        <v>28.6</v>
      </c>
      <c r="O27" s="46">
        <v>28.6</v>
      </c>
      <c r="P27" s="46">
        <v>28.6</v>
      </c>
      <c r="Q27" s="46">
        <v>28.6</v>
      </c>
      <c r="R27" s="46">
        <v>28.6</v>
      </c>
      <c r="S27" s="46">
        <v>28.6</v>
      </c>
      <c r="T27" s="46">
        <v>28.6</v>
      </c>
      <c r="U27" s="46">
        <v>28.5</v>
      </c>
      <c r="V27" s="46">
        <v>28.5</v>
      </c>
      <c r="W27" s="46">
        <v>28.5</v>
      </c>
      <c r="X27" s="46">
        <v>28.5</v>
      </c>
      <c r="Y27" s="46">
        <v>28.5</v>
      </c>
      <c r="Z27" s="46">
        <v>28.5</v>
      </c>
      <c r="AA27" s="46">
        <v>28.6</v>
      </c>
      <c r="AB27" s="46">
        <v>28.6</v>
      </c>
      <c r="AC27" s="46">
        <v>28.6</v>
      </c>
      <c r="AD27" s="46">
        <v>28.6</v>
      </c>
      <c r="AE27" s="46">
        <v>28.6</v>
      </c>
      <c r="AF27" s="46">
        <v>28.6</v>
      </c>
      <c r="AG27" s="50">
        <v>28</v>
      </c>
      <c r="AH27" s="48">
        <f t="shared" si="2"/>
        <v>28.7</v>
      </c>
      <c r="AI27" s="49">
        <f t="shared" si="3"/>
        <v>28.5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27</v>
      </c>
      <c r="C28" s="46">
        <v>27</v>
      </c>
      <c r="D28" s="46">
        <v>27</v>
      </c>
      <c r="E28" s="46">
        <v>10.5</v>
      </c>
      <c r="F28" s="46">
        <v>10.5</v>
      </c>
      <c r="G28" s="46">
        <v>10.5</v>
      </c>
      <c r="H28" s="46">
        <v>10.5</v>
      </c>
      <c r="I28" s="46">
        <v>10.5</v>
      </c>
      <c r="J28" s="46">
        <v>10.5</v>
      </c>
      <c r="K28" s="46">
        <v>10.5</v>
      </c>
      <c r="L28" s="46">
        <v>10.5</v>
      </c>
      <c r="M28" s="46">
        <v>18</v>
      </c>
      <c r="N28" s="46">
        <v>26</v>
      </c>
      <c r="O28" s="46">
        <v>26</v>
      </c>
      <c r="P28" s="46">
        <v>26</v>
      </c>
      <c r="Q28" s="46">
        <v>26</v>
      </c>
      <c r="R28" s="46">
        <v>26</v>
      </c>
      <c r="S28" s="46">
        <v>26</v>
      </c>
      <c r="T28" s="46">
        <v>26</v>
      </c>
      <c r="U28" s="46">
        <v>26</v>
      </c>
      <c r="V28" s="46">
        <v>26</v>
      </c>
      <c r="W28" s="46">
        <v>26</v>
      </c>
      <c r="X28" s="46">
        <v>26</v>
      </c>
      <c r="Y28" s="46">
        <v>26</v>
      </c>
      <c r="Z28" s="46">
        <v>26</v>
      </c>
      <c r="AA28" s="46">
        <v>25.6</v>
      </c>
      <c r="AB28" s="46">
        <v>25.6</v>
      </c>
      <c r="AC28" s="46">
        <v>0</v>
      </c>
      <c r="AD28" s="46">
        <v>0</v>
      </c>
      <c r="AE28" s="46">
        <v>20.2</v>
      </c>
      <c r="AF28" s="46">
        <v>25</v>
      </c>
      <c r="AG28" s="61">
        <v>30</v>
      </c>
      <c r="AH28" s="48">
        <f t="shared" si="2"/>
        <v>27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25.2</v>
      </c>
      <c r="C29" s="46">
        <v>25.2</v>
      </c>
      <c r="D29" s="46">
        <v>25.2</v>
      </c>
      <c r="E29" s="46">
        <v>25.7</v>
      </c>
      <c r="F29" s="46">
        <v>25.7</v>
      </c>
      <c r="G29" s="46">
        <v>25.7</v>
      </c>
      <c r="H29" s="46">
        <v>25.7</v>
      </c>
      <c r="I29" s="46">
        <v>25.7</v>
      </c>
      <c r="J29" s="46">
        <v>25.7</v>
      </c>
      <c r="K29" s="46">
        <v>25.7</v>
      </c>
      <c r="L29" s="46">
        <v>25.7</v>
      </c>
      <c r="M29" s="46">
        <v>25.7</v>
      </c>
      <c r="N29" s="46">
        <v>25.7</v>
      </c>
      <c r="O29" s="46">
        <v>25.7</v>
      </c>
      <c r="P29" s="46">
        <v>25.7</v>
      </c>
      <c r="Q29" s="46">
        <v>25.7</v>
      </c>
      <c r="R29" s="46">
        <v>25.7</v>
      </c>
      <c r="S29" s="46">
        <v>25.7</v>
      </c>
      <c r="T29" s="46">
        <v>25.7</v>
      </c>
      <c r="U29" s="46">
        <v>26</v>
      </c>
      <c r="V29" s="46">
        <v>26</v>
      </c>
      <c r="W29" s="46">
        <v>26</v>
      </c>
      <c r="X29" s="46">
        <v>26</v>
      </c>
      <c r="Y29" s="46">
        <v>26</v>
      </c>
      <c r="Z29" s="46">
        <v>26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25</v>
      </c>
      <c r="AG29" s="50">
        <v>25</v>
      </c>
      <c r="AH29" s="48">
        <f t="shared" si="2"/>
        <v>26</v>
      </c>
      <c r="AI29" s="49">
        <f t="shared" si="3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4</v>
      </c>
      <c r="AF30" s="46">
        <v>4</v>
      </c>
      <c r="AG30" s="50">
        <v>25</v>
      </c>
      <c r="AH30" s="48">
        <f t="shared" si="2"/>
        <v>4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22</v>
      </c>
      <c r="C31" s="46">
        <v>22</v>
      </c>
      <c r="D31" s="46">
        <v>22</v>
      </c>
      <c r="E31" s="46">
        <v>22</v>
      </c>
      <c r="F31" s="46">
        <v>22</v>
      </c>
      <c r="G31" s="46">
        <v>22</v>
      </c>
      <c r="H31" s="46">
        <v>22</v>
      </c>
      <c r="I31" s="46">
        <v>22</v>
      </c>
      <c r="J31" s="46">
        <v>22</v>
      </c>
      <c r="K31" s="46">
        <v>22</v>
      </c>
      <c r="L31" s="46">
        <v>22</v>
      </c>
      <c r="M31" s="46">
        <v>22</v>
      </c>
      <c r="N31" s="46">
        <v>22</v>
      </c>
      <c r="O31" s="46">
        <v>22</v>
      </c>
      <c r="P31" s="46">
        <v>22</v>
      </c>
      <c r="Q31" s="46">
        <v>22</v>
      </c>
      <c r="R31" s="46">
        <v>22</v>
      </c>
      <c r="S31" s="46">
        <v>22</v>
      </c>
      <c r="T31" s="46">
        <v>22</v>
      </c>
      <c r="U31" s="46">
        <v>22</v>
      </c>
      <c r="V31" s="46">
        <v>22</v>
      </c>
      <c r="W31" s="46">
        <v>22</v>
      </c>
      <c r="X31" s="46">
        <v>22</v>
      </c>
      <c r="Y31" s="46">
        <v>22</v>
      </c>
      <c r="Z31" s="46">
        <v>22</v>
      </c>
      <c r="AA31" s="46">
        <v>22</v>
      </c>
      <c r="AB31" s="46">
        <v>22</v>
      </c>
      <c r="AC31" s="46">
        <v>22</v>
      </c>
      <c r="AD31" s="46">
        <v>22</v>
      </c>
      <c r="AE31" s="46">
        <v>22</v>
      </c>
      <c r="AF31" s="46">
        <v>22</v>
      </c>
      <c r="AG31" s="50">
        <v>25</v>
      </c>
      <c r="AH31" s="48">
        <f t="shared" si="2"/>
        <v>22</v>
      </c>
      <c r="AI31" s="49">
        <f t="shared" si="3"/>
        <v>22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25.5</v>
      </c>
      <c r="C32" s="46">
        <v>25.5</v>
      </c>
      <c r="D32" s="46">
        <v>25.5</v>
      </c>
      <c r="E32" s="46">
        <v>8.8000000000000007</v>
      </c>
      <c r="F32" s="46">
        <v>8.8000000000000007</v>
      </c>
      <c r="G32" s="46">
        <v>8.8000000000000007</v>
      </c>
      <c r="H32" s="46">
        <v>8.8000000000000007</v>
      </c>
      <c r="I32" s="46">
        <v>8.8000000000000007</v>
      </c>
      <c r="J32" s="46">
        <v>8.8000000000000007</v>
      </c>
      <c r="K32" s="46">
        <v>8.8000000000000007</v>
      </c>
      <c r="L32" s="46">
        <v>8.8000000000000007</v>
      </c>
      <c r="M32" s="46">
        <v>16</v>
      </c>
      <c r="N32" s="46">
        <v>25</v>
      </c>
      <c r="O32" s="46">
        <v>25</v>
      </c>
      <c r="P32" s="46">
        <v>25</v>
      </c>
      <c r="Q32" s="46">
        <v>25</v>
      </c>
      <c r="R32" s="46">
        <v>25</v>
      </c>
      <c r="S32" s="46">
        <v>25</v>
      </c>
      <c r="T32" s="46">
        <v>25</v>
      </c>
      <c r="U32" s="46">
        <v>25</v>
      </c>
      <c r="V32" s="46">
        <v>25</v>
      </c>
      <c r="W32" s="46">
        <v>25</v>
      </c>
      <c r="X32" s="46">
        <v>25</v>
      </c>
      <c r="Y32" s="46">
        <v>25</v>
      </c>
      <c r="Z32" s="46">
        <v>25</v>
      </c>
      <c r="AA32" s="46">
        <v>25.5</v>
      </c>
      <c r="AB32" s="46">
        <v>25.5</v>
      </c>
      <c r="AC32" s="46">
        <v>25.5</v>
      </c>
      <c r="AD32" s="46">
        <v>25.5</v>
      </c>
      <c r="AE32" s="46">
        <v>25.5</v>
      </c>
      <c r="AF32" s="46">
        <v>25.5</v>
      </c>
      <c r="AG32" s="50">
        <v>25</v>
      </c>
      <c r="AH32" s="48">
        <f t="shared" si="2"/>
        <v>25.5</v>
      </c>
      <c r="AI32" s="49">
        <f t="shared" si="3"/>
        <v>8.8000000000000007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24.5</v>
      </c>
      <c r="C33" s="46">
        <v>24.5</v>
      </c>
      <c r="D33" s="46">
        <v>24.5</v>
      </c>
      <c r="E33" s="46">
        <v>12.2</v>
      </c>
      <c r="F33" s="46">
        <v>12.2</v>
      </c>
      <c r="G33" s="46">
        <v>12.2</v>
      </c>
      <c r="H33" s="46">
        <v>12.2</v>
      </c>
      <c r="I33" s="46">
        <v>12.2</v>
      </c>
      <c r="J33" s="46">
        <v>12.2</v>
      </c>
      <c r="K33" s="46">
        <v>12.2</v>
      </c>
      <c r="L33" s="46">
        <v>12.2</v>
      </c>
      <c r="M33" s="46">
        <v>24.4</v>
      </c>
      <c r="N33" s="46">
        <v>24.4</v>
      </c>
      <c r="O33" s="46">
        <v>24.4</v>
      </c>
      <c r="P33" s="46">
        <v>24.4</v>
      </c>
      <c r="Q33" s="46">
        <v>24.4</v>
      </c>
      <c r="R33" s="46">
        <v>24.4</v>
      </c>
      <c r="S33" s="46">
        <v>24.4</v>
      </c>
      <c r="T33" s="46">
        <v>24.4</v>
      </c>
      <c r="U33" s="46">
        <v>24.4</v>
      </c>
      <c r="V33" s="46">
        <v>24.4</v>
      </c>
      <c r="W33" s="46">
        <v>24.4</v>
      </c>
      <c r="X33" s="46">
        <v>24.4</v>
      </c>
      <c r="Y33" s="46">
        <v>24.4</v>
      </c>
      <c r="Z33" s="46">
        <v>24.4</v>
      </c>
      <c r="AA33" s="46">
        <v>23.6</v>
      </c>
      <c r="AB33" s="46">
        <v>23.6</v>
      </c>
      <c r="AC33" s="46">
        <v>23.6</v>
      </c>
      <c r="AD33" s="46">
        <v>23.6</v>
      </c>
      <c r="AE33" s="46">
        <v>23.6</v>
      </c>
      <c r="AF33" s="46">
        <v>23.6</v>
      </c>
      <c r="AG33" s="50">
        <v>23.5</v>
      </c>
      <c r="AH33" s="48">
        <f t="shared" si="2"/>
        <v>24.5</v>
      </c>
      <c r="AI33" s="49">
        <f t="shared" si="3"/>
        <v>12.2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12</v>
      </c>
      <c r="C34" s="46">
        <v>12</v>
      </c>
      <c r="D34" s="46">
        <v>12</v>
      </c>
      <c r="E34" s="46">
        <v>12</v>
      </c>
      <c r="F34" s="46">
        <v>12</v>
      </c>
      <c r="G34" s="46">
        <v>12</v>
      </c>
      <c r="H34" s="46">
        <v>12</v>
      </c>
      <c r="I34" s="46">
        <v>12</v>
      </c>
      <c r="J34" s="46">
        <v>12</v>
      </c>
      <c r="K34" s="46">
        <v>12</v>
      </c>
      <c r="L34" s="46">
        <v>12</v>
      </c>
      <c r="M34" s="46">
        <v>12</v>
      </c>
      <c r="N34" s="46">
        <v>12</v>
      </c>
      <c r="O34" s="46">
        <v>12</v>
      </c>
      <c r="P34" s="46">
        <v>12</v>
      </c>
      <c r="Q34" s="46">
        <v>12</v>
      </c>
      <c r="R34" s="46">
        <v>12</v>
      </c>
      <c r="S34" s="46">
        <v>12</v>
      </c>
      <c r="T34" s="46">
        <v>12</v>
      </c>
      <c r="U34" s="46">
        <v>12</v>
      </c>
      <c r="V34" s="46">
        <v>12</v>
      </c>
      <c r="W34" s="46">
        <v>12</v>
      </c>
      <c r="X34" s="46">
        <v>12</v>
      </c>
      <c r="Y34" s="46">
        <v>12</v>
      </c>
      <c r="Z34" s="46">
        <v>12</v>
      </c>
      <c r="AA34" s="46">
        <v>12</v>
      </c>
      <c r="AB34" s="46">
        <v>12</v>
      </c>
      <c r="AC34" s="46">
        <v>12</v>
      </c>
      <c r="AD34" s="46">
        <v>12</v>
      </c>
      <c r="AE34" s="46">
        <v>12</v>
      </c>
      <c r="AF34" s="46">
        <v>12</v>
      </c>
      <c r="AG34" s="50">
        <v>22.2</v>
      </c>
      <c r="AH34" s="48">
        <f t="shared" si="2"/>
        <v>12</v>
      </c>
      <c r="AI34" s="49">
        <f t="shared" si="3"/>
        <v>12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24.2</v>
      </c>
      <c r="C37" s="46">
        <v>24.2</v>
      </c>
      <c r="D37" s="46">
        <v>24.2</v>
      </c>
      <c r="E37" s="46">
        <v>25.4</v>
      </c>
      <c r="F37" s="46">
        <v>25.4</v>
      </c>
      <c r="G37" s="46">
        <v>25.4</v>
      </c>
      <c r="H37" s="46">
        <v>25.4</v>
      </c>
      <c r="I37" s="46">
        <v>25.4</v>
      </c>
      <c r="J37" s="46">
        <v>25.4</v>
      </c>
      <c r="K37" s="46">
        <v>25.4</v>
      </c>
      <c r="L37" s="46">
        <v>25.4</v>
      </c>
      <c r="M37" s="46">
        <v>25.4</v>
      </c>
      <c r="N37" s="46">
        <v>25.4</v>
      </c>
      <c r="O37" s="46">
        <v>25.4</v>
      </c>
      <c r="P37" s="46">
        <v>25.4</v>
      </c>
      <c r="Q37" s="46">
        <v>25.4</v>
      </c>
      <c r="R37" s="46">
        <v>25.4</v>
      </c>
      <c r="S37" s="46">
        <v>25.4</v>
      </c>
      <c r="T37" s="46">
        <v>25.4</v>
      </c>
      <c r="U37" s="46">
        <v>25.4</v>
      </c>
      <c r="V37" s="46">
        <v>25.4</v>
      </c>
      <c r="W37" s="46">
        <v>25.4</v>
      </c>
      <c r="X37" s="46">
        <v>25.4</v>
      </c>
      <c r="Y37" s="46">
        <v>25.4</v>
      </c>
      <c r="Z37" s="46">
        <v>25.4</v>
      </c>
      <c r="AA37" s="46">
        <v>25.4</v>
      </c>
      <c r="AB37" s="46">
        <v>25.4</v>
      </c>
      <c r="AC37" s="46">
        <v>25.4</v>
      </c>
      <c r="AD37" s="46">
        <v>25.4</v>
      </c>
      <c r="AE37" s="46">
        <v>25.4</v>
      </c>
      <c r="AF37" s="46">
        <v>25.4</v>
      </c>
      <c r="AG37" s="50">
        <v>22</v>
      </c>
      <c r="AH37" s="48">
        <f t="shared" si="2"/>
        <v>25.4</v>
      </c>
      <c r="AI37" s="49">
        <f t="shared" si="3"/>
        <v>24.2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20.399999999999999</v>
      </c>
      <c r="C38" s="46">
        <v>20.399999999999999</v>
      </c>
      <c r="D38" s="46">
        <v>20.399999999999999</v>
      </c>
      <c r="E38" s="46">
        <v>20.3</v>
      </c>
      <c r="F38" s="46">
        <v>20.3</v>
      </c>
      <c r="G38" s="46">
        <v>20.3</v>
      </c>
      <c r="H38" s="46">
        <v>20.3</v>
      </c>
      <c r="I38" s="46">
        <v>20.3</v>
      </c>
      <c r="J38" s="46">
        <v>20.3</v>
      </c>
      <c r="K38" s="46">
        <v>20.3</v>
      </c>
      <c r="L38" s="46">
        <v>20.3</v>
      </c>
      <c r="M38" s="46">
        <v>20.3</v>
      </c>
      <c r="N38" s="46">
        <v>20.3</v>
      </c>
      <c r="O38" s="46">
        <v>20.3</v>
      </c>
      <c r="P38" s="46">
        <v>20.3</v>
      </c>
      <c r="Q38" s="46">
        <v>20.3</v>
      </c>
      <c r="R38" s="46">
        <v>20.3</v>
      </c>
      <c r="S38" s="46">
        <v>20.3</v>
      </c>
      <c r="T38" s="46">
        <v>20.3</v>
      </c>
      <c r="U38" s="46">
        <v>20.3</v>
      </c>
      <c r="V38" s="46">
        <v>20.3</v>
      </c>
      <c r="W38" s="46">
        <v>20.3</v>
      </c>
      <c r="X38" s="46">
        <v>20.3</v>
      </c>
      <c r="Y38" s="46">
        <v>20.3</v>
      </c>
      <c r="Z38" s="46">
        <v>20.3</v>
      </c>
      <c r="AA38" s="46">
        <v>20.3</v>
      </c>
      <c r="AB38" s="46">
        <v>20.3</v>
      </c>
      <c r="AC38" s="46">
        <v>20.3</v>
      </c>
      <c r="AD38" s="46">
        <v>20.3</v>
      </c>
      <c r="AE38" s="46">
        <v>0</v>
      </c>
      <c r="AF38" s="46">
        <v>0</v>
      </c>
      <c r="AG38" s="50">
        <v>20</v>
      </c>
      <c r="AH38" s="48">
        <f t="shared" si="2"/>
        <v>20.399999999999999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16.2</v>
      </c>
      <c r="C40" s="46">
        <v>16.2</v>
      </c>
      <c r="D40" s="46">
        <v>16.2</v>
      </c>
      <c r="E40" s="46">
        <v>16.2</v>
      </c>
      <c r="F40" s="46">
        <v>16.2</v>
      </c>
      <c r="G40" s="46">
        <v>16.2</v>
      </c>
      <c r="H40" s="46">
        <v>16.2</v>
      </c>
      <c r="I40" s="46">
        <v>16.2</v>
      </c>
      <c r="J40" s="46">
        <v>16.2</v>
      </c>
      <c r="K40" s="46">
        <v>16.2</v>
      </c>
      <c r="L40" s="46">
        <v>16.2</v>
      </c>
      <c r="M40" s="46">
        <v>16.2</v>
      </c>
      <c r="N40" s="46">
        <v>16.2</v>
      </c>
      <c r="O40" s="46">
        <v>16.2</v>
      </c>
      <c r="P40" s="46">
        <v>16.2</v>
      </c>
      <c r="Q40" s="46">
        <v>8.6999999999999993</v>
      </c>
      <c r="R40" s="46">
        <v>8.6999999999999993</v>
      </c>
      <c r="S40" s="46">
        <v>8.6999999999999993</v>
      </c>
      <c r="T40" s="46">
        <v>8.6999999999999993</v>
      </c>
      <c r="U40" s="46">
        <v>8.6999999999999993</v>
      </c>
      <c r="V40" s="46">
        <v>8.6999999999999993</v>
      </c>
      <c r="W40" s="46">
        <v>8.6999999999999993</v>
      </c>
      <c r="X40" s="46">
        <v>8.6999999999999993</v>
      </c>
      <c r="Y40" s="46">
        <v>8.6999999999999993</v>
      </c>
      <c r="Z40" s="46">
        <v>8.6999999999999993</v>
      </c>
      <c r="AA40" s="46">
        <v>8.6999999999999993</v>
      </c>
      <c r="AB40" s="46">
        <v>8.6999999999999993</v>
      </c>
      <c r="AC40" s="46">
        <v>8.6999999999999993</v>
      </c>
      <c r="AD40" s="46">
        <v>8.6999999999999993</v>
      </c>
      <c r="AE40" s="46">
        <v>8.6999999999999993</v>
      </c>
      <c r="AF40" s="46">
        <v>8.6999999999999993</v>
      </c>
      <c r="AG40" s="50">
        <v>18</v>
      </c>
      <c r="AH40" s="48">
        <f t="shared" si="2"/>
        <v>16.2</v>
      </c>
      <c r="AI40" s="49">
        <f t="shared" si="3"/>
        <v>8.6999999999999993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15</v>
      </c>
      <c r="C41" s="46">
        <v>15</v>
      </c>
      <c r="D41" s="46">
        <v>15</v>
      </c>
      <c r="E41" s="46">
        <v>15</v>
      </c>
      <c r="F41" s="46">
        <v>15</v>
      </c>
      <c r="G41" s="46">
        <v>15</v>
      </c>
      <c r="H41" s="46">
        <v>15</v>
      </c>
      <c r="I41" s="46">
        <v>15</v>
      </c>
      <c r="J41" s="46">
        <v>15</v>
      </c>
      <c r="K41" s="46">
        <v>15</v>
      </c>
      <c r="L41" s="46">
        <v>15</v>
      </c>
      <c r="M41" s="46">
        <v>15</v>
      </c>
      <c r="N41" s="46">
        <v>15</v>
      </c>
      <c r="O41" s="46">
        <v>15</v>
      </c>
      <c r="P41" s="46">
        <v>15</v>
      </c>
      <c r="Q41" s="46">
        <v>15</v>
      </c>
      <c r="R41" s="46">
        <v>15</v>
      </c>
      <c r="S41" s="46">
        <v>15</v>
      </c>
      <c r="T41" s="46">
        <v>15</v>
      </c>
      <c r="U41" s="46">
        <v>15</v>
      </c>
      <c r="V41" s="46">
        <v>15</v>
      </c>
      <c r="W41" s="46">
        <v>15</v>
      </c>
      <c r="X41" s="46">
        <v>15</v>
      </c>
      <c r="Y41" s="46">
        <v>15</v>
      </c>
      <c r="Z41" s="46">
        <v>15</v>
      </c>
      <c r="AA41" s="46">
        <v>15</v>
      </c>
      <c r="AB41" s="46">
        <v>15</v>
      </c>
      <c r="AC41" s="46">
        <v>15</v>
      </c>
      <c r="AD41" s="46">
        <v>15</v>
      </c>
      <c r="AE41" s="46">
        <v>15</v>
      </c>
      <c r="AF41" s="46">
        <v>15</v>
      </c>
      <c r="AG41" s="50">
        <v>15.33</v>
      </c>
      <c r="AH41" s="48">
        <f t="shared" si="2"/>
        <v>15</v>
      </c>
      <c r="AI41" s="49">
        <f t="shared" si="3"/>
        <v>15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15.5</v>
      </c>
      <c r="C43" s="46">
        <v>15.5</v>
      </c>
      <c r="D43" s="46">
        <v>15.5</v>
      </c>
      <c r="E43" s="46">
        <v>15.5</v>
      </c>
      <c r="F43" s="46">
        <v>15.5</v>
      </c>
      <c r="G43" s="46">
        <v>15.5</v>
      </c>
      <c r="H43" s="46">
        <v>15.5</v>
      </c>
      <c r="I43" s="46">
        <v>15.5</v>
      </c>
      <c r="J43" s="46">
        <v>15.5</v>
      </c>
      <c r="K43" s="46">
        <v>15.5</v>
      </c>
      <c r="L43" s="46">
        <v>15.5</v>
      </c>
      <c r="M43" s="46">
        <v>15.5</v>
      </c>
      <c r="N43" s="46">
        <v>15.5</v>
      </c>
      <c r="O43" s="46">
        <v>15.5</v>
      </c>
      <c r="P43" s="46">
        <v>15.5</v>
      </c>
      <c r="Q43" s="46">
        <v>15.5</v>
      </c>
      <c r="R43" s="46">
        <v>15.5</v>
      </c>
      <c r="S43" s="46">
        <v>15.5</v>
      </c>
      <c r="T43" s="46">
        <v>15.5</v>
      </c>
      <c r="U43" s="46">
        <v>15.5</v>
      </c>
      <c r="V43" s="46">
        <v>15.5</v>
      </c>
      <c r="W43" s="46">
        <v>15.5</v>
      </c>
      <c r="X43" s="46">
        <v>15.5</v>
      </c>
      <c r="Y43" s="46">
        <v>15.5</v>
      </c>
      <c r="Z43" s="46">
        <v>15.5</v>
      </c>
      <c r="AA43" s="46">
        <v>15.5</v>
      </c>
      <c r="AB43" s="46">
        <v>15.5</v>
      </c>
      <c r="AC43" s="46">
        <v>15.5</v>
      </c>
      <c r="AD43" s="46">
        <v>15.5</v>
      </c>
      <c r="AE43" s="46">
        <v>15.5</v>
      </c>
      <c r="AF43" s="46">
        <v>15.5</v>
      </c>
      <c r="AG43" s="50">
        <v>14.9</v>
      </c>
      <c r="AH43" s="48">
        <f t="shared" si="2"/>
        <v>15.5</v>
      </c>
      <c r="AI43" s="49">
        <f t="shared" si="3"/>
        <v>15.5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7</v>
      </c>
      <c r="C45" s="46">
        <v>7</v>
      </c>
      <c r="D45" s="46">
        <v>7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7.3</v>
      </c>
      <c r="C46" s="46">
        <v>7.3</v>
      </c>
      <c r="D46" s="46">
        <v>7.3</v>
      </c>
      <c r="E46" s="46">
        <v>8.9</v>
      </c>
      <c r="F46" s="46">
        <v>8.9</v>
      </c>
      <c r="G46" s="46">
        <v>8.9</v>
      </c>
      <c r="H46" s="46">
        <v>8.9</v>
      </c>
      <c r="I46" s="46">
        <v>8.9</v>
      </c>
      <c r="J46" s="46">
        <v>8.9</v>
      </c>
      <c r="K46" s="46">
        <v>8.9</v>
      </c>
      <c r="L46" s="46">
        <v>8.9</v>
      </c>
      <c r="M46" s="46">
        <v>8.9</v>
      </c>
      <c r="N46" s="46">
        <v>8.9</v>
      </c>
      <c r="O46" s="46">
        <v>8.9</v>
      </c>
      <c r="P46" s="46">
        <v>8.9</v>
      </c>
      <c r="Q46" s="46">
        <v>8.9</v>
      </c>
      <c r="R46" s="46">
        <v>8.9</v>
      </c>
      <c r="S46" s="46">
        <v>8.9</v>
      </c>
      <c r="T46" s="46">
        <v>8.9</v>
      </c>
      <c r="U46" s="46">
        <v>8.9</v>
      </c>
      <c r="V46" s="46">
        <v>8.9</v>
      </c>
      <c r="W46" s="46">
        <v>8.9</v>
      </c>
      <c r="X46" s="46">
        <v>8.9</v>
      </c>
      <c r="Y46" s="46">
        <v>8.9</v>
      </c>
      <c r="Z46" s="46">
        <v>8.9</v>
      </c>
      <c r="AA46" s="46">
        <v>8.9</v>
      </c>
      <c r="AB46" s="46">
        <v>8.9</v>
      </c>
      <c r="AC46" s="46">
        <v>8.9</v>
      </c>
      <c r="AD46" s="46">
        <v>8.9</v>
      </c>
      <c r="AE46" s="46">
        <v>0</v>
      </c>
      <c r="AF46" s="46">
        <v>0</v>
      </c>
      <c r="AG46" s="50">
        <v>14</v>
      </c>
      <c r="AH46" s="48">
        <f t="shared" si="2"/>
        <v>8.9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12</v>
      </c>
      <c r="C49" s="46">
        <v>12</v>
      </c>
      <c r="D49" s="46">
        <v>12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>
        <v>12</v>
      </c>
      <c r="R53" s="46">
        <v>12</v>
      </c>
      <c r="S53" s="46">
        <v>12</v>
      </c>
      <c r="T53" s="46">
        <v>12</v>
      </c>
      <c r="U53" s="46">
        <v>12</v>
      </c>
      <c r="V53" s="46">
        <v>12</v>
      </c>
      <c r="W53" s="46">
        <v>12</v>
      </c>
      <c r="X53" s="46">
        <v>12</v>
      </c>
      <c r="Y53" s="46">
        <v>12</v>
      </c>
      <c r="Z53" s="46">
        <v>12</v>
      </c>
      <c r="AA53" s="46">
        <v>12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12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10</v>
      </c>
      <c r="C55" s="46">
        <v>10</v>
      </c>
      <c r="D55" s="46">
        <v>10</v>
      </c>
      <c r="E55" s="46">
        <v>10</v>
      </c>
      <c r="F55" s="46">
        <v>10</v>
      </c>
      <c r="G55" s="46">
        <v>10</v>
      </c>
      <c r="H55" s="46">
        <v>10</v>
      </c>
      <c r="I55" s="46">
        <v>10</v>
      </c>
      <c r="J55" s="46">
        <v>10</v>
      </c>
      <c r="K55" s="46">
        <v>10</v>
      </c>
      <c r="L55" s="46">
        <v>10</v>
      </c>
      <c r="M55" s="46">
        <v>10</v>
      </c>
      <c r="N55" s="46">
        <v>10</v>
      </c>
      <c r="O55" s="46">
        <v>10</v>
      </c>
      <c r="P55" s="46">
        <v>10</v>
      </c>
      <c r="Q55" s="46">
        <v>10</v>
      </c>
      <c r="R55" s="46">
        <v>10</v>
      </c>
      <c r="S55" s="46">
        <v>10</v>
      </c>
      <c r="T55" s="46">
        <v>10</v>
      </c>
      <c r="U55" s="46">
        <v>10</v>
      </c>
      <c r="V55" s="46">
        <v>10</v>
      </c>
      <c r="W55" s="46">
        <v>10</v>
      </c>
      <c r="X55" s="46">
        <v>10</v>
      </c>
      <c r="Y55" s="46">
        <v>10</v>
      </c>
      <c r="Z55" s="46">
        <v>10</v>
      </c>
      <c r="AA55" s="46">
        <v>10</v>
      </c>
      <c r="AB55" s="46">
        <v>10</v>
      </c>
      <c r="AC55" s="46">
        <v>10</v>
      </c>
      <c r="AD55" s="46">
        <v>10</v>
      </c>
      <c r="AE55" s="46">
        <v>10</v>
      </c>
      <c r="AF55" s="46">
        <v>10</v>
      </c>
      <c r="AG55" s="66">
        <v>11</v>
      </c>
      <c r="AH55" s="48">
        <f t="shared" si="2"/>
        <v>10</v>
      </c>
      <c r="AI55" s="49">
        <f t="shared" si="3"/>
        <v>10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8.9</v>
      </c>
      <c r="C56" s="46">
        <v>8.9</v>
      </c>
      <c r="D56" s="46">
        <v>8.9</v>
      </c>
      <c r="E56" s="46">
        <v>8.9</v>
      </c>
      <c r="F56" s="46">
        <v>8.9</v>
      </c>
      <c r="G56" s="46">
        <v>8.9</v>
      </c>
      <c r="H56" s="46">
        <v>8.9</v>
      </c>
      <c r="I56" s="46">
        <v>8.9</v>
      </c>
      <c r="J56" s="46">
        <v>8.9</v>
      </c>
      <c r="K56" s="46">
        <v>8.9</v>
      </c>
      <c r="L56" s="46">
        <v>8.9</v>
      </c>
      <c r="M56" s="46">
        <v>8.9</v>
      </c>
      <c r="N56" s="46">
        <v>8.9</v>
      </c>
      <c r="O56" s="46">
        <v>8.9</v>
      </c>
      <c r="P56" s="46">
        <v>8.9</v>
      </c>
      <c r="Q56" s="46">
        <v>8.9</v>
      </c>
      <c r="R56" s="46">
        <v>8.9</v>
      </c>
      <c r="S56" s="46">
        <v>8.9</v>
      </c>
      <c r="T56" s="46">
        <v>8.9</v>
      </c>
      <c r="U56" s="46">
        <v>8.9</v>
      </c>
      <c r="V56" s="46">
        <v>8.9</v>
      </c>
      <c r="W56" s="46">
        <v>8.9</v>
      </c>
      <c r="X56" s="46">
        <v>8.9</v>
      </c>
      <c r="Y56" s="46">
        <v>8.9</v>
      </c>
      <c r="Z56" s="46">
        <v>8.9</v>
      </c>
      <c r="AA56" s="46">
        <v>8.9</v>
      </c>
      <c r="AB56" s="46">
        <v>8.9</v>
      </c>
      <c r="AC56" s="46">
        <v>8.9</v>
      </c>
      <c r="AD56" s="46">
        <v>8.9</v>
      </c>
      <c r="AE56" s="46">
        <v>8.9</v>
      </c>
      <c r="AF56" s="46">
        <v>8.9</v>
      </c>
      <c r="AG56" s="66">
        <v>11</v>
      </c>
      <c r="AH56" s="48">
        <f t="shared" si="2"/>
        <v>8.9</v>
      </c>
      <c r="AI56" s="49">
        <f t="shared" si="3"/>
        <v>8.9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139.5</v>
      </c>
      <c r="C60" s="68">
        <v>139.5</v>
      </c>
      <c r="D60" s="68">
        <v>139.5</v>
      </c>
      <c r="E60" s="68">
        <v>127</v>
      </c>
      <c r="F60" s="68">
        <v>127</v>
      </c>
      <c r="G60" s="68">
        <v>127</v>
      </c>
      <c r="H60" s="68">
        <v>127</v>
      </c>
      <c r="I60" s="68">
        <v>127</v>
      </c>
      <c r="J60" s="68">
        <v>136</v>
      </c>
      <c r="K60" s="68">
        <v>140</v>
      </c>
      <c r="L60" s="68">
        <v>141.80000000000001</v>
      </c>
      <c r="M60" s="68">
        <v>141.80000000000001</v>
      </c>
      <c r="N60" s="68">
        <v>141.80000000000001</v>
      </c>
      <c r="O60" s="68">
        <v>141.80000000000001</v>
      </c>
      <c r="P60" s="68">
        <v>140</v>
      </c>
      <c r="Q60" s="68">
        <v>145.80000000000001</v>
      </c>
      <c r="R60" s="68">
        <v>145.80000000000001</v>
      </c>
      <c r="S60" s="68">
        <v>145.80000000000001</v>
      </c>
      <c r="T60" s="68">
        <v>145.80000000000001</v>
      </c>
      <c r="U60" s="68">
        <v>145.80000000000001</v>
      </c>
      <c r="V60" s="68">
        <v>145.80000000000001</v>
      </c>
      <c r="W60" s="68">
        <v>145.80000000000001</v>
      </c>
      <c r="X60" s="68">
        <v>145.80000000000001</v>
      </c>
      <c r="Y60" s="68">
        <v>145.80000000000001</v>
      </c>
      <c r="Z60" s="68">
        <v>135.80000000000001</v>
      </c>
      <c r="AA60" s="68">
        <v>144.9</v>
      </c>
      <c r="AB60" s="68">
        <v>144.9</v>
      </c>
      <c r="AC60" s="68">
        <v>146.19999999999999</v>
      </c>
      <c r="AD60" s="68">
        <v>147.5</v>
      </c>
      <c r="AE60" s="68">
        <v>163</v>
      </c>
      <c r="AF60" s="68">
        <v>163</v>
      </c>
      <c r="AG60" s="66">
        <v>240</v>
      </c>
      <c r="AH60" s="48">
        <f t="shared" si="2"/>
        <v>163</v>
      </c>
      <c r="AI60" s="49">
        <f t="shared" si="3"/>
        <v>127</v>
      </c>
      <c r="AK60" s="51"/>
    </row>
    <row r="61" spans="1:88" ht="15.75" thickBot="1" x14ac:dyDescent="0.3">
      <c r="A61" s="70" t="s">
        <v>75</v>
      </c>
      <c r="B61" s="71">
        <f>SUM(B11:B59)</f>
        <v>1359.2000000000003</v>
      </c>
      <c r="C61" s="71">
        <f t="shared" ref="C61:AG61" si="20">SUM(C11:C59)</f>
        <v>1359.2000000000003</v>
      </c>
      <c r="D61" s="71">
        <f t="shared" si="20"/>
        <v>1409.2000000000003</v>
      </c>
      <c r="E61" s="71">
        <f t="shared" si="20"/>
        <v>1265.8</v>
      </c>
      <c r="F61" s="71">
        <f t="shared" si="20"/>
        <v>1216</v>
      </c>
      <c r="G61" s="71">
        <f t="shared" si="20"/>
        <v>1270.8</v>
      </c>
      <c r="H61" s="71">
        <f t="shared" ref="H61:I61" si="21">SUM(H11:H59)</f>
        <v>1248.4000000000001</v>
      </c>
      <c r="I61" s="71">
        <f t="shared" si="21"/>
        <v>1248.4000000000001</v>
      </c>
      <c r="J61" s="71">
        <f t="shared" ref="J61:L61" si="22">SUM(J11:J59)</f>
        <v>1257.4000000000001</v>
      </c>
      <c r="K61" s="71">
        <f t="shared" si="22"/>
        <v>1275.3</v>
      </c>
      <c r="L61" s="71">
        <f t="shared" si="22"/>
        <v>1275.3</v>
      </c>
      <c r="M61" s="71">
        <f t="shared" ref="M61:N61" si="23">SUM(M11:M59)</f>
        <v>1314.1</v>
      </c>
      <c r="N61" s="71">
        <f t="shared" si="23"/>
        <v>1381.7</v>
      </c>
      <c r="O61" s="71">
        <f t="shared" ref="O61:P61" si="24">SUM(O11:O59)</f>
        <v>1381.7</v>
      </c>
      <c r="P61" s="71">
        <f t="shared" si="24"/>
        <v>1389.7</v>
      </c>
      <c r="Q61" s="71">
        <f t="shared" ref="Q61:R61" si="25">SUM(Q11:Q59)</f>
        <v>1378</v>
      </c>
      <c r="R61" s="71">
        <f t="shared" si="25"/>
        <v>1376.3000000000002</v>
      </c>
      <c r="S61" s="71">
        <f t="shared" si="20"/>
        <v>1321.2</v>
      </c>
      <c r="T61" s="71">
        <f t="shared" si="20"/>
        <v>1307.3</v>
      </c>
      <c r="U61" s="71">
        <f t="shared" ref="U61:V61" si="26">SUM(U11:U59)</f>
        <v>1284</v>
      </c>
      <c r="V61" s="71">
        <f t="shared" si="26"/>
        <v>1324.5</v>
      </c>
      <c r="W61" s="71">
        <f t="shared" ref="W61:X61" si="27">SUM(W11:W59)</f>
        <v>1324.5</v>
      </c>
      <c r="X61" s="71">
        <f t="shared" si="27"/>
        <v>1311.5</v>
      </c>
      <c r="Y61" s="71">
        <f t="shared" ref="Y61:Z61" si="28">SUM(Y11:Y59)</f>
        <v>1311.6999999999998</v>
      </c>
      <c r="Z61" s="71">
        <f t="shared" si="28"/>
        <v>1311.5</v>
      </c>
      <c r="AA61" s="71">
        <f t="shared" si="20"/>
        <v>1305.4000000000001</v>
      </c>
      <c r="AB61" s="71">
        <f t="shared" ref="AB61:AC61" si="29">SUM(AB11:AB59)</f>
        <v>1305.4000000000001</v>
      </c>
      <c r="AC61" s="71">
        <f t="shared" si="29"/>
        <v>1290.8</v>
      </c>
      <c r="AD61" s="71">
        <f t="shared" ref="AD61:AE61" si="30">SUM(AD11:AD59)</f>
        <v>1243.8</v>
      </c>
      <c r="AE61" s="71">
        <f t="shared" si="30"/>
        <v>1198.8000000000002</v>
      </c>
      <c r="AF61" s="71">
        <f t="shared" ref="AF61" si="31">SUM(AF11:AF59)</f>
        <v>1264.6000000000001</v>
      </c>
      <c r="AG61" s="71">
        <f t="shared" si="20"/>
        <v>1466.0300000000002</v>
      </c>
      <c r="AH61" s="48">
        <f t="shared" si="2"/>
        <v>1409.2000000000003</v>
      </c>
      <c r="AI61" s="49">
        <f t="shared" si="3"/>
        <v>1198.8000000000002</v>
      </c>
      <c r="AK61" s="51"/>
    </row>
    <row r="62" spans="1:88" x14ac:dyDescent="0.25">
      <c r="A62" s="73" t="s">
        <v>76</v>
      </c>
      <c r="B62" s="46">
        <v>456</v>
      </c>
      <c r="C62" s="46">
        <v>456</v>
      </c>
      <c r="D62" s="46">
        <v>456</v>
      </c>
      <c r="E62" s="46">
        <v>456</v>
      </c>
      <c r="F62" s="46">
        <v>456</v>
      </c>
      <c r="G62" s="46">
        <v>456</v>
      </c>
      <c r="H62" s="46">
        <v>456</v>
      </c>
      <c r="I62" s="46">
        <v>456</v>
      </c>
      <c r="J62" s="46">
        <v>456</v>
      </c>
      <c r="K62" s="46">
        <v>456</v>
      </c>
      <c r="L62" s="46">
        <v>456</v>
      </c>
      <c r="M62" s="46">
        <v>456</v>
      </c>
      <c r="N62" s="46">
        <v>456</v>
      </c>
      <c r="O62" s="46">
        <v>456</v>
      </c>
      <c r="P62" s="46">
        <v>456</v>
      </c>
      <c r="Q62" s="46">
        <v>456</v>
      </c>
      <c r="R62" s="46">
        <v>456</v>
      </c>
      <c r="S62" s="46">
        <v>456</v>
      </c>
      <c r="T62" s="46">
        <v>456</v>
      </c>
      <c r="U62" s="46">
        <v>456</v>
      </c>
      <c r="V62" s="46">
        <v>456</v>
      </c>
      <c r="W62" s="46">
        <v>456</v>
      </c>
      <c r="X62" s="46">
        <v>456</v>
      </c>
      <c r="Y62" s="46">
        <v>456</v>
      </c>
      <c r="Z62" s="46">
        <v>456</v>
      </c>
      <c r="AA62" s="46">
        <v>456</v>
      </c>
      <c r="AB62" s="46">
        <v>456</v>
      </c>
      <c r="AC62" s="46">
        <v>456</v>
      </c>
      <c r="AD62" s="46">
        <v>456</v>
      </c>
      <c r="AE62" s="46">
        <v>456</v>
      </c>
      <c r="AF62" s="46">
        <v>456</v>
      </c>
      <c r="AG62" s="61">
        <v>456</v>
      </c>
      <c r="AH62" s="48">
        <f t="shared" si="2"/>
        <v>456</v>
      </c>
      <c r="AI62" s="49">
        <f t="shared" si="3"/>
        <v>456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</v>
      </c>
      <c r="F64" s="78">
        <v>22</v>
      </c>
      <c r="G64" s="78">
        <v>22</v>
      </c>
      <c r="H64" s="78">
        <v>22</v>
      </c>
      <c r="I64" s="78">
        <v>22</v>
      </c>
      <c r="J64" s="78">
        <v>22</v>
      </c>
      <c r="K64" s="78">
        <v>22</v>
      </c>
      <c r="L64" s="78">
        <v>22</v>
      </c>
      <c r="M64" s="78">
        <v>22</v>
      </c>
      <c r="N64" s="78">
        <v>22</v>
      </c>
      <c r="O64" s="78">
        <v>22</v>
      </c>
      <c r="P64" s="78">
        <v>22</v>
      </c>
      <c r="Q64" s="78">
        <v>22</v>
      </c>
      <c r="R64" s="78">
        <v>22</v>
      </c>
      <c r="S64" s="78">
        <v>22</v>
      </c>
      <c r="T64" s="78">
        <v>22</v>
      </c>
      <c r="U64" s="78">
        <v>22</v>
      </c>
      <c r="V64" s="78">
        <v>22</v>
      </c>
      <c r="W64" s="78">
        <v>22</v>
      </c>
      <c r="X64" s="78">
        <v>22</v>
      </c>
      <c r="Y64" s="78">
        <v>22</v>
      </c>
      <c r="Z64" s="78">
        <v>22</v>
      </c>
      <c r="AA64" s="78">
        <v>22</v>
      </c>
      <c r="AB64" s="78">
        <v>22</v>
      </c>
      <c r="AC64" s="78">
        <v>22</v>
      </c>
      <c r="AD64" s="78">
        <v>22</v>
      </c>
      <c r="AE64" s="78">
        <v>22</v>
      </c>
      <c r="AF64" s="78">
        <v>22</v>
      </c>
      <c r="AG64" s="79">
        <v>22.1</v>
      </c>
      <c r="AH64" s="48">
        <f t="shared" si="2"/>
        <v>22.6</v>
      </c>
      <c r="AI64" s="49">
        <f t="shared" si="3"/>
        <v>22</v>
      </c>
      <c r="AK64" s="51"/>
    </row>
    <row r="65" spans="1:75" ht="15.75" thickBot="1" x14ac:dyDescent="0.3">
      <c r="A65" s="80" t="s">
        <v>79</v>
      </c>
      <c r="B65" s="71">
        <f t="shared" ref="B65:AG65" si="32">SUM(B62:B64)</f>
        <v>538.6</v>
      </c>
      <c r="C65" s="71">
        <f t="shared" si="32"/>
        <v>538.6</v>
      </c>
      <c r="D65" s="71">
        <f t="shared" si="32"/>
        <v>538.6</v>
      </c>
      <c r="E65" s="71">
        <f t="shared" si="32"/>
        <v>538</v>
      </c>
      <c r="F65" s="71">
        <f t="shared" ref="F65" si="33">SUM(F62:F64)</f>
        <v>538</v>
      </c>
      <c r="G65" s="71">
        <f t="shared" si="32"/>
        <v>538</v>
      </c>
      <c r="H65" s="71">
        <f t="shared" ref="H65:I65" si="34">SUM(H62:H64)</f>
        <v>538</v>
      </c>
      <c r="I65" s="71">
        <f t="shared" si="34"/>
        <v>538</v>
      </c>
      <c r="J65" s="71">
        <f t="shared" ref="J65:L65" si="35">SUM(J62:J64)</f>
        <v>538</v>
      </c>
      <c r="K65" s="71">
        <f t="shared" si="35"/>
        <v>538</v>
      </c>
      <c r="L65" s="71">
        <f t="shared" si="35"/>
        <v>538</v>
      </c>
      <c r="M65" s="71">
        <f t="shared" ref="M65:N65" si="36">SUM(M62:M64)</f>
        <v>538</v>
      </c>
      <c r="N65" s="71">
        <f t="shared" si="36"/>
        <v>538</v>
      </c>
      <c r="O65" s="71">
        <f t="shared" ref="O65:P65" si="37">SUM(O62:O64)</f>
        <v>538</v>
      </c>
      <c r="P65" s="71">
        <f t="shared" si="37"/>
        <v>538</v>
      </c>
      <c r="Q65" s="71">
        <f t="shared" ref="Q65:R65" si="38">SUM(Q62:Q64)</f>
        <v>538</v>
      </c>
      <c r="R65" s="71">
        <f t="shared" si="38"/>
        <v>538</v>
      </c>
      <c r="S65" s="71">
        <f t="shared" si="32"/>
        <v>538</v>
      </c>
      <c r="T65" s="71">
        <f t="shared" si="32"/>
        <v>538</v>
      </c>
      <c r="U65" s="71">
        <f t="shared" ref="U65:V65" si="39">SUM(U62:U64)</f>
        <v>538</v>
      </c>
      <c r="V65" s="71">
        <f t="shared" si="39"/>
        <v>538</v>
      </c>
      <c r="W65" s="71">
        <f t="shared" ref="W65:X65" si="40">SUM(W62:W64)</f>
        <v>538</v>
      </c>
      <c r="X65" s="71">
        <f t="shared" si="40"/>
        <v>538</v>
      </c>
      <c r="Y65" s="71">
        <f t="shared" ref="Y65:Z65" si="41">SUM(Y62:Y64)</f>
        <v>538</v>
      </c>
      <c r="Z65" s="71">
        <f t="shared" si="41"/>
        <v>538</v>
      </c>
      <c r="AA65" s="71">
        <f t="shared" si="32"/>
        <v>538</v>
      </c>
      <c r="AB65" s="71">
        <f t="shared" ref="AB65:AC65" si="42">SUM(AB62:AB64)</f>
        <v>538</v>
      </c>
      <c r="AC65" s="71">
        <f t="shared" si="42"/>
        <v>538</v>
      </c>
      <c r="AD65" s="71">
        <f t="shared" ref="AD65:AE65" si="43">SUM(AD62:AD64)</f>
        <v>538</v>
      </c>
      <c r="AE65" s="71">
        <f t="shared" si="43"/>
        <v>538</v>
      </c>
      <c r="AF65" s="71">
        <f t="shared" ref="AF65" si="44">SUM(AF62:AF64)</f>
        <v>538</v>
      </c>
      <c r="AG65" s="72">
        <f t="shared" si="32"/>
        <v>538.1</v>
      </c>
      <c r="AH65" s="48">
        <f t="shared" si="2"/>
        <v>538.6</v>
      </c>
      <c r="AI65" s="49">
        <f t="shared" si="3"/>
        <v>538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141</v>
      </c>
      <c r="C66" s="46">
        <v>141</v>
      </c>
      <c r="D66" s="46">
        <v>141</v>
      </c>
      <c r="E66" s="46">
        <v>140.30000000000001</v>
      </c>
      <c r="F66" s="46">
        <v>140.30000000000001</v>
      </c>
      <c r="G66" s="46">
        <v>140.30000000000001</v>
      </c>
      <c r="H66" s="46">
        <v>140.30000000000001</v>
      </c>
      <c r="I66" s="46">
        <v>140.30000000000001</v>
      </c>
      <c r="J66" s="46">
        <v>140.30000000000001</v>
      </c>
      <c r="K66" s="46">
        <v>140.30000000000001</v>
      </c>
      <c r="L66" s="46">
        <v>136.80000000000001</v>
      </c>
      <c r="M66" s="46">
        <v>136.80000000000001</v>
      </c>
      <c r="N66" s="46">
        <v>136.80000000000001</v>
      </c>
      <c r="O66" s="46">
        <v>136.80000000000001</v>
      </c>
      <c r="P66" s="46">
        <v>136.80000000000001</v>
      </c>
      <c r="Q66" s="46">
        <v>136.80000000000001</v>
      </c>
      <c r="R66" s="46">
        <v>136.80000000000001</v>
      </c>
      <c r="S66" s="46">
        <v>136.80000000000001</v>
      </c>
      <c r="T66" s="46">
        <v>136.80000000000001</v>
      </c>
      <c r="U66" s="46">
        <v>136.80000000000001</v>
      </c>
      <c r="V66" s="46">
        <v>136.80000000000001</v>
      </c>
      <c r="W66" s="46">
        <v>136.80000000000001</v>
      </c>
      <c r="X66" s="46">
        <v>136.80000000000001</v>
      </c>
      <c r="Y66" s="46">
        <v>134</v>
      </c>
      <c r="Z66" s="46">
        <v>136.80000000000001</v>
      </c>
      <c r="AA66" s="46">
        <v>138</v>
      </c>
      <c r="AB66" s="46">
        <v>138</v>
      </c>
      <c r="AC66" s="46">
        <v>138</v>
      </c>
      <c r="AD66" s="46">
        <v>138</v>
      </c>
      <c r="AE66" s="46">
        <v>138</v>
      </c>
      <c r="AF66" s="46">
        <v>138</v>
      </c>
      <c r="AG66" s="61">
        <v>144</v>
      </c>
      <c r="AH66" s="48">
        <f t="shared" si="2"/>
        <v>141</v>
      </c>
      <c r="AI66" s="49">
        <f t="shared" si="3"/>
        <v>134</v>
      </c>
      <c r="AK66" s="51"/>
      <c r="AY66" s="1" t="s">
        <v>86</v>
      </c>
      <c r="AZ66" s="82">
        <f>ROUND(C84,0)</f>
        <v>-67</v>
      </c>
      <c r="BA66" s="81">
        <f t="shared" ref="BA66:BD70" si="45">D84</f>
        <v>-63</v>
      </c>
      <c r="BB66" s="81">
        <f t="shared" si="45"/>
        <v>-60</v>
      </c>
      <c r="BC66" s="81">
        <f t="shared" si="45"/>
        <v>-59.4</v>
      </c>
      <c r="BD66" s="81">
        <f t="shared" si="45"/>
        <v>-56.9</v>
      </c>
      <c r="BE66" s="82">
        <f>I84</f>
        <v>-63.5</v>
      </c>
      <c r="BF66" s="82">
        <f>K84</f>
        <v>-66.099999999999994</v>
      </c>
      <c r="BG66" s="82">
        <f t="shared" ref="BG66:BP70" si="46">M84</f>
        <v>-62.5</v>
      </c>
      <c r="BH66" s="82">
        <f t="shared" si="46"/>
        <v>-58</v>
      </c>
      <c r="BI66" s="82">
        <f t="shared" si="46"/>
        <v>-60</v>
      </c>
      <c r="BJ66" s="82">
        <f t="shared" si="46"/>
        <v>-45</v>
      </c>
      <c r="BK66" s="82">
        <f t="shared" si="46"/>
        <v>-45</v>
      </c>
      <c r="BL66" s="82">
        <f t="shared" si="46"/>
        <v>-16</v>
      </c>
      <c r="BM66" s="82">
        <f t="shared" si="46"/>
        <v>-21.1</v>
      </c>
      <c r="BN66" s="82">
        <f t="shared" si="46"/>
        <v>-13.1</v>
      </c>
      <c r="BO66" s="82">
        <f t="shared" si="46"/>
        <v>-5</v>
      </c>
      <c r="BP66" s="82">
        <f t="shared" si="46"/>
        <v>-45</v>
      </c>
      <c r="BQ66" s="82">
        <f>X84</f>
        <v>-47</v>
      </c>
      <c r="BR66" s="82">
        <f>Z84</f>
        <v>-54</v>
      </c>
      <c r="BS66" s="81">
        <f>AB84</f>
        <v>-8</v>
      </c>
      <c r="BT66" s="81">
        <f t="shared" ref="BT66:BV70" si="47">AD84</f>
        <v>-25</v>
      </c>
      <c r="BU66" s="81">
        <f t="shared" si="47"/>
        <v>-44</v>
      </c>
      <c r="BV66" s="81">
        <f t="shared" si="47"/>
        <v>-15</v>
      </c>
      <c r="BW66" s="81">
        <f>B84</f>
        <v>-67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46">
        <v>70</v>
      </c>
      <c r="AB67" s="46">
        <v>70</v>
      </c>
      <c r="AC67" s="46">
        <v>70</v>
      </c>
      <c r="AD67" s="46">
        <v>30</v>
      </c>
      <c r="AE67" s="46">
        <v>0</v>
      </c>
      <c r="AF67" s="46">
        <v>0</v>
      </c>
      <c r="AG67" s="66">
        <v>70</v>
      </c>
      <c r="AH67" s="48">
        <f t="shared" si="2"/>
        <v>70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45"/>
        <v>0</v>
      </c>
      <c r="BB67" s="81">
        <f t="shared" si="45"/>
        <v>0</v>
      </c>
      <c r="BC67" s="81">
        <f t="shared" si="45"/>
        <v>0</v>
      </c>
      <c r="BD67" s="81">
        <f t="shared" si="45"/>
        <v>0</v>
      </c>
      <c r="BE67" s="82">
        <f>I85</f>
        <v>0</v>
      </c>
      <c r="BF67" s="82">
        <f>K85</f>
        <v>0</v>
      </c>
      <c r="BG67" s="82">
        <f t="shared" si="46"/>
        <v>0</v>
      </c>
      <c r="BH67" s="82">
        <f t="shared" si="46"/>
        <v>0</v>
      </c>
      <c r="BI67" s="82">
        <f t="shared" si="46"/>
        <v>0</v>
      </c>
      <c r="BJ67" s="82">
        <f t="shared" si="46"/>
        <v>0</v>
      </c>
      <c r="BK67" s="82">
        <f t="shared" si="46"/>
        <v>0</v>
      </c>
      <c r="BL67" s="82">
        <f t="shared" si="46"/>
        <v>0</v>
      </c>
      <c r="BM67" s="82">
        <f t="shared" si="46"/>
        <v>0</v>
      </c>
      <c r="BN67" s="82">
        <f t="shared" si="46"/>
        <v>0</v>
      </c>
      <c r="BO67" s="82">
        <f t="shared" si="46"/>
        <v>0</v>
      </c>
      <c r="BP67" s="82">
        <f t="shared" si="46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7"/>
        <v>0</v>
      </c>
      <c r="BU67" s="81">
        <f t="shared" si="47"/>
        <v>0</v>
      </c>
      <c r="BV67" s="81">
        <f t="shared" si="47"/>
        <v>0</v>
      </c>
      <c r="BW67" s="81">
        <f>B85</f>
        <v>0</v>
      </c>
    </row>
    <row r="68" spans="1:75" x14ac:dyDescent="0.25">
      <c r="A68" s="65" t="s">
        <v>82</v>
      </c>
      <c r="B68" s="76">
        <v>65.099999999999994</v>
      </c>
      <c r="C68" s="76">
        <v>65.099999999999994</v>
      </c>
      <c r="D68" s="76">
        <v>65.099999999999994</v>
      </c>
      <c r="E68" s="76">
        <v>65.8</v>
      </c>
      <c r="F68" s="76">
        <v>65.8</v>
      </c>
      <c r="G68" s="76">
        <v>65.8</v>
      </c>
      <c r="H68" s="76">
        <v>65.8</v>
      </c>
      <c r="I68" s="76">
        <v>65.8</v>
      </c>
      <c r="J68" s="76">
        <v>65.8</v>
      </c>
      <c r="K68" s="76">
        <v>65.8</v>
      </c>
      <c r="L68" s="76">
        <v>65.8</v>
      </c>
      <c r="M68" s="76">
        <v>65.8</v>
      </c>
      <c r="N68" s="76">
        <v>65.8</v>
      </c>
      <c r="O68" s="76">
        <v>65.8</v>
      </c>
      <c r="P68" s="76">
        <v>65.8</v>
      </c>
      <c r="Q68" s="76">
        <v>65.8</v>
      </c>
      <c r="R68" s="76">
        <v>65.8</v>
      </c>
      <c r="S68" s="76">
        <v>65.8</v>
      </c>
      <c r="T68" s="76">
        <v>65.8</v>
      </c>
      <c r="U68" s="76">
        <v>65.8</v>
      </c>
      <c r="V68" s="76">
        <v>65.8</v>
      </c>
      <c r="W68" s="76">
        <v>65.8</v>
      </c>
      <c r="X68" s="76">
        <v>65.8</v>
      </c>
      <c r="Y68" s="76">
        <v>65.8</v>
      </c>
      <c r="Z68" s="76">
        <v>65.8</v>
      </c>
      <c r="AA68" s="46">
        <v>65.599999999999994</v>
      </c>
      <c r="AB68" s="46">
        <v>65.599999999999994</v>
      </c>
      <c r="AC68" s="46">
        <v>65.599999999999994</v>
      </c>
      <c r="AD68" s="46">
        <v>65.599999999999994</v>
      </c>
      <c r="AE68" s="46">
        <v>65.599999999999994</v>
      </c>
      <c r="AF68" s="46">
        <v>65.599999999999994</v>
      </c>
      <c r="AG68" s="66">
        <v>69</v>
      </c>
      <c r="AH68" s="48">
        <f t="shared" si="2"/>
        <v>65.8</v>
      </c>
      <c r="AI68" s="49">
        <f t="shared" si="3"/>
        <v>65.099999999999994</v>
      </c>
      <c r="AK68" s="51"/>
      <c r="AL68" s="83"/>
      <c r="AO68" s="83"/>
      <c r="AY68" s="1" t="s">
        <v>90</v>
      </c>
      <c r="AZ68" s="82">
        <f>ROUND(C86,0)</f>
        <v>-571</v>
      </c>
      <c r="BA68" s="81">
        <f t="shared" si="45"/>
        <v>-639</v>
      </c>
      <c r="BB68" s="81">
        <f t="shared" si="45"/>
        <v>-625</v>
      </c>
      <c r="BC68" s="81">
        <f t="shared" si="45"/>
        <v>-626</v>
      </c>
      <c r="BD68" s="81">
        <f t="shared" si="45"/>
        <v>-701</v>
      </c>
      <c r="BE68" s="82">
        <f>I86</f>
        <v>-680</v>
      </c>
      <c r="BF68" s="82">
        <f>K86</f>
        <v>-557</v>
      </c>
      <c r="BG68" s="82">
        <f t="shared" si="46"/>
        <v>-565</v>
      </c>
      <c r="BH68" s="82">
        <f t="shared" si="46"/>
        <v>-625</v>
      </c>
      <c r="BI68" s="82">
        <f t="shared" si="46"/>
        <v>-600</v>
      </c>
      <c r="BJ68" s="82">
        <f t="shared" si="46"/>
        <v>-602</v>
      </c>
      <c r="BK68" s="82">
        <f t="shared" si="46"/>
        <v>-602</v>
      </c>
      <c r="BL68" s="82">
        <f t="shared" si="46"/>
        <v>-640</v>
      </c>
      <c r="BM68" s="82">
        <f t="shared" si="46"/>
        <v>-558.9</v>
      </c>
      <c r="BN68" s="82">
        <f t="shared" si="46"/>
        <v>-546.4</v>
      </c>
      <c r="BO68" s="82">
        <f t="shared" si="46"/>
        <v>-575</v>
      </c>
      <c r="BP68" s="82">
        <f t="shared" si="46"/>
        <v>-574</v>
      </c>
      <c r="BQ68" s="82">
        <f>X86</f>
        <v>-540</v>
      </c>
      <c r="BR68" s="82">
        <f>Z86</f>
        <v>-530</v>
      </c>
      <c r="BS68" s="81">
        <f>AB86</f>
        <v>-445</v>
      </c>
      <c r="BT68" s="81">
        <f t="shared" si="47"/>
        <v>-514</v>
      </c>
      <c r="BU68" s="81">
        <f t="shared" si="47"/>
        <v>-616</v>
      </c>
      <c r="BV68" s="81">
        <f t="shared" si="47"/>
        <v>-575</v>
      </c>
      <c r="BW68" s="81">
        <f>B86</f>
        <v>-571</v>
      </c>
    </row>
    <row r="69" spans="1:75" s="83" customFormat="1" x14ac:dyDescent="0.25">
      <c r="A69" s="65" t="s">
        <v>83</v>
      </c>
      <c r="B69" s="76">
        <v>60.4</v>
      </c>
      <c r="C69" s="76">
        <v>60.4</v>
      </c>
      <c r="D69" s="76">
        <v>60.4</v>
      </c>
      <c r="E69" s="76">
        <v>60.4</v>
      </c>
      <c r="F69" s="76">
        <v>60.4</v>
      </c>
      <c r="G69" s="76">
        <v>60.4</v>
      </c>
      <c r="H69" s="76">
        <v>60.4</v>
      </c>
      <c r="I69" s="76">
        <v>60.4</v>
      </c>
      <c r="J69" s="76">
        <v>60.4</v>
      </c>
      <c r="K69" s="76">
        <v>60.4</v>
      </c>
      <c r="L69" s="76">
        <v>60.4</v>
      </c>
      <c r="M69" s="76">
        <v>60.4</v>
      </c>
      <c r="N69" s="76">
        <v>60.4</v>
      </c>
      <c r="O69" s="76">
        <v>60.4</v>
      </c>
      <c r="P69" s="76">
        <v>30.6</v>
      </c>
      <c r="Q69" s="76">
        <v>30.6</v>
      </c>
      <c r="R69" s="76">
        <v>30.6</v>
      </c>
      <c r="S69" s="76">
        <v>30.6</v>
      </c>
      <c r="T69" s="76">
        <v>30.6</v>
      </c>
      <c r="U69" s="76">
        <v>30.6</v>
      </c>
      <c r="V69" s="76">
        <v>30.6</v>
      </c>
      <c r="W69" s="76">
        <v>30.6</v>
      </c>
      <c r="X69" s="76">
        <v>30.6</v>
      </c>
      <c r="Y69" s="76">
        <v>30.6</v>
      </c>
      <c r="Z69" s="76">
        <v>30.6</v>
      </c>
      <c r="AA69" s="76">
        <v>30.6</v>
      </c>
      <c r="AB69" s="76">
        <v>30.6</v>
      </c>
      <c r="AC69" s="76">
        <v>30.6</v>
      </c>
      <c r="AD69" s="76">
        <v>0</v>
      </c>
      <c r="AE69" s="76">
        <v>60</v>
      </c>
      <c r="AF69" s="76">
        <v>60</v>
      </c>
      <c r="AG69" s="66">
        <v>60</v>
      </c>
      <c r="AH69" s="48">
        <f t="shared" si="2"/>
        <v>60.4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45"/>
        <v>0</v>
      </c>
      <c r="BB69" s="81">
        <f t="shared" si="45"/>
        <v>0</v>
      </c>
      <c r="BC69" s="81">
        <f t="shared" si="45"/>
        <v>0</v>
      </c>
      <c r="BD69" s="81">
        <f t="shared" si="45"/>
        <v>0</v>
      </c>
      <c r="BE69" s="82">
        <f>I87</f>
        <v>0</v>
      </c>
      <c r="BF69" s="82">
        <f>K87</f>
        <v>0</v>
      </c>
      <c r="BG69" s="82">
        <f t="shared" si="46"/>
        <v>0</v>
      </c>
      <c r="BH69" s="82">
        <f t="shared" si="46"/>
        <v>0</v>
      </c>
      <c r="BI69" s="82">
        <f t="shared" si="46"/>
        <v>0</v>
      </c>
      <c r="BJ69" s="82">
        <f t="shared" si="46"/>
        <v>0</v>
      </c>
      <c r="BK69" s="82">
        <f t="shared" si="46"/>
        <v>0</v>
      </c>
      <c r="BL69" s="82">
        <f t="shared" si="46"/>
        <v>0</v>
      </c>
      <c r="BM69" s="82">
        <f t="shared" si="46"/>
        <v>0</v>
      </c>
      <c r="BN69" s="82">
        <f t="shared" si="46"/>
        <v>0</v>
      </c>
      <c r="BO69" s="82">
        <f t="shared" si="46"/>
        <v>0</v>
      </c>
      <c r="BP69" s="82">
        <f t="shared" si="46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7"/>
        <v>0</v>
      </c>
      <c r="BU69" s="81">
        <f t="shared" si="47"/>
        <v>0</v>
      </c>
      <c r="BV69" s="81">
        <f t="shared" si="47"/>
        <v>0</v>
      </c>
      <c r="BW69" s="81">
        <f>B87</f>
        <v>0</v>
      </c>
    </row>
    <row r="70" spans="1:75" x14ac:dyDescent="0.25">
      <c r="A70" s="65" t="s">
        <v>84</v>
      </c>
      <c r="B70" s="46">
        <v>27.5</v>
      </c>
      <c r="C70" s="46">
        <v>27.5</v>
      </c>
      <c r="D70" s="46">
        <v>27.5</v>
      </c>
      <c r="E70" s="76">
        <v>27.9</v>
      </c>
      <c r="F70" s="76">
        <v>27.9</v>
      </c>
      <c r="G70" s="76">
        <v>27.9</v>
      </c>
      <c r="H70" s="76">
        <v>27.9</v>
      </c>
      <c r="I70" s="76">
        <v>27.9</v>
      </c>
      <c r="J70" s="76">
        <v>27.9</v>
      </c>
      <c r="K70" s="76">
        <v>27.9</v>
      </c>
      <c r="L70" s="76">
        <v>27.1</v>
      </c>
      <c r="M70" s="76">
        <v>27.1</v>
      </c>
      <c r="N70" s="76">
        <v>21.2</v>
      </c>
      <c r="O70" s="76">
        <v>21.2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14</v>
      </c>
      <c r="V70" s="76">
        <v>14</v>
      </c>
      <c r="W70" s="76">
        <v>14</v>
      </c>
      <c r="X70" s="76">
        <v>14</v>
      </c>
      <c r="Y70" s="76">
        <v>0</v>
      </c>
      <c r="Z70" s="76">
        <v>0</v>
      </c>
      <c r="AA70" s="46">
        <v>14.5</v>
      </c>
      <c r="AB70" s="46">
        <v>14.5</v>
      </c>
      <c r="AC70" s="46">
        <v>28</v>
      </c>
      <c r="AD70" s="46">
        <v>28</v>
      </c>
      <c r="AE70" s="46">
        <v>28</v>
      </c>
      <c r="AF70" s="46">
        <v>28</v>
      </c>
      <c r="AG70" s="66">
        <v>30</v>
      </c>
      <c r="AH70" s="48">
        <f t="shared" si="2"/>
        <v>28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45"/>
        <v>0</v>
      </c>
      <c r="BB70" s="81">
        <f t="shared" si="45"/>
        <v>0</v>
      </c>
      <c r="BC70" s="81">
        <f t="shared" si="45"/>
        <v>0</v>
      </c>
      <c r="BD70" s="81">
        <f t="shared" si="45"/>
        <v>0</v>
      </c>
      <c r="BE70" s="82">
        <f>I88</f>
        <v>0</v>
      </c>
      <c r="BF70" s="82">
        <f>K88</f>
        <v>0</v>
      </c>
      <c r="BG70" s="82">
        <f t="shared" si="46"/>
        <v>0</v>
      </c>
      <c r="BH70" s="82">
        <f t="shared" si="46"/>
        <v>0</v>
      </c>
      <c r="BI70" s="82">
        <f t="shared" si="46"/>
        <v>0</v>
      </c>
      <c r="BJ70" s="82">
        <f t="shared" si="46"/>
        <v>0</v>
      </c>
      <c r="BK70" s="82">
        <f t="shared" si="46"/>
        <v>0</v>
      </c>
      <c r="BL70" s="82">
        <f t="shared" si="46"/>
        <v>0</v>
      </c>
      <c r="BM70" s="82">
        <f t="shared" si="46"/>
        <v>0</v>
      </c>
      <c r="BN70" s="82">
        <f t="shared" si="46"/>
        <v>0</v>
      </c>
      <c r="BO70" s="82">
        <f t="shared" si="46"/>
        <v>0</v>
      </c>
      <c r="BP70" s="82">
        <f t="shared" si="46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7"/>
        <v>0</v>
      </c>
      <c r="BU70" s="81">
        <f t="shared" si="47"/>
        <v>0</v>
      </c>
      <c r="BV70" s="81">
        <f t="shared" si="47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0.8</v>
      </c>
      <c r="K71" s="46">
        <v>1.2</v>
      </c>
      <c r="L71" s="46">
        <v>2.7</v>
      </c>
      <c r="M71" s="46">
        <v>2.7</v>
      </c>
      <c r="N71" s="46">
        <v>6</v>
      </c>
      <c r="O71" s="46">
        <v>6</v>
      </c>
      <c r="P71" s="46">
        <v>6</v>
      </c>
      <c r="Q71" s="46">
        <v>3.2</v>
      </c>
      <c r="R71" s="46">
        <v>2.9</v>
      </c>
      <c r="S71" s="46">
        <v>5.2</v>
      </c>
      <c r="T71" s="46">
        <v>5.2</v>
      </c>
      <c r="U71" s="46">
        <v>5.2</v>
      </c>
      <c r="V71" s="46">
        <v>5.2</v>
      </c>
      <c r="W71" s="46">
        <v>5.2</v>
      </c>
      <c r="X71" s="46"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6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8">M94</f>
        <v>0</v>
      </c>
      <c r="BH71" s="82">
        <f t="shared" si="48"/>
        <v>0</v>
      </c>
      <c r="BI71" s="82">
        <f t="shared" si="48"/>
        <v>0</v>
      </c>
      <c r="BJ71" s="82">
        <f t="shared" si="48"/>
        <v>0</v>
      </c>
      <c r="BK71" s="82">
        <f t="shared" si="48"/>
        <v>0</v>
      </c>
      <c r="BL71" s="82">
        <f t="shared" si="48"/>
        <v>0</v>
      </c>
      <c r="BM71" s="82">
        <f t="shared" si="48"/>
        <v>0</v>
      </c>
      <c r="BN71" s="82">
        <f t="shared" si="48"/>
        <v>0</v>
      </c>
      <c r="BO71" s="82">
        <f t="shared" si="48"/>
        <v>0</v>
      </c>
      <c r="BP71" s="82">
        <f t="shared" si="48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11.9</v>
      </c>
      <c r="C72" s="76">
        <v>11.9</v>
      </c>
      <c r="D72" s="76">
        <v>11.9</v>
      </c>
      <c r="E72" s="76">
        <v>10.4</v>
      </c>
      <c r="F72" s="76">
        <v>10.4</v>
      </c>
      <c r="G72" s="76">
        <v>10.4</v>
      </c>
      <c r="H72" s="76">
        <v>10.4</v>
      </c>
      <c r="I72" s="76">
        <v>10.4</v>
      </c>
      <c r="J72" s="76">
        <v>10.4</v>
      </c>
      <c r="K72" s="76">
        <v>10.4</v>
      </c>
      <c r="L72" s="76">
        <v>10.4</v>
      </c>
      <c r="M72" s="76">
        <v>10.4</v>
      </c>
      <c r="N72" s="76">
        <v>10.4</v>
      </c>
      <c r="O72" s="76">
        <v>10.4</v>
      </c>
      <c r="P72" s="76">
        <v>10.4</v>
      </c>
      <c r="Q72" s="76">
        <v>10.4</v>
      </c>
      <c r="R72" s="76">
        <v>10.4</v>
      </c>
      <c r="S72" s="76">
        <v>10.4</v>
      </c>
      <c r="T72" s="76">
        <v>10.4</v>
      </c>
      <c r="U72" s="76">
        <v>11.5</v>
      </c>
      <c r="V72" s="76">
        <v>11.5</v>
      </c>
      <c r="W72" s="76">
        <v>11.5</v>
      </c>
      <c r="X72" s="76">
        <v>11.5</v>
      </c>
      <c r="Y72" s="76">
        <v>11.5</v>
      </c>
      <c r="Z72" s="76">
        <v>11.5</v>
      </c>
      <c r="AA72" s="76">
        <v>11.5</v>
      </c>
      <c r="AB72" s="76">
        <v>11.5</v>
      </c>
      <c r="AC72" s="76">
        <v>11.5</v>
      </c>
      <c r="AD72" s="76">
        <v>11.5</v>
      </c>
      <c r="AE72" s="76">
        <v>11.5</v>
      </c>
      <c r="AF72" s="76">
        <v>11.5</v>
      </c>
      <c r="AG72" s="66">
        <v>24</v>
      </c>
      <c r="AH72" s="48">
        <f t="shared" si="2"/>
        <v>11.9</v>
      </c>
      <c r="AI72" s="49">
        <f t="shared" si="3"/>
        <v>10.4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4.4000000000000004</v>
      </c>
      <c r="T73" s="76">
        <v>4.4000000000000004</v>
      </c>
      <c r="U73" s="76">
        <v>4.4000000000000004</v>
      </c>
      <c r="V73" s="76">
        <v>4.4000000000000004</v>
      </c>
      <c r="W73" s="76">
        <v>4.4000000000000004</v>
      </c>
      <c r="X73" s="76">
        <v>4.4000000000000004</v>
      </c>
      <c r="Y73" s="76">
        <v>4.4000000000000004</v>
      </c>
      <c r="Z73" s="76">
        <v>4.4000000000000004</v>
      </c>
      <c r="AA73" s="76">
        <v>4.4000000000000004</v>
      </c>
      <c r="AB73" s="76">
        <v>4.4000000000000004</v>
      </c>
      <c r="AC73" s="76">
        <v>4.4000000000000004</v>
      </c>
      <c r="AD73" s="76">
        <v>4.4000000000000004</v>
      </c>
      <c r="AE73" s="76">
        <v>4.4000000000000004</v>
      </c>
      <c r="AF73" s="76">
        <v>4.4000000000000004</v>
      </c>
      <c r="AG73" s="66">
        <v>15</v>
      </c>
      <c r="AH73" s="48">
        <f t="shared" si="2"/>
        <v>4.4000000000000004</v>
      </c>
      <c r="AI73" s="49">
        <f t="shared" si="3"/>
        <v>0</v>
      </c>
      <c r="AK73" s="51"/>
      <c r="AZ73" s="82">
        <f t="shared" ref="AZ73:BW78" si="49">VALUE(AZ66)</f>
        <v>-67</v>
      </c>
      <c r="BA73" s="82">
        <f t="shared" si="49"/>
        <v>-63</v>
      </c>
      <c r="BB73" s="82">
        <f t="shared" si="49"/>
        <v>-60</v>
      </c>
      <c r="BC73" s="82">
        <f t="shared" si="49"/>
        <v>-59.4</v>
      </c>
      <c r="BD73" s="82">
        <f t="shared" si="49"/>
        <v>-56.9</v>
      </c>
      <c r="BE73" s="82">
        <f t="shared" si="49"/>
        <v>-63.5</v>
      </c>
      <c r="BF73" s="82">
        <f t="shared" si="49"/>
        <v>-66.099999999999994</v>
      </c>
      <c r="BG73" s="82">
        <f t="shared" si="49"/>
        <v>-62.5</v>
      </c>
      <c r="BH73" s="82">
        <f t="shared" si="49"/>
        <v>-58</v>
      </c>
      <c r="BI73" s="82">
        <f t="shared" si="49"/>
        <v>-60</v>
      </c>
      <c r="BJ73" s="82">
        <f t="shared" si="49"/>
        <v>-45</v>
      </c>
      <c r="BK73" s="82">
        <f t="shared" si="49"/>
        <v>-45</v>
      </c>
      <c r="BL73" s="82">
        <f t="shared" si="49"/>
        <v>-16</v>
      </c>
      <c r="BM73" s="82">
        <f t="shared" si="49"/>
        <v>-21.1</v>
      </c>
      <c r="BN73" s="82">
        <f t="shared" si="49"/>
        <v>-13.1</v>
      </c>
      <c r="BO73" s="82">
        <f t="shared" si="49"/>
        <v>-5</v>
      </c>
      <c r="BP73" s="82">
        <f t="shared" si="49"/>
        <v>-45</v>
      </c>
      <c r="BQ73" s="82">
        <f t="shared" si="49"/>
        <v>-47</v>
      </c>
      <c r="BR73" s="82">
        <f t="shared" si="49"/>
        <v>-54</v>
      </c>
      <c r="BS73" s="82">
        <f t="shared" si="49"/>
        <v>-8</v>
      </c>
      <c r="BT73" s="82">
        <f t="shared" si="49"/>
        <v>-25</v>
      </c>
      <c r="BU73" s="82">
        <f t="shared" si="49"/>
        <v>-44</v>
      </c>
      <c r="BV73" s="82">
        <f t="shared" si="49"/>
        <v>-15</v>
      </c>
      <c r="BW73" s="82">
        <f t="shared" si="49"/>
        <v>-67</v>
      </c>
    </row>
    <row r="74" spans="1:75" x14ac:dyDescent="0.25">
      <c r="A74" s="65" t="s">
        <v>91</v>
      </c>
      <c r="B74" s="76">
        <v>8.6</v>
      </c>
      <c r="C74" s="76">
        <v>8.6</v>
      </c>
      <c r="D74" s="76">
        <v>8.6</v>
      </c>
      <c r="E74" s="76">
        <v>9.8000000000000007</v>
      </c>
      <c r="F74" s="76">
        <v>9.8000000000000007</v>
      </c>
      <c r="G74" s="76">
        <v>9.8000000000000007</v>
      </c>
      <c r="H74" s="76">
        <v>9.8000000000000007</v>
      </c>
      <c r="I74" s="76">
        <v>9.8000000000000007</v>
      </c>
      <c r="J74" s="76">
        <v>9.8000000000000007</v>
      </c>
      <c r="K74" s="76">
        <v>9.8000000000000007</v>
      </c>
      <c r="L74" s="76">
        <v>9.8000000000000007</v>
      </c>
      <c r="M74" s="76">
        <v>9.8000000000000007</v>
      </c>
      <c r="N74" s="76">
        <v>9.8000000000000007</v>
      </c>
      <c r="O74" s="76">
        <v>9.8000000000000007</v>
      </c>
      <c r="P74" s="76">
        <v>9.8000000000000007</v>
      </c>
      <c r="Q74" s="76">
        <v>9.8000000000000007</v>
      </c>
      <c r="R74" s="76">
        <v>9.8000000000000007</v>
      </c>
      <c r="S74" s="76">
        <v>9.8000000000000007</v>
      </c>
      <c r="T74" s="76">
        <v>9.8000000000000007</v>
      </c>
      <c r="U74" s="76">
        <v>8.8000000000000007</v>
      </c>
      <c r="V74" s="76">
        <v>8.8000000000000007</v>
      </c>
      <c r="W74" s="76">
        <v>8.8000000000000007</v>
      </c>
      <c r="X74" s="76">
        <v>8.8000000000000007</v>
      </c>
      <c r="Y74" s="76">
        <v>8.8000000000000007</v>
      </c>
      <c r="Z74" s="76">
        <v>8.8000000000000007</v>
      </c>
      <c r="AA74" s="76">
        <v>8.8000000000000007</v>
      </c>
      <c r="AB74" s="76">
        <v>8.8000000000000007</v>
      </c>
      <c r="AC74" s="76">
        <v>8.8000000000000007</v>
      </c>
      <c r="AD74" s="76">
        <v>8.8000000000000007</v>
      </c>
      <c r="AE74" s="76">
        <v>8.8000000000000007</v>
      </c>
      <c r="AF74" s="76">
        <v>8.8000000000000007</v>
      </c>
      <c r="AG74" s="66">
        <v>14.1</v>
      </c>
      <c r="AH74" s="48">
        <f t="shared" si="2"/>
        <v>9.8000000000000007</v>
      </c>
      <c r="AI74" s="49">
        <f t="shared" si="3"/>
        <v>8.6</v>
      </c>
      <c r="AK74" s="51"/>
      <c r="AZ74" s="82">
        <f t="shared" si="49"/>
        <v>0</v>
      </c>
      <c r="BA74" s="82">
        <f t="shared" si="49"/>
        <v>0</v>
      </c>
      <c r="BB74" s="82">
        <f t="shared" si="49"/>
        <v>0</v>
      </c>
      <c r="BC74" s="82">
        <f t="shared" si="49"/>
        <v>0</v>
      </c>
      <c r="BD74" s="82">
        <f t="shared" si="49"/>
        <v>0</v>
      </c>
      <c r="BE74" s="82">
        <f t="shared" si="49"/>
        <v>0</v>
      </c>
      <c r="BF74" s="82">
        <f t="shared" si="49"/>
        <v>0</v>
      </c>
      <c r="BG74" s="82">
        <f t="shared" si="49"/>
        <v>0</v>
      </c>
      <c r="BH74" s="82">
        <f t="shared" si="49"/>
        <v>0</v>
      </c>
      <c r="BI74" s="82">
        <f t="shared" si="49"/>
        <v>0</v>
      </c>
      <c r="BJ74" s="82">
        <f t="shared" si="49"/>
        <v>0</v>
      </c>
      <c r="BK74" s="82">
        <f t="shared" si="49"/>
        <v>0</v>
      </c>
      <c r="BL74" s="82">
        <f t="shared" si="49"/>
        <v>0</v>
      </c>
      <c r="BM74" s="82">
        <f t="shared" si="49"/>
        <v>0</v>
      </c>
      <c r="BN74" s="82">
        <f t="shared" si="49"/>
        <v>0</v>
      </c>
      <c r="BO74" s="82">
        <f t="shared" si="49"/>
        <v>0</v>
      </c>
      <c r="BP74" s="82">
        <f t="shared" si="49"/>
        <v>0</v>
      </c>
      <c r="BQ74" s="82">
        <f t="shared" si="49"/>
        <v>0</v>
      </c>
      <c r="BR74" s="82">
        <f t="shared" si="49"/>
        <v>0</v>
      </c>
      <c r="BS74" s="82">
        <f t="shared" si="49"/>
        <v>0</v>
      </c>
      <c r="BT74" s="82">
        <f t="shared" si="49"/>
        <v>0</v>
      </c>
      <c r="BU74" s="82">
        <f t="shared" si="49"/>
        <v>0</v>
      </c>
      <c r="BV74" s="82">
        <f t="shared" si="49"/>
        <v>0</v>
      </c>
      <c r="BW74" s="82">
        <f t="shared" si="49"/>
        <v>0</v>
      </c>
    </row>
    <row r="75" spans="1:75" x14ac:dyDescent="0.25">
      <c r="A75" s="84" t="s">
        <v>93</v>
      </c>
      <c r="B75" s="76">
        <v>14</v>
      </c>
      <c r="C75" s="76">
        <v>14</v>
      </c>
      <c r="D75" s="76">
        <v>14</v>
      </c>
      <c r="E75" s="76">
        <v>14.2</v>
      </c>
      <c r="F75" s="76">
        <v>14.2</v>
      </c>
      <c r="G75" s="76">
        <v>14.2</v>
      </c>
      <c r="H75" s="76">
        <v>14.2</v>
      </c>
      <c r="I75" s="76">
        <v>14.2</v>
      </c>
      <c r="J75" s="76">
        <v>14.2</v>
      </c>
      <c r="K75" s="76">
        <v>14.2</v>
      </c>
      <c r="L75" s="76">
        <v>14.2</v>
      </c>
      <c r="M75" s="76">
        <v>14.2</v>
      </c>
      <c r="N75" s="76">
        <v>14.2</v>
      </c>
      <c r="O75" s="76">
        <v>14.2</v>
      </c>
      <c r="P75" s="76">
        <v>14.2</v>
      </c>
      <c r="Q75" s="76">
        <v>7.4</v>
      </c>
      <c r="R75" s="76">
        <v>7.4</v>
      </c>
      <c r="S75" s="76">
        <v>7.4</v>
      </c>
      <c r="T75" s="76">
        <v>7.4</v>
      </c>
      <c r="U75" s="76">
        <v>7.4</v>
      </c>
      <c r="V75" s="76">
        <v>7.4</v>
      </c>
      <c r="W75" s="76">
        <v>7.4</v>
      </c>
      <c r="X75" s="76">
        <v>7.4</v>
      </c>
      <c r="Y75" s="76">
        <v>7.4</v>
      </c>
      <c r="Z75" s="76">
        <v>7.4</v>
      </c>
      <c r="AA75" s="76">
        <v>13.6</v>
      </c>
      <c r="AB75" s="76">
        <v>13.6</v>
      </c>
      <c r="AC75" s="76">
        <v>13.6</v>
      </c>
      <c r="AD75" s="76">
        <v>13.6</v>
      </c>
      <c r="AE75" s="76">
        <v>13.6</v>
      </c>
      <c r="AF75" s="76">
        <v>13.6</v>
      </c>
      <c r="AG75" s="66">
        <v>14</v>
      </c>
      <c r="AH75" s="48">
        <f t="shared" ref="AH75:AH128" si="50">MAX(B75:AF75)</f>
        <v>14.2</v>
      </c>
      <c r="AI75" s="49">
        <f t="shared" ref="AI75:AI128" si="51">MIN(B75:AF75)</f>
        <v>7.4</v>
      </c>
      <c r="AK75" s="51"/>
      <c r="AZ75" s="82">
        <f t="shared" si="49"/>
        <v>-571</v>
      </c>
      <c r="BA75" s="82">
        <f t="shared" si="49"/>
        <v>-639</v>
      </c>
      <c r="BB75" s="82">
        <f t="shared" si="49"/>
        <v>-625</v>
      </c>
      <c r="BC75" s="82">
        <f t="shared" si="49"/>
        <v>-626</v>
      </c>
      <c r="BD75" s="82">
        <f t="shared" si="49"/>
        <v>-701</v>
      </c>
      <c r="BE75" s="82">
        <f t="shared" si="49"/>
        <v>-680</v>
      </c>
      <c r="BF75" s="82">
        <f t="shared" si="49"/>
        <v>-557</v>
      </c>
      <c r="BG75" s="82">
        <f t="shared" si="49"/>
        <v>-565</v>
      </c>
      <c r="BH75" s="82">
        <f t="shared" si="49"/>
        <v>-625</v>
      </c>
      <c r="BI75" s="82">
        <f t="shared" si="49"/>
        <v>-600</v>
      </c>
      <c r="BJ75" s="82">
        <f t="shared" si="49"/>
        <v>-602</v>
      </c>
      <c r="BK75" s="82">
        <f t="shared" si="49"/>
        <v>-602</v>
      </c>
      <c r="BL75" s="82">
        <f t="shared" si="49"/>
        <v>-640</v>
      </c>
      <c r="BM75" s="82">
        <f t="shared" si="49"/>
        <v>-558.9</v>
      </c>
      <c r="BN75" s="82">
        <f t="shared" si="49"/>
        <v>-546.4</v>
      </c>
      <c r="BO75" s="82">
        <f t="shared" si="49"/>
        <v>-575</v>
      </c>
      <c r="BP75" s="82">
        <f t="shared" si="49"/>
        <v>-574</v>
      </c>
      <c r="BQ75" s="82">
        <f t="shared" si="49"/>
        <v>-540</v>
      </c>
      <c r="BR75" s="82">
        <f t="shared" si="49"/>
        <v>-530</v>
      </c>
      <c r="BS75" s="82">
        <f t="shared" si="49"/>
        <v>-445</v>
      </c>
      <c r="BT75" s="82">
        <f t="shared" si="49"/>
        <v>-514</v>
      </c>
      <c r="BU75" s="82">
        <f t="shared" si="49"/>
        <v>-616</v>
      </c>
      <c r="BV75" s="82">
        <f t="shared" si="49"/>
        <v>-575</v>
      </c>
      <c r="BW75" s="82">
        <f t="shared" si="49"/>
        <v>-571</v>
      </c>
    </row>
    <row r="76" spans="1:75" x14ac:dyDescent="0.25">
      <c r="A76" s="65" t="s">
        <v>95</v>
      </c>
      <c r="B76" s="76">
        <v>8.9</v>
      </c>
      <c r="C76" s="76">
        <v>8.9</v>
      </c>
      <c r="D76" s="76">
        <v>8.9</v>
      </c>
      <c r="E76" s="76">
        <v>9.4</v>
      </c>
      <c r="F76" s="76">
        <v>9.4</v>
      </c>
      <c r="G76" s="76">
        <v>9.4</v>
      </c>
      <c r="H76" s="76">
        <v>9.4</v>
      </c>
      <c r="I76" s="76">
        <v>9.4</v>
      </c>
      <c r="J76" s="76">
        <v>9.4</v>
      </c>
      <c r="K76" s="76">
        <v>9.4</v>
      </c>
      <c r="L76" s="76">
        <v>9.4</v>
      </c>
      <c r="M76" s="76">
        <v>9.4</v>
      </c>
      <c r="N76" s="76">
        <v>9.4</v>
      </c>
      <c r="O76" s="76">
        <v>9.4</v>
      </c>
      <c r="P76" s="76">
        <v>9.4</v>
      </c>
      <c r="Q76" s="76">
        <v>9.4</v>
      </c>
      <c r="R76" s="76">
        <v>9.4</v>
      </c>
      <c r="S76" s="76">
        <v>9.4</v>
      </c>
      <c r="T76" s="76">
        <v>9.4</v>
      </c>
      <c r="U76" s="76">
        <v>9.4</v>
      </c>
      <c r="V76" s="76">
        <v>9.4</v>
      </c>
      <c r="W76" s="76">
        <v>9.4</v>
      </c>
      <c r="X76" s="76">
        <v>9.4</v>
      </c>
      <c r="Y76" s="76">
        <v>9.4</v>
      </c>
      <c r="Z76" s="76">
        <v>9.4</v>
      </c>
      <c r="AA76" s="76">
        <v>9.6</v>
      </c>
      <c r="AB76" s="76">
        <v>9.6</v>
      </c>
      <c r="AC76" s="76">
        <v>9.6</v>
      </c>
      <c r="AD76" s="76">
        <v>9.6</v>
      </c>
      <c r="AE76" s="76">
        <v>9.6</v>
      </c>
      <c r="AF76" s="76">
        <v>9.6</v>
      </c>
      <c r="AG76" s="66">
        <v>10.050000000000001</v>
      </c>
      <c r="AH76" s="48">
        <f t="shared" si="50"/>
        <v>9.6</v>
      </c>
      <c r="AI76" s="49">
        <f t="shared" si="51"/>
        <v>8.9</v>
      </c>
      <c r="AK76" s="51"/>
      <c r="AZ76" s="82">
        <f t="shared" si="49"/>
        <v>0</v>
      </c>
      <c r="BA76" s="82">
        <f t="shared" si="49"/>
        <v>0</v>
      </c>
      <c r="BB76" s="82">
        <f t="shared" si="49"/>
        <v>0</v>
      </c>
      <c r="BC76" s="82">
        <f t="shared" si="49"/>
        <v>0</v>
      </c>
      <c r="BD76" s="82">
        <f t="shared" si="49"/>
        <v>0</v>
      </c>
      <c r="BE76" s="82">
        <f t="shared" si="49"/>
        <v>0</v>
      </c>
      <c r="BF76" s="82">
        <f t="shared" si="49"/>
        <v>0</v>
      </c>
      <c r="BG76" s="82">
        <f t="shared" si="49"/>
        <v>0</v>
      </c>
      <c r="BH76" s="82">
        <f t="shared" si="49"/>
        <v>0</v>
      </c>
      <c r="BI76" s="82">
        <f t="shared" si="49"/>
        <v>0</v>
      </c>
      <c r="BJ76" s="82">
        <f t="shared" si="49"/>
        <v>0</v>
      </c>
      <c r="BK76" s="82">
        <f t="shared" si="49"/>
        <v>0</v>
      </c>
      <c r="BL76" s="82">
        <f t="shared" si="49"/>
        <v>0</v>
      </c>
      <c r="BM76" s="82">
        <f t="shared" si="49"/>
        <v>0</v>
      </c>
      <c r="BN76" s="82">
        <f t="shared" si="49"/>
        <v>0</v>
      </c>
      <c r="BO76" s="82">
        <f t="shared" si="49"/>
        <v>0</v>
      </c>
      <c r="BP76" s="82">
        <f t="shared" si="49"/>
        <v>0</v>
      </c>
      <c r="BQ76" s="82">
        <f t="shared" si="49"/>
        <v>0</v>
      </c>
      <c r="BR76" s="82">
        <f t="shared" si="49"/>
        <v>0</v>
      </c>
      <c r="BS76" s="82">
        <f t="shared" si="49"/>
        <v>0</v>
      </c>
      <c r="BT76" s="82">
        <f t="shared" si="49"/>
        <v>0</v>
      </c>
      <c r="BU76" s="82">
        <f t="shared" si="49"/>
        <v>0</v>
      </c>
      <c r="BV76" s="82">
        <f t="shared" si="49"/>
        <v>0</v>
      </c>
      <c r="BW76" s="82">
        <f t="shared" si="49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50"/>
        <v>6</v>
      </c>
      <c r="AI77" s="49">
        <f t="shared" si="51"/>
        <v>6</v>
      </c>
      <c r="AK77" s="51"/>
      <c r="AZ77" s="82">
        <f t="shared" si="49"/>
        <v>0</v>
      </c>
      <c r="BA77" s="82">
        <f t="shared" si="49"/>
        <v>0</v>
      </c>
      <c r="BB77" s="82">
        <f t="shared" si="49"/>
        <v>0</v>
      </c>
      <c r="BC77" s="82">
        <f t="shared" si="49"/>
        <v>0</v>
      </c>
      <c r="BD77" s="82">
        <f t="shared" si="49"/>
        <v>0</v>
      </c>
      <c r="BE77" s="82">
        <f t="shared" si="49"/>
        <v>0</v>
      </c>
      <c r="BF77" s="82">
        <f t="shared" si="49"/>
        <v>0</v>
      </c>
      <c r="BG77" s="82">
        <f t="shared" si="49"/>
        <v>0</v>
      </c>
      <c r="BH77" s="82">
        <f t="shared" si="49"/>
        <v>0</v>
      </c>
      <c r="BI77" s="82">
        <f t="shared" si="49"/>
        <v>0</v>
      </c>
      <c r="BJ77" s="82">
        <f t="shared" si="49"/>
        <v>0</v>
      </c>
      <c r="BK77" s="82">
        <f t="shared" si="49"/>
        <v>0</v>
      </c>
      <c r="BL77" s="82">
        <f t="shared" si="49"/>
        <v>0</v>
      </c>
      <c r="BM77" s="82">
        <f t="shared" si="49"/>
        <v>0</v>
      </c>
      <c r="BN77" s="82">
        <f t="shared" si="49"/>
        <v>0</v>
      </c>
      <c r="BO77" s="82">
        <f t="shared" si="49"/>
        <v>0</v>
      </c>
      <c r="BP77" s="82">
        <f t="shared" si="49"/>
        <v>0</v>
      </c>
      <c r="BQ77" s="82">
        <f t="shared" si="49"/>
        <v>0</v>
      </c>
      <c r="BR77" s="82">
        <f t="shared" si="49"/>
        <v>0</v>
      </c>
      <c r="BS77" s="82">
        <f t="shared" si="49"/>
        <v>0</v>
      </c>
      <c r="BT77" s="82">
        <f t="shared" si="49"/>
        <v>0</v>
      </c>
      <c r="BU77" s="82">
        <f t="shared" si="49"/>
        <v>0</v>
      </c>
      <c r="BV77" s="82">
        <f t="shared" si="49"/>
        <v>0</v>
      </c>
      <c r="BW77" s="82">
        <f t="shared" si="49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50"/>
        <v>3.54</v>
      </c>
      <c r="AI78" s="49">
        <f t="shared" si="51"/>
        <v>3.54</v>
      </c>
      <c r="AK78" s="51"/>
      <c r="AZ78" s="82">
        <f t="shared" si="49"/>
        <v>0</v>
      </c>
      <c r="BA78" s="82">
        <f t="shared" si="49"/>
        <v>0</v>
      </c>
      <c r="BB78" s="82">
        <f t="shared" si="49"/>
        <v>0</v>
      </c>
      <c r="BC78" s="82">
        <f t="shared" si="49"/>
        <v>0</v>
      </c>
      <c r="BD78" s="82">
        <f t="shared" si="49"/>
        <v>0</v>
      </c>
      <c r="BE78" s="82">
        <f t="shared" si="49"/>
        <v>0</v>
      </c>
      <c r="BF78" s="82">
        <f t="shared" si="49"/>
        <v>0</v>
      </c>
      <c r="BG78" s="82">
        <f t="shared" si="49"/>
        <v>0</v>
      </c>
      <c r="BH78" s="82">
        <f t="shared" si="49"/>
        <v>0</v>
      </c>
      <c r="BI78" s="82">
        <f t="shared" si="49"/>
        <v>0</v>
      </c>
      <c r="BJ78" s="82">
        <f t="shared" si="49"/>
        <v>0</v>
      </c>
      <c r="BK78" s="82">
        <f t="shared" si="49"/>
        <v>0</v>
      </c>
      <c r="BL78" s="82">
        <f t="shared" si="49"/>
        <v>0</v>
      </c>
      <c r="BM78" s="82">
        <f t="shared" si="49"/>
        <v>0</v>
      </c>
      <c r="BN78" s="82">
        <f t="shared" si="49"/>
        <v>0</v>
      </c>
      <c r="BO78" s="82">
        <f t="shared" si="49"/>
        <v>0</v>
      </c>
      <c r="BP78" s="82">
        <f t="shared" si="49"/>
        <v>0</v>
      </c>
      <c r="BQ78" s="82">
        <f t="shared" si="49"/>
        <v>0</v>
      </c>
      <c r="BR78" s="82">
        <f t="shared" si="49"/>
        <v>0</v>
      </c>
      <c r="BS78" s="82">
        <f t="shared" si="49"/>
        <v>0</v>
      </c>
      <c r="BT78" s="82">
        <f t="shared" si="49"/>
        <v>0</v>
      </c>
      <c r="BU78" s="82">
        <f t="shared" si="49"/>
        <v>0</v>
      </c>
      <c r="BV78" s="82">
        <f t="shared" si="49"/>
        <v>0</v>
      </c>
      <c r="BW78" s="82">
        <f t="shared" si="49"/>
        <v>0</v>
      </c>
    </row>
    <row r="79" spans="1:75" ht="15.75" thickBot="1" x14ac:dyDescent="0.3">
      <c r="A79" s="87" t="s">
        <v>99</v>
      </c>
      <c r="B79" s="71">
        <f t="shared" ref="B79:AG79" si="52">SUM(B66:B78)</f>
        <v>416.94</v>
      </c>
      <c r="C79" s="71">
        <f t="shared" si="52"/>
        <v>416.94</v>
      </c>
      <c r="D79" s="71">
        <f t="shared" si="52"/>
        <v>416.94</v>
      </c>
      <c r="E79" s="71">
        <f t="shared" si="52"/>
        <v>417.73999999999995</v>
      </c>
      <c r="F79" s="71">
        <f t="shared" si="52"/>
        <v>417.73999999999995</v>
      </c>
      <c r="G79" s="71">
        <f t="shared" si="52"/>
        <v>417.73999999999995</v>
      </c>
      <c r="H79" s="71">
        <f t="shared" si="52"/>
        <v>417.73999999999995</v>
      </c>
      <c r="I79" s="71">
        <f t="shared" si="52"/>
        <v>417.73999999999995</v>
      </c>
      <c r="J79" s="71">
        <f t="shared" ref="J79" si="53">SUM(J66:J78)</f>
        <v>418.53999999999996</v>
      </c>
      <c r="K79" s="71">
        <f t="shared" si="52"/>
        <v>418.93999999999994</v>
      </c>
      <c r="L79" s="71">
        <f t="shared" si="52"/>
        <v>416.14</v>
      </c>
      <c r="M79" s="71">
        <f t="shared" si="52"/>
        <v>416.14</v>
      </c>
      <c r="N79" s="71">
        <f t="shared" ref="N79:O79" si="54">SUM(N66:N78)</f>
        <v>413.53999999999996</v>
      </c>
      <c r="O79" s="71">
        <f t="shared" si="54"/>
        <v>413.53999999999996</v>
      </c>
      <c r="P79" s="71">
        <f t="shared" ref="P79:Q79" si="55">SUM(P66:P78)</f>
        <v>362.54</v>
      </c>
      <c r="Q79" s="71">
        <f t="shared" si="55"/>
        <v>352.94</v>
      </c>
      <c r="R79" s="71">
        <f t="shared" ref="R79" si="56">SUM(R66:R78)</f>
        <v>352.64</v>
      </c>
      <c r="S79" s="71">
        <f t="shared" si="52"/>
        <v>359.34</v>
      </c>
      <c r="T79" s="71">
        <f t="shared" si="52"/>
        <v>359.34</v>
      </c>
      <c r="U79" s="71">
        <f t="shared" ref="U79" si="57">SUM(U66:U78)</f>
        <v>373.44</v>
      </c>
      <c r="V79" s="71">
        <f t="shared" si="52"/>
        <v>373.44</v>
      </c>
      <c r="W79" s="71">
        <f t="shared" si="52"/>
        <v>373.44</v>
      </c>
      <c r="X79" s="71">
        <f t="shared" ref="X79:Z79" si="58">SUM(X66:X78)</f>
        <v>368.24</v>
      </c>
      <c r="Y79" s="71">
        <f t="shared" si="58"/>
        <v>351.44</v>
      </c>
      <c r="Z79" s="71">
        <f t="shared" si="58"/>
        <v>354.24</v>
      </c>
      <c r="AA79" s="71">
        <f t="shared" si="52"/>
        <v>376.1400000000001</v>
      </c>
      <c r="AB79" s="71">
        <f t="shared" ref="AB79:AC79" si="59">SUM(AB66:AB78)</f>
        <v>376.1400000000001</v>
      </c>
      <c r="AC79" s="71">
        <f t="shared" si="59"/>
        <v>389.6400000000001</v>
      </c>
      <c r="AD79" s="71">
        <f t="shared" ref="AD79:AE79" si="60">SUM(AD66:AD78)</f>
        <v>319.04000000000008</v>
      </c>
      <c r="AE79" s="71">
        <f t="shared" si="60"/>
        <v>349.04000000000008</v>
      </c>
      <c r="AF79" s="71">
        <f t="shared" ref="AF79" si="61">SUM(AF66:AF78)</f>
        <v>349.04000000000008</v>
      </c>
      <c r="AG79" s="72">
        <f t="shared" si="52"/>
        <v>489.91</v>
      </c>
      <c r="AH79" s="48">
        <f t="shared" si="50"/>
        <v>418.93999999999994</v>
      </c>
      <c r="AI79" s="49">
        <f t="shared" si="51"/>
        <v>319.04000000000008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>
        <v>11</v>
      </c>
      <c r="P80" s="46">
        <v>11</v>
      </c>
      <c r="Q80" s="46">
        <v>11</v>
      </c>
      <c r="R80" s="46">
        <v>0</v>
      </c>
      <c r="S80" s="46">
        <v>0</v>
      </c>
      <c r="T80" s="46">
        <v>0</v>
      </c>
      <c r="U80" s="46">
        <v>20</v>
      </c>
      <c r="V80" s="46">
        <v>10</v>
      </c>
      <c r="W80" s="46">
        <v>0</v>
      </c>
      <c r="X80" s="46">
        <v>0</v>
      </c>
      <c r="Y80" s="46">
        <v>0</v>
      </c>
      <c r="Z80" s="46">
        <v>0</v>
      </c>
      <c r="AA80" s="46">
        <v>14.2</v>
      </c>
      <c r="AB80" s="46">
        <v>14.2</v>
      </c>
      <c r="AC80" s="46">
        <v>19.8</v>
      </c>
      <c r="AD80" s="46">
        <v>19.8</v>
      </c>
      <c r="AE80" s="46">
        <v>10</v>
      </c>
      <c r="AF80" s="46">
        <v>10</v>
      </c>
      <c r="AG80" s="61">
        <v>60</v>
      </c>
      <c r="AH80" s="48">
        <f t="shared" si="50"/>
        <v>20</v>
      </c>
      <c r="AI80" s="49">
        <f t="shared" si="51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>
        <v>5.3</v>
      </c>
      <c r="P81" s="76">
        <v>5.3</v>
      </c>
      <c r="Q81" s="76">
        <v>5.3</v>
      </c>
      <c r="R81" s="76">
        <v>0</v>
      </c>
      <c r="S81" s="76">
        <v>0</v>
      </c>
      <c r="T81" s="76">
        <v>0</v>
      </c>
      <c r="U81" s="76">
        <v>10</v>
      </c>
      <c r="V81" s="76">
        <v>4</v>
      </c>
      <c r="W81" s="76">
        <v>3.9</v>
      </c>
      <c r="X81" s="76">
        <v>0</v>
      </c>
      <c r="Y81" s="76">
        <v>0</v>
      </c>
      <c r="Z81" s="76">
        <v>0</v>
      </c>
      <c r="AA81" s="76">
        <v>4.8</v>
      </c>
      <c r="AB81" s="76">
        <v>4.8</v>
      </c>
      <c r="AC81" s="76">
        <v>9.5</v>
      </c>
      <c r="AD81" s="76">
        <v>9.5</v>
      </c>
      <c r="AE81" s="76">
        <v>9.4</v>
      </c>
      <c r="AF81" s="76">
        <v>3.3</v>
      </c>
      <c r="AG81" s="66">
        <v>32</v>
      </c>
      <c r="AH81" s="48">
        <f t="shared" si="50"/>
        <v>10</v>
      </c>
      <c r="AI81" s="49">
        <f t="shared" si="51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>
        <v>1.9</v>
      </c>
      <c r="P82" s="78">
        <v>1.9</v>
      </c>
      <c r="Q82" s="78">
        <v>1.9</v>
      </c>
      <c r="R82" s="78">
        <v>0</v>
      </c>
      <c r="S82" s="78">
        <v>0</v>
      </c>
      <c r="T82" s="78">
        <v>0</v>
      </c>
      <c r="U82" s="78">
        <v>3.7</v>
      </c>
      <c r="V82" s="78">
        <v>1.5</v>
      </c>
      <c r="W82" s="78">
        <v>1.4</v>
      </c>
      <c r="X82" s="78">
        <v>0</v>
      </c>
      <c r="Y82" s="78">
        <v>0</v>
      </c>
      <c r="Z82" s="78">
        <v>0</v>
      </c>
      <c r="AA82" s="78">
        <v>1.7</v>
      </c>
      <c r="AB82" s="78">
        <v>1.7</v>
      </c>
      <c r="AC82" s="78">
        <v>3.5</v>
      </c>
      <c r="AD82" s="78">
        <v>3.5</v>
      </c>
      <c r="AE82" s="78">
        <v>3.4</v>
      </c>
      <c r="AF82" s="78">
        <v>1.2</v>
      </c>
      <c r="AG82" s="79">
        <v>14</v>
      </c>
      <c r="AH82" s="48">
        <f t="shared" si="50"/>
        <v>3.7</v>
      </c>
      <c r="AI82" s="49">
        <f t="shared" si="51"/>
        <v>0</v>
      </c>
      <c r="AK82" s="51"/>
      <c r="AY82" s="82"/>
      <c r="BF82" s="81"/>
      <c r="BG82" s="82">
        <f t="array" ref="BG82:BL105">TRANSPOSE(AZ66:BW71)</f>
        <v>-67</v>
      </c>
      <c r="BH82" s="82">
        <v>0</v>
      </c>
      <c r="BI82" s="82">
        <v>-571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W83" si="62">B80+B81+B82</f>
        <v>0</v>
      </c>
      <c r="C83" s="71">
        <f t="shared" si="62"/>
        <v>0</v>
      </c>
      <c r="D83" s="71">
        <f t="shared" si="62"/>
        <v>0</v>
      </c>
      <c r="E83" s="71">
        <f t="shared" si="62"/>
        <v>0</v>
      </c>
      <c r="F83" s="71">
        <f t="shared" si="62"/>
        <v>0</v>
      </c>
      <c r="G83" s="71">
        <f t="shared" si="62"/>
        <v>0</v>
      </c>
      <c r="H83" s="71">
        <f t="shared" si="62"/>
        <v>0</v>
      </c>
      <c r="I83" s="71">
        <f t="shared" si="62"/>
        <v>0</v>
      </c>
      <c r="J83" s="71">
        <f t="shared" ref="J83" si="63">J80+J81+J82</f>
        <v>0</v>
      </c>
      <c r="K83" s="71">
        <f t="shared" si="62"/>
        <v>0</v>
      </c>
      <c r="L83" s="71">
        <f t="shared" si="62"/>
        <v>0</v>
      </c>
      <c r="M83" s="71">
        <f t="shared" si="62"/>
        <v>0</v>
      </c>
      <c r="N83" s="71">
        <f t="shared" ref="N83:O83" si="64">N80+N81+N82</f>
        <v>0</v>
      </c>
      <c r="O83" s="71">
        <f t="shared" si="64"/>
        <v>18.2</v>
      </c>
      <c r="P83" s="71">
        <f t="shared" ref="P83:Q83" si="65">P80+P81+P82</f>
        <v>18.2</v>
      </c>
      <c r="Q83" s="71">
        <f t="shared" si="65"/>
        <v>18.2</v>
      </c>
      <c r="R83" s="71">
        <f t="shared" ref="R83" si="66">R80+R81+R82</f>
        <v>0</v>
      </c>
      <c r="S83" s="71">
        <f t="shared" si="62"/>
        <v>0</v>
      </c>
      <c r="T83" s="71">
        <f t="shared" si="62"/>
        <v>0</v>
      </c>
      <c r="U83" s="71">
        <f t="shared" ref="U83:V83" si="67">U80+U81+U82</f>
        <v>33.700000000000003</v>
      </c>
      <c r="V83" s="71">
        <f t="shared" si="67"/>
        <v>15.5</v>
      </c>
      <c r="W83" s="71">
        <f t="shared" si="62"/>
        <v>5.3</v>
      </c>
      <c r="X83" s="71">
        <f t="shared" ref="X83:Z83" si="68">X80+X81+X82</f>
        <v>0</v>
      </c>
      <c r="Y83" s="71">
        <f t="shared" si="68"/>
        <v>0</v>
      </c>
      <c r="Z83" s="71">
        <f t="shared" si="68"/>
        <v>0</v>
      </c>
      <c r="AA83" s="71">
        <f t="shared" ref="AA83:AB83" si="69">AA80+AA81+AA82</f>
        <v>20.7</v>
      </c>
      <c r="AB83" s="71">
        <f t="shared" si="69"/>
        <v>20.7</v>
      </c>
      <c r="AC83" s="71">
        <f t="shared" ref="AC83:AD83" si="70">AC80+AC81+AC82</f>
        <v>32.799999999999997</v>
      </c>
      <c r="AD83" s="71">
        <f t="shared" si="70"/>
        <v>32.799999999999997</v>
      </c>
      <c r="AE83" s="71">
        <f t="shared" ref="AE83:AF83" si="71">AE80+AE81+AE82</f>
        <v>22.799999999999997</v>
      </c>
      <c r="AF83" s="71">
        <f t="shared" si="71"/>
        <v>14.5</v>
      </c>
      <c r="AG83" s="72">
        <f>SUM(AG80:AG82)</f>
        <v>106</v>
      </c>
      <c r="AH83" s="48">
        <f t="shared" si="50"/>
        <v>33.700000000000003</v>
      </c>
      <c r="AI83" s="49">
        <f t="shared" si="51"/>
        <v>0</v>
      </c>
      <c r="AK83" s="51"/>
      <c r="AY83" s="82"/>
      <c r="BF83" s="81"/>
      <c r="BG83" s="82">
        <v>-63</v>
      </c>
      <c r="BH83" s="82">
        <v>0</v>
      </c>
      <c r="BI83" s="82">
        <v>-639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-67</v>
      </c>
      <c r="C84" s="46">
        <v>-67</v>
      </c>
      <c r="D84" s="46">
        <v>-63</v>
      </c>
      <c r="E84" s="46">
        <v>-60</v>
      </c>
      <c r="F84" s="46">
        <v>-59.4</v>
      </c>
      <c r="G84" s="46">
        <v>-56.9</v>
      </c>
      <c r="H84" s="46">
        <v>-62</v>
      </c>
      <c r="I84" s="46">
        <v>-63.5</v>
      </c>
      <c r="J84" s="46">
        <v>-60</v>
      </c>
      <c r="K84" s="46">
        <v>-66.099999999999994</v>
      </c>
      <c r="L84" s="46">
        <v>-62.6</v>
      </c>
      <c r="M84" s="46">
        <v>-62.5</v>
      </c>
      <c r="N84" s="46">
        <v>-58</v>
      </c>
      <c r="O84" s="46">
        <v>-60</v>
      </c>
      <c r="P84" s="46">
        <v>-45</v>
      </c>
      <c r="Q84" s="46">
        <v>-45</v>
      </c>
      <c r="R84" s="46">
        <v>-16</v>
      </c>
      <c r="S84" s="46">
        <v>-21.1</v>
      </c>
      <c r="T84" s="46">
        <v>-13.1</v>
      </c>
      <c r="U84" s="46">
        <v>-5</v>
      </c>
      <c r="V84" s="46">
        <v>-45</v>
      </c>
      <c r="W84" s="46">
        <v>-43.6</v>
      </c>
      <c r="X84" s="46">
        <v>-47</v>
      </c>
      <c r="Y84" s="46">
        <v>-60</v>
      </c>
      <c r="Z84" s="46">
        <v>-54</v>
      </c>
      <c r="AA84" s="46">
        <v>-8</v>
      </c>
      <c r="AB84" s="46">
        <v>-8</v>
      </c>
      <c r="AC84" s="46">
        <v>-63</v>
      </c>
      <c r="AD84" s="46">
        <v>-25</v>
      </c>
      <c r="AE84" s="46">
        <v>-44</v>
      </c>
      <c r="AF84" s="46">
        <v>-15</v>
      </c>
      <c r="AG84" s="61"/>
      <c r="AH84" s="48">
        <f t="shared" si="50"/>
        <v>-5</v>
      </c>
      <c r="AI84" s="49">
        <f t="shared" si="51"/>
        <v>-67</v>
      </c>
      <c r="AK84" s="51"/>
      <c r="AY84" s="82"/>
      <c r="BF84" s="81"/>
      <c r="BG84" s="82">
        <v>-60</v>
      </c>
      <c r="BH84" s="82">
        <v>0</v>
      </c>
      <c r="BI84" s="82">
        <v>-625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50"/>
        <v>0</v>
      </c>
      <c r="AI85" s="49">
        <f t="shared" si="51"/>
        <v>0</v>
      </c>
      <c r="AK85" s="51"/>
      <c r="AL85" s="91" t="s">
        <v>111</v>
      </c>
      <c r="AM85" s="91"/>
      <c r="AY85" s="82"/>
      <c r="BF85" s="82"/>
      <c r="BG85" s="82">
        <v>-59.4</v>
      </c>
      <c r="BH85" s="82">
        <v>0</v>
      </c>
      <c r="BI85" s="82">
        <v>-626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-571</v>
      </c>
      <c r="C86" s="76">
        <v>-571</v>
      </c>
      <c r="D86" s="76">
        <v>-639</v>
      </c>
      <c r="E86" s="76">
        <v>-625</v>
      </c>
      <c r="F86" s="76">
        <v>-626</v>
      </c>
      <c r="G86" s="76">
        <v>-701</v>
      </c>
      <c r="H86" s="76">
        <v>-720</v>
      </c>
      <c r="I86" s="76">
        <v>-680</v>
      </c>
      <c r="J86" s="76">
        <v>-579</v>
      </c>
      <c r="K86" s="76">
        <v>-557</v>
      </c>
      <c r="L86" s="76">
        <v>-536</v>
      </c>
      <c r="M86" s="76">
        <v>-565</v>
      </c>
      <c r="N86" s="76">
        <v>-625</v>
      </c>
      <c r="O86" s="76">
        <v>-600</v>
      </c>
      <c r="P86" s="76">
        <v>-602</v>
      </c>
      <c r="Q86" s="76">
        <v>-602</v>
      </c>
      <c r="R86" s="76">
        <v>-640</v>
      </c>
      <c r="S86" s="76">
        <v>-558.9</v>
      </c>
      <c r="T86" s="76">
        <v>-546.4</v>
      </c>
      <c r="U86" s="76">
        <v>-575</v>
      </c>
      <c r="V86" s="76">
        <v>-574</v>
      </c>
      <c r="W86" s="76">
        <v>-583.20000000000005</v>
      </c>
      <c r="X86" s="76">
        <v>-540</v>
      </c>
      <c r="Y86" s="76">
        <v>-559</v>
      </c>
      <c r="Z86" s="76">
        <v>-530</v>
      </c>
      <c r="AA86" s="76">
        <v>-460</v>
      </c>
      <c r="AB86" s="76">
        <v>-445</v>
      </c>
      <c r="AC86" s="76">
        <v>-503</v>
      </c>
      <c r="AD86" s="76">
        <v>-514</v>
      </c>
      <c r="AE86" s="76">
        <v>-616</v>
      </c>
      <c r="AF86" s="76">
        <v>-575</v>
      </c>
      <c r="AG86" s="88"/>
      <c r="AH86" s="48">
        <f t="shared" si="50"/>
        <v>-445</v>
      </c>
      <c r="AI86" s="49">
        <f t="shared" si="51"/>
        <v>-720</v>
      </c>
      <c r="AK86" s="92"/>
      <c r="AL86" s="93"/>
      <c r="AM86" s="93"/>
      <c r="AN86" s="94"/>
      <c r="AY86" s="82"/>
      <c r="BF86" s="82"/>
      <c r="BG86" s="82">
        <v>-56.9</v>
      </c>
      <c r="BH86" s="82">
        <v>0</v>
      </c>
      <c r="BI86" s="82">
        <v>-701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50"/>
        <v>0</v>
      </c>
      <c r="AI87" s="49">
        <f t="shared" si="51"/>
        <v>0</v>
      </c>
      <c r="AK87" s="95" t="s">
        <v>114</v>
      </c>
      <c r="AL87" s="76"/>
      <c r="AM87" s="89"/>
      <c r="AN87" s="96"/>
      <c r="AY87" s="82"/>
      <c r="BF87" s="82"/>
      <c r="BG87" s="82">
        <v>-63.5</v>
      </c>
      <c r="BH87" s="82">
        <v>0</v>
      </c>
      <c r="BI87" s="82">
        <v>-680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50"/>
        <v>0</v>
      </c>
      <c r="AI88" s="49">
        <f t="shared" si="51"/>
        <v>0</v>
      </c>
      <c r="AK88" s="95" t="s">
        <v>116</v>
      </c>
      <c r="AL88" s="89"/>
      <c r="AM88" s="89"/>
      <c r="AN88" s="96"/>
      <c r="AY88" s="82"/>
      <c r="BF88" s="82"/>
      <c r="BG88" s="82">
        <v>-66.099999999999994</v>
      </c>
      <c r="BH88" s="82">
        <v>0</v>
      </c>
      <c r="BI88" s="82">
        <v>-557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51"/>
        <v>0</v>
      </c>
      <c r="AK89" s="99"/>
      <c r="AL89" s="46"/>
      <c r="AM89" s="46"/>
      <c r="AN89" s="100"/>
      <c r="AY89" s="82"/>
      <c r="BF89" s="82"/>
      <c r="BG89" s="82">
        <v>-62.5</v>
      </c>
      <c r="BH89" s="82">
        <v>0</v>
      </c>
      <c r="BI89" s="82">
        <v>-565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50"/>
        <v>0</v>
      </c>
      <c r="AI90" s="49">
        <f t="shared" si="51"/>
        <v>0</v>
      </c>
      <c r="AK90" s="99"/>
      <c r="AL90" s="90"/>
      <c r="AM90" s="102"/>
      <c r="AN90" s="204"/>
      <c r="AY90" s="82"/>
      <c r="BF90" s="82"/>
      <c r="BG90" s="82">
        <v>-58</v>
      </c>
      <c r="BH90" s="82">
        <v>0</v>
      </c>
      <c r="BI90" s="82">
        <v>-625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50"/>
        <v>0</v>
      </c>
      <c r="AI91" s="49">
        <f t="shared" si="51"/>
        <v>0</v>
      </c>
      <c r="AK91" s="99"/>
      <c r="AL91" s="90"/>
      <c r="AM91" s="90"/>
      <c r="AN91" s="205"/>
      <c r="BF91" s="82"/>
      <c r="BG91" s="82">
        <v>-60</v>
      </c>
      <c r="BH91" s="82">
        <v>0</v>
      </c>
      <c r="BI91" s="82">
        <v>-600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50"/>
        <v>0</v>
      </c>
      <c r="AI92" s="49">
        <f t="shared" si="51"/>
        <v>0</v>
      </c>
      <c r="AK92" s="104"/>
      <c r="AL92" s="105"/>
      <c r="AM92" s="105"/>
      <c r="AN92" s="106"/>
      <c r="BF92" s="82"/>
      <c r="BG92" s="82">
        <v>-45</v>
      </c>
      <c r="BH92" s="82">
        <v>0</v>
      </c>
      <c r="BI92" s="82">
        <v>-602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50"/>
        <v>0</v>
      </c>
      <c r="AI93" s="49">
        <f t="shared" si="51"/>
        <v>0</v>
      </c>
      <c r="BF93" s="82"/>
      <c r="BG93" s="82">
        <v>-45</v>
      </c>
      <c r="BH93" s="82">
        <v>0</v>
      </c>
      <c r="BI93" s="82">
        <v>-602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50"/>
        <v>0</v>
      </c>
      <c r="AI94" s="49">
        <f t="shared" si="51"/>
        <v>0</v>
      </c>
      <c r="BF94" s="82"/>
      <c r="BG94" s="82">
        <v>-16</v>
      </c>
      <c r="BH94" s="82">
        <v>0</v>
      </c>
      <c r="BI94" s="82">
        <v>-640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72">SUMIF(D84:D94,"&gt;0")</f>
        <v>0</v>
      </c>
      <c r="E95" s="71">
        <f t="shared" si="72"/>
        <v>0</v>
      </c>
      <c r="F95" s="71">
        <f t="shared" si="72"/>
        <v>0</v>
      </c>
      <c r="G95" s="71">
        <f t="shared" si="72"/>
        <v>0</v>
      </c>
      <c r="H95" s="71">
        <f t="shared" si="72"/>
        <v>0</v>
      </c>
      <c r="I95" s="71">
        <f t="shared" si="72"/>
        <v>0</v>
      </c>
      <c r="J95" s="71">
        <f t="shared" si="72"/>
        <v>0</v>
      </c>
      <c r="K95" s="71">
        <f t="shared" si="72"/>
        <v>0</v>
      </c>
      <c r="L95" s="71">
        <f t="shared" si="72"/>
        <v>0</v>
      </c>
      <c r="M95" s="71">
        <f t="shared" si="72"/>
        <v>0</v>
      </c>
      <c r="N95" s="71">
        <f t="shared" si="72"/>
        <v>0</v>
      </c>
      <c r="O95" s="71">
        <f t="shared" si="72"/>
        <v>0</v>
      </c>
      <c r="P95" s="71">
        <f t="shared" si="72"/>
        <v>0</v>
      </c>
      <c r="Q95" s="71">
        <f t="shared" si="72"/>
        <v>0</v>
      </c>
      <c r="R95" s="71">
        <f t="shared" si="72"/>
        <v>0</v>
      </c>
      <c r="S95" s="71">
        <f t="shared" si="72"/>
        <v>0</v>
      </c>
      <c r="T95" s="71">
        <f t="shared" si="72"/>
        <v>0</v>
      </c>
      <c r="U95" s="71">
        <f t="shared" ref="U95:V95" si="73">SUMIF(U84:U94,"&gt;0")</f>
        <v>0</v>
      </c>
      <c r="V95" s="71">
        <f t="shared" si="73"/>
        <v>0</v>
      </c>
      <c r="W95" s="71">
        <f t="shared" si="72"/>
        <v>0</v>
      </c>
      <c r="X95" s="71">
        <f t="shared" ref="X95:Z95" si="74">SUMIF(X84:X94,"&gt;0")</f>
        <v>0</v>
      </c>
      <c r="Y95" s="71">
        <f t="shared" si="74"/>
        <v>0</v>
      </c>
      <c r="Z95" s="71">
        <f t="shared" si="74"/>
        <v>0</v>
      </c>
      <c r="AA95" s="71">
        <f t="shared" si="72"/>
        <v>0</v>
      </c>
      <c r="AB95" s="71">
        <f t="shared" si="72"/>
        <v>0</v>
      </c>
      <c r="AC95" s="71">
        <f t="shared" si="72"/>
        <v>0</v>
      </c>
      <c r="AD95" s="71">
        <f t="shared" si="72"/>
        <v>0</v>
      </c>
      <c r="AE95" s="71">
        <f t="shared" si="72"/>
        <v>0</v>
      </c>
      <c r="AF95" s="71">
        <f t="shared" si="72"/>
        <v>0</v>
      </c>
      <c r="AG95" s="101">
        <f>SUM(AG84:AG94)</f>
        <v>0</v>
      </c>
      <c r="AH95" s="48">
        <f t="shared" si="50"/>
        <v>0</v>
      </c>
      <c r="AI95" s="49">
        <f t="shared" si="51"/>
        <v>0</v>
      </c>
      <c r="BF95" s="82"/>
      <c r="BG95" s="82">
        <v>-21.1</v>
      </c>
      <c r="BH95" s="82">
        <v>0</v>
      </c>
      <c r="BI95" s="82">
        <v>-558.9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50"/>
        <v>0</v>
      </c>
      <c r="AI96" s="49">
        <f t="shared" si="51"/>
        <v>0</v>
      </c>
      <c r="BF96" s="82"/>
      <c r="BG96" s="82">
        <v>-13.1</v>
      </c>
      <c r="BH96" s="82">
        <v>0</v>
      </c>
      <c r="BI96" s="82">
        <v>-546.4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50"/>
        <v>0</v>
      </c>
      <c r="AI97" s="49">
        <f t="shared" si="51"/>
        <v>0</v>
      </c>
      <c r="BF97" s="82"/>
      <c r="BG97" s="82">
        <v>-5</v>
      </c>
      <c r="BH97" s="82">
        <v>0</v>
      </c>
      <c r="BI97" s="82">
        <v>-575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50"/>
        <v>0</v>
      </c>
      <c r="AI98" s="49">
        <f t="shared" si="51"/>
        <v>0</v>
      </c>
      <c r="BF98" s="82"/>
      <c r="BG98" s="82">
        <v>-45</v>
      </c>
      <c r="BH98" s="82">
        <v>0</v>
      </c>
      <c r="BI98" s="82">
        <v>-574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50"/>
        <v>0</v>
      </c>
      <c r="AI99" s="49">
        <f t="shared" si="51"/>
        <v>0</v>
      </c>
      <c r="BF99" s="81"/>
      <c r="BG99" s="82">
        <v>-47</v>
      </c>
      <c r="BH99" s="82">
        <v>0</v>
      </c>
      <c r="BI99" s="82">
        <v>-540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75">B61+B65+B83+B79+B95+B99</f>
        <v>2314.7400000000002</v>
      </c>
      <c r="C100" s="108">
        <f t="shared" si="75"/>
        <v>2314.7400000000002</v>
      </c>
      <c r="D100" s="108">
        <f t="shared" si="75"/>
        <v>2364.7400000000002</v>
      </c>
      <c r="E100" s="108">
        <f t="shared" si="75"/>
        <v>2221.54</v>
      </c>
      <c r="F100" s="108">
        <f t="shared" si="75"/>
        <v>2171.7399999999998</v>
      </c>
      <c r="G100" s="108">
        <f t="shared" si="75"/>
        <v>2226.54</v>
      </c>
      <c r="H100" s="108">
        <f t="shared" si="75"/>
        <v>2204.14</v>
      </c>
      <c r="I100" s="108">
        <f t="shared" si="75"/>
        <v>2204.14</v>
      </c>
      <c r="J100" s="108">
        <f t="shared" si="75"/>
        <v>2213.94</v>
      </c>
      <c r="K100" s="108">
        <f t="shared" si="75"/>
        <v>2232.2399999999998</v>
      </c>
      <c r="L100" s="108">
        <f t="shared" si="75"/>
        <v>2229.44</v>
      </c>
      <c r="M100" s="108">
        <f t="shared" si="75"/>
        <v>2268.2399999999998</v>
      </c>
      <c r="N100" s="108">
        <f t="shared" si="75"/>
        <v>2333.2399999999998</v>
      </c>
      <c r="O100" s="108">
        <f t="shared" si="75"/>
        <v>2351.44</v>
      </c>
      <c r="P100" s="108">
        <f>P61+P65+P83+P79+P95+P99</f>
        <v>2308.44</v>
      </c>
      <c r="Q100" s="108">
        <f t="shared" si="75"/>
        <v>2287.14</v>
      </c>
      <c r="R100" s="108">
        <f t="shared" si="75"/>
        <v>2266.94</v>
      </c>
      <c r="S100" s="108">
        <f t="shared" si="75"/>
        <v>2218.54</v>
      </c>
      <c r="T100" s="108">
        <f t="shared" si="75"/>
        <v>2204.64</v>
      </c>
      <c r="U100" s="108">
        <f t="shared" ref="U100:V100" si="76">U61+U65+U83+U79+U95+U99</f>
        <v>2229.14</v>
      </c>
      <c r="V100" s="108">
        <f t="shared" si="76"/>
        <v>2251.44</v>
      </c>
      <c r="W100" s="108">
        <f t="shared" si="75"/>
        <v>2241.2399999999998</v>
      </c>
      <c r="X100" s="108">
        <f t="shared" ref="X100:Z100" si="77">X61+X65+X83+X79+X95+X99</f>
        <v>2217.7399999999998</v>
      </c>
      <c r="Y100" s="108">
        <f t="shared" si="77"/>
        <v>2201.14</v>
      </c>
      <c r="Z100" s="108">
        <f t="shared" si="77"/>
        <v>2203.7399999999998</v>
      </c>
      <c r="AA100" s="108">
        <f t="shared" si="75"/>
        <v>2240.2400000000002</v>
      </c>
      <c r="AB100" s="108">
        <f t="shared" si="75"/>
        <v>2240.2400000000002</v>
      </c>
      <c r="AC100" s="108">
        <f t="shared" si="75"/>
        <v>2251.2399999999998</v>
      </c>
      <c r="AD100" s="108">
        <f t="shared" si="75"/>
        <v>2133.64</v>
      </c>
      <c r="AE100" s="108">
        <f t="shared" si="75"/>
        <v>2108.6400000000003</v>
      </c>
      <c r="AF100" s="108">
        <f t="shared" si="75"/>
        <v>2166.1400000000003</v>
      </c>
      <c r="AG100" s="72">
        <f t="shared" si="75"/>
        <v>2655.44</v>
      </c>
      <c r="AH100" s="48">
        <f t="shared" si="50"/>
        <v>2364.7400000000002</v>
      </c>
      <c r="AI100" s="49">
        <f t="shared" si="51"/>
        <v>2108.6400000000003</v>
      </c>
      <c r="BF100" s="81"/>
      <c r="BG100" s="82">
        <v>-54</v>
      </c>
      <c r="BH100" s="82">
        <v>0</v>
      </c>
      <c r="BI100" s="82">
        <v>-530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50"/>
        <v>0</v>
      </c>
      <c r="AI101" s="49">
        <f t="shared" si="51"/>
        <v>0</v>
      </c>
      <c r="BF101" s="81"/>
      <c r="BG101" s="82">
        <v>-8</v>
      </c>
      <c r="BH101" s="82">
        <v>0</v>
      </c>
      <c r="BI101" s="82">
        <v>-445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2314.7400000000002</v>
      </c>
      <c r="C102" s="108">
        <f t="shared" ref="C102:AF102" si="78">C100+C101</f>
        <v>2314.7400000000002</v>
      </c>
      <c r="D102" s="108">
        <f t="shared" si="78"/>
        <v>2364.7400000000002</v>
      </c>
      <c r="E102" s="108">
        <f t="shared" si="78"/>
        <v>2221.54</v>
      </c>
      <c r="F102" s="108">
        <f t="shared" si="78"/>
        <v>2171.7399999999998</v>
      </c>
      <c r="G102" s="108">
        <f t="shared" si="78"/>
        <v>2226.54</v>
      </c>
      <c r="H102" s="108">
        <f t="shared" si="78"/>
        <v>2204.14</v>
      </c>
      <c r="I102" s="108">
        <f t="shared" si="78"/>
        <v>2204.14</v>
      </c>
      <c r="J102" s="108">
        <f t="shared" si="78"/>
        <v>2213.94</v>
      </c>
      <c r="K102" s="108">
        <f t="shared" si="78"/>
        <v>2232.2399999999998</v>
      </c>
      <c r="L102" s="108">
        <f t="shared" si="78"/>
        <v>2229.44</v>
      </c>
      <c r="M102" s="108">
        <f t="shared" si="78"/>
        <v>2268.2399999999998</v>
      </c>
      <c r="N102" s="108">
        <f>N100+N101</f>
        <v>2333.2399999999998</v>
      </c>
      <c r="O102" s="108">
        <f>O100+O101</f>
        <v>2351.44</v>
      </c>
      <c r="P102" s="108">
        <f>P100+P101</f>
        <v>2308.44</v>
      </c>
      <c r="Q102" s="108">
        <f t="shared" si="78"/>
        <v>2287.14</v>
      </c>
      <c r="R102" s="108">
        <f t="shared" si="78"/>
        <v>2266.94</v>
      </c>
      <c r="S102" s="108">
        <f t="shared" si="78"/>
        <v>2218.54</v>
      </c>
      <c r="T102" s="108">
        <f t="shared" si="78"/>
        <v>2204.64</v>
      </c>
      <c r="U102" s="108">
        <f t="shared" ref="U102:V102" si="79">U100+U101</f>
        <v>2229.14</v>
      </c>
      <c r="V102" s="108">
        <f t="shared" si="79"/>
        <v>2251.44</v>
      </c>
      <c r="W102" s="108">
        <f t="shared" si="78"/>
        <v>2241.2399999999998</v>
      </c>
      <c r="X102" s="108">
        <f t="shared" ref="X102:Z102" si="80">X100+X101</f>
        <v>2217.7399999999998</v>
      </c>
      <c r="Y102" s="108">
        <f t="shared" si="80"/>
        <v>2201.14</v>
      </c>
      <c r="Z102" s="108">
        <f t="shared" si="80"/>
        <v>2203.7399999999998</v>
      </c>
      <c r="AA102" s="108">
        <f t="shared" si="78"/>
        <v>2240.2400000000002</v>
      </c>
      <c r="AB102" s="108">
        <f t="shared" si="78"/>
        <v>2240.2400000000002</v>
      </c>
      <c r="AC102" s="108">
        <f t="shared" si="78"/>
        <v>2251.2399999999998</v>
      </c>
      <c r="AD102" s="108">
        <f t="shared" si="78"/>
        <v>2133.64</v>
      </c>
      <c r="AE102" s="108">
        <f t="shared" si="78"/>
        <v>2108.6400000000003</v>
      </c>
      <c r="AF102" s="108">
        <f t="shared" si="78"/>
        <v>2166.1400000000003</v>
      </c>
      <c r="AG102" s="101">
        <f>AG99+AG95+AG83+AG79+AG61+AG101</f>
        <v>2117.34</v>
      </c>
      <c r="AH102" s="48">
        <f t="shared" si="50"/>
        <v>2364.7400000000002</v>
      </c>
      <c r="AI102" s="49">
        <f t="shared" si="51"/>
        <v>2108.6400000000003</v>
      </c>
      <c r="BF102" s="81"/>
      <c r="BG102" s="82">
        <v>-25</v>
      </c>
      <c r="BH102" s="82">
        <v>0</v>
      </c>
      <c r="BI102" s="82">
        <v>-514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1676.7400000000002</v>
      </c>
      <c r="C103" s="108">
        <f t="shared" ref="C103:AF103" si="81">C102-(C110)</f>
        <v>1676.7400000000002</v>
      </c>
      <c r="D103" s="108">
        <f t="shared" si="81"/>
        <v>1662.7400000000002</v>
      </c>
      <c r="E103" s="108">
        <f t="shared" si="81"/>
        <v>1536.54</v>
      </c>
      <c r="F103" s="108">
        <f t="shared" si="81"/>
        <v>1486.3399999999997</v>
      </c>
      <c r="G103" s="108">
        <f t="shared" si="81"/>
        <v>1468.6399999999999</v>
      </c>
      <c r="H103" s="108">
        <f t="shared" si="81"/>
        <v>1422.1399999999999</v>
      </c>
      <c r="I103" s="108">
        <f t="shared" si="81"/>
        <v>1460.6399999999999</v>
      </c>
      <c r="J103" s="108">
        <f t="shared" si="81"/>
        <v>1574.94</v>
      </c>
      <c r="K103" s="108">
        <f t="shared" si="81"/>
        <v>1609.1399999999999</v>
      </c>
      <c r="L103" s="108">
        <f t="shared" si="81"/>
        <v>1630.8400000000001</v>
      </c>
      <c r="M103" s="108">
        <f t="shared" si="81"/>
        <v>1640.7399999999998</v>
      </c>
      <c r="N103" s="108">
        <f>N102-(N110)</f>
        <v>1650.2399999999998</v>
      </c>
      <c r="O103" s="108">
        <f>O102-(O110)</f>
        <v>1691.44</v>
      </c>
      <c r="P103" s="108">
        <f>P102-(P110)</f>
        <v>1661.44</v>
      </c>
      <c r="Q103" s="108">
        <f t="shared" si="81"/>
        <v>1640.1399999999999</v>
      </c>
      <c r="R103" s="108">
        <f t="shared" si="81"/>
        <v>1610.94</v>
      </c>
      <c r="S103" s="108">
        <f t="shared" si="81"/>
        <v>1638.54</v>
      </c>
      <c r="T103" s="108">
        <f t="shared" si="81"/>
        <v>1645.1399999999999</v>
      </c>
      <c r="U103" s="108">
        <f t="shared" ref="U103:V103" si="82">U102-(U110)</f>
        <v>1649.1399999999999</v>
      </c>
      <c r="V103" s="108">
        <f t="shared" si="82"/>
        <v>1632.44</v>
      </c>
      <c r="W103" s="108">
        <f t="shared" si="81"/>
        <v>1614.4399999999996</v>
      </c>
      <c r="X103" s="108">
        <f t="shared" ref="X103:Z103" si="83">X102-(X110)</f>
        <v>1630.7399999999998</v>
      </c>
      <c r="Y103" s="108">
        <f t="shared" si="83"/>
        <v>1582.1399999999999</v>
      </c>
      <c r="Z103" s="108">
        <f t="shared" si="83"/>
        <v>1619.7399999999998</v>
      </c>
      <c r="AA103" s="108">
        <f t="shared" si="81"/>
        <v>1772.2400000000002</v>
      </c>
      <c r="AB103" s="108">
        <f t="shared" si="81"/>
        <v>1787.2400000000002</v>
      </c>
      <c r="AC103" s="108">
        <f t="shared" si="81"/>
        <v>1685.2399999999998</v>
      </c>
      <c r="AD103" s="108">
        <f t="shared" si="81"/>
        <v>1594.6399999999999</v>
      </c>
      <c r="AE103" s="108">
        <f t="shared" si="81"/>
        <v>1448.6400000000003</v>
      </c>
      <c r="AF103" s="108">
        <f t="shared" si="81"/>
        <v>1576.1400000000003</v>
      </c>
      <c r="AG103" s="101"/>
      <c r="AH103" s="48">
        <f t="shared" si="50"/>
        <v>1787.2400000000002</v>
      </c>
      <c r="AI103" s="49">
        <f t="shared" si="51"/>
        <v>1422.1399999999999</v>
      </c>
      <c r="BF103" s="81"/>
      <c r="BG103" s="82">
        <v>-44</v>
      </c>
      <c r="BH103" s="82">
        <v>0</v>
      </c>
      <c r="BI103" s="82">
        <v>-616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9" si="84">IF(B84&lt;0,B84*-1,0)</f>
        <v>67</v>
      </c>
      <c r="C104" s="89">
        <f t="shared" si="84"/>
        <v>67</v>
      </c>
      <c r="D104" s="89">
        <f t="shared" si="84"/>
        <v>63</v>
      </c>
      <c r="E104" s="89">
        <f t="shared" si="84"/>
        <v>60</v>
      </c>
      <c r="F104" s="89">
        <f t="shared" si="84"/>
        <v>59.4</v>
      </c>
      <c r="G104" s="89">
        <f t="shared" si="84"/>
        <v>56.9</v>
      </c>
      <c r="H104" s="89">
        <f t="shared" si="84"/>
        <v>62</v>
      </c>
      <c r="I104" s="89">
        <f t="shared" si="84"/>
        <v>63.5</v>
      </c>
      <c r="J104" s="89">
        <f t="shared" si="84"/>
        <v>60</v>
      </c>
      <c r="K104" s="89">
        <f t="shared" si="84"/>
        <v>66.099999999999994</v>
      </c>
      <c r="L104" s="89">
        <f t="shared" si="84"/>
        <v>62.6</v>
      </c>
      <c r="M104" s="89">
        <f t="shared" si="84"/>
        <v>62.5</v>
      </c>
      <c r="N104" s="89">
        <f t="shared" si="84"/>
        <v>58</v>
      </c>
      <c r="O104" s="89">
        <f t="shared" si="84"/>
        <v>60</v>
      </c>
      <c r="P104" s="89">
        <f t="shared" si="84"/>
        <v>45</v>
      </c>
      <c r="Q104" s="89">
        <f t="shared" si="84"/>
        <v>45</v>
      </c>
      <c r="R104" s="89">
        <f t="shared" si="84"/>
        <v>16</v>
      </c>
      <c r="S104" s="89">
        <f t="shared" si="84"/>
        <v>21.1</v>
      </c>
      <c r="T104" s="89">
        <f t="shared" si="84"/>
        <v>13.1</v>
      </c>
      <c r="U104" s="89">
        <f t="shared" ref="U104:V104" si="85">IF(U84&lt;0,U84*-1,0)</f>
        <v>5</v>
      </c>
      <c r="V104" s="89">
        <f t="shared" si="85"/>
        <v>45</v>
      </c>
      <c r="W104" s="89">
        <f t="shared" si="84"/>
        <v>43.6</v>
      </c>
      <c r="X104" s="89">
        <f t="shared" ref="X104:Z104" si="86">IF(X84&lt;0,X84*-1,0)</f>
        <v>47</v>
      </c>
      <c r="Y104" s="89">
        <f t="shared" si="86"/>
        <v>60</v>
      </c>
      <c r="Z104" s="89">
        <f t="shared" si="86"/>
        <v>54</v>
      </c>
      <c r="AA104" s="89">
        <f t="shared" si="84"/>
        <v>8</v>
      </c>
      <c r="AB104" s="89">
        <f t="shared" si="84"/>
        <v>8</v>
      </c>
      <c r="AC104" s="89">
        <f t="shared" si="84"/>
        <v>63</v>
      </c>
      <c r="AD104" s="89">
        <f t="shared" si="84"/>
        <v>25</v>
      </c>
      <c r="AE104" s="89">
        <f t="shared" si="84"/>
        <v>44</v>
      </c>
      <c r="AF104" s="89">
        <f t="shared" si="84"/>
        <v>15</v>
      </c>
      <c r="AG104" s="61"/>
      <c r="AH104" s="48">
        <f t="shared" si="50"/>
        <v>67</v>
      </c>
      <c r="AI104" s="49">
        <f t="shared" si="51"/>
        <v>5</v>
      </c>
      <c r="BG104" s="82">
        <v>-15</v>
      </c>
      <c r="BH104" s="82">
        <v>0</v>
      </c>
      <c r="BI104" s="82">
        <v>-575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4"/>
        <v>0</v>
      </c>
      <c r="C105" s="89">
        <f t="shared" si="84"/>
        <v>0</v>
      </c>
      <c r="D105" s="89">
        <f t="shared" si="84"/>
        <v>0</v>
      </c>
      <c r="E105" s="89">
        <f t="shared" si="84"/>
        <v>0</v>
      </c>
      <c r="F105" s="89">
        <f t="shared" si="84"/>
        <v>0</v>
      </c>
      <c r="G105" s="89">
        <f t="shared" si="84"/>
        <v>0</v>
      </c>
      <c r="H105" s="89">
        <f t="shared" si="84"/>
        <v>0</v>
      </c>
      <c r="I105" s="89">
        <f t="shared" si="84"/>
        <v>0</v>
      </c>
      <c r="J105" s="89">
        <f t="shared" si="84"/>
        <v>0</v>
      </c>
      <c r="K105" s="89">
        <f t="shared" si="84"/>
        <v>0</v>
      </c>
      <c r="L105" s="89">
        <f t="shared" si="84"/>
        <v>0</v>
      </c>
      <c r="M105" s="89">
        <f t="shared" si="84"/>
        <v>0</v>
      </c>
      <c r="N105" s="89">
        <f t="shared" si="84"/>
        <v>0</v>
      </c>
      <c r="O105" s="89">
        <f t="shared" si="84"/>
        <v>0</v>
      </c>
      <c r="P105" s="89">
        <f t="shared" si="84"/>
        <v>0</v>
      </c>
      <c r="Q105" s="89">
        <f t="shared" si="84"/>
        <v>0</v>
      </c>
      <c r="R105" s="89">
        <f t="shared" si="84"/>
        <v>0</v>
      </c>
      <c r="S105" s="89">
        <f t="shared" si="84"/>
        <v>0</v>
      </c>
      <c r="T105" s="89">
        <f t="shared" si="84"/>
        <v>0</v>
      </c>
      <c r="U105" s="89">
        <f t="shared" ref="U105:V105" si="87">IF(U85&lt;0,U85*-1,0)</f>
        <v>0</v>
      </c>
      <c r="V105" s="89">
        <f t="shared" si="87"/>
        <v>0</v>
      </c>
      <c r="W105" s="89">
        <f t="shared" si="84"/>
        <v>0</v>
      </c>
      <c r="X105" s="89">
        <f t="shared" ref="X105:Z105" si="88">IF(X85&lt;0,X85*-1,0)</f>
        <v>0</v>
      </c>
      <c r="Y105" s="89">
        <f t="shared" si="88"/>
        <v>0</v>
      </c>
      <c r="Z105" s="89">
        <f t="shared" si="88"/>
        <v>0</v>
      </c>
      <c r="AA105" s="89">
        <f t="shared" si="84"/>
        <v>0</v>
      </c>
      <c r="AB105" s="89">
        <f t="shared" si="84"/>
        <v>0</v>
      </c>
      <c r="AC105" s="89">
        <f t="shared" si="84"/>
        <v>0</v>
      </c>
      <c r="AD105" s="89">
        <f t="shared" si="84"/>
        <v>0</v>
      </c>
      <c r="AE105" s="89">
        <f t="shared" si="84"/>
        <v>0</v>
      </c>
      <c r="AF105" s="89">
        <f t="shared" si="84"/>
        <v>0</v>
      </c>
      <c r="AG105" s="66"/>
      <c r="AH105" s="48">
        <f t="shared" si="50"/>
        <v>0</v>
      </c>
      <c r="AI105" s="49">
        <f t="shared" si="51"/>
        <v>0</v>
      </c>
      <c r="AK105" s="51"/>
      <c r="BG105" s="82">
        <v>-67</v>
      </c>
      <c r="BH105" s="82">
        <v>0</v>
      </c>
      <c r="BI105" s="82">
        <v>-571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4"/>
        <v>571</v>
      </c>
      <c r="C106" s="89">
        <f t="shared" si="84"/>
        <v>571</v>
      </c>
      <c r="D106" s="89">
        <f t="shared" si="84"/>
        <v>639</v>
      </c>
      <c r="E106" s="89">
        <f t="shared" si="84"/>
        <v>625</v>
      </c>
      <c r="F106" s="89">
        <f t="shared" si="84"/>
        <v>626</v>
      </c>
      <c r="G106" s="89">
        <f t="shared" si="84"/>
        <v>701</v>
      </c>
      <c r="H106" s="89">
        <f t="shared" si="84"/>
        <v>720</v>
      </c>
      <c r="I106" s="89">
        <f t="shared" si="84"/>
        <v>680</v>
      </c>
      <c r="J106" s="89">
        <f t="shared" si="84"/>
        <v>579</v>
      </c>
      <c r="K106" s="89">
        <f t="shared" si="84"/>
        <v>557</v>
      </c>
      <c r="L106" s="89">
        <f t="shared" si="84"/>
        <v>536</v>
      </c>
      <c r="M106" s="89">
        <f t="shared" si="84"/>
        <v>565</v>
      </c>
      <c r="N106" s="89">
        <f t="shared" si="84"/>
        <v>625</v>
      </c>
      <c r="O106" s="89">
        <f t="shared" si="84"/>
        <v>600</v>
      </c>
      <c r="P106" s="89">
        <f t="shared" si="84"/>
        <v>602</v>
      </c>
      <c r="Q106" s="89">
        <f t="shared" si="84"/>
        <v>602</v>
      </c>
      <c r="R106" s="89">
        <f t="shared" si="84"/>
        <v>640</v>
      </c>
      <c r="S106" s="89">
        <f t="shared" si="84"/>
        <v>558.9</v>
      </c>
      <c r="T106" s="89">
        <f t="shared" si="84"/>
        <v>546.4</v>
      </c>
      <c r="U106" s="89">
        <f t="shared" ref="U106:V106" si="89">IF(U86&lt;0,U86*-1,0)</f>
        <v>575</v>
      </c>
      <c r="V106" s="89">
        <f t="shared" si="89"/>
        <v>574</v>
      </c>
      <c r="W106" s="89">
        <f t="shared" si="84"/>
        <v>583.20000000000005</v>
      </c>
      <c r="X106" s="89">
        <f t="shared" ref="X106:Z106" si="90">IF(X86&lt;0,X86*-1,0)</f>
        <v>540</v>
      </c>
      <c r="Y106" s="89">
        <f t="shared" si="90"/>
        <v>559</v>
      </c>
      <c r="Z106" s="89">
        <f t="shared" si="90"/>
        <v>530</v>
      </c>
      <c r="AA106" s="89">
        <f t="shared" si="84"/>
        <v>460</v>
      </c>
      <c r="AB106" s="89">
        <f t="shared" si="84"/>
        <v>445</v>
      </c>
      <c r="AC106" s="89">
        <f t="shared" si="84"/>
        <v>503</v>
      </c>
      <c r="AD106" s="89">
        <f t="shared" si="84"/>
        <v>514</v>
      </c>
      <c r="AE106" s="89">
        <f t="shared" si="84"/>
        <v>616</v>
      </c>
      <c r="AF106" s="89">
        <f t="shared" si="84"/>
        <v>575</v>
      </c>
      <c r="AG106" s="111"/>
      <c r="AH106" s="48">
        <f t="shared" si="50"/>
        <v>720</v>
      </c>
      <c r="AI106" s="49">
        <f t="shared" si="51"/>
        <v>445</v>
      </c>
    </row>
    <row r="107" spans="1:64" x14ac:dyDescent="0.25">
      <c r="A107" s="97" t="s">
        <v>107</v>
      </c>
      <c r="B107" s="89">
        <f t="shared" si="84"/>
        <v>0</v>
      </c>
      <c r="C107" s="89">
        <f t="shared" si="84"/>
        <v>0</v>
      </c>
      <c r="D107" s="89">
        <f t="shared" si="84"/>
        <v>0</v>
      </c>
      <c r="E107" s="89">
        <f t="shared" si="84"/>
        <v>0</v>
      </c>
      <c r="F107" s="89">
        <f t="shared" si="84"/>
        <v>0</v>
      </c>
      <c r="G107" s="89">
        <f t="shared" si="84"/>
        <v>0</v>
      </c>
      <c r="H107" s="89">
        <f t="shared" si="84"/>
        <v>0</v>
      </c>
      <c r="I107" s="89">
        <f t="shared" si="84"/>
        <v>0</v>
      </c>
      <c r="J107" s="89">
        <f t="shared" si="84"/>
        <v>0</v>
      </c>
      <c r="K107" s="89">
        <f t="shared" si="84"/>
        <v>0</v>
      </c>
      <c r="L107" s="89">
        <f t="shared" si="84"/>
        <v>0</v>
      </c>
      <c r="M107" s="89">
        <f t="shared" si="84"/>
        <v>0</v>
      </c>
      <c r="N107" s="89">
        <f t="shared" si="84"/>
        <v>0</v>
      </c>
      <c r="O107" s="89">
        <f t="shared" si="84"/>
        <v>0</v>
      </c>
      <c r="P107" s="89">
        <f t="shared" si="84"/>
        <v>0</v>
      </c>
      <c r="Q107" s="89">
        <f t="shared" si="84"/>
        <v>0</v>
      </c>
      <c r="R107" s="89">
        <f t="shared" si="84"/>
        <v>0</v>
      </c>
      <c r="S107" s="89">
        <f t="shared" si="84"/>
        <v>0</v>
      </c>
      <c r="T107" s="89">
        <f t="shared" si="84"/>
        <v>0</v>
      </c>
      <c r="U107" s="89">
        <f t="shared" ref="U107:V107" si="91">IF(U87&lt;0,U87*-1,0)</f>
        <v>0</v>
      </c>
      <c r="V107" s="89">
        <f t="shared" si="91"/>
        <v>0</v>
      </c>
      <c r="W107" s="89">
        <f t="shared" si="84"/>
        <v>0</v>
      </c>
      <c r="X107" s="89">
        <f t="shared" ref="X107:Z107" si="92">IF(X87&lt;0,X87*-1,0)</f>
        <v>0</v>
      </c>
      <c r="Y107" s="89">
        <f t="shared" si="92"/>
        <v>0</v>
      </c>
      <c r="Z107" s="89">
        <f t="shared" si="92"/>
        <v>0</v>
      </c>
      <c r="AA107" s="89">
        <f t="shared" si="84"/>
        <v>0</v>
      </c>
      <c r="AB107" s="89">
        <f t="shared" si="84"/>
        <v>0</v>
      </c>
      <c r="AC107" s="89">
        <f t="shared" si="84"/>
        <v>0</v>
      </c>
      <c r="AD107" s="89">
        <f t="shared" si="84"/>
        <v>0</v>
      </c>
      <c r="AE107" s="89">
        <f t="shared" si="84"/>
        <v>0</v>
      </c>
      <c r="AF107" s="89">
        <f t="shared" si="84"/>
        <v>0</v>
      </c>
      <c r="AG107" s="111"/>
      <c r="AH107" s="48">
        <f t="shared" si="50"/>
        <v>0</v>
      </c>
      <c r="AI107" s="49">
        <f t="shared" si="51"/>
        <v>0</v>
      </c>
    </row>
    <row r="108" spans="1:64" x14ac:dyDescent="0.25">
      <c r="A108" s="97" t="s">
        <v>108</v>
      </c>
      <c r="B108" s="89">
        <f t="shared" si="84"/>
        <v>0</v>
      </c>
      <c r="C108" s="89">
        <f t="shared" si="84"/>
        <v>0</v>
      </c>
      <c r="D108" s="89">
        <f t="shared" si="84"/>
        <v>0</v>
      </c>
      <c r="E108" s="89">
        <f t="shared" si="84"/>
        <v>0</v>
      </c>
      <c r="F108" s="89">
        <f t="shared" si="84"/>
        <v>0</v>
      </c>
      <c r="G108" s="89">
        <f t="shared" si="84"/>
        <v>0</v>
      </c>
      <c r="H108" s="89">
        <f t="shared" si="84"/>
        <v>0</v>
      </c>
      <c r="I108" s="89">
        <f t="shared" si="84"/>
        <v>0</v>
      </c>
      <c r="J108" s="89">
        <f t="shared" si="84"/>
        <v>0</v>
      </c>
      <c r="K108" s="89">
        <f t="shared" si="84"/>
        <v>0</v>
      </c>
      <c r="L108" s="89">
        <f t="shared" si="84"/>
        <v>0</v>
      </c>
      <c r="M108" s="89">
        <f t="shared" si="84"/>
        <v>0</v>
      </c>
      <c r="N108" s="89">
        <f t="shared" si="84"/>
        <v>0</v>
      </c>
      <c r="O108" s="89">
        <f t="shared" si="84"/>
        <v>0</v>
      </c>
      <c r="P108" s="89">
        <f t="shared" si="84"/>
        <v>0</v>
      </c>
      <c r="Q108" s="89">
        <f t="shared" si="84"/>
        <v>0</v>
      </c>
      <c r="R108" s="89">
        <f t="shared" si="84"/>
        <v>0</v>
      </c>
      <c r="S108" s="89">
        <f t="shared" si="84"/>
        <v>0</v>
      </c>
      <c r="T108" s="89">
        <f t="shared" si="84"/>
        <v>0</v>
      </c>
      <c r="U108" s="89">
        <f t="shared" ref="U108:V108" si="93">IF(U88&lt;0,U88*-1,0)</f>
        <v>0</v>
      </c>
      <c r="V108" s="89">
        <f t="shared" si="93"/>
        <v>0</v>
      </c>
      <c r="W108" s="89">
        <f t="shared" si="84"/>
        <v>0</v>
      </c>
      <c r="X108" s="89">
        <f t="shared" ref="X108:Z108" si="94">IF(X88&lt;0,X88*-1,0)</f>
        <v>0</v>
      </c>
      <c r="Y108" s="89">
        <f t="shared" si="94"/>
        <v>0</v>
      </c>
      <c r="Z108" s="89">
        <f t="shared" si="94"/>
        <v>0</v>
      </c>
      <c r="AA108" s="89">
        <f t="shared" si="84"/>
        <v>0</v>
      </c>
      <c r="AB108" s="89">
        <f t="shared" si="84"/>
        <v>0</v>
      </c>
      <c r="AC108" s="89">
        <f t="shared" si="84"/>
        <v>0</v>
      </c>
      <c r="AD108" s="89">
        <f t="shared" si="84"/>
        <v>0</v>
      </c>
      <c r="AE108" s="89">
        <f t="shared" si="84"/>
        <v>0</v>
      </c>
      <c r="AF108" s="89">
        <f t="shared" si="84"/>
        <v>0</v>
      </c>
      <c r="AG108" s="111"/>
      <c r="AH108" s="48">
        <f t="shared" si="50"/>
        <v>0</v>
      </c>
      <c r="AI108" s="49">
        <f t="shared" si="51"/>
        <v>0</v>
      </c>
    </row>
    <row r="109" spans="1:64" ht="15.75" thickBot="1" x14ac:dyDescent="0.3">
      <c r="A109" s="97" t="s">
        <v>117</v>
      </c>
      <c r="B109" s="89">
        <f t="shared" si="84"/>
        <v>0</v>
      </c>
      <c r="C109" s="89">
        <f t="shared" si="84"/>
        <v>0</v>
      </c>
      <c r="D109" s="89">
        <f t="shared" si="84"/>
        <v>0</v>
      </c>
      <c r="E109" s="89">
        <f t="shared" si="84"/>
        <v>0</v>
      </c>
      <c r="F109" s="89">
        <f t="shared" si="84"/>
        <v>0</v>
      </c>
      <c r="G109" s="89">
        <f t="shared" si="84"/>
        <v>0</v>
      </c>
      <c r="H109" s="89">
        <f t="shared" si="84"/>
        <v>0</v>
      </c>
      <c r="I109" s="89">
        <f t="shared" si="84"/>
        <v>0</v>
      </c>
      <c r="J109" s="89">
        <f t="shared" si="84"/>
        <v>0</v>
      </c>
      <c r="K109" s="89">
        <f t="shared" si="84"/>
        <v>0</v>
      </c>
      <c r="L109" s="89">
        <f t="shared" si="84"/>
        <v>0</v>
      </c>
      <c r="M109" s="89">
        <f t="shared" si="84"/>
        <v>0</v>
      </c>
      <c r="N109" s="89">
        <f t="shared" si="84"/>
        <v>0</v>
      </c>
      <c r="O109" s="89">
        <f t="shared" si="84"/>
        <v>0</v>
      </c>
      <c r="P109" s="89">
        <f t="shared" si="84"/>
        <v>0</v>
      </c>
      <c r="Q109" s="89">
        <f t="shared" si="84"/>
        <v>0</v>
      </c>
      <c r="R109" s="89">
        <f t="shared" si="84"/>
        <v>0</v>
      </c>
      <c r="S109" s="89">
        <f t="shared" si="84"/>
        <v>0</v>
      </c>
      <c r="T109" s="89">
        <f t="shared" si="84"/>
        <v>0</v>
      </c>
      <c r="U109" s="89">
        <f t="shared" ref="U109:V109" si="95">IF(U89&lt;0,U89*-1,0)</f>
        <v>0</v>
      </c>
      <c r="V109" s="89">
        <f t="shared" si="95"/>
        <v>0</v>
      </c>
      <c r="W109" s="89">
        <f t="shared" si="84"/>
        <v>0</v>
      </c>
      <c r="X109" s="89">
        <f t="shared" ref="X109:Z109" si="96">IF(X89&lt;0,X89*-1,0)</f>
        <v>0</v>
      </c>
      <c r="Y109" s="89">
        <f t="shared" si="96"/>
        <v>0</v>
      </c>
      <c r="Z109" s="89">
        <f t="shared" si="96"/>
        <v>0</v>
      </c>
      <c r="AA109" s="89">
        <f t="shared" si="84"/>
        <v>0</v>
      </c>
      <c r="AB109" s="89">
        <f t="shared" si="84"/>
        <v>0</v>
      </c>
      <c r="AC109" s="89">
        <f t="shared" si="84"/>
        <v>0</v>
      </c>
      <c r="AD109" s="89">
        <f t="shared" si="84"/>
        <v>0</v>
      </c>
      <c r="AE109" s="89">
        <f t="shared" si="84"/>
        <v>0</v>
      </c>
      <c r="AF109" s="89">
        <f t="shared" si="84"/>
        <v>0</v>
      </c>
      <c r="AG109" s="98"/>
      <c r="AH109" s="48">
        <f t="shared" si="50"/>
        <v>0</v>
      </c>
      <c r="AI109" s="49">
        <f t="shared" si="51"/>
        <v>0</v>
      </c>
    </row>
    <row r="110" spans="1:64" ht="15.75" thickBot="1" x14ac:dyDescent="0.3">
      <c r="A110" s="112" t="s">
        <v>130</v>
      </c>
      <c r="B110" s="71">
        <f>SUM(B104:B109)</f>
        <v>638</v>
      </c>
      <c r="C110" s="71">
        <f t="shared" ref="C110:AF110" si="97">SUM(C104:C109)</f>
        <v>638</v>
      </c>
      <c r="D110" s="71">
        <f t="shared" si="97"/>
        <v>702</v>
      </c>
      <c r="E110" s="71">
        <f t="shared" si="97"/>
        <v>685</v>
      </c>
      <c r="F110" s="71">
        <f t="shared" si="97"/>
        <v>685.4</v>
      </c>
      <c r="G110" s="71">
        <f t="shared" si="97"/>
        <v>757.9</v>
      </c>
      <c r="H110" s="71">
        <f t="shared" si="97"/>
        <v>782</v>
      </c>
      <c r="I110" s="71">
        <f t="shared" si="97"/>
        <v>743.5</v>
      </c>
      <c r="J110" s="71">
        <f t="shared" si="97"/>
        <v>639</v>
      </c>
      <c r="K110" s="71">
        <f t="shared" si="97"/>
        <v>623.1</v>
      </c>
      <c r="L110" s="71">
        <f t="shared" si="97"/>
        <v>598.6</v>
      </c>
      <c r="M110" s="71">
        <f t="shared" si="97"/>
        <v>627.5</v>
      </c>
      <c r="N110" s="71">
        <f t="shared" si="97"/>
        <v>683</v>
      </c>
      <c r="O110" s="71">
        <f t="shared" si="97"/>
        <v>660</v>
      </c>
      <c r="P110" s="71">
        <f t="shared" si="97"/>
        <v>647</v>
      </c>
      <c r="Q110" s="71">
        <f t="shared" si="97"/>
        <v>647</v>
      </c>
      <c r="R110" s="71">
        <f t="shared" si="97"/>
        <v>656</v>
      </c>
      <c r="S110" s="71">
        <f t="shared" si="97"/>
        <v>580</v>
      </c>
      <c r="T110" s="71">
        <f t="shared" si="97"/>
        <v>559.5</v>
      </c>
      <c r="U110" s="71">
        <f t="shared" ref="U110:V110" si="98">SUM(U104:U109)</f>
        <v>580</v>
      </c>
      <c r="V110" s="71">
        <f t="shared" si="98"/>
        <v>619</v>
      </c>
      <c r="W110" s="71">
        <f t="shared" si="97"/>
        <v>626.80000000000007</v>
      </c>
      <c r="X110" s="71">
        <f t="shared" ref="X110:Z110" si="99">SUM(X104:X109)</f>
        <v>587</v>
      </c>
      <c r="Y110" s="71">
        <f t="shared" si="99"/>
        <v>619</v>
      </c>
      <c r="Z110" s="71">
        <f t="shared" si="99"/>
        <v>584</v>
      </c>
      <c r="AA110" s="71">
        <f t="shared" si="97"/>
        <v>468</v>
      </c>
      <c r="AB110" s="71">
        <f t="shared" si="97"/>
        <v>453</v>
      </c>
      <c r="AC110" s="71">
        <f t="shared" si="97"/>
        <v>566</v>
      </c>
      <c r="AD110" s="71">
        <f t="shared" si="97"/>
        <v>539</v>
      </c>
      <c r="AE110" s="71">
        <f t="shared" si="97"/>
        <v>660</v>
      </c>
      <c r="AF110" s="71">
        <f t="shared" si="97"/>
        <v>590</v>
      </c>
      <c r="AG110" s="101"/>
      <c r="AH110" s="48">
        <f t="shared" si="50"/>
        <v>782</v>
      </c>
      <c r="AI110" s="49">
        <f t="shared" si="51"/>
        <v>453</v>
      </c>
    </row>
    <row r="111" spans="1:64" ht="15.75" thickBot="1" x14ac:dyDescent="0.3">
      <c r="A111" s="87" t="s">
        <v>131</v>
      </c>
      <c r="B111" s="71">
        <f t="shared" ref="B111:AF111" si="100">B95-B110</f>
        <v>-638</v>
      </c>
      <c r="C111" s="71">
        <f t="shared" si="100"/>
        <v>-638</v>
      </c>
      <c r="D111" s="71">
        <f t="shared" si="100"/>
        <v>-702</v>
      </c>
      <c r="E111" s="71">
        <f t="shared" si="100"/>
        <v>-685</v>
      </c>
      <c r="F111" s="71">
        <f t="shared" si="100"/>
        <v>-685.4</v>
      </c>
      <c r="G111" s="71">
        <f t="shared" si="100"/>
        <v>-757.9</v>
      </c>
      <c r="H111" s="71">
        <f t="shared" si="100"/>
        <v>-782</v>
      </c>
      <c r="I111" s="71">
        <f t="shared" si="100"/>
        <v>-743.5</v>
      </c>
      <c r="J111" s="71">
        <f t="shared" si="100"/>
        <v>-639</v>
      </c>
      <c r="K111" s="71">
        <f t="shared" si="100"/>
        <v>-623.1</v>
      </c>
      <c r="L111" s="71">
        <f t="shared" si="100"/>
        <v>-598.6</v>
      </c>
      <c r="M111" s="71">
        <f t="shared" si="100"/>
        <v>-627.5</v>
      </c>
      <c r="N111" s="71">
        <f t="shared" si="100"/>
        <v>-683</v>
      </c>
      <c r="O111" s="71">
        <f t="shared" si="100"/>
        <v>-660</v>
      </c>
      <c r="P111" s="71">
        <f t="shared" si="100"/>
        <v>-647</v>
      </c>
      <c r="Q111" s="71">
        <f t="shared" si="100"/>
        <v>-647</v>
      </c>
      <c r="R111" s="71">
        <f t="shared" si="100"/>
        <v>-656</v>
      </c>
      <c r="S111" s="71">
        <f t="shared" si="100"/>
        <v>-580</v>
      </c>
      <c r="T111" s="71">
        <f t="shared" si="100"/>
        <v>-559.5</v>
      </c>
      <c r="U111" s="71">
        <f t="shared" ref="U111:V111" si="101">U95-U110</f>
        <v>-580</v>
      </c>
      <c r="V111" s="71">
        <f t="shared" si="101"/>
        <v>-619</v>
      </c>
      <c r="W111" s="71">
        <f t="shared" si="100"/>
        <v>-626.80000000000007</v>
      </c>
      <c r="X111" s="71">
        <f t="shared" ref="X111:Z111" si="102">X95-X110</f>
        <v>-587</v>
      </c>
      <c r="Y111" s="71">
        <f t="shared" si="102"/>
        <v>-619</v>
      </c>
      <c r="Z111" s="71">
        <f t="shared" si="102"/>
        <v>-584</v>
      </c>
      <c r="AA111" s="71">
        <f t="shared" si="100"/>
        <v>-468</v>
      </c>
      <c r="AB111" s="71">
        <f t="shared" si="100"/>
        <v>-453</v>
      </c>
      <c r="AC111" s="71">
        <f t="shared" si="100"/>
        <v>-566</v>
      </c>
      <c r="AD111" s="71">
        <f t="shared" si="100"/>
        <v>-539</v>
      </c>
      <c r="AE111" s="71">
        <f t="shared" si="100"/>
        <v>-660</v>
      </c>
      <c r="AF111" s="71">
        <f t="shared" si="100"/>
        <v>-590</v>
      </c>
      <c r="AG111" s="101"/>
      <c r="AH111" s="48">
        <f t="shared" si="50"/>
        <v>-453</v>
      </c>
      <c r="AI111" s="49">
        <f t="shared" si="51"/>
        <v>-782</v>
      </c>
    </row>
    <row r="112" spans="1:64" x14ac:dyDescent="0.25">
      <c r="A112" s="113" t="s">
        <v>132</v>
      </c>
      <c r="B112" s="114">
        <v>50.015000000000001</v>
      </c>
      <c r="C112" s="114">
        <v>50.027000000000001</v>
      </c>
      <c r="D112" s="114">
        <v>50.023000000000003</v>
      </c>
      <c r="E112" s="114">
        <v>50.023000000000003</v>
      </c>
      <c r="F112" s="114">
        <v>50.021999999999998</v>
      </c>
      <c r="G112" s="114">
        <v>49.881999999999998</v>
      </c>
      <c r="H112" s="114">
        <v>49.881999999999998</v>
      </c>
      <c r="I112" s="114">
        <v>49.944000000000003</v>
      </c>
      <c r="J112" s="114">
        <v>49.944000000000003</v>
      </c>
      <c r="K112" s="114">
        <v>49.963000000000001</v>
      </c>
      <c r="L112" s="114">
        <v>49.975000000000001</v>
      </c>
      <c r="M112" s="114">
        <v>49.975999999999999</v>
      </c>
      <c r="N112" s="114">
        <v>50.031999999999996</v>
      </c>
      <c r="O112" s="114">
        <v>50.031999999999996</v>
      </c>
      <c r="P112" s="114">
        <v>49.972999999999999</v>
      </c>
      <c r="Q112" s="114">
        <v>49.972999999999999</v>
      </c>
      <c r="R112" s="114">
        <v>50.14</v>
      </c>
      <c r="S112" s="114">
        <v>50.031999999999996</v>
      </c>
      <c r="T112" s="114">
        <v>50.073</v>
      </c>
      <c r="U112" s="114">
        <v>50</v>
      </c>
      <c r="V112" s="114">
        <v>50</v>
      </c>
      <c r="W112" s="114">
        <v>49.984999999999999</v>
      </c>
      <c r="X112" s="114">
        <v>49.984999999999999</v>
      </c>
      <c r="Y112" s="114">
        <v>50.02</v>
      </c>
      <c r="Z112" s="114">
        <v>50</v>
      </c>
      <c r="AA112" s="114">
        <v>49.965000000000003</v>
      </c>
      <c r="AB112" s="114">
        <v>50.031999999999996</v>
      </c>
      <c r="AC112" s="114">
        <v>49.85</v>
      </c>
      <c r="AD112" s="114">
        <v>49.996000000000002</v>
      </c>
      <c r="AE112" s="114">
        <v>50.015000000000001</v>
      </c>
      <c r="AF112" s="114"/>
      <c r="AG112" s="115"/>
      <c r="AH112" s="48">
        <f t="shared" si="50"/>
        <v>50.14</v>
      </c>
      <c r="AI112" s="49">
        <f t="shared" si="51"/>
        <v>49.85</v>
      </c>
    </row>
    <row r="113" spans="1:35" x14ac:dyDescent="0.25">
      <c r="A113" s="116" t="s">
        <v>133</v>
      </c>
      <c r="B113" s="76">
        <v>125.4</v>
      </c>
      <c r="C113" s="76">
        <v>122.5</v>
      </c>
      <c r="D113" s="76">
        <v>122.5</v>
      </c>
      <c r="E113" s="76">
        <v>122.5</v>
      </c>
      <c r="F113" s="76">
        <v>126.6</v>
      </c>
      <c r="G113" s="76">
        <v>124.4</v>
      </c>
      <c r="H113" s="76">
        <v>124.4</v>
      </c>
      <c r="I113" s="76">
        <v>124.4</v>
      </c>
      <c r="J113" s="76">
        <v>124.4</v>
      </c>
      <c r="K113" s="76">
        <v>124.5</v>
      </c>
      <c r="L113" s="76">
        <v>123.8</v>
      </c>
      <c r="M113" s="76">
        <v>123.2</v>
      </c>
      <c r="N113" s="76">
        <v>121</v>
      </c>
      <c r="O113" s="76">
        <v>121</v>
      </c>
      <c r="P113" s="76">
        <v>121</v>
      </c>
      <c r="Q113" s="76">
        <v>121</v>
      </c>
      <c r="R113" s="76">
        <v>122.1</v>
      </c>
      <c r="S113" s="76">
        <v>119.7</v>
      </c>
      <c r="T113" s="76">
        <v>121.5</v>
      </c>
      <c r="U113" s="76">
        <v>122</v>
      </c>
      <c r="V113" s="76">
        <v>122</v>
      </c>
      <c r="W113" s="76">
        <v>121.3</v>
      </c>
      <c r="X113" s="76">
        <v>121.3</v>
      </c>
      <c r="Y113" s="76">
        <v>121.3</v>
      </c>
      <c r="Z113" s="76">
        <v>121.3</v>
      </c>
      <c r="AA113" s="76">
        <v>124</v>
      </c>
      <c r="AB113" s="76">
        <v>124.7</v>
      </c>
      <c r="AC113" s="76">
        <v>124.7</v>
      </c>
      <c r="AD113" s="76">
        <v>127.4</v>
      </c>
      <c r="AE113" s="76">
        <v>129.30000000000001</v>
      </c>
      <c r="AF113" s="76"/>
      <c r="AG113" s="117"/>
      <c r="AH113" s="48">
        <f t="shared" si="50"/>
        <v>129.30000000000001</v>
      </c>
      <c r="AI113" s="49">
        <f t="shared" si="51"/>
        <v>119.7</v>
      </c>
    </row>
    <row r="114" spans="1:35" x14ac:dyDescent="0.25">
      <c r="A114" s="116" t="s">
        <v>134</v>
      </c>
      <c r="B114" s="76">
        <v>129.30000000000001</v>
      </c>
      <c r="C114" s="76">
        <v>127.7</v>
      </c>
      <c r="D114" s="76">
        <v>127.7</v>
      </c>
      <c r="E114" s="76">
        <v>127.7</v>
      </c>
      <c r="F114" s="76">
        <v>129.9</v>
      </c>
      <c r="G114" s="76">
        <v>127.9</v>
      </c>
      <c r="H114" s="76">
        <v>127.9</v>
      </c>
      <c r="I114" s="76">
        <v>127.5</v>
      </c>
      <c r="J114" s="76">
        <v>127.5</v>
      </c>
      <c r="K114" s="76">
        <v>127.1</v>
      </c>
      <c r="L114" s="76">
        <v>126.2</v>
      </c>
      <c r="M114" s="76">
        <v>125.7</v>
      </c>
      <c r="N114" s="76">
        <v>124.7</v>
      </c>
      <c r="O114" s="76">
        <v>124.7</v>
      </c>
      <c r="P114" s="76">
        <v>124.4</v>
      </c>
      <c r="Q114" s="76">
        <v>124.4</v>
      </c>
      <c r="R114" s="76">
        <v>125.3</v>
      </c>
      <c r="S114" s="76">
        <v>123.2</v>
      </c>
      <c r="T114" s="76">
        <v>124.8</v>
      </c>
      <c r="U114" s="76">
        <v>124.8</v>
      </c>
      <c r="V114" s="76">
        <v>124.8</v>
      </c>
      <c r="W114" s="76">
        <v>125.4</v>
      </c>
      <c r="X114" s="76">
        <v>125.4</v>
      </c>
      <c r="Y114" s="76">
        <v>125.4</v>
      </c>
      <c r="Z114" s="76">
        <v>125.4</v>
      </c>
      <c r="AA114" s="76">
        <v>126.3</v>
      </c>
      <c r="AB114" s="76">
        <v>127.7</v>
      </c>
      <c r="AC114" s="76">
        <v>127.5</v>
      </c>
      <c r="AD114" s="76">
        <v>129.4</v>
      </c>
      <c r="AE114" s="76">
        <v>131.1</v>
      </c>
      <c r="AF114" s="76"/>
      <c r="AG114" s="117"/>
      <c r="AH114" s="48">
        <f t="shared" si="50"/>
        <v>131.1</v>
      </c>
      <c r="AI114" s="49">
        <f t="shared" si="51"/>
        <v>123.2</v>
      </c>
    </row>
    <row r="115" spans="1:35" x14ac:dyDescent="0.25">
      <c r="A115" s="116" t="s">
        <v>135</v>
      </c>
      <c r="B115" s="76">
        <v>130.6</v>
      </c>
      <c r="C115" s="76">
        <v>129.69999999999999</v>
      </c>
      <c r="D115" s="76">
        <v>129.69999999999999</v>
      </c>
      <c r="E115" s="76">
        <v>129.69999999999999</v>
      </c>
      <c r="F115" s="76">
        <v>131.6</v>
      </c>
      <c r="G115" s="76">
        <v>130.1</v>
      </c>
      <c r="H115" s="76">
        <v>130.1</v>
      </c>
      <c r="I115" s="76">
        <v>130.69999999999999</v>
      </c>
      <c r="J115" s="76">
        <v>130.69999999999999</v>
      </c>
      <c r="K115" s="76">
        <v>129.5</v>
      </c>
      <c r="L115" s="76">
        <v>129.4</v>
      </c>
      <c r="M115" s="76">
        <v>128.19999999999999</v>
      </c>
      <c r="N115" s="76">
        <v>130.69999999999999</v>
      </c>
      <c r="O115" s="76">
        <v>130.69999999999999</v>
      </c>
      <c r="P115" s="76">
        <v>129.6</v>
      </c>
      <c r="Q115" s="76">
        <v>129.6</v>
      </c>
      <c r="R115" s="76">
        <v>130</v>
      </c>
      <c r="S115" s="76">
        <v>130.30000000000001</v>
      </c>
      <c r="T115" s="76">
        <v>131.5</v>
      </c>
      <c r="U115" s="76">
        <v>131.5</v>
      </c>
      <c r="V115" s="76">
        <v>131.5</v>
      </c>
      <c r="W115" s="76">
        <v>130.30000000000001</v>
      </c>
      <c r="X115" s="76">
        <v>130.30000000000001</v>
      </c>
      <c r="Y115" s="76">
        <v>130.30000000000001</v>
      </c>
      <c r="Z115" s="76">
        <v>130.30000000000001</v>
      </c>
      <c r="AA115" s="76">
        <v>130.19999999999999</v>
      </c>
      <c r="AB115" s="76">
        <v>132.1</v>
      </c>
      <c r="AC115" s="76">
        <v>130.69999999999999</v>
      </c>
      <c r="AD115" s="76">
        <v>130.9</v>
      </c>
      <c r="AE115" s="76">
        <v>130</v>
      </c>
      <c r="AF115" s="76"/>
      <c r="AG115" s="117"/>
      <c r="AH115" s="48">
        <f t="shared" si="50"/>
        <v>132.1</v>
      </c>
      <c r="AI115" s="49">
        <f t="shared" si="51"/>
        <v>128.19999999999999</v>
      </c>
    </row>
    <row r="116" spans="1:35" x14ac:dyDescent="0.25">
      <c r="A116" s="118" t="s">
        <v>136</v>
      </c>
      <c r="B116" s="76">
        <v>130.9</v>
      </c>
      <c r="C116" s="76">
        <v>130.4</v>
      </c>
      <c r="D116" s="76">
        <v>130.4</v>
      </c>
      <c r="E116" s="76">
        <v>130.4</v>
      </c>
      <c r="F116" s="76">
        <v>133.6</v>
      </c>
      <c r="G116" s="76">
        <v>132.19999999999999</v>
      </c>
      <c r="H116" s="76">
        <v>132.19999999999999</v>
      </c>
      <c r="I116" s="76">
        <v>132.4</v>
      </c>
      <c r="J116" s="76">
        <v>132.4</v>
      </c>
      <c r="K116" s="76">
        <v>130.30000000000001</v>
      </c>
      <c r="L116" s="76">
        <v>130.4</v>
      </c>
      <c r="M116" s="76">
        <v>129.30000000000001</v>
      </c>
      <c r="N116" s="76">
        <v>130.19999999999999</v>
      </c>
      <c r="O116" s="76">
        <v>130.19999999999999</v>
      </c>
      <c r="P116" s="76">
        <v>129.30000000000001</v>
      </c>
      <c r="Q116" s="76">
        <v>129.30000000000001</v>
      </c>
      <c r="R116" s="76">
        <v>130</v>
      </c>
      <c r="S116" s="76">
        <v>131.19999999999999</v>
      </c>
      <c r="T116" s="76">
        <v>131.30000000000001</v>
      </c>
      <c r="U116" s="76">
        <v>131.30000000000001</v>
      </c>
      <c r="V116" s="76">
        <v>131.30000000000001</v>
      </c>
      <c r="W116" s="76">
        <v>131.9</v>
      </c>
      <c r="X116" s="76">
        <v>131.9</v>
      </c>
      <c r="Y116" s="76">
        <v>131.9</v>
      </c>
      <c r="Z116" s="76">
        <v>131.9</v>
      </c>
      <c r="AA116" s="76">
        <v>130.4</v>
      </c>
      <c r="AB116" s="76">
        <v>132.6</v>
      </c>
      <c r="AC116" s="76">
        <v>131.69999999999999</v>
      </c>
      <c r="AD116" s="76">
        <v>132.30000000000001</v>
      </c>
      <c r="AE116" s="76">
        <v>131.19999999999999</v>
      </c>
      <c r="AF116" s="76"/>
      <c r="AG116" s="117"/>
      <c r="AH116" s="48">
        <f t="shared" si="50"/>
        <v>133.6</v>
      </c>
      <c r="AI116" s="49">
        <f t="shared" si="51"/>
        <v>129.30000000000001</v>
      </c>
    </row>
    <row r="117" spans="1:35" x14ac:dyDescent="0.25">
      <c r="A117" s="118" t="s">
        <v>137</v>
      </c>
      <c r="B117" s="119">
        <v>133.5</v>
      </c>
      <c r="C117" s="119">
        <v>134</v>
      </c>
      <c r="D117" s="119">
        <v>134</v>
      </c>
      <c r="E117" s="119">
        <v>134</v>
      </c>
      <c r="F117" s="119">
        <v>133.1</v>
      </c>
      <c r="G117" s="119">
        <v>132.19999999999999</v>
      </c>
      <c r="H117" s="119">
        <v>132.19999999999999</v>
      </c>
      <c r="I117" s="119">
        <v>132.5</v>
      </c>
      <c r="J117" s="119">
        <v>132.5</v>
      </c>
      <c r="K117" s="119">
        <v>135.19999999999999</v>
      </c>
      <c r="L117" s="119">
        <v>134.30000000000001</v>
      </c>
      <c r="M117" s="119">
        <v>136.1</v>
      </c>
      <c r="N117" s="119">
        <v>132.4</v>
      </c>
      <c r="O117" s="119">
        <v>132.4</v>
      </c>
      <c r="P117" s="119">
        <v>133.5</v>
      </c>
      <c r="Q117" s="119">
        <v>133.5</v>
      </c>
      <c r="R117" s="119">
        <v>134</v>
      </c>
      <c r="S117" s="119">
        <v>134</v>
      </c>
      <c r="T117" s="119">
        <v>132.4</v>
      </c>
      <c r="U117" s="119">
        <v>132.4</v>
      </c>
      <c r="V117" s="119">
        <v>132.4</v>
      </c>
      <c r="W117" s="119">
        <v>136.19999999999999</v>
      </c>
      <c r="X117" s="119">
        <v>136.19999999999999</v>
      </c>
      <c r="Y117" s="119">
        <v>136.19999999999999</v>
      </c>
      <c r="Z117" s="119">
        <v>136.19999999999999</v>
      </c>
      <c r="AA117" s="119">
        <v>132.30000000000001</v>
      </c>
      <c r="AB117" s="119">
        <v>134.19999999999999</v>
      </c>
      <c r="AC117" s="119">
        <v>134.69999999999999</v>
      </c>
      <c r="AD117" s="119">
        <v>135.19999999999999</v>
      </c>
      <c r="AE117" s="119">
        <v>133.6</v>
      </c>
      <c r="AF117" s="119"/>
      <c r="AG117" s="120"/>
      <c r="AH117" s="48">
        <f t="shared" si="50"/>
        <v>136.19999999999999</v>
      </c>
      <c r="AI117" s="49">
        <f t="shared" si="51"/>
        <v>132.19999999999999</v>
      </c>
    </row>
    <row r="118" spans="1:35" x14ac:dyDescent="0.25">
      <c r="A118" s="116" t="s">
        <v>138</v>
      </c>
      <c r="B118" s="76">
        <v>123.1</v>
      </c>
      <c r="C118" s="76">
        <v>123.8</v>
      </c>
      <c r="D118" s="76">
        <v>123.8</v>
      </c>
      <c r="E118" s="76">
        <v>123.8</v>
      </c>
      <c r="F118" s="76">
        <v>122.9</v>
      </c>
      <c r="G118" s="76">
        <v>121.6</v>
      </c>
      <c r="H118" s="76">
        <v>121.6</v>
      </c>
      <c r="I118" s="76">
        <v>123.5</v>
      </c>
      <c r="J118" s="76">
        <v>123.5</v>
      </c>
      <c r="K118" s="76">
        <v>130.6</v>
      </c>
      <c r="L118" s="76">
        <v>128.5</v>
      </c>
      <c r="M118" s="76">
        <v>128.19999999999999</v>
      </c>
      <c r="N118" s="76">
        <v>126.2</v>
      </c>
      <c r="O118" s="76">
        <v>126.2</v>
      </c>
      <c r="P118" s="76">
        <v>123.2</v>
      </c>
      <c r="Q118" s="76">
        <v>123.2</v>
      </c>
      <c r="R118" s="76">
        <v>132</v>
      </c>
      <c r="S118" s="76">
        <v>132</v>
      </c>
      <c r="T118" s="76">
        <v>122.1</v>
      </c>
      <c r="U118" s="76">
        <v>122.1</v>
      </c>
      <c r="V118" s="76">
        <v>122.1</v>
      </c>
      <c r="W118" s="76">
        <v>131.1</v>
      </c>
      <c r="X118" s="76">
        <v>131.1</v>
      </c>
      <c r="Y118" s="76">
        <v>131.1</v>
      </c>
      <c r="Z118" s="76">
        <v>131.1</v>
      </c>
      <c r="AA118" s="76">
        <v>125.4</v>
      </c>
      <c r="AB118" s="76">
        <v>131.5</v>
      </c>
      <c r="AC118" s="76">
        <v>131.9</v>
      </c>
      <c r="AD118" s="76">
        <v>135.9</v>
      </c>
      <c r="AE118" s="76">
        <v>131.6</v>
      </c>
      <c r="AF118" s="76"/>
      <c r="AG118" s="117"/>
      <c r="AH118" s="48">
        <f t="shared" si="50"/>
        <v>135.9</v>
      </c>
      <c r="AI118" s="49">
        <f t="shared" si="51"/>
        <v>121.6</v>
      </c>
    </row>
    <row r="119" spans="1:35" ht="15.75" thickBot="1" x14ac:dyDescent="0.3">
      <c r="A119" s="116" t="s">
        <v>139</v>
      </c>
      <c r="B119" s="105">
        <v>64.7</v>
      </c>
      <c r="C119" s="105">
        <v>64.2</v>
      </c>
      <c r="D119" s="105">
        <v>64.2</v>
      </c>
      <c r="E119" s="105">
        <v>64.2</v>
      </c>
      <c r="F119" s="105">
        <v>65.7</v>
      </c>
      <c r="G119" s="105">
        <v>64.400000000000006</v>
      </c>
      <c r="H119" s="105">
        <v>64.400000000000006</v>
      </c>
      <c r="I119" s="105">
        <v>64</v>
      </c>
      <c r="J119" s="105">
        <v>64</v>
      </c>
      <c r="K119" s="105">
        <v>63.6</v>
      </c>
      <c r="L119" s="105">
        <v>63.3</v>
      </c>
      <c r="M119" s="105">
        <v>62.9</v>
      </c>
      <c r="N119" s="105">
        <v>62.5</v>
      </c>
      <c r="O119" s="105">
        <v>62.5</v>
      </c>
      <c r="P119" s="105">
        <v>62.5</v>
      </c>
      <c r="Q119" s="105">
        <v>62.5</v>
      </c>
      <c r="R119" s="105">
        <v>62.8</v>
      </c>
      <c r="S119" s="105">
        <v>62.8</v>
      </c>
      <c r="T119" s="105">
        <v>62.8</v>
      </c>
      <c r="U119" s="105">
        <v>62.8</v>
      </c>
      <c r="V119" s="105">
        <v>62.8</v>
      </c>
      <c r="W119" s="105">
        <v>62.9</v>
      </c>
      <c r="X119" s="105">
        <v>62.9</v>
      </c>
      <c r="Y119" s="105">
        <v>62.9</v>
      </c>
      <c r="Z119" s="105">
        <v>62.9</v>
      </c>
      <c r="AA119" s="105">
        <v>63.5</v>
      </c>
      <c r="AB119" s="105">
        <v>64.3</v>
      </c>
      <c r="AC119" s="105">
        <v>64.5</v>
      </c>
      <c r="AD119" s="105">
        <v>65.2</v>
      </c>
      <c r="AE119" s="105">
        <v>65.900000000000006</v>
      </c>
      <c r="AF119" s="105"/>
      <c r="AG119" s="121"/>
      <c r="AH119" s="48">
        <f t="shared" si="50"/>
        <v>65.900000000000006</v>
      </c>
      <c r="AI119" s="49">
        <f t="shared" si="51"/>
        <v>62.5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50"/>
        <v>0</v>
      </c>
      <c r="AI120" s="49">
        <f t="shared" si="51"/>
        <v>0</v>
      </c>
    </row>
    <row r="121" spans="1:35" ht="15.75" thickBot="1" x14ac:dyDescent="0.3">
      <c r="A121" s="123" t="s">
        <v>141</v>
      </c>
      <c r="B121" s="124">
        <f t="shared" ref="B121:O121" si="103">SUM(B25,B31,B34:B35,B69,B71:B72,B74,B76,B122:B126,B158,B164,B170,B179,B181,B193,B200,B203:B204,B211,B213,B215,B219:B221,B223:B225,B230,B236:B237,B239:B241,B249,B254)</f>
        <v>93.44</v>
      </c>
      <c r="C121" s="124">
        <f t="shared" si="103"/>
        <v>83.139999999999986</v>
      </c>
      <c r="D121" s="124">
        <f t="shared" si="103"/>
        <v>83.139999999999986</v>
      </c>
      <c r="E121" s="124">
        <f t="shared" ref="E121" si="104">SUM(E25,E31,E34:E35,E69,E71:E72,E74,E76,E122:E126,E158,E164,E170,E179,E181,E193,E200,E203:E204,E211,E213,E215,E219:E221,E223:E225,E230,E236:E237,E239:E241,E249,E254)</f>
        <v>62.940000000000026</v>
      </c>
      <c r="F121" s="124">
        <f t="shared" si="103"/>
        <v>112.44000000000001</v>
      </c>
      <c r="G121" s="124">
        <f t="shared" si="103"/>
        <v>115.74000000000004</v>
      </c>
      <c r="H121" s="124">
        <f t="shared" si="103"/>
        <v>105.94</v>
      </c>
      <c r="I121" s="124">
        <f t="shared" si="103"/>
        <v>125.14000000000003</v>
      </c>
      <c r="J121" s="124">
        <f t="shared" si="103"/>
        <v>162.84</v>
      </c>
      <c r="K121" s="124">
        <f t="shared" si="103"/>
        <v>205.04000000000005</v>
      </c>
      <c r="L121" s="124">
        <f t="shared" si="103"/>
        <v>216.54000000000002</v>
      </c>
      <c r="M121" s="124">
        <f t="shared" si="103"/>
        <v>208.64000000000001</v>
      </c>
      <c r="N121" s="124">
        <f t="shared" si="103"/>
        <v>218.44000000000005</v>
      </c>
      <c r="O121" s="124">
        <f t="shared" si="103"/>
        <v>264.94000000000005</v>
      </c>
      <c r="P121" s="124">
        <v>42</v>
      </c>
      <c r="Q121" s="124">
        <f t="shared" ref="Q121:W121" si="105">SUM(Q25,Q31,Q34:Q35,Q69,Q71:Q72,Q74,Q76,Q122:Q126,Q158,Q164,Q170,Q179,Q181,Q193,Q200,Q203:Q204,Q211,Q213,Q215,Q219:Q221,Q223:Q225,Q230,Q236:Q237,Q239:Q241,Q249,Q254)</f>
        <v>226.64</v>
      </c>
      <c r="R121" s="124">
        <f t="shared" si="105"/>
        <v>182.24</v>
      </c>
      <c r="S121" s="124">
        <f t="shared" si="105"/>
        <v>241.64</v>
      </c>
      <c r="T121" s="124">
        <f t="shared" si="105"/>
        <v>213.84</v>
      </c>
      <c r="U121" s="124">
        <f t="shared" ref="U121:V121" si="106">SUM(U25,U31,U34:U35,U69,U71:U72,U74,U76,U122:U126,U158,U164,U170,U179,U181,U193,U200,U203:U204,U211,U213,U215,U219:U221,U223:U225,U230,U236:U237,U239:U241,U249,U254)</f>
        <v>213.94000000000003</v>
      </c>
      <c r="V121" s="124">
        <f t="shared" si="106"/>
        <v>213.94000000000003</v>
      </c>
      <c r="W121" s="124">
        <f t="shared" si="105"/>
        <v>180.44000000000003</v>
      </c>
      <c r="X121" s="124">
        <f t="shared" ref="X121:Z121" si="107">SUM(X25,X31,X34:X35,X69,X71:X72,X74,X76,X122:X126,X158,X164,X170,X179,X181,X193,X200,X203:X204,X211,X213,X215,X219:X221,X223:X225,X230,X236:X237,X239:X241,X249,X254)</f>
        <v>175.24000000000004</v>
      </c>
      <c r="Y121" s="124">
        <f t="shared" si="107"/>
        <v>175.24000000000004</v>
      </c>
      <c r="Z121" s="124">
        <f t="shared" si="107"/>
        <v>193.24</v>
      </c>
      <c r="AA121" s="124">
        <f t="shared" ref="AA121:AF121" si="108">SUM(AA25,AA31,AA34:AA35,AA69,AA71:AA72,AA74,AA76,AA122:AA126,AA158,AA164,AA170,AA179,AA181,AA193,AA200,AA203:AA204,AA211,AA213,AA215,AA219:AA221,AA223:AA225,AA230,AA236:AA237,AA239:AA241,AA249,AA254)</f>
        <v>290.14000000000004</v>
      </c>
      <c r="AB121" s="124">
        <f t="shared" si="108"/>
        <v>290.14000000000004</v>
      </c>
      <c r="AC121" s="124">
        <f t="shared" si="108"/>
        <v>181.83999999999997</v>
      </c>
      <c r="AD121" s="124">
        <f t="shared" si="108"/>
        <v>148.94</v>
      </c>
      <c r="AE121" s="124">
        <f t="shared" si="108"/>
        <v>76.140000000000015</v>
      </c>
      <c r="AF121" s="124">
        <f t="shared" si="108"/>
        <v>176.84</v>
      </c>
      <c r="AG121" s="125"/>
      <c r="AH121" s="48">
        <f t="shared" si="50"/>
        <v>290.14000000000004</v>
      </c>
      <c r="AI121" s="49">
        <f t="shared" si="51"/>
        <v>42</v>
      </c>
    </row>
    <row r="122" spans="1:35" x14ac:dyDescent="0.25">
      <c r="A122" s="126" t="s">
        <v>142</v>
      </c>
      <c r="B122" s="127">
        <v>33</v>
      </c>
      <c r="C122" s="127">
        <v>34.6</v>
      </c>
      <c r="D122" s="127">
        <v>34.6</v>
      </c>
      <c r="E122" s="127">
        <v>34.6</v>
      </c>
      <c r="F122" s="127">
        <v>42</v>
      </c>
      <c r="G122" s="127">
        <v>46.4</v>
      </c>
      <c r="H122" s="127">
        <v>45</v>
      </c>
      <c r="I122" s="127">
        <v>45.9</v>
      </c>
      <c r="J122" s="127">
        <v>40</v>
      </c>
      <c r="K122" s="127">
        <v>39.4</v>
      </c>
      <c r="L122" s="127">
        <v>37</v>
      </c>
      <c r="M122" s="127">
        <v>47.7</v>
      </c>
      <c r="N122" s="127">
        <v>59</v>
      </c>
      <c r="O122" s="127">
        <v>59</v>
      </c>
      <c r="P122" s="127">
        <v>62</v>
      </c>
      <c r="Q122" s="127">
        <v>62</v>
      </c>
      <c r="R122" s="127">
        <v>60</v>
      </c>
      <c r="S122" s="127">
        <v>62.5</v>
      </c>
      <c r="T122" s="127">
        <v>47.4</v>
      </c>
      <c r="U122" s="127">
        <v>47.4</v>
      </c>
      <c r="V122" s="127">
        <v>47.4</v>
      </c>
      <c r="W122" s="127">
        <v>75</v>
      </c>
      <c r="X122" s="127">
        <v>75</v>
      </c>
      <c r="Y122" s="127">
        <v>75</v>
      </c>
      <c r="Z122" s="127">
        <v>89</v>
      </c>
      <c r="AA122" s="127">
        <v>50</v>
      </c>
      <c r="AB122" s="127">
        <v>50</v>
      </c>
      <c r="AC122" s="127">
        <v>20.2</v>
      </c>
      <c r="AD122" s="127">
        <v>35</v>
      </c>
      <c r="AE122" s="127">
        <v>-1</v>
      </c>
      <c r="AF122" s="127"/>
      <c r="AG122" s="128">
        <v>75</v>
      </c>
      <c r="AH122" s="48">
        <f t="shared" si="50"/>
        <v>89</v>
      </c>
      <c r="AI122" s="49">
        <f t="shared" si="51"/>
        <v>-1</v>
      </c>
    </row>
    <row r="123" spans="1:35" x14ac:dyDescent="0.25">
      <c r="A123" s="129" t="s">
        <v>143</v>
      </c>
      <c r="B123" s="130">
        <v>52.3</v>
      </c>
      <c r="C123" s="130">
        <v>55.9</v>
      </c>
      <c r="D123" s="130">
        <v>55.9</v>
      </c>
      <c r="E123" s="130">
        <v>55.9</v>
      </c>
      <c r="F123" s="130">
        <v>65.599999999999994</v>
      </c>
      <c r="G123" s="130">
        <v>71.5</v>
      </c>
      <c r="H123" s="130">
        <v>62</v>
      </c>
      <c r="I123" s="130">
        <v>71.5</v>
      </c>
      <c r="J123" s="130">
        <v>65.2</v>
      </c>
      <c r="K123" s="130">
        <v>61</v>
      </c>
      <c r="L123" s="130">
        <v>58.4</v>
      </c>
      <c r="M123" s="130">
        <v>73.099999999999994</v>
      </c>
      <c r="N123" s="130">
        <v>84.7</v>
      </c>
      <c r="O123" s="130">
        <v>84.7</v>
      </c>
      <c r="P123" s="130">
        <v>90.3</v>
      </c>
      <c r="Q123" s="130">
        <v>90.3</v>
      </c>
      <c r="R123" s="130">
        <v>90</v>
      </c>
      <c r="S123" s="130">
        <v>95.1</v>
      </c>
      <c r="T123" s="130">
        <v>75.7</v>
      </c>
      <c r="U123" s="130">
        <v>75.7</v>
      </c>
      <c r="V123" s="130">
        <v>75.7</v>
      </c>
      <c r="W123" s="130">
        <v>107.4</v>
      </c>
      <c r="X123" s="130">
        <v>107.4</v>
      </c>
      <c r="Y123" s="130">
        <v>107.4</v>
      </c>
      <c r="Z123" s="130">
        <v>61</v>
      </c>
      <c r="AA123" s="130">
        <v>78.099999999999994</v>
      </c>
      <c r="AB123" s="130">
        <v>78.099999999999994</v>
      </c>
      <c r="AC123" s="130">
        <v>31.1</v>
      </c>
      <c r="AD123" s="130">
        <v>53.1</v>
      </c>
      <c r="AE123" s="130">
        <v>3.9</v>
      </c>
      <c r="AF123" s="130"/>
      <c r="AG123" s="128">
        <v>240</v>
      </c>
      <c r="AH123" s="48">
        <f t="shared" si="50"/>
        <v>107.4</v>
      </c>
      <c r="AI123" s="49">
        <f t="shared" si="51"/>
        <v>3.9</v>
      </c>
    </row>
    <row r="124" spans="1:35" x14ac:dyDescent="0.25">
      <c r="A124" s="129" t="s">
        <v>144</v>
      </c>
      <c r="B124" s="130">
        <v>-156</v>
      </c>
      <c r="C124" s="130">
        <v>-160</v>
      </c>
      <c r="D124" s="130">
        <v>-160</v>
      </c>
      <c r="E124" s="130">
        <v>-160</v>
      </c>
      <c r="F124" s="130">
        <v>-142</v>
      </c>
      <c r="G124" s="130">
        <v>-149</v>
      </c>
      <c r="H124" s="130">
        <v>-142</v>
      </c>
      <c r="I124" s="130">
        <v>-132.5</v>
      </c>
      <c r="J124" s="130">
        <v>-121</v>
      </c>
      <c r="K124" s="130">
        <v>-101.2</v>
      </c>
      <c r="L124" s="130">
        <v>-96.2</v>
      </c>
      <c r="M124" s="130">
        <v>-108.2</v>
      </c>
      <c r="N124" s="130">
        <v>-121.2</v>
      </c>
      <c r="O124" s="130">
        <v>-90</v>
      </c>
      <c r="P124" s="130">
        <v>-109</v>
      </c>
      <c r="Q124" s="130">
        <v>-109</v>
      </c>
      <c r="R124" s="130">
        <v>-117</v>
      </c>
      <c r="S124" s="130">
        <v>-131</v>
      </c>
      <c r="T124" s="130">
        <v>-127</v>
      </c>
      <c r="U124" s="130">
        <v>-127</v>
      </c>
      <c r="V124" s="130">
        <v>-127</v>
      </c>
      <c r="W124" s="130">
        <v>-145.6</v>
      </c>
      <c r="X124" s="130">
        <v>-145.6</v>
      </c>
      <c r="Y124" s="130">
        <v>-145.6</v>
      </c>
      <c r="Z124" s="130">
        <v>-104</v>
      </c>
      <c r="AA124" s="130">
        <v>-84</v>
      </c>
      <c r="AB124" s="130">
        <v>-84</v>
      </c>
      <c r="AC124" s="130">
        <v>-80</v>
      </c>
      <c r="AD124" s="130">
        <v>-83</v>
      </c>
      <c r="AE124" s="130">
        <v>-77</v>
      </c>
      <c r="AF124" s="130"/>
      <c r="AG124" s="128">
        <v>240</v>
      </c>
      <c r="AH124" s="48">
        <f t="shared" si="50"/>
        <v>-77</v>
      </c>
      <c r="AI124" s="49">
        <f t="shared" si="51"/>
        <v>-160</v>
      </c>
    </row>
    <row r="125" spans="1:35" ht="15.75" thickBot="1" x14ac:dyDescent="0.3">
      <c r="A125" s="129" t="s">
        <v>145</v>
      </c>
      <c r="B125" s="130">
        <v>-27</v>
      </c>
      <c r="C125" s="130">
        <v>-27.6</v>
      </c>
      <c r="D125" s="130">
        <v>-27.6</v>
      </c>
      <c r="E125" s="130">
        <v>-27.6</v>
      </c>
      <c r="F125" s="130">
        <v>-21.7</v>
      </c>
      <c r="G125" s="130">
        <v>-21.8</v>
      </c>
      <c r="H125" s="130">
        <v>-18.3</v>
      </c>
      <c r="I125" s="130">
        <v>-13.9</v>
      </c>
      <c r="J125" s="130">
        <v>-5.0999999999999996</v>
      </c>
      <c r="K125" s="130">
        <v>-1.7</v>
      </c>
      <c r="L125" s="130">
        <v>-2.2999999999999998</v>
      </c>
      <c r="M125" s="130">
        <v>-6.6</v>
      </c>
      <c r="N125" s="130">
        <v>-9.3000000000000007</v>
      </c>
      <c r="O125" s="130">
        <v>6</v>
      </c>
      <c r="P125" s="130">
        <v>5</v>
      </c>
      <c r="Q125" s="130">
        <v>5</v>
      </c>
      <c r="R125" s="130">
        <v>-0.8</v>
      </c>
      <c r="S125" s="130">
        <v>-8.3000000000000007</v>
      </c>
      <c r="T125" s="130">
        <v>2.4</v>
      </c>
      <c r="U125" s="130">
        <v>2.4</v>
      </c>
      <c r="V125" s="130">
        <v>2.4</v>
      </c>
      <c r="W125" s="130">
        <v>-8.8000000000000007</v>
      </c>
      <c r="X125" s="130">
        <v>-8.8000000000000007</v>
      </c>
      <c r="Y125" s="130">
        <v>-8.8000000000000007</v>
      </c>
      <c r="Z125" s="130">
        <v>0</v>
      </c>
      <c r="AA125" s="130">
        <v>8.6999999999999993</v>
      </c>
      <c r="AB125" s="130">
        <v>8.6999999999999993</v>
      </c>
      <c r="AC125" s="130">
        <v>10.1</v>
      </c>
      <c r="AD125" s="130">
        <v>7</v>
      </c>
      <c r="AE125" s="130">
        <v>3.4</v>
      </c>
      <c r="AF125" s="130"/>
      <c r="AG125" s="128">
        <v>60</v>
      </c>
      <c r="AH125" s="48">
        <f t="shared" si="50"/>
        <v>10.1</v>
      </c>
      <c r="AI125" s="49">
        <f t="shared" si="51"/>
        <v>-27.6</v>
      </c>
    </row>
    <row r="126" spans="1:35" x14ac:dyDescent="0.25">
      <c r="A126" s="126" t="s">
        <v>146</v>
      </c>
      <c r="B126" s="131">
        <v>14</v>
      </c>
      <c r="C126" s="131">
        <v>3.1</v>
      </c>
      <c r="D126" s="131">
        <v>3.1</v>
      </c>
      <c r="E126" s="131">
        <v>3.1</v>
      </c>
      <c r="F126" s="131">
        <v>11.6</v>
      </c>
      <c r="G126" s="131">
        <v>11.7</v>
      </c>
      <c r="H126" s="131">
        <v>2.2999999999999998</v>
      </c>
      <c r="I126" s="131">
        <v>-2.8</v>
      </c>
      <c r="J126" s="131">
        <v>26</v>
      </c>
      <c r="K126" s="131">
        <v>49.4</v>
      </c>
      <c r="L126" s="131">
        <v>60</v>
      </c>
      <c r="M126" s="131">
        <v>43</v>
      </c>
      <c r="N126" s="131">
        <v>22.3</v>
      </c>
      <c r="O126" s="131">
        <v>22.3</v>
      </c>
      <c r="P126" s="131">
        <v>28</v>
      </c>
      <c r="Q126" s="131">
        <v>28</v>
      </c>
      <c r="R126" s="131"/>
      <c r="S126" s="131">
        <v>71</v>
      </c>
      <c r="T126" s="131">
        <v>63</v>
      </c>
      <c r="U126" s="131">
        <v>63</v>
      </c>
      <c r="V126" s="131">
        <v>63</v>
      </c>
      <c r="W126" s="131"/>
      <c r="X126" s="131"/>
      <c r="Y126" s="131"/>
      <c r="Z126" s="131"/>
      <c r="AA126" s="131">
        <v>89.9</v>
      </c>
      <c r="AB126" s="131">
        <v>89.9</v>
      </c>
      <c r="AC126" s="131">
        <v>63</v>
      </c>
      <c r="AD126" s="131">
        <v>50</v>
      </c>
      <c r="AE126" s="131">
        <v>0</v>
      </c>
      <c r="AF126" s="131"/>
      <c r="AG126" s="132">
        <v>120</v>
      </c>
      <c r="AH126" s="48">
        <f t="shared" si="50"/>
        <v>89.9</v>
      </c>
      <c r="AI126" s="49">
        <f t="shared" si="51"/>
        <v>-2.8</v>
      </c>
    </row>
    <row r="127" spans="1:35" x14ac:dyDescent="0.25">
      <c r="A127" s="129" t="s">
        <v>147</v>
      </c>
      <c r="B127" s="131">
        <v>85</v>
      </c>
      <c r="C127" s="131">
        <v>79.8</v>
      </c>
      <c r="D127" s="131">
        <v>79.8</v>
      </c>
      <c r="E127" s="131">
        <v>79.8</v>
      </c>
      <c r="F127" s="131">
        <v>60.4</v>
      </c>
      <c r="G127" s="131">
        <v>67.099999999999994</v>
      </c>
      <c r="H127" s="131">
        <v>69</v>
      </c>
      <c r="I127" s="131">
        <v>72.7</v>
      </c>
      <c r="J127" s="131">
        <v>85.3</v>
      </c>
      <c r="K127" s="131">
        <v>104.2</v>
      </c>
      <c r="L127" s="131">
        <v>109.5</v>
      </c>
      <c r="M127" s="131">
        <v>100.5</v>
      </c>
      <c r="N127" s="131">
        <v>91.4</v>
      </c>
      <c r="O127" s="131">
        <v>91.4</v>
      </c>
      <c r="P127" s="131">
        <v>92</v>
      </c>
      <c r="Q127" s="131">
        <v>92</v>
      </c>
      <c r="R127" s="131">
        <v>92.2</v>
      </c>
      <c r="S127" s="131">
        <v>111.3</v>
      </c>
      <c r="T127" s="131">
        <v>113.7</v>
      </c>
      <c r="U127" s="131">
        <v>113.7</v>
      </c>
      <c r="V127" s="131">
        <v>113.7</v>
      </c>
      <c r="W127" s="131">
        <v>104.4</v>
      </c>
      <c r="X127" s="131">
        <v>104.4</v>
      </c>
      <c r="Y127" s="131">
        <v>104.4</v>
      </c>
      <c r="Z127" s="131">
        <v>103</v>
      </c>
      <c r="AA127" s="131">
        <v>105.6</v>
      </c>
      <c r="AB127" s="131">
        <v>105.6</v>
      </c>
      <c r="AC127" s="131">
        <v>114</v>
      </c>
      <c r="AD127" s="131">
        <v>107</v>
      </c>
      <c r="AE127" s="131">
        <v>84</v>
      </c>
      <c r="AF127" s="131"/>
      <c r="AG127" s="132"/>
      <c r="AH127" s="48">
        <f t="shared" si="50"/>
        <v>114</v>
      </c>
      <c r="AI127" s="49">
        <f t="shared" si="51"/>
        <v>60.4</v>
      </c>
    </row>
    <row r="128" spans="1:35" x14ac:dyDescent="0.25">
      <c r="A128" s="129" t="s">
        <v>148</v>
      </c>
      <c r="B128" s="131">
        <v>60</v>
      </c>
      <c r="C128" s="131">
        <v>58</v>
      </c>
      <c r="D128" s="131">
        <v>58</v>
      </c>
      <c r="E128" s="131">
        <v>58</v>
      </c>
      <c r="F128" s="131">
        <v>28.7</v>
      </c>
      <c r="G128" s="131">
        <v>18.2</v>
      </c>
      <c r="H128" s="131">
        <v>23.6</v>
      </c>
      <c r="I128" s="131">
        <v>25.4</v>
      </c>
      <c r="J128" s="131">
        <v>31</v>
      </c>
      <c r="K128" s="131">
        <v>36.4</v>
      </c>
      <c r="L128" s="131">
        <v>36.200000000000003</v>
      </c>
      <c r="M128" s="131">
        <v>23.3</v>
      </c>
      <c r="N128" s="131">
        <v>19.600000000000001</v>
      </c>
      <c r="O128" s="131">
        <v>19.600000000000001</v>
      </c>
      <c r="P128" s="131">
        <v>32</v>
      </c>
      <c r="Q128" s="131">
        <v>32</v>
      </c>
      <c r="R128" s="131">
        <v>31.3</v>
      </c>
      <c r="S128" s="131">
        <v>57.2</v>
      </c>
      <c r="T128" s="131">
        <v>71.3</v>
      </c>
      <c r="U128" s="131">
        <v>71.3</v>
      </c>
      <c r="V128" s="131">
        <v>71.3</v>
      </c>
      <c r="W128" s="131">
        <v>39.1</v>
      </c>
      <c r="X128" s="131">
        <v>39.1</v>
      </c>
      <c r="Y128" s="131">
        <v>39.1</v>
      </c>
      <c r="Z128" s="131">
        <v>26</v>
      </c>
      <c r="AA128" s="131">
        <v>19.2</v>
      </c>
      <c r="AB128" s="131">
        <v>19.2</v>
      </c>
      <c r="AC128" s="131">
        <v>70</v>
      </c>
      <c r="AD128" s="131">
        <v>67</v>
      </c>
      <c r="AE128" s="131">
        <v>63</v>
      </c>
      <c r="AF128" s="131"/>
      <c r="AG128" s="132"/>
      <c r="AH128" s="48">
        <f t="shared" si="50"/>
        <v>71.3</v>
      </c>
      <c r="AI128" s="49">
        <f t="shared" si="51"/>
        <v>18.2</v>
      </c>
    </row>
    <row r="129" spans="1:37" ht="15.75" thickBot="1" x14ac:dyDescent="0.3">
      <c r="A129" s="129" t="s">
        <v>149</v>
      </c>
      <c r="B129" s="131">
        <v>32</v>
      </c>
      <c r="C129" s="131">
        <v>28</v>
      </c>
      <c r="D129" s="131">
        <v>28</v>
      </c>
      <c r="E129" s="131">
        <v>28</v>
      </c>
      <c r="F129" s="131">
        <v>15.6</v>
      </c>
      <c r="G129" s="131">
        <v>3</v>
      </c>
      <c r="H129" s="131">
        <v>2</v>
      </c>
      <c r="I129" s="131">
        <v>5.2</v>
      </c>
      <c r="J129" s="131">
        <v>39.5</v>
      </c>
      <c r="K129" s="131">
        <v>46.6</v>
      </c>
      <c r="L129" s="131">
        <v>54.3</v>
      </c>
      <c r="M129" s="131">
        <v>42</v>
      </c>
      <c r="N129" s="131">
        <v>26.5</v>
      </c>
      <c r="O129" s="131">
        <v>26.5</v>
      </c>
      <c r="P129" s="131">
        <v>35</v>
      </c>
      <c r="Q129" s="131">
        <v>35</v>
      </c>
      <c r="R129" s="131">
        <v>34.1</v>
      </c>
      <c r="S129" s="131">
        <v>64</v>
      </c>
      <c r="T129" s="131">
        <v>64.599999999999994</v>
      </c>
      <c r="U129" s="131">
        <v>64.599999999999994</v>
      </c>
      <c r="V129" s="131">
        <v>64.599999999999994</v>
      </c>
      <c r="W129" s="131">
        <v>59.9</v>
      </c>
      <c r="X129" s="131">
        <v>59.9</v>
      </c>
      <c r="Y129" s="131">
        <v>59.9</v>
      </c>
      <c r="Z129" s="131">
        <v>57</v>
      </c>
      <c r="AA129" s="131">
        <v>60.5</v>
      </c>
      <c r="AB129" s="131">
        <v>60.5</v>
      </c>
      <c r="AC129" s="131">
        <v>63</v>
      </c>
      <c r="AD129" s="131">
        <v>54.1</v>
      </c>
      <c r="AE129" s="131">
        <v>29.4</v>
      </c>
      <c r="AF129" s="131"/>
      <c r="AG129" s="128"/>
      <c r="AH129" s="48">
        <f>MAX(B129:AF129)</f>
        <v>64.599999999999994</v>
      </c>
      <c r="AI129" s="49">
        <f>MIN(B129:AF129)</f>
        <v>2</v>
      </c>
    </row>
    <row r="130" spans="1:37" x14ac:dyDescent="0.25">
      <c r="A130" s="126" t="s">
        <v>150</v>
      </c>
      <c r="B130" s="131">
        <v>-356</v>
      </c>
      <c r="C130" s="131">
        <v>-358</v>
      </c>
      <c r="D130" s="131">
        <v>-358</v>
      </c>
      <c r="E130" s="131">
        <v>-358</v>
      </c>
      <c r="F130" s="131">
        <v>-348</v>
      </c>
      <c r="G130" s="131">
        <v>-359.2</v>
      </c>
      <c r="H130" s="131">
        <v>-352</v>
      </c>
      <c r="I130" s="131">
        <v>-355.7</v>
      </c>
      <c r="J130" s="131">
        <v>-342</v>
      </c>
      <c r="K130" s="131">
        <v>-328.6</v>
      </c>
      <c r="L130" s="131">
        <v>-323.5</v>
      </c>
      <c r="M130" s="131">
        <v>-332.2</v>
      </c>
      <c r="N130" s="131">
        <v>-343</v>
      </c>
      <c r="O130" s="131">
        <v>-343</v>
      </c>
      <c r="P130" s="131">
        <v>-340</v>
      </c>
      <c r="Q130" s="131">
        <v>-340</v>
      </c>
      <c r="R130" s="131">
        <v>-348</v>
      </c>
      <c r="S130" s="131">
        <v>-346.6</v>
      </c>
      <c r="T130" s="131">
        <v>-348.7</v>
      </c>
      <c r="U130" s="131">
        <v>-348.7</v>
      </c>
      <c r="V130" s="131">
        <v>-348.7</v>
      </c>
      <c r="W130" s="131">
        <v>-330.6</v>
      </c>
      <c r="X130" s="131">
        <v>-330.6</v>
      </c>
      <c r="Y130" s="131">
        <v>-330.6</v>
      </c>
      <c r="Z130" s="131">
        <v>-316</v>
      </c>
      <c r="AA130" s="131">
        <v>-130.4</v>
      </c>
      <c r="AB130" s="131">
        <v>-130.4</v>
      </c>
      <c r="AC130" s="131">
        <v>-313</v>
      </c>
      <c r="AD130" s="131">
        <v>-311</v>
      </c>
      <c r="AE130" s="131">
        <v>-333</v>
      </c>
      <c r="AF130" s="131"/>
      <c r="AG130" s="128"/>
      <c r="AH130" s="48">
        <f>MAX(B130:AF130)</f>
        <v>-130.4</v>
      </c>
      <c r="AI130" s="49">
        <f>MIN(B130:AF130)</f>
        <v>-359.2</v>
      </c>
    </row>
    <row r="131" spans="1:37" x14ac:dyDescent="0.25">
      <c r="A131" s="129" t="s">
        <v>151</v>
      </c>
      <c r="B131" s="119">
        <v>82.5</v>
      </c>
      <c r="C131" s="119">
        <v>87</v>
      </c>
      <c r="D131" s="119">
        <v>87</v>
      </c>
      <c r="E131" s="119">
        <v>87</v>
      </c>
      <c r="F131" s="119">
        <v>72.3</v>
      </c>
      <c r="G131" s="119">
        <v>83.5</v>
      </c>
      <c r="H131" s="119">
        <v>80.2</v>
      </c>
      <c r="I131" s="119">
        <v>75.7</v>
      </c>
      <c r="J131" s="119">
        <v>80</v>
      </c>
      <c r="K131" s="119">
        <v>82.1</v>
      </c>
      <c r="L131" s="119">
        <v>80.8</v>
      </c>
      <c r="M131" s="119">
        <v>80.8</v>
      </c>
      <c r="N131" s="119">
        <v>74</v>
      </c>
      <c r="O131" s="119">
        <v>74</v>
      </c>
      <c r="P131" s="119">
        <v>76</v>
      </c>
      <c r="Q131" s="119">
        <v>76</v>
      </c>
      <c r="R131" s="119">
        <v>84.3</v>
      </c>
      <c r="S131" s="119">
        <v>83.9</v>
      </c>
      <c r="T131" s="119">
        <v>59.3</v>
      </c>
      <c r="U131" s="119">
        <v>59.3</v>
      </c>
      <c r="V131" s="119">
        <v>59.3</v>
      </c>
      <c r="W131" s="119">
        <v>82.5</v>
      </c>
      <c r="X131" s="119">
        <v>82.5</v>
      </c>
      <c r="Y131" s="119">
        <v>82.5</v>
      </c>
      <c r="Z131" s="119">
        <v>58</v>
      </c>
      <c r="AA131" s="119">
        <v>67.7</v>
      </c>
      <c r="AB131" s="119">
        <v>67.7</v>
      </c>
      <c r="AC131" s="119">
        <v>73</v>
      </c>
      <c r="AD131" s="119">
        <v>74</v>
      </c>
      <c r="AE131" s="119">
        <v>94</v>
      </c>
      <c r="AF131" s="119"/>
      <c r="AG131" s="128"/>
      <c r="AH131" s="48">
        <f>MAX(B131:AF131)</f>
        <v>94</v>
      </c>
      <c r="AI131" s="49">
        <f>MIN(B131:AF131)</f>
        <v>58</v>
      </c>
    </row>
    <row r="132" spans="1:37" x14ac:dyDescent="0.25">
      <c r="A132" s="129" t="s">
        <v>152</v>
      </c>
      <c r="B132" s="119">
        <v>-11</v>
      </c>
      <c r="C132" s="119">
        <v>-13</v>
      </c>
      <c r="D132" s="119">
        <v>-13</v>
      </c>
      <c r="E132" s="119">
        <v>-13</v>
      </c>
      <c r="F132" s="119">
        <v>8.1</v>
      </c>
      <c r="G132" s="119">
        <v>-8.5</v>
      </c>
      <c r="H132" s="119">
        <v>-6</v>
      </c>
      <c r="I132" s="119">
        <v>-5.9</v>
      </c>
      <c r="J132" s="119">
        <v>-15.2</v>
      </c>
      <c r="K132" s="119">
        <v>-17.399999999999999</v>
      </c>
      <c r="L132" s="119">
        <v>-15.8</v>
      </c>
      <c r="M132" s="119">
        <v>-14.7</v>
      </c>
      <c r="N132" s="119">
        <v>-12.6</v>
      </c>
      <c r="O132" s="119">
        <v>-12.6</v>
      </c>
      <c r="P132" s="119">
        <v>-14</v>
      </c>
      <c r="Q132" s="119">
        <v>-14</v>
      </c>
      <c r="R132" s="119">
        <v>-15</v>
      </c>
      <c r="S132" s="119">
        <v>-15.8</v>
      </c>
      <c r="T132" s="119">
        <v>-13.3</v>
      </c>
      <c r="U132" s="119">
        <v>-13.3</v>
      </c>
      <c r="V132" s="119">
        <v>-13.3</v>
      </c>
      <c r="W132" s="119">
        <v>-21.6</v>
      </c>
      <c r="X132" s="119">
        <v>-21.6</v>
      </c>
      <c r="Y132" s="119">
        <v>-21.6</v>
      </c>
      <c r="Z132" s="119">
        <v>-19</v>
      </c>
      <c r="AA132" s="119">
        <v>-18.7</v>
      </c>
      <c r="AB132" s="119">
        <v>-18.7</v>
      </c>
      <c r="AC132" s="119">
        <v>-23</v>
      </c>
      <c r="AD132" s="119">
        <v>-21</v>
      </c>
      <c r="AE132" s="119">
        <v>-19</v>
      </c>
      <c r="AF132" s="119"/>
      <c r="AG132" s="128"/>
      <c r="AH132" s="48">
        <f>MAX(B132:AF132)</f>
        <v>8.1</v>
      </c>
      <c r="AI132" s="49">
        <f>MIN(B132:AF132)</f>
        <v>-23</v>
      </c>
    </row>
    <row r="133" spans="1:37" ht="15.75" thickBot="1" x14ac:dyDescent="0.3">
      <c r="A133" s="129" t="s">
        <v>153</v>
      </c>
      <c r="B133" s="119">
        <v>44</v>
      </c>
      <c r="C133" s="119">
        <v>44</v>
      </c>
      <c r="D133" s="119">
        <v>44</v>
      </c>
      <c r="E133" s="119">
        <v>44</v>
      </c>
      <c r="F133" s="119">
        <v>41.3</v>
      </c>
      <c r="G133" s="119">
        <v>42.5</v>
      </c>
      <c r="H133" s="119">
        <v>41.2</v>
      </c>
      <c r="I133" s="119">
        <v>41.2</v>
      </c>
      <c r="J133" s="119">
        <v>40</v>
      </c>
      <c r="K133" s="119">
        <v>41.5</v>
      </c>
      <c r="L133" s="119">
        <v>40.700000000000003</v>
      </c>
      <c r="M133" s="119">
        <v>43.4</v>
      </c>
      <c r="N133" s="119">
        <v>41.1</v>
      </c>
      <c r="O133" s="119">
        <v>41.1</v>
      </c>
      <c r="P133" s="119">
        <v>43</v>
      </c>
      <c r="Q133" s="119">
        <v>43</v>
      </c>
      <c r="R133" s="119">
        <v>42</v>
      </c>
      <c r="S133" s="119">
        <v>42.8</v>
      </c>
      <c r="T133" s="119">
        <v>47.7</v>
      </c>
      <c r="U133" s="119">
        <v>47.7</v>
      </c>
      <c r="V133" s="119">
        <v>47.7</v>
      </c>
      <c r="W133" s="119">
        <v>40.96</v>
      </c>
      <c r="X133" s="119">
        <v>40.96</v>
      </c>
      <c r="Y133" s="119">
        <v>40.96</v>
      </c>
      <c r="Z133" s="119">
        <v>42</v>
      </c>
      <c r="AA133" s="119">
        <v>42.1</v>
      </c>
      <c r="AB133" s="119">
        <v>42.1</v>
      </c>
      <c r="AC133" s="119">
        <v>43</v>
      </c>
      <c r="AD133" s="119">
        <v>41</v>
      </c>
      <c r="AE133" s="119">
        <v>45.4</v>
      </c>
      <c r="AF133" s="119"/>
      <c r="AG133" s="128"/>
      <c r="AH133" s="48">
        <f>MAX(B133:AF133)</f>
        <v>47.7</v>
      </c>
      <c r="AI133" s="49">
        <f>MIN(B133:AF133)</f>
        <v>40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09">SUM(B142:B246)</f>
        <v>0</v>
      </c>
      <c r="C247" s="161">
        <f t="shared" si="109"/>
        <v>0</v>
      </c>
      <c r="D247" s="161">
        <f t="shared" si="109"/>
        <v>0</v>
      </c>
      <c r="E247" s="161">
        <f t="shared" si="109"/>
        <v>0</v>
      </c>
      <c r="F247" s="161">
        <f t="shared" si="109"/>
        <v>0</v>
      </c>
      <c r="G247" s="161">
        <f t="shared" si="109"/>
        <v>0</v>
      </c>
      <c r="H247" s="161">
        <f t="shared" si="109"/>
        <v>0</v>
      </c>
      <c r="I247" s="161">
        <f t="shared" si="109"/>
        <v>0</v>
      </c>
      <c r="J247" s="161">
        <f t="shared" si="109"/>
        <v>0</v>
      </c>
      <c r="K247" s="161">
        <f t="shared" si="109"/>
        <v>0</v>
      </c>
      <c r="L247" s="161">
        <f t="shared" si="109"/>
        <v>0</v>
      </c>
      <c r="M247" s="161">
        <f t="shared" si="109"/>
        <v>0</v>
      </c>
      <c r="N247" s="161">
        <f t="shared" si="109"/>
        <v>0</v>
      </c>
      <c r="O247" s="161">
        <f t="shared" si="109"/>
        <v>0</v>
      </c>
      <c r="P247" s="161">
        <f t="shared" si="109"/>
        <v>0</v>
      </c>
      <c r="Q247" s="161">
        <f t="shared" si="109"/>
        <v>0</v>
      </c>
      <c r="R247" s="161">
        <f t="shared" si="109"/>
        <v>0</v>
      </c>
      <c r="S247" s="161">
        <f t="shared" si="109"/>
        <v>0</v>
      </c>
      <c r="T247" s="161">
        <f t="shared" si="109"/>
        <v>0</v>
      </c>
      <c r="U247" s="161">
        <f t="shared" si="109"/>
        <v>0</v>
      </c>
      <c r="V247" s="161">
        <f t="shared" si="109"/>
        <v>0</v>
      </c>
      <c r="W247" s="161">
        <f t="shared" si="109"/>
        <v>0</v>
      </c>
      <c r="X247" s="161">
        <f t="shared" si="109"/>
        <v>0</v>
      </c>
      <c r="Y247" s="161">
        <f t="shared" si="109"/>
        <v>0</v>
      </c>
      <c r="Z247" s="161">
        <f t="shared" si="109"/>
        <v>0</v>
      </c>
      <c r="AA247" s="161">
        <f t="shared" si="109"/>
        <v>0</v>
      </c>
      <c r="AB247" s="161">
        <f t="shared" si="109"/>
        <v>0</v>
      </c>
      <c r="AC247" s="161">
        <f t="shared" si="109"/>
        <v>0</v>
      </c>
      <c r="AD247" s="161">
        <f t="shared" si="109"/>
        <v>0</v>
      </c>
      <c r="AE247" s="161">
        <f t="shared" si="109"/>
        <v>0</v>
      </c>
      <c r="AF247" s="162">
        <f t="shared" si="109"/>
        <v>0</v>
      </c>
      <c r="AG247" s="163">
        <f t="shared" si="109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10">AF249</f>
        <v>0.3</v>
      </c>
      <c r="C249" s="166">
        <v>0.3</v>
      </c>
      <c r="D249" s="166">
        <f t="shared" ref="D249:S254" si="111">C249</f>
        <v>0.3</v>
      </c>
      <c r="E249" s="166">
        <f t="shared" si="111"/>
        <v>0.3</v>
      </c>
      <c r="F249" s="166">
        <f t="shared" si="111"/>
        <v>0.3</v>
      </c>
      <c r="G249" s="166">
        <f t="shared" si="111"/>
        <v>0.3</v>
      </c>
      <c r="H249" s="166">
        <f t="shared" si="111"/>
        <v>0.3</v>
      </c>
      <c r="I249" s="166">
        <f t="shared" si="111"/>
        <v>0.3</v>
      </c>
      <c r="J249" s="166">
        <f t="shared" si="111"/>
        <v>0.3</v>
      </c>
      <c r="K249" s="166">
        <f t="shared" si="111"/>
        <v>0.3</v>
      </c>
      <c r="L249" s="166">
        <f t="shared" si="111"/>
        <v>0.3</v>
      </c>
      <c r="M249" s="166">
        <f t="shared" si="111"/>
        <v>0.3</v>
      </c>
      <c r="N249" s="166">
        <f t="shared" si="111"/>
        <v>0.3</v>
      </c>
      <c r="O249" s="166">
        <f t="shared" si="111"/>
        <v>0.3</v>
      </c>
      <c r="P249" s="166">
        <f t="shared" si="111"/>
        <v>0.3</v>
      </c>
      <c r="Q249" s="166">
        <f t="shared" si="111"/>
        <v>0.3</v>
      </c>
      <c r="R249" s="166">
        <f t="shared" si="111"/>
        <v>0.3</v>
      </c>
      <c r="S249" s="166">
        <f t="shared" si="111"/>
        <v>0.3</v>
      </c>
      <c r="T249" s="166">
        <f t="shared" ref="T249:AF254" si="112">S249</f>
        <v>0.3</v>
      </c>
      <c r="U249" s="166">
        <f t="shared" si="112"/>
        <v>0.3</v>
      </c>
      <c r="V249" s="166">
        <f t="shared" si="112"/>
        <v>0.3</v>
      </c>
      <c r="W249" s="166">
        <f t="shared" si="112"/>
        <v>0.3</v>
      </c>
      <c r="X249" s="166">
        <f t="shared" si="112"/>
        <v>0.3</v>
      </c>
      <c r="Y249" s="166">
        <f t="shared" si="112"/>
        <v>0.3</v>
      </c>
      <c r="Z249" s="166">
        <f t="shared" si="112"/>
        <v>0.3</v>
      </c>
      <c r="AA249" s="166">
        <f t="shared" si="112"/>
        <v>0.3</v>
      </c>
      <c r="AB249" s="166">
        <f t="shared" si="112"/>
        <v>0.3</v>
      </c>
      <c r="AC249" s="166">
        <f t="shared" si="112"/>
        <v>0.3</v>
      </c>
      <c r="AD249" s="166">
        <f t="shared" si="112"/>
        <v>0.3</v>
      </c>
      <c r="AE249" s="166">
        <f t="shared" si="112"/>
        <v>0.3</v>
      </c>
      <c r="AF249" s="166">
        <f t="shared" si="112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10"/>
        <v>0.4</v>
      </c>
      <c r="C250" s="152">
        <v>0.4</v>
      </c>
      <c r="D250" s="152">
        <f t="shared" si="111"/>
        <v>0.4</v>
      </c>
      <c r="E250" s="152">
        <f t="shared" si="111"/>
        <v>0.4</v>
      </c>
      <c r="F250" s="152">
        <f t="shared" si="111"/>
        <v>0.4</v>
      </c>
      <c r="G250" s="152">
        <f t="shared" si="111"/>
        <v>0.4</v>
      </c>
      <c r="H250" s="152">
        <f t="shared" si="111"/>
        <v>0.4</v>
      </c>
      <c r="I250" s="152">
        <f t="shared" si="111"/>
        <v>0.4</v>
      </c>
      <c r="J250" s="152">
        <f t="shared" si="111"/>
        <v>0.4</v>
      </c>
      <c r="K250" s="152">
        <f t="shared" si="111"/>
        <v>0.4</v>
      </c>
      <c r="L250" s="152">
        <f t="shared" si="111"/>
        <v>0.4</v>
      </c>
      <c r="M250" s="152">
        <f t="shared" si="111"/>
        <v>0.4</v>
      </c>
      <c r="N250" s="152">
        <f t="shared" si="111"/>
        <v>0.4</v>
      </c>
      <c r="O250" s="152">
        <f t="shared" si="111"/>
        <v>0.4</v>
      </c>
      <c r="P250" s="152">
        <f t="shared" si="111"/>
        <v>0.4</v>
      </c>
      <c r="Q250" s="152">
        <f t="shared" si="111"/>
        <v>0.4</v>
      </c>
      <c r="R250" s="152">
        <f t="shared" si="111"/>
        <v>0.4</v>
      </c>
      <c r="S250" s="152">
        <f t="shared" si="111"/>
        <v>0.4</v>
      </c>
      <c r="T250" s="152">
        <f t="shared" si="112"/>
        <v>0.4</v>
      </c>
      <c r="U250" s="152">
        <f t="shared" si="112"/>
        <v>0.4</v>
      </c>
      <c r="V250" s="152">
        <f t="shared" si="112"/>
        <v>0.4</v>
      </c>
      <c r="W250" s="152">
        <f t="shared" si="112"/>
        <v>0.4</v>
      </c>
      <c r="X250" s="152">
        <f t="shared" si="112"/>
        <v>0.4</v>
      </c>
      <c r="Y250" s="152">
        <f t="shared" si="112"/>
        <v>0.4</v>
      </c>
      <c r="Z250" s="152">
        <f t="shared" si="112"/>
        <v>0.4</v>
      </c>
      <c r="AA250" s="152">
        <f t="shared" si="112"/>
        <v>0.4</v>
      </c>
      <c r="AB250" s="152">
        <f t="shared" si="112"/>
        <v>0.4</v>
      </c>
      <c r="AC250" s="152">
        <f t="shared" si="112"/>
        <v>0.4</v>
      </c>
      <c r="AD250" s="152">
        <f t="shared" si="112"/>
        <v>0.4</v>
      </c>
      <c r="AE250" s="152">
        <f t="shared" si="112"/>
        <v>0.4</v>
      </c>
      <c r="AF250" s="152">
        <f t="shared" si="112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10"/>
        <v>1.5</v>
      </c>
      <c r="C251" s="152">
        <v>1.5</v>
      </c>
      <c r="D251" s="152">
        <f t="shared" si="111"/>
        <v>1.5</v>
      </c>
      <c r="E251" s="152">
        <f t="shared" si="111"/>
        <v>1.5</v>
      </c>
      <c r="F251" s="152">
        <f t="shared" si="111"/>
        <v>1.5</v>
      </c>
      <c r="G251" s="152">
        <f t="shared" si="111"/>
        <v>1.5</v>
      </c>
      <c r="H251" s="152">
        <f t="shared" si="111"/>
        <v>1.5</v>
      </c>
      <c r="I251" s="152">
        <f t="shared" si="111"/>
        <v>1.5</v>
      </c>
      <c r="J251" s="152">
        <f t="shared" si="111"/>
        <v>1.5</v>
      </c>
      <c r="K251" s="152">
        <f t="shared" si="111"/>
        <v>1.5</v>
      </c>
      <c r="L251" s="152">
        <f t="shared" si="111"/>
        <v>1.5</v>
      </c>
      <c r="M251" s="152">
        <f t="shared" si="111"/>
        <v>1.5</v>
      </c>
      <c r="N251" s="152">
        <f t="shared" si="111"/>
        <v>1.5</v>
      </c>
      <c r="O251" s="152">
        <f t="shared" si="111"/>
        <v>1.5</v>
      </c>
      <c r="P251" s="152">
        <f t="shared" si="111"/>
        <v>1.5</v>
      </c>
      <c r="Q251" s="152">
        <f t="shared" si="111"/>
        <v>1.5</v>
      </c>
      <c r="R251" s="152">
        <f t="shared" si="111"/>
        <v>1.5</v>
      </c>
      <c r="S251" s="152">
        <f t="shared" si="111"/>
        <v>1.5</v>
      </c>
      <c r="T251" s="152">
        <f t="shared" si="112"/>
        <v>1.5</v>
      </c>
      <c r="U251" s="152">
        <f t="shared" si="112"/>
        <v>1.5</v>
      </c>
      <c r="V251" s="152">
        <f t="shared" si="112"/>
        <v>1.5</v>
      </c>
      <c r="W251" s="152">
        <f t="shared" si="112"/>
        <v>1.5</v>
      </c>
      <c r="X251" s="152">
        <f t="shared" si="112"/>
        <v>1.5</v>
      </c>
      <c r="Y251" s="152">
        <f t="shared" si="112"/>
        <v>1.5</v>
      </c>
      <c r="Z251" s="152">
        <f t="shared" si="112"/>
        <v>1.5</v>
      </c>
      <c r="AA251" s="152">
        <f t="shared" si="112"/>
        <v>1.5</v>
      </c>
      <c r="AB251" s="152">
        <f t="shared" si="112"/>
        <v>1.5</v>
      </c>
      <c r="AC251" s="152">
        <f t="shared" si="112"/>
        <v>1.5</v>
      </c>
      <c r="AD251" s="152">
        <f t="shared" si="112"/>
        <v>1.5</v>
      </c>
      <c r="AE251" s="152">
        <f t="shared" si="112"/>
        <v>1.5</v>
      </c>
      <c r="AF251" s="152">
        <f t="shared" si="112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10"/>
        <v>0.3</v>
      </c>
      <c r="C252" s="152">
        <v>0.3</v>
      </c>
      <c r="D252" s="152">
        <f t="shared" si="111"/>
        <v>0.3</v>
      </c>
      <c r="E252" s="152">
        <f t="shared" si="111"/>
        <v>0.3</v>
      </c>
      <c r="F252" s="152">
        <f t="shared" si="111"/>
        <v>0.3</v>
      </c>
      <c r="G252" s="152">
        <f t="shared" si="111"/>
        <v>0.3</v>
      </c>
      <c r="H252" s="152">
        <f t="shared" si="111"/>
        <v>0.3</v>
      </c>
      <c r="I252" s="152">
        <f t="shared" si="111"/>
        <v>0.3</v>
      </c>
      <c r="J252" s="152">
        <f t="shared" si="111"/>
        <v>0.3</v>
      </c>
      <c r="K252" s="152">
        <f t="shared" si="111"/>
        <v>0.3</v>
      </c>
      <c r="L252" s="152">
        <f t="shared" si="111"/>
        <v>0.3</v>
      </c>
      <c r="M252" s="152">
        <f t="shared" si="111"/>
        <v>0.3</v>
      </c>
      <c r="N252" s="152">
        <f t="shared" si="111"/>
        <v>0.3</v>
      </c>
      <c r="O252" s="152">
        <f t="shared" si="111"/>
        <v>0.3</v>
      </c>
      <c r="P252" s="152">
        <f t="shared" si="111"/>
        <v>0.3</v>
      </c>
      <c r="Q252" s="152">
        <f t="shared" si="111"/>
        <v>0.3</v>
      </c>
      <c r="R252" s="152">
        <f t="shared" si="111"/>
        <v>0.3</v>
      </c>
      <c r="S252" s="152">
        <f t="shared" si="111"/>
        <v>0.3</v>
      </c>
      <c r="T252" s="152">
        <f t="shared" si="112"/>
        <v>0.3</v>
      </c>
      <c r="U252" s="152">
        <f t="shared" si="112"/>
        <v>0.3</v>
      </c>
      <c r="V252" s="152">
        <f t="shared" si="112"/>
        <v>0.3</v>
      </c>
      <c r="W252" s="152">
        <f t="shared" si="112"/>
        <v>0.3</v>
      </c>
      <c r="X252" s="152">
        <f t="shared" si="112"/>
        <v>0.3</v>
      </c>
      <c r="Y252" s="152">
        <f t="shared" si="112"/>
        <v>0.3</v>
      </c>
      <c r="Z252" s="152">
        <f t="shared" si="112"/>
        <v>0.3</v>
      </c>
      <c r="AA252" s="152">
        <f t="shared" si="112"/>
        <v>0.3</v>
      </c>
      <c r="AB252" s="152">
        <f t="shared" si="112"/>
        <v>0.3</v>
      </c>
      <c r="AC252" s="152">
        <f t="shared" si="112"/>
        <v>0.3</v>
      </c>
      <c r="AD252" s="152">
        <f t="shared" si="112"/>
        <v>0.3</v>
      </c>
      <c r="AE252" s="152">
        <f t="shared" si="112"/>
        <v>0.3</v>
      </c>
      <c r="AF252" s="152">
        <f t="shared" si="112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10"/>
        <v>0.4</v>
      </c>
      <c r="C253" s="152">
        <v>0.4</v>
      </c>
      <c r="D253" s="152">
        <f t="shared" si="111"/>
        <v>0.4</v>
      </c>
      <c r="E253" s="152">
        <f t="shared" si="111"/>
        <v>0.4</v>
      </c>
      <c r="F253" s="152">
        <f t="shared" si="111"/>
        <v>0.4</v>
      </c>
      <c r="G253" s="152">
        <f t="shared" si="111"/>
        <v>0.4</v>
      </c>
      <c r="H253" s="152">
        <f t="shared" si="111"/>
        <v>0.4</v>
      </c>
      <c r="I253" s="152">
        <f t="shared" si="111"/>
        <v>0.4</v>
      </c>
      <c r="J253" s="152">
        <f t="shared" si="111"/>
        <v>0.4</v>
      </c>
      <c r="K253" s="152">
        <f t="shared" si="111"/>
        <v>0.4</v>
      </c>
      <c r="L253" s="152">
        <f t="shared" si="111"/>
        <v>0.4</v>
      </c>
      <c r="M253" s="152">
        <f t="shared" si="111"/>
        <v>0.4</v>
      </c>
      <c r="N253" s="152">
        <f t="shared" si="111"/>
        <v>0.4</v>
      </c>
      <c r="O253" s="152">
        <f t="shared" si="111"/>
        <v>0.4</v>
      </c>
      <c r="P253" s="152">
        <f t="shared" si="111"/>
        <v>0.4</v>
      </c>
      <c r="Q253" s="152">
        <f t="shared" si="111"/>
        <v>0.4</v>
      </c>
      <c r="R253" s="152">
        <f t="shared" si="111"/>
        <v>0.4</v>
      </c>
      <c r="S253" s="152">
        <f t="shared" si="111"/>
        <v>0.4</v>
      </c>
      <c r="T253" s="152">
        <f t="shared" si="112"/>
        <v>0.4</v>
      </c>
      <c r="U253" s="152">
        <f t="shared" si="112"/>
        <v>0.4</v>
      </c>
      <c r="V253" s="152">
        <f t="shared" si="112"/>
        <v>0.4</v>
      </c>
      <c r="W253" s="152">
        <f t="shared" si="112"/>
        <v>0.4</v>
      </c>
      <c r="X253" s="152">
        <f t="shared" si="112"/>
        <v>0.4</v>
      </c>
      <c r="Y253" s="152">
        <f t="shared" si="112"/>
        <v>0.4</v>
      </c>
      <c r="Z253" s="152">
        <f t="shared" si="112"/>
        <v>0.4</v>
      </c>
      <c r="AA253" s="152">
        <f t="shared" si="112"/>
        <v>0.4</v>
      </c>
      <c r="AB253" s="152">
        <f t="shared" si="112"/>
        <v>0.4</v>
      </c>
      <c r="AC253" s="152">
        <f t="shared" si="112"/>
        <v>0.4</v>
      </c>
      <c r="AD253" s="152">
        <f t="shared" si="112"/>
        <v>0.4</v>
      </c>
      <c r="AE253" s="152">
        <f t="shared" si="112"/>
        <v>0.4</v>
      </c>
      <c r="AF253" s="152">
        <f t="shared" si="112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10"/>
        <v>0.64</v>
      </c>
      <c r="C254" s="157">
        <v>0.64</v>
      </c>
      <c r="D254" s="157">
        <f t="shared" si="111"/>
        <v>0.64</v>
      </c>
      <c r="E254" s="157">
        <f t="shared" si="111"/>
        <v>0.64</v>
      </c>
      <c r="F254" s="157">
        <f t="shared" si="111"/>
        <v>0.64</v>
      </c>
      <c r="G254" s="157">
        <f t="shared" si="111"/>
        <v>0.64</v>
      </c>
      <c r="H254" s="157">
        <f t="shared" si="111"/>
        <v>0.64</v>
      </c>
      <c r="I254" s="157">
        <f t="shared" si="111"/>
        <v>0.64</v>
      </c>
      <c r="J254" s="157">
        <f t="shared" si="111"/>
        <v>0.64</v>
      </c>
      <c r="K254" s="157">
        <f t="shared" si="111"/>
        <v>0.64</v>
      </c>
      <c r="L254" s="157">
        <f t="shared" si="111"/>
        <v>0.64</v>
      </c>
      <c r="M254" s="157">
        <f t="shared" si="111"/>
        <v>0.64</v>
      </c>
      <c r="N254" s="157">
        <f t="shared" si="111"/>
        <v>0.64</v>
      </c>
      <c r="O254" s="157">
        <f t="shared" si="111"/>
        <v>0.64</v>
      </c>
      <c r="P254" s="157">
        <f t="shared" si="111"/>
        <v>0.64</v>
      </c>
      <c r="Q254" s="157">
        <f t="shared" si="111"/>
        <v>0.64</v>
      </c>
      <c r="R254" s="157">
        <f t="shared" si="111"/>
        <v>0.64</v>
      </c>
      <c r="S254" s="157">
        <f t="shared" si="111"/>
        <v>0.64</v>
      </c>
      <c r="T254" s="157">
        <f t="shared" si="112"/>
        <v>0.64</v>
      </c>
      <c r="U254" s="157">
        <f t="shared" si="112"/>
        <v>0.64</v>
      </c>
      <c r="V254" s="157">
        <f t="shared" si="112"/>
        <v>0.64</v>
      </c>
      <c r="W254" s="157">
        <f t="shared" si="112"/>
        <v>0.64</v>
      </c>
      <c r="X254" s="157">
        <f t="shared" si="112"/>
        <v>0.64</v>
      </c>
      <c r="Y254" s="157">
        <f t="shared" si="112"/>
        <v>0.64</v>
      </c>
      <c r="Z254" s="157">
        <f t="shared" si="112"/>
        <v>0.64</v>
      </c>
      <c r="AA254" s="157">
        <f t="shared" si="112"/>
        <v>0.64</v>
      </c>
      <c r="AB254" s="157">
        <f t="shared" si="112"/>
        <v>0.64</v>
      </c>
      <c r="AC254" s="157">
        <f t="shared" si="112"/>
        <v>0.64</v>
      </c>
      <c r="AD254" s="157">
        <f t="shared" si="112"/>
        <v>0.64</v>
      </c>
      <c r="AE254" s="157">
        <f t="shared" si="112"/>
        <v>0.64</v>
      </c>
      <c r="AF254" s="157">
        <f t="shared" si="112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13">SUM(B249:B254)</f>
        <v>3.54</v>
      </c>
      <c r="C255" s="161">
        <f t="shared" si="113"/>
        <v>3.54</v>
      </c>
      <c r="D255" s="161">
        <f t="shared" si="113"/>
        <v>3.54</v>
      </c>
      <c r="E255" s="161">
        <f t="shared" si="113"/>
        <v>3.54</v>
      </c>
      <c r="F255" s="161">
        <f t="shared" si="113"/>
        <v>3.54</v>
      </c>
      <c r="G255" s="161">
        <f t="shared" si="113"/>
        <v>3.54</v>
      </c>
      <c r="H255" s="161">
        <f t="shared" si="113"/>
        <v>3.54</v>
      </c>
      <c r="I255" s="161">
        <f t="shared" si="113"/>
        <v>3.54</v>
      </c>
      <c r="J255" s="161">
        <f t="shared" si="113"/>
        <v>3.54</v>
      </c>
      <c r="K255" s="161">
        <f t="shared" si="113"/>
        <v>3.54</v>
      </c>
      <c r="L255" s="161">
        <f t="shared" si="113"/>
        <v>3.54</v>
      </c>
      <c r="M255" s="161">
        <f t="shared" si="113"/>
        <v>3.54</v>
      </c>
      <c r="N255" s="161">
        <f t="shared" si="113"/>
        <v>3.54</v>
      </c>
      <c r="O255" s="161">
        <f t="shared" si="113"/>
        <v>3.54</v>
      </c>
      <c r="P255" s="161">
        <f t="shared" si="113"/>
        <v>3.54</v>
      </c>
      <c r="Q255" s="161">
        <f t="shared" si="113"/>
        <v>3.54</v>
      </c>
      <c r="R255" s="161">
        <f t="shared" si="113"/>
        <v>3.54</v>
      </c>
      <c r="S255" s="161">
        <f t="shared" si="113"/>
        <v>3.54</v>
      </c>
      <c r="T255" s="161">
        <f t="shared" si="113"/>
        <v>3.54</v>
      </c>
      <c r="U255" s="161">
        <f t="shared" si="113"/>
        <v>3.54</v>
      </c>
      <c r="V255" s="161">
        <f t="shared" si="113"/>
        <v>3.54</v>
      </c>
      <c r="W255" s="161">
        <f t="shared" si="113"/>
        <v>3.54</v>
      </c>
      <c r="X255" s="161">
        <f t="shared" si="113"/>
        <v>3.54</v>
      </c>
      <c r="Y255" s="161">
        <f t="shared" si="113"/>
        <v>3.54</v>
      </c>
      <c r="Z255" s="161">
        <f t="shared" si="113"/>
        <v>3.54</v>
      </c>
      <c r="AA255" s="161">
        <f t="shared" si="113"/>
        <v>3.54</v>
      </c>
      <c r="AB255" s="161">
        <f t="shared" si="113"/>
        <v>3.54</v>
      </c>
      <c r="AC255" s="161">
        <f t="shared" si="113"/>
        <v>3.54</v>
      </c>
      <c r="AD255" s="161">
        <f t="shared" si="113"/>
        <v>3.54</v>
      </c>
      <c r="AE255" s="161">
        <f t="shared" si="113"/>
        <v>3.54</v>
      </c>
      <c r="AF255" s="161">
        <f t="shared" si="113"/>
        <v>3.54</v>
      </c>
      <c r="AG255" s="171">
        <f t="shared" si="113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2333.2399999999998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2080/10/18)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2115" priority="80">
      <formula>$AH11=0</formula>
    </cfRule>
  </conditionalFormatting>
  <conditionalFormatting sqref="A89">
    <cfRule type="expression" dxfId="2114" priority="138">
      <formula>$AH94=0</formula>
    </cfRule>
  </conditionalFormatting>
  <conditionalFormatting sqref="A90:A94">
    <cfRule type="expression" dxfId="2113" priority="81">
      <formula>$AH89=0</formula>
    </cfRule>
  </conditionalFormatting>
  <conditionalFormatting sqref="B8">
    <cfRule type="expression" dxfId="2112" priority="134">
      <formula>AND(C$9&gt;=14/24,C$9&lt;20/24)</formula>
    </cfRule>
    <cfRule type="expression" dxfId="2111" priority="135">
      <formula>AND(C$9&gt;=8/24,C$9&lt;14/24)</formula>
    </cfRule>
    <cfRule type="expression" dxfId="2110" priority="136">
      <formula>C$9&lt;8/24</formula>
    </cfRule>
    <cfRule type="expression" dxfId="2109" priority="137">
      <formula>C$9&gt;=20/24</formula>
    </cfRule>
  </conditionalFormatting>
  <conditionalFormatting sqref="B11:F57 G12:L57 M15:AF57 B62:D71 C66:D77 B72:AF77 B80:AF102 B9:AF10 B104:AF120 B122:AF140 B247:AF247 B249:B255">
    <cfRule type="expression" dxfId="2108" priority="41">
      <formula>B$9&gt;=20/24</formula>
    </cfRule>
  </conditionalFormatting>
  <conditionalFormatting sqref="B11:F60 K12:L78 J12:J83 G14:G60 H14:I77 M15:M78 N15:AF83 E59:N59 G12:I13 G19:I19 G22:L22 AG61 B61:G77 AG65 B78:I83 K79:M83 AG83">
    <cfRule type="expression" dxfId="2107" priority="40">
      <formula>B11&gt;$AG11</formula>
    </cfRule>
  </conditionalFormatting>
  <conditionalFormatting sqref="B9:AF10 B11:F57 G12:L57 M15:AF57 B62:D71 C66:D77 B72:AF77 B80:AF102 B104:AF120 B122:AF140 B247:AF247 B249:B255">
    <cfRule type="expression" dxfId="2106" priority="42">
      <formula>AND(B$9&gt;=14/24,B$9&lt;20/24)</formula>
    </cfRule>
    <cfRule type="expression" dxfId="2105" priority="43">
      <formula>AND(B$9&gt;=8/24,B$9&lt;14/24)</formula>
    </cfRule>
    <cfRule type="expression" dxfId="2104" priority="44">
      <formula>B$9&lt;8/24</formula>
    </cfRule>
  </conditionalFormatting>
  <conditionalFormatting sqref="B58:AF60">
    <cfRule type="expression" dxfId="2103" priority="37">
      <formula>B$9&gt;=20/24</formula>
    </cfRule>
    <cfRule type="expression" dxfId="2102" priority="38">
      <formula>AND(B$9&gt;=14/24,B$9&lt;20/24)</formula>
    </cfRule>
    <cfRule type="expression" dxfId="2101" priority="39">
      <formula>AND(B$9&gt;=8/24,B$9&lt;14/24)</formula>
    </cfRule>
    <cfRule type="expression" dxfId="2100" priority="49">
      <formula>B$9&lt;8/24</formula>
    </cfRule>
  </conditionalFormatting>
  <conditionalFormatting sqref="D249:AF255">
    <cfRule type="expression" dxfId="2099" priority="119">
      <formula>D$9&gt;=20/24</formula>
    </cfRule>
    <cfRule type="expression" dxfId="2098" priority="120">
      <formula>AND(D$9&gt;=14/24,D$9&lt;20/24)</formula>
    </cfRule>
    <cfRule type="expression" dxfId="2097" priority="121">
      <formula>AND(D$9&gt;=8/24,D$9&lt;14/24)</formula>
    </cfRule>
    <cfRule type="expression" dxfId="2096" priority="122">
      <formula>D$9&lt;8/24</formula>
    </cfRule>
  </conditionalFormatting>
  <conditionalFormatting sqref="E11:L11 M11:AF14">
    <cfRule type="expression" dxfId="2095" priority="54">
      <formula>E11&gt;$AG11</formula>
    </cfRule>
    <cfRule type="expression" dxfId="2094" priority="55">
      <formula>E$9&gt;=20/24</formula>
    </cfRule>
    <cfRule type="expression" dxfId="2093" priority="56">
      <formula>AND(E$9&gt;=14/24,E$9&lt;20/24)</formula>
    </cfRule>
    <cfRule type="expression" dxfId="2092" priority="57">
      <formula>AND(E$9&gt;=8/24,E$9&lt;14/24)</formula>
    </cfRule>
    <cfRule type="expression" dxfId="2091" priority="58">
      <formula>E$9&lt;8/24</formula>
    </cfRule>
  </conditionalFormatting>
  <conditionalFormatting sqref="E66:Z68 E69:AF69 E70:Z71">
    <cfRule type="expression" dxfId="2090" priority="45">
      <formula>E$9&gt;=20/24</formula>
    </cfRule>
    <cfRule type="expression" dxfId="2089" priority="46">
      <formula>AND(E$9&gt;=14/24,E$9&lt;20/24)</formula>
    </cfRule>
    <cfRule type="expression" dxfId="2088" priority="47">
      <formula>AND(E$9&gt;=8/24,E$9&lt;14/24)</formula>
    </cfRule>
    <cfRule type="expression" dxfId="2087" priority="48">
      <formula>E$9&lt;8/24</formula>
    </cfRule>
  </conditionalFormatting>
  <conditionalFormatting sqref="E62:AF65">
    <cfRule type="expression" dxfId="2086" priority="60">
      <formula>E$9&gt;=20/24</formula>
    </cfRule>
    <cfRule type="expression" dxfId="2085" priority="61">
      <formula>AND(E$9&gt;=14/24,E$9&lt;20/24)</formula>
    </cfRule>
    <cfRule type="expression" dxfId="2084" priority="62">
      <formula>AND(E$9&gt;=8/24,E$9&lt;14/24)</formula>
    </cfRule>
    <cfRule type="expression" dxfId="2083" priority="63">
      <formula>E$9&lt;8/24</formula>
    </cfRule>
  </conditionalFormatting>
  <conditionalFormatting sqref="F66:Z68">
    <cfRule type="expression" dxfId="2082" priority="72">
      <formula>F$9&gt;=20/24</formula>
    </cfRule>
    <cfRule type="expression" dxfId="2081" priority="73">
      <formula>AND(F$9&gt;=14/24,F$9&lt;20/24)</formula>
    </cfRule>
    <cfRule type="expression" dxfId="2080" priority="74">
      <formula>AND(F$9&gt;=8/24,F$9&lt;14/24)</formula>
    </cfRule>
    <cfRule type="expression" dxfId="2079" priority="75">
      <formula>F$9&lt;8/24</formula>
    </cfRule>
  </conditionalFormatting>
  <conditionalFormatting sqref="M8 S8 AB8">
    <cfRule type="expression" dxfId="2078" priority="126">
      <formula>AND(N$9&gt;=14/24,N$9&lt;20/24)</formula>
    </cfRule>
    <cfRule type="expression" dxfId="2077" priority="127">
      <formula>AND(N$9&gt;=8/24,N$9&lt;14/24)</formula>
    </cfRule>
    <cfRule type="expression" dxfId="2076" priority="128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075" priority="125">
      <formula>N$9&gt;=20/24</formula>
    </cfRule>
  </conditionalFormatting>
  <conditionalFormatting sqref="S8">
    <cfRule type="expression" dxfId="2074" priority="112">
      <formula>U$9&gt;=20/24</formula>
    </cfRule>
    <cfRule type="expression" dxfId="2073" priority="113">
      <formula>AND(U$9&gt;=14/24,U$9&lt;20/24)</formula>
    </cfRule>
    <cfRule type="expression" dxfId="2072" priority="114">
      <formula>AND(U$9&gt;=8/24,U$9&lt;14/24)</formula>
    </cfRule>
    <cfRule type="expression" dxfId="2071" priority="115">
      <formula>U$9&lt;8/24</formula>
    </cfRule>
  </conditionalFormatting>
  <conditionalFormatting sqref="S66:Z68 P69:AF69 S70:Z71">
    <cfRule type="expression" dxfId="2070" priority="69">
      <formula>AND(P$9&gt;=14/24,P$9&lt;20/24)</formula>
    </cfRule>
    <cfRule type="expression" dxfId="2069" priority="70">
      <formula>AND(P$9&gt;=8/24,P$9&lt;14/24)</formula>
    </cfRule>
    <cfRule type="expression" dxfId="2068" priority="71">
      <formula>P$9&lt;8/24</formula>
    </cfRule>
  </conditionalFormatting>
  <conditionalFormatting sqref="S66:Z68 S70:Z71 P69:AF69">
    <cfRule type="expression" dxfId="2067" priority="68">
      <formula>P$9&gt;=20/24</formula>
    </cfRule>
  </conditionalFormatting>
  <conditionalFormatting sqref="T66:AF68 T70:AF71">
    <cfRule type="expression" dxfId="2066" priority="64">
      <formula>T$9&gt;=20/24</formula>
    </cfRule>
    <cfRule type="expression" dxfId="2065" priority="65">
      <formula>AND(T$9&gt;=14/24,T$9&lt;20/24)</formula>
    </cfRule>
    <cfRule type="expression" dxfId="2064" priority="66">
      <formula>AND(T$9&gt;=8/24,T$9&lt;14/24)</formula>
    </cfRule>
    <cfRule type="expression" dxfId="2063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062" priority="108">
      <formula>AD$9&gt;=20/24</formula>
    </cfRule>
    <cfRule type="expression" dxfId="2061" priority="109">
      <formula>AND(AD$9&gt;=14/24,AD$9&lt;20/24)</formula>
    </cfRule>
    <cfRule type="expression" dxfId="2060" priority="110">
      <formula>AND(AD$9&gt;=8/24,AD$9&lt;14/24)</formula>
    </cfRule>
    <cfRule type="expression" dxfId="2059" priority="111">
      <formula>AD$9&lt;8/24</formula>
    </cfRule>
  </conditionalFormatting>
  <conditionalFormatting sqref="AG65">
    <cfRule type="expression" dxfId="2058" priority="87">
      <formula>AG$9&gt;=20/24</formula>
    </cfRule>
    <cfRule type="expression" dxfId="2057" priority="88">
      <formula>AND(AG$9&gt;=14/24,AG$9&lt;20/24)</formula>
    </cfRule>
    <cfRule type="expression" dxfId="2056" priority="89">
      <formula>AND(AG$9&gt;=8/24,AG$9&lt;14/24)</formula>
    </cfRule>
    <cfRule type="expression" dxfId="2055" priority="90">
      <formula>AG$9&lt;8/24</formula>
    </cfRule>
  </conditionalFormatting>
  <conditionalFormatting sqref="AG78:AG79">
    <cfRule type="expression" dxfId="2054" priority="82">
      <formula>AG78&gt;$AG78</formula>
    </cfRule>
  </conditionalFormatting>
  <conditionalFormatting sqref="AG83">
    <cfRule type="expression" dxfId="2053" priority="83">
      <formula>AG$9&gt;=20/24</formula>
    </cfRule>
    <cfRule type="expression" dxfId="2052" priority="84">
      <formula>AND(AG$9&gt;=14/24,AG$9&lt;20/24)</formula>
    </cfRule>
    <cfRule type="expression" dxfId="2051" priority="85">
      <formula>AND(AG$9&gt;=8/24,AG$9&lt;14/24)</formula>
    </cfRule>
    <cfRule type="expression" dxfId="2050" priority="86">
      <formula>AG$9&lt;8/24</formula>
    </cfRule>
  </conditionalFormatting>
  <conditionalFormatting sqref="AG100">
    <cfRule type="expression" dxfId="2049" priority="104">
      <formula>AG$9&gt;=20/24</formula>
    </cfRule>
    <cfRule type="expression" dxfId="2048" priority="105">
      <formula>AND(AG$9&gt;=14/24,AG$9&lt;20/24)</formula>
    </cfRule>
    <cfRule type="expression" dxfId="2047" priority="106">
      <formula>AND(AG$9&gt;=8/24,AG$9&lt;14/24)</formula>
    </cfRule>
    <cfRule type="expression" dxfId="2046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045" priority="129">
      <formula>AJ$9&gt;=20/24</formula>
    </cfRule>
    <cfRule type="expression" dxfId="2044" priority="130">
      <formula>AND(AJ$9&gt;=14/24,AJ$9&lt;20/24)</formula>
    </cfRule>
    <cfRule type="expression" dxfId="2043" priority="131">
      <formula>AND(AJ$9&gt;=8/24,AJ$9&lt;14/24)</formula>
    </cfRule>
    <cfRule type="expression" dxfId="2042" priority="132">
      <formula>AJ$9&lt;8/24</formula>
    </cfRule>
  </conditionalFormatting>
  <conditionalFormatting sqref="AL86:AN86 AL92:AN92">
    <cfRule type="expression" dxfId="2041" priority="97">
      <formula>AL$9&gt;=20/24</formula>
    </cfRule>
    <cfRule type="expression" dxfId="2040" priority="98">
      <formula>AND(AL$9&gt;=14/24,AL$9&lt;20/24)</formula>
    </cfRule>
    <cfRule type="expression" dxfId="2039" priority="99">
      <formula>AND(AL$9&gt;=8/24,AL$9&lt;14/24)</formula>
    </cfRule>
    <cfRule type="expression" dxfId="2038" priority="100">
      <formula>AL$9&lt;8/24</formula>
    </cfRule>
  </conditionalFormatting>
  <conditionalFormatting sqref="AM15:AM21 AN16:AR21">
    <cfRule type="expression" dxfId="2037" priority="13">
      <formula>AX$9&gt;=20/24</formula>
    </cfRule>
    <cfRule type="expression" dxfId="2036" priority="14">
      <formula>AND(AX$9&gt;=14/24,AX$9&lt;20/24)</formula>
    </cfRule>
    <cfRule type="expression" dxfId="2035" priority="15">
      <formula>AND(AX$9&gt;=8/24,AX$9&lt;14/24)</formula>
    </cfRule>
    <cfRule type="expression" dxfId="2034" priority="16">
      <formula>AX$9&lt;8/24</formula>
    </cfRule>
  </conditionalFormatting>
  <conditionalFormatting sqref="AN87:AN90">
    <cfRule type="expression" dxfId="2033" priority="93">
      <formula>AN$9&gt;=20/24</formula>
    </cfRule>
    <cfRule type="expression" dxfId="2032" priority="94">
      <formula>AND(AN$9&gt;=14/24,AN$9&lt;20/24)</formula>
    </cfRule>
    <cfRule type="expression" dxfId="2031" priority="95">
      <formula>AND(AN$9&gt;=8/24,AN$9&lt;14/24)</formula>
    </cfRule>
    <cfRule type="expression" dxfId="2030" priority="96">
      <formula>AN$9&lt;8/24</formula>
    </cfRule>
  </conditionalFormatting>
  <conditionalFormatting sqref="AN15:AR15">
    <cfRule type="expression" dxfId="2029" priority="1">
      <formula>U$9&gt;=20/24</formula>
    </cfRule>
    <cfRule type="expression" dxfId="2028" priority="2">
      <formula>AND(U$9&gt;=14/24,U$9&lt;20/24)</formula>
    </cfRule>
    <cfRule type="expression" dxfId="2027" priority="3">
      <formula>AND(U$9&gt;=8/24,U$9&lt;14/24)</formula>
    </cfRule>
    <cfRule type="expression" dxfId="2026" priority="4">
      <formula>U$9&lt;8/24</formula>
    </cfRule>
  </conditionalFormatting>
  <conditionalFormatting sqref="AS15">
    <cfRule type="expression" dxfId="2025" priority="9">
      <formula>AA$9&gt;=20/24</formula>
    </cfRule>
    <cfRule type="expression" dxfId="2024" priority="10">
      <formula>AND(AA$9&gt;=14/24,AA$9&lt;20/24)</formula>
    </cfRule>
    <cfRule type="expression" dxfId="2023" priority="11">
      <formula>AND(AA$9&gt;=8/24,AA$9&lt;14/24)</formula>
    </cfRule>
    <cfRule type="expression" dxfId="2022" priority="12">
      <formula>AA$9&lt;8/24</formula>
    </cfRule>
  </conditionalFormatting>
  <conditionalFormatting sqref="AS16:AS21">
    <cfRule type="expression" dxfId="2021" priority="17">
      <formula>BE$9&gt;=20/24</formula>
    </cfRule>
    <cfRule type="expression" dxfId="2020" priority="18">
      <formula>AND(BE$9&gt;=14/24,BE$9&lt;20/24)</formula>
    </cfRule>
    <cfRule type="expression" dxfId="2019" priority="19">
      <formula>AND(BE$9&gt;=8/24,BE$9&lt;14/24)</formula>
    </cfRule>
    <cfRule type="expression" dxfId="2018" priority="20">
      <formula>BE$9&lt;8/24</formula>
    </cfRule>
  </conditionalFormatting>
  <conditionalFormatting sqref="AT15 AX15:BJ15">
    <cfRule type="expression" dxfId="2017" priority="21">
      <formula>AC$9&gt;=20/24</formula>
    </cfRule>
    <cfRule type="expression" dxfId="2016" priority="22">
      <formula>AND(AC$9&gt;=14/24,AC$9&lt;20/24)</formula>
    </cfRule>
    <cfRule type="expression" dxfId="2015" priority="23">
      <formula>AND(AC$9&gt;=8/24,AC$9&lt;14/24)</formula>
    </cfRule>
    <cfRule type="expression" dxfId="2014" priority="24">
      <formula>AC$9&lt;8/24</formula>
    </cfRule>
  </conditionalFormatting>
  <conditionalFormatting sqref="AT16:AT21">
    <cfRule type="expression" dxfId="2013" priority="25">
      <formula>BG$9&gt;=20/24</formula>
    </cfRule>
    <cfRule type="expression" dxfId="2012" priority="26">
      <formula>AND(BG$9&gt;=14/24,BG$9&lt;20/24)</formula>
    </cfRule>
    <cfRule type="expression" dxfId="2011" priority="27">
      <formula>AND(BG$9&gt;=8/24,BG$9&lt;14/24)</formula>
    </cfRule>
    <cfRule type="expression" dxfId="2010" priority="28">
      <formula>BG$9&lt;8/24</formula>
    </cfRule>
  </conditionalFormatting>
  <conditionalFormatting sqref="AU15:AV15">
    <cfRule type="expression" dxfId="2009" priority="29">
      <formula>AE$9&gt;=20/24</formula>
    </cfRule>
    <cfRule type="expression" dxfId="2008" priority="30">
      <formula>AND(AE$9&gt;=14/24,AE$9&lt;20/24)</formula>
    </cfRule>
    <cfRule type="expression" dxfId="2007" priority="31">
      <formula>AND(AE$9&gt;=8/24,AE$9&lt;14/24)</formula>
    </cfRule>
    <cfRule type="expression" dxfId="2006" priority="32">
      <formula>AE$9&lt;8/24</formula>
    </cfRule>
  </conditionalFormatting>
  <conditionalFormatting sqref="AU16:BJ21">
    <cfRule type="expression" dxfId="2005" priority="33">
      <formula>BI$9&gt;=20/24</formula>
    </cfRule>
    <cfRule type="expression" dxfId="2004" priority="34">
      <formula>AND(BI$9&gt;=14/24,BI$9&lt;20/24)</formula>
    </cfRule>
    <cfRule type="expression" dxfId="2003" priority="35">
      <formula>AND(BI$9&gt;=8/24,BI$9&lt;14/24)</formula>
    </cfRule>
    <cfRule type="expression" dxfId="2002" priority="36">
      <formula>BI$9&lt;8/24</formula>
    </cfRule>
  </conditionalFormatting>
  <conditionalFormatting sqref="AW15">
    <cfRule type="expression" dxfId="2001" priority="5">
      <formula>B$9&gt;=20/24</formula>
    </cfRule>
    <cfRule type="expression" dxfId="2000" priority="6">
      <formula>AND(B$9&gt;=14/24,B$9&lt;20/24)</formula>
    </cfRule>
    <cfRule type="expression" dxfId="1999" priority="7">
      <formula>AND(B$9&gt;=8/24,B$9&lt;14/24)</formula>
    </cfRule>
    <cfRule type="expression" dxfId="1998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2738-7789-402E-888F-B379A2866589}">
  <dimension ref="A1:CJ297"/>
  <sheetViews>
    <sheetView zoomScale="106" workbookViewId="0">
      <pane xSplit="1" ySplit="10" topLeftCell="B3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38" sqref="A38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customWidth="1"/>
    <col min="14" max="15" width="6.28515625" style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2080/10/19</v>
      </c>
      <c r="C4" s="189"/>
      <c r="D4" s="189"/>
      <c r="E4" s="190" t="str">
        <f ca="1">"2080/"&amp;"10/"&amp;INT(MID(CELL("filename",G6),FIND("]",CELL("filename",G6))+1,200))</f>
        <v>2080/10/19</v>
      </c>
      <c r="F4" s="190"/>
      <c r="G4" s="190"/>
      <c r="H4" s="190" t="str">
        <f ca="1">TEXT(E4,"dddd")</f>
        <v>Saturday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56.7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2.2999999999999998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2268MW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Load=1404</v>
      </c>
      <c r="B7" s="35">
        <f t="shared" ref="B7:AF7" si="1">B103</f>
        <v>1537.7400000000002</v>
      </c>
      <c r="C7" s="35">
        <f t="shared" si="1"/>
        <v>1521.1400000000003</v>
      </c>
      <c r="D7" s="35">
        <f t="shared" si="1"/>
        <v>1511.1400000000003</v>
      </c>
      <c r="E7" s="35">
        <f t="shared" si="1"/>
        <v>1453.5400000000004</v>
      </c>
      <c r="F7" s="35">
        <f t="shared" si="1"/>
        <v>1426.4400000000003</v>
      </c>
      <c r="G7" s="35">
        <f t="shared" si="1"/>
        <v>1403.9400000000003</v>
      </c>
      <c r="H7" s="35">
        <f t="shared" si="1"/>
        <v>1415.8400000000001</v>
      </c>
      <c r="I7" s="35">
        <f t="shared" si="1"/>
        <v>1459.7400000000002</v>
      </c>
      <c r="J7" s="35">
        <f t="shared" si="1"/>
        <v>1428.8400000000004</v>
      </c>
      <c r="K7" s="35">
        <f t="shared" si="1"/>
        <v>1417.1399999999999</v>
      </c>
      <c r="L7" s="35">
        <f t="shared" si="1"/>
        <v>1594.8400000000001</v>
      </c>
      <c r="M7" s="35">
        <f t="shared" si="1"/>
        <v>1609.04</v>
      </c>
      <c r="N7" s="35">
        <f t="shared" si="1"/>
        <v>1630.74</v>
      </c>
      <c r="O7" s="35">
        <f t="shared" si="1"/>
        <v>1624.1399999999999</v>
      </c>
      <c r="P7" s="35">
        <f t="shared" si="1"/>
        <v>1613.1399999999999</v>
      </c>
      <c r="Q7" s="35">
        <f t="shared" si="1"/>
        <v>1635.3400000000001</v>
      </c>
      <c r="R7" s="35">
        <f t="shared" si="1"/>
        <v>1664.8400000000001</v>
      </c>
      <c r="S7" s="35">
        <f t="shared" si="1"/>
        <v>1784.2400000000002</v>
      </c>
      <c r="T7" s="35">
        <f t="shared" si="1"/>
        <v>1734.1400000000003</v>
      </c>
      <c r="U7" s="35">
        <f t="shared" si="1"/>
        <v>1666.1400000000003</v>
      </c>
      <c r="V7" s="35">
        <f t="shared" si="1"/>
        <v>1639.8400000000001</v>
      </c>
      <c r="W7" s="35">
        <f t="shared" si="1"/>
        <v>1589.04</v>
      </c>
      <c r="X7" s="35">
        <f t="shared" si="1"/>
        <v>1567.1399999999999</v>
      </c>
      <c r="Y7" s="35">
        <f t="shared" si="1"/>
        <v>1575.6399999999999</v>
      </c>
      <c r="Z7" s="35">
        <f t="shared" si="1"/>
        <v>1574.6399999999999</v>
      </c>
      <c r="AA7" s="35">
        <f t="shared" si="1"/>
        <v>1698.0399999999995</v>
      </c>
      <c r="AB7" s="35">
        <f t="shared" si="1"/>
        <v>1666.04</v>
      </c>
      <c r="AC7" s="35">
        <f t="shared" si="1"/>
        <v>1678.54</v>
      </c>
      <c r="AD7" s="35">
        <f t="shared" si="1"/>
        <v>1676.94</v>
      </c>
      <c r="AE7" s="35">
        <f t="shared" si="1"/>
        <v>1576.0399999999995</v>
      </c>
      <c r="AF7" s="35">
        <f t="shared" si="1"/>
        <v>1533.5399999999995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2309.84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1784.24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90.1</v>
      </c>
      <c r="C11" s="46">
        <v>90.1</v>
      </c>
      <c r="D11" s="46">
        <v>90.1</v>
      </c>
      <c r="E11" s="46">
        <v>90.1</v>
      </c>
      <c r="F11" s="46">
        <v>90.1</v>
      </c>
      <c r="G11" s="46">
        <v>80</v>
      </c>
      <c r="H11" s="46">
        <v>80</v>
      </c>
      <c r="I11" s="46">
        <v>80</v>
      </c>
      <c r="J11" s="46">
        <v>80</v>
      </c>
      <c r="K11" s="46">
        <v>80</v>
      </c>
      <c r="L11" s="46">
        <v>80</v>
      </c>
      <c r="M11" s="46">
        <v>86</v>
      </c>
      <c r="N11" s="46">
        <v>86</v>
      </c>
      <c r="O11" s="46">
        <v>86</v>
      </c>
      <c r="P11" s="46">
        <v>86</v>
      </c>
      <c r="Q11" s="46">
        <v>86.9</v>
      </c>
      <c r="R11" s="46">
        <v>86.9</v>
      </c>
      <c r="S11" s="46">
        <v>86.9</v>
      </c>
      <c r="T11" s="46">
        <v>86.8</v>
      </c>
      <c r="U11" s="46">
        <v>86.8</v>
      </c>
      <c r="V11" s="46">
        <v>86.8</v>
      </c>
      <c r="W11" s="46">
        <v>86.8</v>
      </c>
      <c r="X11" s="46">
        <v>86.8</v>
      </c>
      <c r="Y11" s="46">
        <v>86.8</v>
      </c>
      <c r="Z11" s="46">
        <v>86.8</v>
      </c>
      <c r="AA11" s="46">
        <v>86.8</v>
      </c>
      <c r="AB11" s="46">
        <v>90.2</v>
      </c>
      <c r="AC11" s="46">
        <v>90.2</v>
      </c>
      <c r="AD11" s="46">
        <v>86.1</v>
      </c>
      <c r="AE11" s="46">
        <v>86</v>
      </c>
      <c r="AF11" s="46">
        <v>86</v>
      </c>
      <c r="AG11" s="47">
        <v>86</v>
      </c>
      <c r="AH11" s="48">
        <f t="shared" ref="AH11:AH74" si="2">MAX(B11:AF11)</f>
        <v>90.2</v>
      </c>
      <c r="AI11" s="49">
        <f t="shared" ref="AI11:AI74" si="3">MIN(B11:AF11)</f>
        <v>80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61</v>
      </c>
      <c r="C12" s="46">
        <v>61</v>
      </c>
      <c r="D12" s="46">
        <v>61</v>
      </c>
      <c r="E12" s="46">
        <v>61</v>
      </c>
      <c r="F12" s="46">
        <v>52.3</v>
      </c>
      <c r="G12" s="46">
        <v>52.3</v>
      </c>
      <c r="H12" s="46">
        <v>52.3</v>
      </c>
      <c r="I12" s="46">
        <v>52.3</v>
      </c>
      <c r="J12" s="46">
        <v>52.3</v>
      </c>
      <c r="K12" s="46">
        <v>52.3</v>
      </c>
      <c r="L12" s="46">
        <v>84</v>
      </c>
      <c r="M12" s="46">
        <v>82</v>
      </c>
      <c r="N12" s="46">
        <v>82</v>
      </c>
      <c r="O12" s="46">
        <v>82</v>
      </c>
      <c r="P12" s="46">
        <v>82</v>
      </c>
      <c r="Q12" s="46">
        <v>82.1</v>
      </c>
      <c r="R12" s="46">
        <v>82.1</v>
      </c>
      <c r="S12" s="46">
        <v>56</v>
      </c>
      <c r="T12" s="46">
        <v>66</v>
      </c>
      <c r="U12" s="46">
        <v>57</v>
      </c>
      <c r="V12" s="46">
        <v>57</v>
      </c>
      <c r="W12" s="46">
        <v>84.2</v>
      </c>
      <c r="X12" s="46">
        <v>84.2</v>
      </c>
      <c r="Y12" s="46">
        <v>84.2</v>
      </c>
      <c r="Z12" s="46">
        <v>84.2</v>
      </c>
      <c r="AA12" s="46">
        <v>84.2</v>
      </c>
      <c r="AB12" s="46">
        <v>83.6</v>
      </c>
      <c r="AC12" s="46">
        <v>83.6</v>
      </c>
      <c r="AD12" s="46">
        <v>57.4</v>
      </c>
      <c r="AE12" s="46">
        <v>55</v>
      </c>
      <c r="AF12" s="46">
        <v>52</v>
      </c>
      <c r="AG12" s="50">
        <v>77</v>
      </c>
      <c r="AH12" s="48">
        <f t="shared" si="2"/>
        <v>84.2</v>
      </c>
      <c r="AI12" s="49">
        <f t="shared" si="3"/>
        <v>52</v>
      </c>
      <c r="AK12" s="51"/>
      <c r="AL12" s="52" t="str">
        <f ca="1">MID(CELL("filename",C7),FIND("]",CELL("filename",C7))+1,600)</f>
        <v>19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41</v>
      </c>
      <c r="C13" s="46">
        <v>41</v>
      </c>
      <c r="D13" s="46">
        <v>41</v>
      </c>
      <c r="E13" s="46">
        <v>41</v>
      </c>
      <c r="F13" s="46">
        <v>22</v>
      </c>
      <c r="G13" s="46">
        <v>22</v>
      </c>
      <c r="H13" s="46">
        <v>22</v>
      </c>
      <c r="I13" s="46">
        <v>22</v>
      </c>
      <c r="J13" s="46">
        <v>22</v>
      </c>
      <c r="K13" s="46">
        <v>22</v>
      </c>
      <c r="L13" s="46">
        <v>49</v>
      </c>
      <c r="M13" s="46">
        <v>54</v>
      </c>
      <c r="N13" s="46">
        <v>54</v>
      </c>
      <c r="O13" s="46">
        <v>54</v>
      </c>
      <c r="P13" s="46">
        <v>54</v>
      </c>
      <c r="Q13" s="46">
        <v>59.6</v>
      </c>
      <c r="R13" s="46">
        <v>59.6</v>
      </c>
      <c r="S13" s="46">
        <v>59.6</v>
      </c>
      <c r="T13" s="46">
        <v>59.6</v>
      </c>
      <c r="U13" s="46">
        <v>38</v>
      </c>
      <c r="V13" s="46">
        <v>38</v>
      </c>
      <c r="W13" s="46">
        <v>58.1</v>
      </c>
      <c r="X13" s="46">
        <v>58.1</v>
      </c>
      <c r="Y13" s="46">
        <v>58.1</v>
      </c>
      <c r="Z13" s="46">
        <v>58.1</v>
      </c>
      <c r="AA13" s="46">
        <v>58.1</v>
      </c>
      <c r="AB13" s="46">
        <v>56.6</v>
      </c>
      <c r="AC13" s="46">
        <v>58</v>
      </c>
      <c r="AD13" s="46">
        <v>58</v>
      </c>
      <c r="AE13" s="46">
        <v>36.200000000000003</v>
      </c>
      <c r="AF13" s="46">
        <v>37</v>
      </c>
      <c r="AG13" s="50">
        <v>73</v>
      </c>
      <c r="AH13" s="48">
        <f t="shared" si="2"/>
        <v>59.6</v>
      </c>
      <c r="AI13" s="49">
        <f t="shared" si="3"/>
        <v>22</v>
      </c>
      <c r="AK13" s="51"/>
      <c r="AL13" s="52" t="str">
        <f ca="1">"Daily Load Curve(Excluding of Export) of Nepal ("&amp;A4&amp;" "&amp;B4&amp;")"</f>
        <v>Daily Load Curve(Excluding of Export) of Nepal (Nepali Date: 2080/10/19)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0</v>
      </c>
      <c r="C14" s="46">
        <v>0</v>
      </c>
      <c r="D14" s="46">
        <v>0</v>
      </c>
      <c r="E14" s="46">
        <v>40</v>
      </c>
      <c r="F14" s="46">
        <v>40</v>
      </c>
      <c r="G14" s="46">
        <v>40</v>
      </c>
      <c r="H14" s="46">
        <v>40</v>
      </c>
      <c r="I14" s="46">
        <v>40</v>
      </c>
      <c r="J14" s="46">
        <v>40</v>
      </c>
      <c r="K14" s="46">
        <v>40</v>
      </c>
      <c r="L14" s="46">
        <v>40</v>
      </c>
      <c r="M14" s="46">
        <v>40</v>
      </c>
      <c r="N14" s="46">
        <v>40</v>
      </c>
      <c r="O14" s="46">
        <v>40</v>
      </c>
      <c r="P14" s="46">
        <v>40</v>
      </c>
      <c r="Q14" s="46">
        <v>40.4</v>
      </c>
      <c r="R14" s="46">
        <v>40.4</v>
      </c>
      <c r="S14" s="46">
        <v>40.4</v>
      </c>
      <c r="T14" s="46">
        <v>40.4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50">
        <v>71</v>
      </c>
      <c r="AH14" s="48">
        <f t="shared" si="2"/>
        <v>40.4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46</v>
      </c>
      <c r="C15" s="46">
        <v>46</v>
      </c>
      <c r="D15" s="46">
        <v>46</v>
      </c>
      <c r="E15" s="46">
        <v>46</v>
      </c>
      <c r="F15" s="46">
        <v>29</v>
      </c>
      <c r="G15" s="46">
        <v>29</v>
      </c>
      <c r="H15" s="46">
        <v>29</v>
      </c>
      <c r="I15" s="46">
        <v>29</v>
      </c>
      <c r="J15" s="46">
        <v>29</v>
      </c>
      <c r="K15" s="46">
        <v>29</v>
      </c>
      <c r="L15" s="46">
        <v>45</v>
      </c>
      <c r="M15" s="46">
        <v>45</v>
      </c>
      <c r="N15" s="46">
        <v>45</v>
      </c>
      <c r="O15" s="46">
        <v>45</v>
      </c>
      <c r="P15" s="46">
        <v>45</v>
      </c>
      <c r="Q15" s="46">
        <v>45</v>
      </c>
      <c r="R15" s="46">
        <v>45</v>
      </c>
      <c r="S15" s="46">
        <v>45</v>
      </c>
      <c r="T15" s="46">
        <v>48</v>
      </c>
      <c r="U15" s="46">
        <v>33</v>
      </c>
      <c r="V15" s="46">
        <v>33</v>
      </c>
      <c r="W15" s="46">
        <v>44</v>
      </c>
      <c r="X15" s="46">
        <v>44</v>
      </c>
      <c r="Y15" s="46">
        <v>44</v>
      </c>
      <c r="Z15" s="46">
        <v>44</v>
      </c>
      <c r="AA15" s="46">
        <v>44</v>
      </c>
      <c r="AB15" s="46">
        <v>42</v>
      </c>
      <c r="AC15" s="46">
        <v>42</v>
      </c>
      <c r="AD15" s="46">
        <v>36.700000000000003</v>
      </c>
      <c r="AE15" s="46">
        <v>36</v>
      </c>
      <c r="AF15" s="46">
        <v>36</v>
      </c>
      <c r="AG15" s="50">
        <v>54</v>
      </c>
      <c r="AH15" s="48">
        <f t="shared" si="2"/>
        <v>48</v>
      </c>
      <c r="AI15" s="49">
        <f t="shared" si="3"/>
        <v>29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23</v>
      </c>
      <c r="C16" s="46">
        <v>23</v>
      </c>
      <c r="D16" s="46">
        <v>23</v>
      </c>
      <c r="E16" s="46">
        <v>23</v>
      </c>
      <c r="F16" s="46">
        <v>9.6</v>
      </c>
      <c r="G16" s="46">
        <v>9.6</v>
      </c>
      <c r="H16" s="46">
        <v>16.399999999999999</v>
      </c>
      <c r="I16" s="46">
        <v>16.399999999999999</v>
      </c>
      <c r="J16" s="46">
        <v>16.399999999999999</v>
      </c>
      <c r="K16" s="46">
        <v>16.399999999999999</v>
      </c>
      <c r="L16" s="46">
        <v>13</v>
      </c>
      <c r="M16" s="46">
        <v>0</v>
      </c>
      <c r="N16" s="46">
        <v>0</v>
      </c>
      <c r="O16" s="46">
        <v>0</v>
      </c>
      <c r="P16" s="46">
        <v>0</v>
      </c>
      <c r="Q16" s="46">
        <v>27</v>
      </c>
      <c r="R16" s="46">
        <v>27</v>
      </c>
      <c r="S16" s="46">
        <v>27</v>
      </c>
      <c r="T16" s="46">
        <v>27</v>
      </c>
      <c r="U16" s="46">
        <v>27</v>
      </c>
      <c r="V16" s="46">
        <v>27</v>
      </c>
      <c r="W16" s="46">
        <v>12.9</v>
      </c>
      <c r="X16" s="46">
        <v>12.9</v>
      </c>
      <c r="Y16" s="46">
        <v>12.9</v>
      </c>
      <c r="Z16" s="46">
        <v>12.9</v>
      </c>
      <c r="AA16" s="46">
        <v>12.9</v>
      </c>
      <c r="AB16" s="46">
        <v>12.9</v>
      </c>
      <c r="AC16" s="46">
        <v>16</v>
      </c>
      <c r="AD16" s="46">
        <v>16</v>
      </c>
      <c r="AE16" s="46">
        <v>16</v>
      </c>
      <c r="AF16" s="46">
        <v>16</v>
      </c>
      <c r="AG16" s="50">
        <v>54</v>
      </c>
      <c r="AH16" s="48">
        <f t="shared" si="2"/>
        <v>27</v>
      </c>
      <c r="AI16" s="49">
        <f t="shared" si="3"/>
        <v>0</v>
      </c>
      <c r="AK16" s="51"/>
      <c r="AL16" s="54" t="s">
        <v>7</v>
      </c>
      <c r="AM16" s="59">
        <f t="shared" ref="AM16:AR16" si="4">B61</f>
        <v>1264.6000000000001</v>
      </c>
      <c r="AN16" s="59">
        <f t="shared" si="4"/>
        <v>1264.6000000000001</v>
      </c>
      <c r="AO16" s="59">
        <f t="shared" si="4"/>
        <v>1264.6000000000001</v>
      </c>
      <c r="AP16" s="59">
        <f t="shared" si="4"/>
        <v>1298.1000000000001</v>
      </c>
      <c r="AQ16" s="59">
        <f t="shared" si="4"/>
        <v>1239.3000000000002</v>
      </c>
      <c r="AR16" s="59">
        <f t="shared" si="4"/>
        <v>1218.8000000000002</v>
      </c>
      <c r="AS16" s="59">
        <f>I61</f>
        <v>1251.6000000000001</v>
      </c>
      <c r="AT16" s="59">
        <f>K61</f>
        <v>1184.5</v>
      </c>
      <c r="AU16" s="59">
        <f t="shared" ref="AU16:BD16" si="5">M61</f>
        <v>1330</v>
      </c>
      <c r="AV16" s="59">
        <f t="shared" si="5"/>
        <v>1294</v>
      </c>
      <c r="AW16" s="59">
        <f t="shared" si="5"/>
        <v>1276.8</v>
      </c>
      <c r="AX16" s="59">
        <f t="shared" si="5"/>
        <v>1312.8</v>
      </c>
      <c r="AY16" s="59">
        <f t="shared" si="5"/>
        <v>1420.6000000000001</v>
      </c>
      <c r="AZ16" s="59">
        <f t="shared" si="5"/>
        <v>1420.6000000000001</v>
      </c>
      <c r="BA16" s="59">
        <f t="shared" si="5"/>
        <v>1394.5</v>
      </c>
      <c r="BB16" s="59">
        <f t="shared" si="5"/>
        <v>1400.6000000000001</v>
      </c>
      <c r="BC16" s="59">
        <f t="shared" si="5"/>
        <v>1314.6000000000001</v>
      </c>
      <c r="BD16" s="59">
        <f t="shared" si="5"/>
        <v>1314.6000000000001</v>
      </c>
      <c r="BE16" s="60">
        <f>X61</f>
        <v>1303.5999999999999</v>
      </c>
      <c r="BF16" s="60">
        <f>Z61</f>
        <v>1303.5999999999999</v>
      </c>
      <c r="BG16" s="60">
        <f>AB61</f>
        <v>1304.3</v>
      </c>
      <c r="BH16" s="60">
        <f>AD61</f>
        <v>1284.8000000000002</v>
      </c>
      <c r="BI16" s="60">
        <f>AE61</f>
        <v>1286.7999999999997</v>
      </c>
      <c r="BJ16" s="60">
        <f>AF61</f>
        <v>1284.5999999999999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55.8</v>
      </c>
      <c r="C17" s="46">
        <v>55.8</v>
      </c>
      <c r="D17" s="46">
        <v>55.8</v>
      </c>
      <c r="E17" s="46">
        <v>55.8</v>
      </c>
      <c r="F17" s="46">
        <v>55.5</v>
      </c>
      <c r="G17" s="46">
        <v>55.5</v>
      </c>
      <c r="H17" s="46">
        <v>55.5</v>
      </c>
      <c r="I17" s="46">
        <v>55.5</v>
      </c>
      <c r="J17" s="46">
        <v>55.5</v>
      </c>
      <c r="K17" s="46">
        <v>55.5</v>
      </c>
      <c r="L17" s="46">
        <v>55.5</v>
      </c>
      <c r="M17" s="46">
        <v>55.5</v>
      </c>
      <c r="N17" s="46">
        <v>55.5</v>
      </c>
      <c r="O17" s="46">
        <v>55.5</v>
      </c>
      <c r="P17" s="46">
        <v>55.5</v>
      </c>
      <c r="Q17" s="46">
        <v>55.5</v>
      </c>
      <c r="R17" s="46">
        <v>55.5</v>
      </c>
      <c r="S17" s="46">
        <v>55.5</v>
      </c>
      <c r="T17" s="46">
        <v>54</v>
      </c>
      <c r="U17" s="46">
        <v>54</v>
      </c>
      <c r="V17" s="46">
        <v>54</v>
      </c>
      <c r="W17" s="46">
        <v>54</v>
      </c>
      <c r="X17" s="46">
        <v>54</v>
      </c>
      <c r="Y17" s="46">
        <v>54</v>
      </c>
      <c r="Z17" s="46">
        <v>54</v>
      </c>
      <c r="AA17" s="46">
        <v>54</v>
      </c>
      <c r="AB17" s="46">
        <v>54</v>
      </c>
      <c r="AC17" s="46">
        <v>54</v>
      </c>
      <c r="AD17" s="46">
        <v>54</v>
      </c>
      <c r="AE17" s="46">
        <v>54</v>
      </c>
      <c r="AF17" s="46">
        <v>54</v>
      </c>
      <c r="AG17" s="47">
        <v>52.4</v>
      </c>
      <c r="AH17" s="48">
        <f t="shared" si="2"/>
        <v>55.8</v>
      </c>
      <c r="AI17" s="49">
        <f t="shared" si="3"/>
        <v>54</v>
      </c>
      <c r="AK17" s="51"/>
      <c r="AL17" s="54" t="s">
        <v>27</v>
      </c>
      <c r="AM17" s="59">
        <f t="shared" ref="AM17:AR17" si="6">B65</f>
        <v>538</v>
      </c>
      <c r="AN17" s="59">
        <f t="shared" si="6"/>
        <v>538</v>
      </c>
      <c r="AO17" s="59">
        <f t="shared" si="6"/>
        <v>538</v>
      </c>
      <c r="AP17" s="59">
        <f t="shared" si="6"/>
        <v>538.6</v>
      </c>
      <c r="AQ17" s="59">
        <f t="shared" si="6"/>
        <v>538.6</v>
      </c>
      <c r="AR17" s="59">
        <f t="shared" si="6"/>
        <v>538.6</v>
      </c>
      <c r="AS17" s="59">
        <f>I65</f>
        <v>538.6</v>
      </c>
      <c r="AT17" s="59">
        <f>K65</f>
        <v>538.6</v>
      </c>
      <c r="AU17" s="59">
        <f t="shared" ref="AU17:BD17" si="7">M65</f>
        <v>538.6</v>
      </c>
      <c r="AV17" s="59">
        <f t="shared" si="7"/>
        <v>538.6</v>
      </c>
      <c r="AW17" s="59">
        <f t="shared" si="7"/>
        <v>538.6</v>
      </c>
      <c r="AX17" s="59">
        <f t="shared" si="7"/>
        <v>538.6</v>
      </c>
      <c r="AY17" s="59">
        <f t="shared" si="7"/>
        <v>538.6</v>
      </c>
      <c r="AZ17" s="59">
        <f t="shared" si="7"/>
        <v>538.6</v>
      </c>
      <c r="BA17" s="59">
        <f t="shared" si="7"/>
        <v>538.6</v>
      </c>
      <c r="BB17" s="59">
        <f t="shared" si="7"/>
        <v>538.6</v>
      </c>
      <c r="BC17" s="59">
        <f t="shared" si="7"/>
        <v>538.6</v>
      </c>
      <c r="BD17" s="59">
        <f t="shared" si="7"/>
        <v>538.6</v>
      </c>
      <c r="BE17" s="60">
        <f>X65</f>
        <v>538.6</v>
      </c>
      <c r="BF17" s="60">
        <f>Z65</f>
        <v>538.6</v>
      </c>
      <c r="BG17" s="60">
        <f>AB65</f>
        <v>538.6</v>
      </c>
      <c r="BH17" s="60">
        <f>AD65</f>
        <v>538.6</v>
      </c>
      <c r="BI17" s="60">
        <f>AE65</f>
        <v>538.6</v>
      </c>
      <c r="BJ17" s="60">
        <f>AF65</f>
        <v>538.6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23</v>
      </c>
      <c r="C18" s="46">
        <v>23</v>
      </c>
      <c r="D18" s="46">
        <v>23</v>
      </c>
      <c r="E18" s="46">
        <v>23</v>
      </c>
      <c r="F18" s="46">
        <v>25</v>
      </c>
      <c r="G18" s="46">
        <v>25</v>
      </c>
      <c r="H18" s="46">
        <v>25</v>
      </c>
      <c r="I18" s="46">
        <v>25</v>
      </c>
      <c r="J18" s="46">
        <v>25</v>
      </c>
      <c r="K18" s="46">
        <v>25</v>
      </c>
      <c r="L18" s="46">
        <v>25</v>
      </c>
      <c r="M18" s="46">
        <v>25</v>
      </c>
      <c r="N18" s="46">
        <v>25</v>
      </c>
      <c r="O18" s="46">
        <v>25</v>
      </c>
      <c r="P18" s="46">
        <v>25</v>
      </c>
      <c r="Q18" s="46">
        <v>25.7</v>
      </c>
      <c r="R18" s="46">
        <v>25.7</v>
      </c>
      <c r="S18" s="46">
        <v>25.7</v>
      </c>
      <c r="T18" s="46">
        <v>25.7</v>
      </c>
      <c r="U18" s="46">
        <v>25.7</v>
      </c>
      <c r="V18" s="46">
        <v>25.7</v>
      </c>
      <c r="W18" s="46">
        <v>25.7</v>
      </c>
      <c r="X18" s="46">
        <v>25.7</v>
      </c>
      <c r="Y18" s="46">
        <v>25.7</v>
      </c>
      <c r="Z18" s="46">
        <v>25.7</v>
      </c>
      <c r="AA18" s="46">
        <v>25.7</v>
      </c>
      <c r="AB18" s="46">
        <v>25.7</v>
      </c>
      <c r="AC18" s="46">
        <v>25.7</v>
      </c>
      <c r="AD18" s="46">
        <v>25.7</v>
      </c>
      <c r="AE18" s="46">
        <v>25.7</v>
      </c>
      <c r="AF18" s="46">
        <v>25.7</v>
      </c>
      <c r="AG18" s="50">
        <v>50</v>
      </c>
      <c r="AH18" s="48">
        <f t="shared" si="2"/>
        <v>25.7</v>
      </c>
      <c r="AI18" s="49">
        <f t="shared" si="3"/>
        <v>23</v>
      </c>
      <c r="AK18" s="51"/>
      <c r="AL18" s="54" t="s">
        <v>29</v>
      </c>
      <c r="AM18" s="59">
        <f t="shared" ref="AM18:AR18" si="8">B79</f>
        <v>349.04000000000008</v>
      </c>
      <c r="AN18" s="59">
        <f t="shared" si="8"/>
        <v>349.04000000000008</v>
      </c>
      <c r="AO18" s="59">
        <f t="shared" si="8"/>
        <v>349.04000000000008</v>
      </c>
      <c r="AP18" s="59">
        <f t="shared" si="8"/>
        <v>312.24</v>
      </c>
      <c r="AQ18" s="59">
        <f t="shared" si="8"/>
        <v>381.74000000000007</v>
      </c>
      <c r="AR18" s="59">
        <f t="shared" si="8"/>
        <v>379.84000000000009</v>
      </c>
      <c r="AS18" s="59">
        <f>I79</f>
        <v>299.6400000000001</v>
      </c>
      <c r="AT18" s="59">
        <f>K79</f>
        <v>249.83999999999997</v>
      </c>
      <c r="AU18" s="59">
        <f t="shared" ref="AU18:BD18" si="9">M79</f>
        <v>399.34000000000003</v>
      </c>
      <c r="AV18" s="59">
        <f t="shared" si="9"/>
        <v>399.84000000000003</v>
      </c>
      <c r="AW18" s="59">
        <f t="shared" si="9"/>
        <v>403.64000000000004</v>
      </c>
      <c r="AX18" s="59">
        <f t="shared" si="9"/>
        <v>383.73999999999995</v>
      </c>
      <c r="AY18" s="59">
        <f t="shared" si="9"/>
        <v>256.94</v>
      </c>
      <c r="AZ18" s="59">
        <f t="shared" si="9"/>
        <v>331.44000000000005</v>
      </c>
      <c r="BA18" s="59">
        <f t="shared" si="9"/>
        <v>335.64000000000004</v>
      </c>
      <c r="BB18" s="59">
        <f t="shared" si="9"/>
        <v>336.34000000000003</v>
      </c>
      <c r="BC18" s="59">
        <f t="shared" si="9"/>
        <v>370.34000000000003</v>
      </c>
      <c r="BD18" s="59">
        <f t="shared" si="9"/>
        <v>381.04</v>
      </c>
      <c r="BE18" s="60">
        <f>X79</f>
        <v>410.94</v>
      </c>
      <c r="BF18" s="60">
        <f>Z79</f>
        <v>408.44000000000005</v>
      </c>
      <c r="BG18" s="60">
        <f>AB79</f>
        <v>401.04</v>
      </c>
      <c r="BH18" s="60">
        <f>AD79</f>
        <v>401.04</v>
      </c>
      <c r="BI18" s="60">
        <f>AE79</f>
        <v>365.74</v>
      </c>
      <c r="BJ18" s="60">
        <f>AF79</f>
        <v>365.74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0</v>
      </c>
      <c r="C19" s="46">
        <v>0</v>
      </c>
      <c r="D19" s="46">
        <v>0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56.7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2.2999999999999998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0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0</v>
      </c>
      <c r="X20" s="46">
        <v>0</v>
      </c>
      <c r="Y20" s="46">
        <v>0</v>
      </c>
      <c r="Z20" s="46">
        <v>0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14.5</v>
      </c>
      <c r="AN20" s="59">
        <f t="shared" si="12"/>
        <v>14.5</v>
      </c>
      <c r="AO20" s="59">
        <f t="shared" si="12"/>
        <v>14.5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16</v>
      </c>
      <c r="AY20" s="59">
        <f t="shared" si="13"/>
        <v>22.200000000000003</v>
      </c>
      <c r="AZ20" s="59">
        <f t="shared" si="13"/>
        <v>19.2</v>
      </c>
      <c r="BA20" s="59">
        <f t="shared" si="13"/>
        <v>19.2</v>
      </c>
      <c r="BB20" s="59">
        <f t="shared" si="13"/>
        <v>19.600000000000001</v>
      </c>
      <c r="BC20" s="59">
        <f t="shared" si="13"/>
        <v>15.6</v>
      </c>
      <c r="BD20" s="59">
        <f t="shared" si="13"/>
        <v>15.6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15.5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27</v>
      </c>
      <c r="F22" s="46">
        <v>33.1</v>
      </c>
      <c r="G22" s="46">
        <v>33.1</v>
      </c>
      <c r="H22" s="46">
        <v>33.1</v>
      </c>
      <c r="I22" s="46">
        <v>33.1</v>
      </c>
      <c r="J22" s="46">
        <v>33.1</v>
      </c>
      <c r="K22" s="46">
        <v>13</v>
      </c>
      <c r="L22" s="46">
        <v>26</v>
      </c>
      <c r="M22" s="46">
        <v>26</v>
      </c>
      <c r="N22" s="46">
        <v>26</v>
      </c>
      <c r="O22" s="46">
        <v>26</v>
      </c>
      <c r="P22" s="46">
        <v>26</v>
      </c>
      <c r="Q22" s="46">
        <v>39.4</v>
      </c>
      <c r="R22" s="46">
        <v>39.4</v>
      </c>
      <c r="S22" s="46">
        <v>39.4</v>
      </c>
      <c r="T22" s="46">
        <v>39.4</v>
      </c>
      <c r="U22" s="46">
        <v>39.4</v>
      </c>
      <c r="V22" s="46">
        <v>39.4</v>
      </c>
      <c r="W22" s="46">
        <v>39.4</v>
      </c>
      <c r="X22" s="46">
        <v>39.4</v>
      </c>
      <c r="Y22" s="46">
        <v>39.4</v>
      </c>
      <c r="Z22" s="46">
        <v>39.4</v>
      </c>
      <c r="AA22" s="46">
        <v>39.4</v>
      </c>
      <c r="AB22" s="46">
        <v>39.4</v>
      </c>
      <c r="AC22" s="46">
        <v>39.4</v>
      </c>
      <c r="AD22" s="46">
        <v>39.4</v>
      </c>
      <c r="AE22" s="46">
        <v>39.700000000000003</v>
      </c>
      <c r="AF22" s="46">
        <v>39.700000000000003</v>
      </c>
      <c r="AG22" s="50">
        <v>38.46</v>
      </c>
      <c r="AH22" s="48">
        <f t="shared" si="2"/>
        <v>39.700000000000003</v>
      </c>
      <c r="AI22" s="49">
        <f t="shared" si="3"/>
        <v>13</v>
      </c>
      <c r="AK22" s="51"/>
      <c r="AL22" s="62" t="s">
        <v>37</v>
      </c>
      <c r="AM22" s="63">
        <f t="shared" ref="AM22:BJ22" si="16">SUM(AM16:AM21)</f>
        <v>2166.1400000000003</v>
      </c>
      <c r="AN22" s="63">
        <f t="shared" si="16"/>
        <v>2166.1400000000003</v>
      </c>
      <c r="AO22" s="63">
        <f t="shared" si="16"/>
        <v>2166.1400000000003</v>
      </c>
      <c r="AP22" s="63">
        <f t="shared" si="16"/>
        <v>2148.9400000000005</v>
      </c>
      <c r="AQ22" s="63">
        <f t="shared" si="16"/>
        <v>2159.6400000000003</v>
      </c>
      <c r="AR22" s="63">
        <f t="shared" si="16"/>
        <v>2137.2400000000002</v>
      </c>
      <c r="AS22" s="63">
        <f t="shared" si="16"/>
        <v>2089.84</v>
      </c>
      <c r="AT22" s="63">
        <f t="shared" si="16"/>
        <v>2029.6399999999999</v>
      </c>
      <c r="AU22" s="63">
        <f t="shared" si="16"/>
        <v>2267.94</v>
      </c>
      <c r="AV22" s="63">
        <f t="shared" si="16"/>
        <v>2232.44</v>
      </c>
      <c r="AW22" s="63">
        <f t="shared" si="16"/>
        <v>2219.04</v>
      </c>
      <c r="AX22" s="63">
        <f t="shared" si="16"/>
        <v>2251.14</v>
      </c>
      <c r="AY22" s="63">
        <f t="shared" si="16"/>
        <v>2238.34</v>
      </c>
      <c r="AZ22" s="63">
        <f t="shared" si="16"/>
        <v>2309.84</v>
      </c>
      <c r="BA22" s="63">
        <f t="shared" si="16"/>
        <v>2290.2399999999998</v>
      </c>
      <c r="BB22" s="63">
        <f t="shared" si="16"/>
        <v>2295.1400000000003</v>
      </c>
      <c r="BC22" s="63">
        <f t="shared" si="16"/>
        <v>2239.1400000000003</v>
      </c>
      <c r="BD22" s="63">
        <f t="shared" si="16"/>
        <v>2249.84</v>
      </c>
      <c r="BE22" s="63">
        <f t="shared" si="16"/>
        <v>2253.14</v>
      </c>
      <c r="BF22" s="63">
        <f t="shared" si="16"/>
        <v>2250.64</v>
      </c>
      <c r="BG22" s="63">
        <f t="shared" si="16"/>
        <v>2243.94</v>
      </c>
      <c r="BH22" s="63">
        <f t="shared" si="16"/>
        <v>2239.94</v>
      </c>
      <c r="BI22" s="63">
        <f t="shared" si="16"/>
        <v>2191.1399999999994</v>
      </c>
      <c r="BJ22" s="63">
        <f t="shared" si="16"/>
        <v>2188.9399999999996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>
        <v>38</v>
      </c>
      <c r="D23" s="46">
        <v>38</v>
      </c>
      <c r="E23" s="46">
        <v>38</v>
      </c>
      <c r="F23" s="46">
        <v>34</v>
      </c>
      <c r="G23" s="46">
        <v>34</v>
      </c>
      <c r="H23" s="46">
        <v>34</v>
      </c>
      <c r="I23" s="46">
        <v>34</v>
      </c>
      <c r="J23" s="46">
        <v>34</v>
      </c>
      <c r="K23" s="46">
        <v>0</v>
      </c>
      <c r="L23" s="46">
        <v>38</v>
      </c>
      <c r="M23" s="46">
        <v>38</v>
      </c>
      <c r="N23" s="46">
        <v>38</v>
      </c>
      <c r="O23" s="46">
        <v>38</v>
      </c>
      <c r="P23" s="46">
        <v>38</v>
      </c>
      <c r="Q23" s="46">
        <v>38</v>
      </c>
      <c r="R23" s="46">
        <v>38</v>
      </c>
      <c r="S23" s="46">
        <v>38</v>
      </c>
      <c r="T23" s="46">
        <v>38</v>
      </c>
      <c r="U23" s="46">
        <v>38</v>
      </c>
      <c r="V23" s="46">
        <v>38</v>
      </c>
      <c r="W23" s="46">
        <v>38</v>
      </c>
      <c r="X23" s="46">
        <v>38</v>
      </c>
      <c r="Y23" s="46">
        <v>38</v>
      </c>
      <c r="Z23" s="46">
        <v>38</v>
      </c>
      <c r="AA23" s="46">
        <v>38</v>
      </c>
      <c r="AB23" s="46">
        <v>38</v>
      </c>
      <c r="AC23" s="46">
        <v>38</v>
      </c>
      <c r="AD23" s="46">
        <v>38</v>
      </c>
      <c r="AE23" s="46">
        <v>38</v>
      </c>
      <c r="AF23" s="46">
        <v>38</v>
      </c>
      <c r="AG23" s="50">
        <v>38.46</v>
      </c>
      <c r="AH23" s="48">
        <f t="shared" si="2"/>
        <v>38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-628.4</v>
      </c>
      <c r="AN23" s="63">
        <f t="shared" si="17"/>
        <v>-645</v>
      </c>
      <c r="AO23" s="63">
        <f t="shared" si="17"/>
        <v>-655</v>
      </c>
      <c r="AP23" s="63">
        <f t="shared" si="17"/>
        <v>-695.4</v>
      </c>
      <c r="AQ23" s="63">
        <f t="shared" si="17"/>
        <v>-733.2</v>
      </c>
      <c r="AR23" s="63">
        <f t="shared" si="17"/>
        <v>-733.3</v>
      </c>
      <c r="AS23" s="63">
        <f>I110*-1</f>
        <v>-630.1</v>
      </c>
      <c r="AT23" s="63">
        <f>K110*-1</f>
        <v>-612.5</v>
      </c>
      <c r="AU23" s="63">
        <f t="shared" ref="AU23:BD23" si="18">M110*-1</f>
        <v>-658.9</v>
      </c>
      <c r="AV23" s="63">
        <f t="shared" si="18"/>
        <v>-601.70000000000005</v>
      </c>
      <c r="AW23" s="63">
        <f t="shared" si="18"/>
        <v>-594.9</v>
      </c>
      <c r="AX23" s="63">
        <f t="shared" si="18"/>
        <v>-638</v>
      </c>
      <c r="AY23" s="63">
        <f t="shared" si="18"/>
        <v>-603</v>
      </c>
      <c r="AZ23" s="63">
        <f t="shared" si="18"/>
        <v>-645</v>
      </c>
      <c r="BA23" s="63">
        <f t="shared" si="18"/>
        <v>-506</v>
      </c>
      <c r="BB23" s="63">
        <f t="shared" si="18"/>
        <v>-561</v>
      </c>
      <c r="BC23" s="63">
        <f t="shared" si="18"/>
        <v>-573</v>
      </c>
      <c r="BD23" s="63">
        <f t="shared" si="18"/>
        <v>-610</v>
      </c>
      <c r="BE23" s="63">
        <f>X110*-1</f>
        <v>-686</v>
      </c>
      <c r="BF23" s="63">
        <f>Z110*-1</f>
        <v>-676</v>
      </c>
      <c r="BG23" s="63">
        <f>AB110*-1</f>
        <v>-577.9</v>
      </c>
      <c r="BH23" s="63">
        <f>AD110*-1</f>
        <v>-563</v>
      </c>
      <c r="BI23" s="63">
        <f>AE110*-1</f>
        <v>-615.1</v>
      </c>
      <c r="BJ23" s="63">
        <f>AF110*-1</f>
        <v>-655.4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0</v>
      </c>
      <c r="O24" s="46">
        <v>0</v>
      </c>
      <c r="P24" s="46">
        <v>36</v>
      </c>
      <c r="Q24" s="46">
        <v>36</v>
      </c>
      <c r="R24" s="46">
        <v>36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1537.7400000000002</v>
      </c>
      <c r="AN24" s="63">
        <f t="shared" si="19"/>
        <v>1521.1400000000003</v>
      </c>
      <c r="AO24" s="63">
        <f t="shared" si="19"/>
        <v>1511.1400000000003</v>
      </c>
      <c r="AP24" s="63">
        <f t="shared" si="19"/>
        <v>1453.5400000000004</v>
      </c>
      <c r="AQ24" s="63">
        <f t="shared" si="19"/>
        <v>1426.4400000000003</v>
      </c>
      <c r="AR24" s="63">
        <f t="shared" si="19"/>
        <v>1403.9400000000003</v>
      </c>
      <c r="AS24" s="63">
        <f t="shared" si="19"/>
        <v>1459.7400000000002</v>
      </c>
      <c r="AT24" s="63">
        <f t="shared" si="19"/>
        <v>1417.1399999999999</v>
      </c>
      <c r="AU24" s="63">
        <f t="shared" si="19"/>
        <v>1609.04</v>
      </c>
      <c r="AV24" s="63">
        <f t="shared" si="19"/>
        <v>1630.74</v>
      </c>
      <c r="AW24" s="63">
        <f t="shared" si="19"/>
        <v>1624.1399999999999</v>
      </c>
      <c r="AX24" s="63">
        <f t="shared" si="19"/>
        <v>1613.1399999999999</v>
      </c>
      <c r="AY24" s="63">
        <f t="shared" si="19"/>
        <v>1635.3400000000001</v>
      </c>
      <c r="AZ24" s="63">
        <f t="shared" si="19"/>
        <v>1664.8400000000001</v>
      </c>
      <c r="BA24" s="63">
        <f t="shared" si="19"/>
        <v>1784.2399999999998</v>
      </c>
      <c r="BB24" s="63">
        <f t="shared" si="19"/>
        <v>1734.1400000000003</v>
      </c>
      <c r="BC24" s="63">
        <f t="shared" si="19"/>
        <v>1666.1400000000003</v>
      </c>
      <c r="BD24" s="63">
        <f t="shared" si="19"/>
        <v>1639.8400000000001</v>
      </c>
      <c r="BE24" s="63">
        <f t="shared" si="19"/>
        <v>1567.1399999999999</v>
      </c>
      <c r="BF24" s="63">
        <f t="shared" si="19"/>
        <v>1574.6399999999999</v>
      </c>
      <c r="BG24" s="63">
        <f t="shared" si="19"/>
        <v>1666.04</v>
      </c>
      <c r="BH24" s="63">
        <f t="shared" si="19"/>
        <v>1676.94</v>
      </c>
      <c r="BI24" s="63">
        <f t="shared" si="19"/>
        <v>1576.0399999999995</v>
      </c>
      <c r="BJ24" s="63">
        <f t="shared" si="19"/>
        <v>1533.5399999999995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</v>
      </c>
      <c r="C25" s="46">
        <v>30</v>
      </c>
      <c r="D25" s="46">
        <v>30</v>
      </c>
      <c r="E25" s="46">
        <v>30</v>
      </c>
      <c r="F25" s="46">
        <v>10.6</v>
      </c>
      <c r="G25" s="46">
        <v>10.6</v>
      </c>
      <c r="H25" s="46">
        <v>20.5</v>
      </c>
      <c r="I25" s="46">
        <v>20.5</v>
      </c>
      <c r="J25" s="46">
        <v>20.5</v>
      </c>
      <c r="K25" s="46">
        <v>20.5</v>
      </c>
      <c r="L25" s="46">
        <v>20.5</v>
      </c>
      <c r="M25" s="46">
        <v>20.5</v>
      </c>
      <c r="N25" s="46">
        <v>20.5</v>
      </c>
      <c r="O25" s="46">
        <v>16.8</v>
      </c>
      <c r="P25" s="46">
        <v>16.8</v>
      </c>
      <c r="Q25" s="46">
        <v>15</v>
      </c>
      <c r="R25" s="46">
        <v>15</v>
      </c>
      <c r="S25" s="46">
        <v>15</v>
      </c>
      <c r="T25" s="46">
        <v>30</v>
      </c>
      <c r="U25" s="46">
        <v>30</v>
      </c>
      <c r="V25" s="46">
        <v>30</v>
      </c>
      <c r="W25" s="46">
        <v>30</v>
      </c>
      <c r="X25" s="46">
        <v>30</v>
      </c>
      <c r="Y25" s="46">
        <v>30</v>
      </c>
      <c r="Z25" s="46">
        <v>30</v>
      </c>
      <c r="AA25" s="46">
        <v>30</v>
      </c>
      <c r="AB25" s="46">
        <v>30</v>
      </c>
      <c r="AC25" s="46">
        <v>30</v>
      </c>
      <c r="AD25" s="46">
        <v>30</v>
      </c>
      <c r="AE25" s="46">
        <v>30</v>
      </c>
      <c r="AF25" s="46">
        <v>30</v>
      </c>
      <c r="AG25" s="61">
        <v>30</v>
      </c>
      <c r="AH25" s="48">
        <f t="shared" si="2"/>
        <v>30</v>
      </c>
      <c r="AI25" s="49">
        <f t="shared" si="3"/>
        <v>10.6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>
        <v>33</v>
      </c>
      <c r="D26" s="46">
        <v>33</v>
      </c>
      <c r="E26" s="46">
        <v>33</v>
      </c>
      <c r="F26" s="46">
        <v>25.6</v>
      </c>
      <c r="G26" s="46">
        <v>25.6</v>
      </c>
      <c r="H26" s="46">
        <v>25.6</v>
      </c>
      <c r="I26" s="46">
        <v>25.6</v>
      </c>
      <c r="J26" s="46">
        <v>25.6</v>
      </c>
      <c r="K26" s="46">
        <v>25.6</v>
      </c>
      <c r="L26" s="46">
        <v>25.6</v>
      </c>
      <c r="M26" s="46">
        <v>25.6</v>
      </c>
      <c r="N26" s="46">
        <v>25.6</v>
      </c>
      <c r="O26" s="46">
        <v>25.6</v>
      </c>
      <c r="P26" s="46">
        <v>25.6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25</v>
      </c>
      <c r="AF26" s="46">
        <v>25</v>
      </c>
      <c r="AG26" s="50">
        <v>24.2</v>
      </c>
      <c r="AH26" s="48">
        <f t="shared" si="2"/>
        <v>33</v>
      </c>
      <c r="AI26" s="49">
        <f t="shared" si="3"/>
        <v>25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28.6</v>
      </c>
      <c r="C27" s="46">
        <v>28.6</v>
      </c>
      <c r="D27" s="46">
        <v>28.6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28.6</v>
      </c>
      <c r="N27" s="46">
        <v>28.6</v>
      </c>
      <c r="O27" s="46">
        <v>15.1</v>
      </c>
      <c r="P27" s="46">
        <v>15.1</v>
      </c>
      <c r="Q27" s="46">
        <v>15.1</v>
      </c>
      <c r="R27" s="46">
        <v>15.1</v>
      </c>
      <c r="S27" s="46">
        <v>15.1</v>
      </c>
      <c r="T27" s="46">
        <v>15.1</v>
      </c>
      <c r="U27" s="46">
        <v>15.1</v>
      </c>
      <c r="V27" s="46">
        <v>15.1</v>
      </c>
      <c r="W27" s="46">
        <v>15.1</v>
      </c>
      <c r="X27" s="46">
        <v>15.1</v>
      </c>
      <c r="Y27" s="46">
        <v>15.1</v>
      </c>
      <c r="Z27" s="46">
        <v>15.1</v>
      </c>
      <c r="AA27" s="46">
        <v>15.1</v>
      </c>
      <c r="AB27" s="46">
        <v>0</v>
      </c>
      <c r="AC27" s="46">
        <v>28.6</v>
      </c>
      <c r="AD27" s="46">
        <v>28.6</v>
      </c>
      <c r="AE27" s="46">
        <v>28.6</v>
      </c>
      <c r="AF27" s="46">
        <v>28.6</v>
      </c>
      <c r="AG27" s="50">
        <v>28</v>
      </c>
      <c r="AH27" s="48">
        <f t="shared" si="2"/>
        <v>28.6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25</v>
      </c>
      <c r="C28" s="46">
        <v>25</v>
      </c>
      <c r="D28" s="46">
        <v>25</v>
      </c>
      <c r="E28" s="46">
        <v>25</v>
      </c>
      <c r="F28" s="46">
        <v>10.6</v>
      </c>
      <c r="G28" s="46">
        <v>10.6</v>
      </c>
      <c r="H28" s="46">
        <v>18.600000000000001</v>
      </c>
      <c r="I28" s="46">
        <v>18.600000000000001</v>
      </c>
      <c r="J28" s="46">
        <v>18.600000000000001</v>
      </c>
      <c r="K28" s="46">
        <v>18.600000000000001</v>
      </c>
      <c r="L28" s="46">
        <v>18.600000000000001</v>
      </c>
      <c r="M28" s="46">
        <v>25.8</v>
      </c>
      <c r="N28" s="46">
        <v>25.8</v>
      </c>
      <c r="O28" s="46">
        <v>25.8</v>
      </c>
      <c r="P28" s="46">
        <v>25.8</v>
      </c>
      <c r="Q28" s="46">
        <v>27.1</v>
      </c>
      <c r="R28" s="46">
        <v>27.1</v>
      </c>
      <c r="S28" s="46">
        <v>27.1</v>
      </c>
      <c r="T28" s="46">
        <v>27.1</v>
      </c>
      <c r="U28" s="46">
        <v>27.1</v>
      </c>
      <c r="V28" s="46">
        <v>27.1</v>
      </c>
      <c r="W28" s="46">
        <v>27.1</v>
      </c>
      <c r="X28" s="46">
        <v>27.1</v>
      </c>
      <c r="Y28" s="46">
        <v>27.1</v>
      </c>
      <c r="Z28" s="46">
        <v>27.1</v>
      </c>
      <c r="AA28" s="46">
        <v>27.1</v>
      </c>
      <c r="AB28" s="46">
        <v>17</v>
      </c>
      <c r="AC28" s="46">
        <v>0</v>
      </c>
      <c r="AD28" s="46">
        <v>0</v>
      </c>
      <c r="AE28" s="46">
        <v>15.8</v>
      </c>
      <c r="AF28" s="46">
        <v>15.8</v>
      </c>
      <c r="AG28" s="61">
        <v>30</v>
      </c>
      <c r="AH28" s="48">
        <f t="shared" si="2"/>
        <v>27.1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25</v>
      </c>
      <c r="F29" s="46">
        <v>25.8</v>
      </c>
      <c r="G29" s="46">
        <v>25.8</v>
      </c>
      <c r="H29" s="46">
        <v>25.8</v>
      </c>
      <c r="I29" s="46">
        <v>25.8</v>
      </c>
      <c r="J29" s="46">
        <v>25.8</v>
      </c>
      <c r="K29" s="46">
        <v>25.8</v>
      </c>
      <c r="L29" s="46">
        <v>25.8</v>
      </c>
      <c r="M29" s="46">
        <v>25.8</v>
      </c>
      <c r="N29" s="46">
        <v>25.8</v>
      </c>
      <c r="O29" s="46">
        <v>25.8</v>
      </c>
      <c r="P29" s="46">
        <v>25.8</v>
      </c>
      <c r="Q29" s="46">
        <v>25.7</v>
      </c>
      <c r="R29" s="46">
        <v>25.7</v>
      </c>
      <c r="S29" s="46">
        <v>25.7</v>
      </c>
      <c r="T29" s="46">
        <v>25.7</v>
      </c>
      <c r="U29" s="46">
        <v>25.7</v>
      </c>
      <c r="V29" s="46">
        <v>25.7</v>
      </c>
      <c r="W29" s="46">
        <v>25.7</v>
      </c>
      <c r="X29" s="46">
        <v>25.7</v>
      </c>
      <c r="Y29" s="46">
        <v>25.7</v>
      </c>
      <c r="Z29" s="46">
        <v>25.7</v>
      </c>
      <c r="AA29" s="46">
        <v>25.7</v>
      </c>
      <c r="AB29" s="46">
        <v>25.7</v>
      </c>
      <c r="AC29" s="46">
        <v>25.7</v>
      </c>
      <c r="AD29" s="46">
        <v>25.7</v>
      </c>
      <c r="AE29" s="46">
        <v>26</v>
      </c>
      <c r="AF29" s="46">
        <v>26</v>
      </c>
      <c r="AG29" s="50">
        <v>25</v>
      </c>
      <c r="AH29" s="48">
        <f t="shared" si="2"/>
        <v>26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4</v>
      </c>
      <c r="C30" s="46">
        <v>4</v>
      </c>
      <c r="D30" s="46">
        <v>4</v>
      </c>
      <c r="E30" s="46">
        <v>4</v>
      </c>
      <c r="F30" s="46">
        <v>4</v>
      </c>
      <c r="G30" s="46">
        <v>4</v>
      </c>
      <c r="H30" s="46">
        <v>4</v>
      </c>
      <c r="I30" s="46">
        <v>4</v>
      </c>
      <c r="J30" s="46">
        <v>4</v>
      </c>
      <c r="K30" s="46">
        <v>4</v>
      </c>
      <c r="L30" s="46">
        <v>4</v>
      </c>
      <c r="M30" s="46">
        <v>4</v>
      </c>
      <c r="N30" s="46">
        <v>4</v>
      </c>
      <c r="O30" s="46">
        <v>4</v>
      </c>
      <c r="P30" s="46">
        <v>4</v>
      </c>
      <c r="Q30" s="46">
        <v>4</v>
      </c>
      <c r="R30" s="46">
        <v>4</v>
      </c>
      <c r="S30" s="46">
        <v>4</v>
      </c>
      <c r="T30" s="46">
        <v>4</v>
      </c>
      <c r="U30" s="46">
        <v>4</v>
      </c>
      <c r="V30" s="46">
        <v>4</v>
      </c>
      <c r="W30" s="46">
        <v>4</v>
      </c>
      <c r="X30" s="46">
        <v>4</v>
      </c>
      <c r="Y30" s="46">
        <v>4</v>
      </c>
      <c r="Z30" s="46">
        <v>4</v>
      </c>
      <c r="AA30" s="46">
        <v>4</v>
      </c>
      <c r="AB30" s="46">
        <v>4</v>
      </c>
      <c r="AC30" s="46">
        <v>4</v>
      </c>
      <c r="AD30" s="46">
        <v>4</v>
      </c>
      <c r="AE30" s="46">
        <v>4</v>
      </c>
      <c r="AF30" s="46">
        <v>4</v>
      </c>
      <c r="AG30" s="50">
        <v>25</v>
      </c>
      <c r="AH30" s="48">
        <f t="shared" si="2"/>
        <v>4</v>
      </c>
      <c r="AI30" s="49">
        <f t="shared" si="3"/>
        <v>4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22</v>
      </c>
      <c r="C31" s="46">
        <v>22</v>
      </c>
      <c r="D31" s="46">
        <v>22</v>
      </c>
      <c r="E31" s="46">
        <v>22</v>
      </c>
      <c r="F31" s="46">
        <v>22</v>
      </c>
      <c r="G31" s="46">
        <v>22</v>
      </c>
      <c r="H31" s="46">
        <v>22</v>
      </c>
      <c r="I31" s="46">
        <v>22</v>
      </c>
      <c r="J31" s="46">
        <v>22</v>
      </c>
      <c r="K31" s="46">
        <v>22</v>
      </c>
      <c r="L31" s="46">
        <v>22</v>
      </c>
      <c r="M31" s="46">
        <v>22</v>
      </c>
      <c r="N31" s="46">
        <v>22</v>
      </c>
      <c r="O31" s="46">
        <v>22</v>
      </c>
      <c r="P31" s="46">
        <v>22</v>
      </c>
      <c r="Q31" s="46">
        <v>22</v>
      </c>
      <c r="R31" s="46">
        <v>22</v>
      </c>
      <c r="S31" s="46">
        <v>22</v>
      </c>
      <c r="T31" s="46">
        <v>22</v>
      </c>
      <c r="U31" s="46">
        <v>22</v>
      </c>
      <c r="V31" s="46">
        <v>22</v>
      </c>
      <c r="W31" s="46">
        <v>22</v>
      </c>
      <c r="X31" s="46">
        <v>22</v>
      </c>
      <c r="Y31" s="46">
        <v>22</v>
      </c>
      <c r="Z31" s="46">
        <v>22</v>
      </c>
      <c r="AA31" s="46">
        <v>22</v>
      </c>
      <c r="AB31" s="46">
        <v>22</v>
      </c>
      <c r="AC31" s="46">
        <v>22</v>
      </c>
      <c r="AD31" s="46">
        <v>22</v>
      </c>
      <c r="AE31" s="46">
        <v>22</v>
      </c>
      <c r="AF31" s="46">
        <v>22</v>
      </c>
      <c r="AG31" s="50">
        <v>25</v>
      </c>
      <c r="AH31" s="48">
        <f t="shared" si="2"/>
        <v>22</v>
      </c>
      <c r="AI31" s="49">
        <f t="shared" si="3"/>
        <v>22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25.5</v>
      </c>
      <c r="C32" s="46">
        <v>25.5</v>
      </c>
      <c r="D32" s="46">
        <v>25.5</v>
      </c>
      <c r="E32" s="46">
        <v>25.5</v>
      </c>
      <c r="F32" s="46">
        <v>9.5</v>
      </c>
      <c r="G32" s="46">
        <v>9.5</v>
      </c>
      <c r="H32" s="46">
        <v>17.600000000000001</v>
      </c>
      <c r="I32" s="46">
        <v>17.600000000000001</v>
      </c>
      <c r="J32" s="46">
        <v>17.600000000000001</v>
      </c>
      <c r="K32" s="46">
        <v>17.600000000000001</v>
      </c>
      <c r="L32" s="46">
        <v>17.600000000000001</v>
      </c>
      <c r="M32" s="46">
        <v>17.600000000000001</v>
      </c>
      <c r="N32" s="46">
        <v>17.600000000000001</v>
      </c>
      <c r="O32" s="46">
        <v>17.600000000000001</v>
      </c>
      <c r="P32" s="46">
        <v>17.600000000000001</v>
      </c>
      <c r="Q32" s="46">
        <v>25.6</v>
      </c>
      <c r="R32" s="46">
        <v>25.6</v>
      </c>
      <c r="S32" s="46">
        <v>25.6</v>
      </c>
      <c r="T32" s="46">
        <v>25.6</v>
      </c>
      <c r="U32" s="46">
        <v>25.6</v>
      </c>
      <c r="V32" s="46">
        <v>25.6</v>
      </c>
      <c r="W32" s="46">
        <v>25.6</v>
      </c>
      <c r="X32" s="46">
        <v>25.6</v>
      </c>
      <c r="Y32" s="46">
        <v>25.6</v>
      </c>
      <c r="Z32" s="46">
        <v>25.6</v>
      </c>
      <c r="AA32" s="46">
        <v>25.6</v>
      </c>
      <c r="AB32" s="46">
        <v>25.6</v>
      </c>
      <c r="AC32" s="46">
        <v>25.6</v>
      </c>
      <c r="AD32" s="46">
        <v>25.6</v>
      </c>
      <c r="AE32" s="46">
        <v>25.5</v>
      </c>
      <c r="AF32" s="46">
        <v>25.5</v>
      </c>
      <c r="AG32" s="50">
        <v>25</v>
      </c>
      <c r="AH32" s="48">
        <f t="shared" si="2"/>
        <v>25.6</v>
      </c>
      <c r="AI32" s="49">
        <f t="shared" si="3"/>
        <v>9.5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23.6</v>
      </c>
      <c r="C33" s="46">
        <v>23.6</v>
      </c>
      <c r="D33" s="46">
        <v>23.6</v>
      </c>
      <c r="E33" s="46">
        <v>23.6</v>
      </c>
      <c r="F33" s="46">
        <v>23.6</v>
      </c>
      <c r="G33" s="46">
        <v>23.6</v>
      </c>
      <c r="H33" s="46">
        <v>23.6</v>
      </c>
      <c r="I33" s="46">
        <v>23.6</v>
      </c>
      <c r="J33" s="46">
        <v>23.6</v>
      </c>
      <c r="K33" s="46">
        <v>23.6</v>
      </c>
      <c r="L33" s="46">
        <v>23.6</v>
      </c>
      <c r="M33" s="46">
        <v>23.6</v>
      </c>
      <c r="N33" s="46">
        <v>23.6</v>
      </c>
      <c r="O33" s="46">
        <v>23.6</v>
      </c>
      <c r="P33" s="46">
        <v>23.6</v>
      </c>
      <c r="Q33" s="46">
        <v>23.7</v>
      </c>
      <c r="R33" s="46">
        <v>23.7</v>
      </c>
      <c r="S33" s="46">
        <v>23.7</v>
      </c>
      <c r="T33" s="46">
        <v>23.7</v>
      </c>
      <c r="U33" s="46">
        <v>23.7</v>
      </c>
      <c r="V33" s="46">
        <v>23.7</v>
      </c>
      <c r="W33" s="46">
        <v>12.5</v>
      </c>
      <c r="X33" s="46">
        <v>12.5</v>
      </c>
      <c r="Y33" s="46">
        <v>12.5</v>
      </c>
      <c r="Z33" s="46">
        <v>12.5</v>
      </c>
      <c r="AA33" s="46">
        <v>12.5</v>
      </c>
      <c r="AB33" s="46">
        <v>12.5</v>
      </c>
      <c r="AC33" s="46">
        <v>12.5</v>
      </c>
      <c r="AD33" s="46">
        <v>12.5</v>
      </c>
      <c r="AE33" s="46">
        <v>24.3</v>
      </c>
      <c r="AF33" s="46">
        <v>24.3</v>
      </c>
      <c r="AG33" s="50">
        <v>23.5</v>
      </c>
      <c r="AH33" s="48">
        <f t="shared" si="2"/>
        <v>24.3</v>
      </c>
      <c r="AI33" s="49">
        <f t="shared" si="3"/>
        <v>12.5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12</v>
      </c>
      <c r="C34" s="46">
        <v>12</v>
      </c>
      <c r="D34" s="46">
        <v>12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12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19.5</v>
      </c>
      <c r="G36" s="46">
        <v>19.5</v>
      </c>
      <c r="H36" s="46">
        <v>19.5</v>
      </c>
      <c r="I36" s="46">
        <v>19.5</v>
      </c>
      <c r="J36" s="46">
        <v>19.5</v>
      </c>
      <c r="K36" s="46">
        <v>19.5</v>
      </c>
      <c r="L36" s="46">
        <v>19.5</v>
      </c>
      <c r="M36" s="46">
        <v>19.5</v>
      </c>
      <c r="N36" s="46">
        <v>19.5</v>
      </c>
      <c r="O36" s="46">
        <v>19.5</v>
      </c>
      <c r="P36" s="46">
        <v>19.5</v>
      </c>
      <c r="Q36" s="46">
        <v>19.5</v>
      </c>
      <c r="R36" s="46">
        <v>19.5</v>
      </c>
      <c r="S36" s="46">
        <v>19.5</v>
      </c>
      <c r="T36" s="46">
        <v>19.5</v>
      </c>
      <c r="U36" s="46">
        <v>19.5</v>
      </c>
      <c r="V36" s="46">
        <v>19.5</v>
      </c>
      <c r="W36" s="46">
        <v>19.5</v>
      </c>
      <c r="X36" s="46">
        <v>19.5</v>
      </c>
      <c r="Y36" s="46">
        <v>19.5</v>
      </c>
      <c r="Z36" s="46">
        <v>19.5</v>
      </c>
      <c r="AA36" s="46">
        <v>19.5</v>
      </c>
      <c r="AB36" s="46">
        <v>19.5</v>
      </c>
      <c r="AC36" s="46">
        <v>19.5</v>
      </c>
      <c r="AD36" s="46">
        <v>19.5</v>
      </c>
      <c r="AE36" s="46">
        <v>19.5</v>
      </c>
      <c r="AF36" s="46">
        <v>19.5</v>
      </c>
      <c r="AG36" s="50">
        <v>22</v>
      </c>
      <c r="AH36" s="48">
        <f t="shared" si="2"/>
        <v>22</v>
      </c>
      <c r="AI36" s="49">
        <f t="shared" si="3"/>
        <v>19.5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25.4</v>
      </c>
      <c r="C37" s="46">
        <v>25.4</v>
      </c>
      <c r="D37" s="46">
        <v>25.4</v>
      </c>
      <c r="E37" s="46">
        <v>25.4</v>
      </c>
      <c r="F37" s="46">
        <v>25.4</v>
      </c>
      <c r="G37" s="46">
        <v>25.4</v>
      </c>
      <c r="H37" s="46">
        <v>25.4</v>
      </c>
      <c r="I37" s="46">
        <v>25.4</v>
      </c>
      <c r="J37" s="46">
        <v>25.4</v>
      </c>
      <c r="K37" s="46">
        <v>25.4</v>
      </c>
      <c r="L37" s="46">
        <v>25.4</v>
      </c>
      <c r="M37" s="46">
        <v>25.4</v>
      </c>
      <c r="N37" s="46">
        <v>25.4</v>
      </c>
      <c r="O37" s="46">
        <v>25.4</v>
      </c>
      <c r="P37" s="46">
        <v>25.4</v>
      </c>
      <c r="Q37" s="46">
        <v>16.100000000000001</v>
      </c>
      <c r="R37" s="46">
        <v>16.100000000000001</v>
      </c>
      <c r="S37" s="46">
        <v>16.100000000000001</v>
      </c>
      <c r="T37" s="46">
        <v>16.100000000000001</v>
      </c>
      <c r="U37" s="46">
        <v>16.100000000000001</v>
      </c>
      <c r="V37" s="46">
        <v>16.100000000000001</v>
      </c>
      <c r="W37" s="46">
        <v>16.100000000000001</v>
      </c>
      <c r="X37" s="46">
        <v>16.100000000000001</v>
      </c>
      <c r="Y37" s="46">
        <v>16.100000000000001</v>
      </c>
      <c r="Z37" s="46">
        <v>16.100000000000001</v>
      </c>
      <c r="AA37" s="46">
        <v>16.100000000000001</v>
      </c>
      <c r="AB37" s="46">
        <v>16.100000000000001</v>
      </c>
      <c r="AC37" s="46">
        <v>16.100000000000001</v>
      </c>
      <c r="AD37" s="46">
        <v>16.100000000000001</v>
      </c>
      <c r="AE37" s="46">
        <v>23</v>
      </c>
      <c r="AF37" s="46">
        <v>23</v>
      </c>
      <c r="AG37" s="50">
        <v>22</v>
      </c>
      <c r="AH37" s="48">
        <f t="shared" si="2"/>
        <v>25.4</v>
      </c>
      <c r="AI37" s="49">
        <f t="shared" si="3"/>
        <v>16.100000000000001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10.4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20.3</v>
      </c>
      <c r="R38" s="46">
        <v>20.3</v>
      </c>
      <c r="S38" s="46">
        <v>20.3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20.3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8.6999999999999993</v>
      </c>
      <c r="C40" s="46">
        <v>8.6999999999999993</v>
      </c>
      <c r="D40" s="46">
        <v>8.6999999999999993</v>
      </c>
      <c r="E40" s="46">
        <v>8.6999999999999993</v>
      </c>
      <c r="F40" s="46">
        <v>8.6999999999999993</v>
      </c>
      <c r="G40" s="46">
        <v>8.6999999999999993</v>
      </c>
      <c r="H40" s="46">
        <v>8.6999999999999993</v>
      </c>
      <c r="I40" s="46">
        <v>8.6999999999999993</v>
      </c>
      <c r="J40" s="46">
        <v>8.6999999999999993</v>
      </c>
      <c r="K40" s="46">
        <v>8.6999999999999993</v>
      </c>
      <c r="L40" s="46">
        <v>8.6999999999999993</v>
      </c>
      <c r="M40" s="46">
        <v>8.6999999999999993</v>
      </c>
      <c r="N40" s="46">
        <v>8.6999999999999993</v>
      </c>
      <c r="O40" s="46">
        <v>8.6999999999999993</v>
      </c>
      <c r="P40" s="46">
        <v>8.6999999999999993</v>
      </c>
      <c r="Q40" s="46">
        <v>17.399999999999999</v>
      </c>
      <c r="R40" s="46">
        <v>17.399999999999999</v>
      </c>
      <c r="S40" s="46">
        <v>17.399999999999999</v>
      </c>
      <c r="T40" s="46">
        <v>17.399999999999999</v>
      </c>
      <c r="U40" s="46">
        <v>17.399999999999999</v>
      </c>
      <c r="V40" s="46">
        <v>17.399999999999999</v>
      </c>
      <c r="W40" s="46">
        <v>17.399999999999999</v>
      </c>
      <c r="X40" s="46">
        <v>17.399999999999999</v>
      </c>
      <c r="Y40" s="46">
        <v>17.399999999999999</v>
      </c>
      <c r="Z40" s="46">
        <v>17.399999999999999</v>
      </c>
      <c r="AA40" s="46">
        <v>17.399999999999999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18</v>
      </c>
      <c r="AH40" s="48">
        <f t="shared" si="2"/>
        <v>17.399999999999999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15</v>
      </c>
      <c r="C41" s="46">
        <v>15</v>
      </c>
      <c r="D41" s="46">
        <v>15</v>
      </c>
      <c r="E41" s="46">
        <v>15</v>
      </c>
      <c r="F41" s="46">
        <v>15</v>
      </c>
      <c r="G41" s="46">
        <v>15</v>
      </c>
      <c r="H41" s="46">
        <v>15</v>
      </c>
      <c r="I41" s="46">
        <v>15</v>
      </c>
      <c r="J41" s="46">
        <v>15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15</v>
      </c>
      <c r="R41" s="46">
        <v>15</v>
      </c>
      <c r="S41" s="46">
        <v>15</v>
      </c>
      <c r="T41" s="46">
        <v>15</v>
      </c>
      <c r="U41" s="46">
        <v>15</v>
      </c>
      <c r="V41" s="46">
        <v>15</v>
      </c>
      <c r="W41" s="46">
        <v>15</v>
      </c>
      <c r="X41" s="46">
        <v>15</v>
      </c>
      <c r="Y41" s="46">
        <v>15</v>
      </c>
      <c r="Z41" s="46">
        <v>15</v>
      </c>
      <c r="AA41" s="46">
        <v>15</v>
      </c>
      <c r="AB41" s="46">
        <v>15</v>
      </c>
      <c r="AC41" s="46">
        <v>15</v>
      </c>
      <c r="AD41" s="46">
        <v>15</v>
      </c>
      <c r="AE41" s="46">
        <v>15</v>
      </c>
      <c r="AF41" s="46">
        <v>15</v>
      </c>
      <c r="AG41" s="50">
        <v>15.33</v>
      </c>
      <c r="AH41" s="48">
        <f t="shared" si="2"/>
        <v>15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15.5</v>
      </c>
      <c r="C43" s="46">
        <v>15.5</v>
      </c>
      <c r="D43" s="46">
        <v>15.5</v>
      </c>
      <c r="E43" s="46">
        <v>15.5</v>
      </c>
      <c r="F43" s="46">
        <v>15.5</v>
      </c>
      <c r="G43" s="46">
        <v>15.5</v>
      </c>
      <c r="H43" s="46">
        <v>15.5</v>
      </c>
      <c r="I43" s="46">
        <v>15.5</v>
      </c>
      <c r="J43" s="46">
        <v>15.5</v>
      </c>
      <c r="K43" s="46">
        <v>15.5</v>
      </c>
      <c r="L43" s="46">
        <v>15.5</v>
      </c>
      <c r="M43" s="46">
        <v>15.5</v>
      </c>
      <c r="N43" s="46">
        <v>15.5</v>
      </c>
      <c r="O43" s="46">
        <v>15.5</v>
      </c>
      <c r="P43" s="46">
        <v>15.5</v>
      </c>
      <c r="Q43" s="46">
        <v>15.5</v>
      </c>
      <c r="R43" s="46">
        <v>15.5</v>
      </c>
      <c r="S43" s="46">
        <v>15.5</v>
      </c>
      <c r="T43" s="46">
        <v>15.5</v>
      </c>
      <c r="U43" s="46">
        <v>15.5</v>
      </c>
      <c r="V43" s="46">
        <v>15.5</v>
      </c>
      <c r="W43" s="46">
        <v>15.5</v>
      </c>
      <c r="X43" s="46">
        <v>15.5</v>
      </c>
      <c r="Y43" s="46">
        <v>15.5</v>
      </c>
      <c r="Z43" s="46">
        <v>15.5</v>
      </c>
      <c r="AA43" s="46">
        <v>15.5</v>
      </c>
      <c r="AB43" s="46">
        <v>15.5</v>
      </c>
      <c r="AC43" s="46">
        <v>15.5</v>
      </c>
      <c r="AD43" s="46">
        <v>15.5</v>
      </c>
      <c r="AE43" s="46">
        <v>15.5</v>
      </c>
      <c r="AF43" s="46">
        <v>15.5</v>
      </c>
      <c r="AG43" s="50">
        <v>14.9</v>
      </c>
      <c r="AH43" s="48">
        <f t="shared" si="2"/>
        <v>15.5</v>
      </c>
      <c r="AI43" s="49">
        <f t="shared" si="3"/>
        <v>15.5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0</v>
      </c>
      <c r="C46" s="46">
        <v>0</v>
      </c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50">
        <v>14</v>
      </c>
      <c r="AH46" s="48">
        <f t="shared" si="2"/>
        <v>0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12</v>
      </c>
      <c r="C49" s="46">
        <v>12</v>
      </c>
      <c r="D49" s="46">
        <v>12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>
        <v>12</v>
      </c>
      <c r="R53" s="46">
        <v>12</v>
      </c>
      <c r="S53" s="46">
        <v>12</v>
      </c>
      <c r="T53" s="46">
        <v>12</v>
      </c>
      <c r="U53" s="46">
        <v>12</v>
      </c>
      <c r="V53" s="46">
        <v>12</v>
      </c>
      <c r="W53" s="46">
        <v>12</v>
      </c>
      <c r="X53" s="46">
        <v>12</v>
      </c>
      <c r="Y53" s="46">
        <v>12</v>
      </c>
      <c r="Z53" s="46">
        <v>12</v>
      </c>
      <c r="AA53" s="46">
        <v>12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12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10</v>
      </c>
      <c r="C55" s="46">
        <v>10</v>
      </c>
      <c r="D55" s="46">
        <v>10</v>
      </c>
      <c r="E55" s="46">
        <v>10</v>
      </c>
      <c r="F55" s="46">
        <v>10</v>
      </c>
      <c r="G55" s="46">
        <v>10</v>
      </c>
      <c r="H55" s="46">
        <v>10</v>
      </c>
      <c r="I55" s="46">
        <v>10</v>
      </c>
      <c r="J55" s="46">
        <v>10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10</v>
      </c>
      <c r="R55" s="46">
        <v>10</v>
      </c>
      <c r="S55" s="46">
        <v>10</v>
      </c>
      <c r="T55" s="46">
        <v>10</v>
      </c>
      <c r="U55" s="46">
        <v>10</v>
      </c>
      <c r="V55" s="46">
        <v>10</v>
      </c>
      <c r="W55" s="46">
        <v>10</v>
      </c>
      <c r="X55" s="46">
        <v>10</v>
      </c>
      <c r="Y55" s="46">
        <v>10</v>
      </c>
      <c r="Z55" s="46">
        <v>10</v>
      </c>
      <c r="AA55" s="46">
        <v>10</v>
      </c>
      <c r="AB55" s="46">
        <v>10</v>
      </c>
      <c r="AC55" s="46">
        <v>10</v>
      </c>
      <c r="AD55" s="46">
        <v>10</v>
      </c>
      <c r="AE55" s="46">
        <v>10</v>
      </c>
      <c r="AF55" s="46">
        <v>10</v>
      </c>
      <c r="AG55" s="66">
        <v>11</v>
      </c>
      <c r="AH55" s="48">
        <f t="shared" si="2"/>
        <v>10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8.9</v>
      </c>
      <c r="C56" s="46">
        <v>8.9</v>
      </c>
      <c r="D56" s="46">
        <v>8.9</v>
      </c>
      <c r="E56" s="46">
        <v>8.9</v>
      </c>
      <c r="F56" s="46">
        <v>8.9</v>
      </c>
      <c r="G56" s="46">
        <v>8.9</v>
      </c>
      <c r="H56" s="46">
        <v>8.9</v>
      </c>
      <c r="I56" s="46">
        <v>8.9</v>
      </c>
      <c r="J56" s="46">
        <v>8.9</v>
      </c>
      <c r="K56" s="46">
        <v>8.9</v>
      </c>
      <c r="L56" s="46">
        <v>8.9</v>
      </c>
      <c r="M56" s="46">
        <v>8.9</v>
      </c>
      <c r="N56" s="46">
        <v>8.9</v>
      </c>
      <c r="O56" s="46">
        <v>8.9</v>
      </c>
      <c r="P56" s="46">
        <v>8.9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8.9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164.5</v>
      </c>
      <c r="C60" s="68">
        <v>164.5</v>
      </c>
      <c r="D60" s="68">
        <v>164.5</v>
      </c>
      <c r="E60" s="68">
        <f>60+105</f>
        <v>165</v>
      </c>
      <c r="F60" s="68">
        <f>60.3+102.6</f>
        <v>162.89999999999998</v>
      </c>
      <c r="G60" s="68">
        <f>60.3+105</f>
        <v>165.3</v>
      </c>
      <c r="H60" s="68">
        <f>60.1+104.9</f>
        <v>165</v>
      </c>
      <c r="I60" s="68">
        <f>60.1+101.7</f>
        <v>161.80000000000001</v>
      </c>
      <c r="J60" s="68">
        <f>60.2+104.3</f>
        <v>164.5</v>
      </c>
      <c r="K60" s="53">
        <f>43.9+104</f>
        <v>147.9</v>
      </c>
      <c r="L60" s="53">
        <f>105+72.6</f>
        <v>177.6</v>
      </c>
      <c r="M60" s="53">
        <v>120</v>
      </c>
      <c r="N60" s="53">
        <f>90.9</f>
        <v>90.9</v>
      </c>
      <c r="O60" s="53">
        <v>99.8</v>
      </c>
      <c r="P60" s="53">
        <v>99.8</v>
      </c>
      <c r="Q60" s="53">
        <v>104.4</v>
      </c>
      <c r="R60" s="53">
        <v>104.4</v>
      </c>
      <c r="S60" s="53">
        <v>104.4</v>
      </c>
      <c r="T60" s="53">
        <v>105.5</v>
      </c>
      <c r="U60" s="53">
        <v>105.5</v>
      </c>
      <c r="V60" s="53">
        <v>103.3</v>
      </c>
      <c r="W60" s="53">
        <v>103.3</v>
      </c>
      <c r="X60" s="53">
        <f>38.2+68.6</f>
        <v>106.8</v>
      </c>
      <c r="Y60" s="53">
        <f>42.8+72.6</f>
        <v>115.39999999999999</v>
      </c>
      <c r="Z60" s="53">
        <f>42.8+72.6</f>
        <v>115.39999999999999</v>
      </c>
      <c r="AA60" s="53">
        <f>59+109.1</f>
        <v>168.1</v>
      </c>
      <c r="AB60" s="68">
        <f>102.5+60.7</f>
        <v>163.19999999999999</v>
      </c>
      <c r="AC60" s="68">
        <f>150.7</f>
        <v>150.69999999999999</v>
      </c>
      <c r="AD60" s="68">
        <f>103.1+75.5</f>
        <v>178.6</v>
      </c>
      <c r="AE60" s="68">
        <f>76+103.8</f>
        <v>179.8</v>
      </c>
      <c r="AF60" s="68">
        <f>76+103.8</f>
        <v>179.8</v>
      </c>
      <c r="AG60" s="66">
        <v>240</v>
      </c>
      <c r="AH60" s="48">
        <f t="shared" si="2"/>
        <v>179.8</v>
      </c>
      <c r="AI60" s="49">
        <f t="shared" si="3"/>
        <v>90.9</v>
      </c>
      <c r="AK60" s="51"/>
    </row>
    <row r="61" spans="1:88" ht="15.75" thickBot="1" x14ac:dyDescent="0.3">
      <c r="A61" s="70" t="s">
        <v>75</v>
      </c>
      <c r="B61" s="71">
        <v>1264.6000000000001</v>
      </c>
      <c r="C61" s="71">
        <v>1264.6000000000001</v>
      </c>
      <c r="D61" s="71">
        <v>1264.6000000000001</v>
      </c>
      <c r="E61" s="71">
        <f t="shared" ref="E61:AG61" si="20">SUM(E11:E59)</f>
        <v>1298.1000000000001</v>
      </c>
      <c r="F61" s="71">
        <f t="shared" si="20"/>
        <v>1239.3000000000002</v>
      </c>
      <c r="G61" s="71">
        <f t="shared" si="20"/>
        <v>1218.8000000000002</v>
      </c>
      <c r="H61" s="71">
        <f t="shared" si="20"/>
        <v>1251.6000000000001</v>
      </c>
      <c r="I61" s="71">
        <f t="shared" si="20"/>
        <v>1251.6000000000001</v>
      </c>
      <c r="J61" s="71">
        <f t="shared" si="20"/>
        <v>1263.6000000000001</v>
      </c>
      <c r="K61" s="71">
        <f t="shared" si="20"/>
        <v>1184.5</v>
      </c>
      <c r="L61" s="71">
        <f t="shared" ref="L61" si="21">SUM(L11:L59)</f>
        <v>1306.8000000000002</v>
      </c>
      <c r="M61" s="71">
        <f t="shared" si="20"/>
        <v>1330</v>
      </c>
      <c r="N61" s="71">
        <f t="shared" si="20"/>
        <v>1294</v>
      </c>
      <c r="O61" s="71">
        <f t="shared" si="20"/>
        <v>1276.8</v>
      </c>
      <c r="P61" s="71">
        <f t="shared" si="20"/>
        <v>1312.8</v>
      </c>
      <c r="Q61" s="71">
        <f t="shared" si="20"/>
        <v>1420.6000000000001</v>
      </c>
      <c r="R61" s="71">
        <f t="shared" si="20"/>
        <v>1420.6000000000001</v>
      </c>
      <c r="S61" s="71">
        <f t="shared" ref="S61:T61" si="22">SUM(S11:S59)</f>
        <v>1394.5</v>
      </c>
      <c r="T61" s="71">
        <f t="shared" si="22"/>
        <v>1400.6000000000001</v>
      </c>
      <c r="U61" s="71">
        <f t="shared" ref="U61:V61" si="23">SUM(U11:U59)</f>
        <v>1314.6000000000001</v>
      </c>
      <c r="V61" s="71">
        <f t="shared" si="23"/>
        <v>1314.6000000000001</v>
      </c>
      <c r="W61" s="71">
        <f t="shared" ref="W61:X61" si="24">SUM(W11:W59)</f>
        <v>1303.5999999999999</v>
      </c>
      <c r="X61" s="71">
        <f t="shared" si="24"/>
        <v>1303.5999999999999</v>
      </c>
      <c r="Y61" s="71">
        <f t="shared" ref="Y61:Z61" si="25">SUM(Y11:Y59)</f>
        <v>1303.5999999999999</v>
      </c>
      <c r="Z61" s="71">
        <f t="shared" si="25"/>
        <v>1303.5999999999999</v>
      </c>
      <c r="AA61" s="71">
        <f t="shared" ref="AA61" si="26">SUM(AA11:AA59)</f>
        <v>1347.6</v>
      </c>
      <c r="AB61" s="71">
        <f t="shared" si="20"/>
        <v>1304.3</v>
      </c>
      <c r="AC61" s="71">
        <f t="shared" si="20"/>
        <v>1320.4</v>
      </c>
      <c r="AD61" s="71">
        <f t="shared" si="20"/>
        <v>1284.8000000000002</v>
      </c>
      <c r="AE61" s="71">
        <f t="shared" ref="AE61:AF61" si="27">SUM(AE11:AE59)</f>
        <v>1286.7999999999997</v>
      </c>
      <c r="AF61" s="71">
        <f t="shared" si="27"/>
        <v>1284.5999999999999</v>
      </c>
      <c r="AG61" s="71">
        <f t="shared" si="20"/>
        <v>1466.0300000000002</v>
      </c>
      <c r="AH61" s="48">
        <f t="shared" si="2"/>
        <v>1420.6000000000001</v>
      </c>
      <c r="AI61" s="49">
        <f t="shared" si="3"/>
        <v>1184.5</v>
      </c>
      <c r="AK61" s="51"/>
    </row>
    <row r="62" spans="1:88" x14ac:dyDescent="0.25">
      <c r="A62" s="73" t="s">
        <v>76</v>
      </c>
      <c r="B62" s="46">
        <v>456</v>
      </c>
      <c r="C62" s="46">
        <v>456</v>
      </c>
      <c r="D62" s="46">
        <v>456</v>
      </c>
      <c r="E62" s="46">
        <v>456</v>
      </c>
      <c r="F62" s="46">
        <v>456</v>
      </c>
      <c r="G62" s="46">
        <v>456</v>
      </c>
      <c r="H62" s="46">
        <v>456</v>
      </c>
      <c r="I62" s="46">
        <v>456</v>
      </c>
      <c r="J62" s="46">
        <v>456</v>
      </c>
      <c r="K62" s="46">
        <v>456</v>
      </c>
      <c r="L62" s="46">
        <v>456</v>
      </c>
      <c r="M62" s="46">
        <v>456</v>
      </c>
      <c r="N62" s="46">
        <v>456</v>
      </c>
      <c r="O62" s="74">
        <v>456</v>
      </c>
      <c r="P62" s="74">
        <v>456</v>
      </c>
      <c r="Q62" s="74">
        <v>456</v>
      </c>
      <c r="R62" s="74">
        <v>456</v>
      </c>
      <c r="S62" s="74">
        <v>456</v>
      </c>
      <c r="T62" s="74">
        <v>456</v>
      </c>
      <c r="U62" s="74">
        <v>456</v>
      </c>
      <c r="V62" s="74">
        <v>456</v>
      </c>
      <c r="W62" s="74">
        <v>456</v>
      </c>
      <c r="X62" s="74">
        <v>456</v>
      </c>
      <c r="Y62" s="74">
        <v>456</v>
      </c>
      <c r="Z62" s="74">
        <v>456</v>
      </c>
      <c r="AA62" s="74">
        <v>456</v>
      </c>
      <c r="AB62" s="46">
        <v>456</v>
      </c>
      <c r="AC62" s="46">
        <v>456</v>
      </c>
      <c r="AD62" s="46">
        <v>456</v>
      </c>
      <c r="AE62" s="46">
        <v>456</v>
      </c>
      <c r="AF62" s="46">
        <v>456</v>
      </c>
      <c r="AG62" s="61">
        <v>456</v>
      </c>
      <c r="AH62" s="48">
        <f t="shared" si="2"/>
        <v>456</v>
      </c>
      <c r="AI62" s="49">
        <f t="shared" si="3"/>
        <v>456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</v>
      </c>
      <c r="C64" s="78">
        <v>22</v>
      </c>
      <c r="D64" s="78">
        <v>22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</v>
      </c>
      <c r="AK64" s="51"/>
    </row>
    <row r="65" spans="1:75" ht="15.75" thickBot="1" x14ac:dyDescent="0.3">
      <c r="A65" s="80" t="s">
        <v>79</v>
      </c>
      <c r="B65" s="71">
        <v>538</v>
      </c>
      <c r="C65" s="71">
        <v>538</v>
      </c>
      <c r="D65" s="71">
        <v>538</v>
      </c>
      <c r="E65" s="71">
        <f t="shared" ref="E65:AG65" si="28">SUM(E62:E64)</f>
        <v>538.6</v>
      </c>
      <c r="F65" s="71">
        <f t="shared" si="28"/>
        <v>538.6</v>
      </c>
      <c r="G65" s="71">
        <f t="shared" si="28"/>
        <v>538.6</v>
      </c>
      <c r="H65" s="71">
        <f t="shared" si="28"/>
        <v>538.6</v>
      </c>
      <c r="I65" s="71">
        <f t="shared" si="28"/>
        <v>538.6</v>
      </c>
      <c r="J65" s="71">
        <f t="shared" si="28"/>
        <v>538.6</v>
      </c>
      <c r="K65" s="71">
        <f t="shared" si="28"/>
        <v>538.6</v>
      </c>
      <c r="L65" s="71">
        <f t="shared" ref="L65" si="29">SUM(L62:L64)</f>
        <v>538.6</v>
      </c>
      <c r="M65" s="71">
        <f t="shared" si="28"/>
        <v>538.6</v>
      </c>
      <c r="N65" s="71">
        <f t="shared" si="28"/>
        <v>538.6</v>
      </c>
      <c r="O65" s="71">
        <f t="shared" si="28"/>
        <v>538.6</v>
      </c>
      <c r="P65" s="71">
        <f t="shared" si="28"/>
        <v>538.6</v>
      </c>
      <c r="Q65" s="71">
        <f t="shared" si="28"/>
        <v>538.6</v>
      </c>
      <c r="R65" s="71">
        <f t="shared" si="28"/>
        <v>538.6</v>
      </c>
      <c r="S65" s="71">
        <f t="shared" ref="S65:T65" si="30">SUM(S62:S64)</f>
        <v>538.6</v>
      </c>
      <c r="T65" s="71">
        <f t="shared" si="30"/>
        <v>538.6</v>
      </c>
      <c r="U65" s="71">
        <f t="shared" ref="U65:V65" si="31">SUM(U62:U64)</f>
        <v>538.6</v>
      </c>
      <c r="V65" s="71">
        <f t="shared" si="31"/>
        <v>538.6</v>
      </c>
      <c r="W65" s="71">
        <f t="shared" ref="W65:X65" si="32">SUM(W62:W64)</f>
        <v>538.6</v>
      </c>
      <c r="X65" s="71">
        <f t="shared" si="32"/>
        <v>538.6</v>
      </c>
      <c r="Y65" s="71">
        <f t="shared" ref="Y65:Z65" si="33">SUM(Y62:Y64)</f>
        <v>538.6</v>
      </c>
      <c r="Z65" s="71">
        <f t="shared" si="33"/>
        <v>538.6</v>
      </c>
      <c r="AA65" s="71">
        <f t="shared" ref="AA65" si="34">SUM(AA62:AA64)</f>
        <v>538.6</v>
      </c>
      <c r="AB65" s="71">
        <f t="shared" si="28"/>
        <v>538.6</v>
      </c>
      <c r="AC65" s="71">
        <f t="shared" si="28"/>
        <v>538.6</v>
      </c>
      <c r="AD65" s="71">
        <f t="shared" si="28"/>
        <v>538.6</v>
      </c>
      <c r="AE65" s="71">
        <f t="shared" ref="AE65:AF65" si="35">SUM(AE62:AE64)</f>
        <v>538.6</v>
      </c>
      <c r="AF65" s="71">
        <f t="shared" si="35"/>
        <v>538.6</v>
      </c>
      <c r="AG65" s="72">
        <f t="shared" si="28"/>
        <v>538.1</v>
      </c>
      <c r="AH65" s="48">
        <f t="shared" si="2"/>
        <v>538.6</v>
      </c>
      <c r="AI65" s="49">
        <f t="shared" si="3"/>
        <v>538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138</v>
      </c>
      <c r="C66" s="46">
        <v>138</v>
      </c>
      <c r="D66" s="46">
        <v>138</v>
      </c>
      <c r="E66" s="46">
        <v>91.2</v>
      </c>
      <c r="F66" s="46">
        <v>103.4</v>
      </c>
      <c r="G66" s="46">
        <v>103.6</v>
      </c>
      <c r="H66" s="46">
        <v>54.4</v>
      </c>
      <c r="I66" s="46">
        <v>51.2</v>
      </c>
      <c r="J66" s="46">
        <v>0</v>
      </c>
      <c r="K66" s="46">
        <v>0</v>
      </c>
      <c r="L66" s="46">
        <v>136.30000000000001</v>
      </c>
      <c r="M66" s="46">
        <v>136.30000000000001</v>
      </c>
      <c r="N66" s="46">
        <v>136.30000000000001</v>
      </c>
      <c r="O66" s="46">
        <v>136.30000000000001</v>
      </c>
      <c r="P66" s="46">
        <v>127</v>
      </c>
      <c r="Q66" s="46">
        <v>0</v>
      </c>
      <c r="R66" s="46">
        <v>70.8</v>
      </c>
      <c r="S66" s="46">
        <v>75</v>
      </c>
      <c r="T66" s="46">
        <v>75</v>
      </c>
      <c r="U66" s="46">
        <v>100</v>
      </c>
      <c r="V66" s="46">
        <v>121.1</v>
      </c>
      <c r="W66" s="46">
        <v>139</v>
      </c>
      <c r="X66" s="46">
        <v>139</v>
      </c>
      <c r="Y66" s="46">
        <v>136</v>
      </c>
      <c r="Z66" s="46">
        <v>136</v>
      </c>
      <c r="AA66" s="46">
        <v>136</v>
      </c>
      <c r="AB66" s="46">
        <v>136</v>
      </c>
      <c r="AC66" s="46">
        <v>136</v>
      </c>
      <c r="AD66" s="46">
        <v>136</v>
      </c>
      <c r="AE66" s="46">
        <v>100</v>
      </c>
      <c r="AF66" s="46">
        <v>100</v>
      </c>
      <c r="AG66" s="61">
        <v>144</v>
      </c>
      <c r="AH66" s="48">
        <f t="shared" si="2"/>
        <v>139</v>
      </c>
      <c r="AI66" s="49">
        <f t="shared" si="3"/>
        <v>0</v>
      </c>
      <c r="AK66" s="51"/>
      <c r="AY66" s="1" t="s">
        <v>86</v>
      </c>
      <c r="AZ66" s="82">
        <f>ROUND(C84,0)</f>
        <v>-25</v>
      </c>
      <c r="BA66" s="81">
        <f t="shared" ref="BA66:BD70" si="36">D84</f>
        <v>-45</v>
      </c>
      <c r="BB66" s="81">
        <f t="shared" si="36"/>
        <v>-44</v>
      </c>
      <c r="BC66" s="81">
        <f t="shared" si="36"/>
        <v>-66.2</v>
      </c>
      <c r="BD66" s="81">
        <f t="shared" si="36"/>
        <v>-68.3</v>
      </c>
      <c r="BE66" s="82">
        <f>I84</f>
        <v>-11.1</v>
      </c>
      <c r="BF66" s="82">
        <f>K84</f>
        <v>56.7</v>
      </c>
      <c r="BG66" s="82">
        <f t="shared" ref="BG66:BP70" si="37">M84</f>
        <v>-63.6</v>
      </c>
      <c r="BH66" s="82">
        <f t="shared" si="37"/>
        <v>-44.1</v>
      </c>
      <c r="BI66" s="82">
        <f t="shared" si="37"/>
        <v>-56.3</v>
      </c>
      <c r="BJ66" s="82">
        <f t="shared" si="37"/>
        <v>-50</v>
      </c>
      <c r="BK66" s="82">
        <f t="shared" si="37"/>
        <v>-51</v>
      </c>
      <c r="BL66" s="82">
        <f t="shared" si="37"/>
        <v>-22</v>
      </c>
      <c r="BM66" s="82">
        <f t="shared" si="37"/>
        <v>2.2999999999999998</v>
      </c>
      <c r="BN66" s="82">
        <f t="shared" si="37"/>
        <v>-64</v>
      </c>
      <c r="BO66" s="82">
        <f t="shared" si="37"/>
        <v>-44</v>
      </c>
      <c r="BP66" s="82">
        <f t="shared" si="37"/>
        <v>-57</v>
      </c>
      <c r="BQ66" s="82">
        <f>X84</f>
        <v>-55</v>
      </c>
      <c r="BR66" s="82">
        <f>Z84</f>
        <v>-62</v>
      </c>
      <c r="BS66" s="81">
        <f>AB84</f>
        <v>-28.9</v>
      </c>
      <c r="BT66" s="81">
        <f t="shared" ref="BT66:BV70" si="38">AD84</f>
        <v>-20</v>
      </c>
      <c r="BU66" s="81">
        <f t="shared" si="38"/>
        <v>-31.1</v>
      </c>
      <c r="BV66" s="81">
        <f t="shared" si="38"/>
        <v>-35.4</v>
      </c>
      <c r="BW66" s="81">
        <f>B84</f>
        <v>-18.399999999999999</v>
      </c>
    </row>
    <row r="67" spans="1:75" x14ac:dyDescent="0.25">
      <c r="A67" s="65" t="s">
        <v>81</v>
      </c>
      <c r="B67" s="76">
        <v>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36"/>
        <v>0</v>
      </c>
      <c r="BB67" s="81">
        <f t="shared" si="36"/>
        <v>0</v>
      </c>
      <c r="BC67" s="81">
        <f t="shared" si="36"/>
        <v>0</v>
      </c>
      <c r="BD67" s="81">
        <f t="shared" si="36"/>
        <v>0</v>
      </c>
      <c r="BE67" s="82">
        <f>I85</f>
        <v>0</v>
      </c>
      <c r="BF67" s="82">
        <f>K85</f>
        <v>0</v>
      </c>
      <c r="BG67" s="82">
        <f t="shared" si="37"/>
        <v>0</v>
      </c>
      <c r="BH67" s="82">
        <f t="shared" si="37"/>
        <v>0</v>
      </c>
      <c r="BI67" s="82">
        <f t="shared" si="37"/>
        <v>0</v>
      </c>
      <c r="BJ67" s="82">
        <f t="shared" si="37"/>
        <v>0</v>
      </c>
      <c r="BK67" s="82">
        <f t="shared" si="37"/>
        <v>0</v>
      </c>
      <c r="BL67" s="82">
        <f t="shared" si="37"/>
        <v>0</v>
      </c>
      <c r="BM67" s="82">
        <f t="shared" si="37"/>
        <v>0</v>
      </c>
      <c r="BN67" s="82">
        <f t="shared" si="37"/>
        <v>0</v>
      </c>
      <c r="BO67" s="82">
        <f t="shared" si="37"/>
        <v>0</v>
      </c>
      <c r="BP67" s="82">
        <f t="shared" si="37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8"/>
        <v>0</v>
      </c>
      <c r="BU67" s="81">
        <f t="shared" si="38"/>
        <v>0</v>
      </c>
      <c r="BV67" s="81">
        <f t="shared" si="38"/>
        <v>0</v>
      </c>
      <c r="BW67" s="81">
        <f>B85</f>
        <v>0</v>
      </c>
    </row>
    <row r="68" spans="1:75" x14ac:dyDescent="0.25">
      <c r="A68" s="65" t="s">
        <v>82</v>
      </c>
      <c r="B68" s="76">
        <v>65.599999999999994</v>
      </c>
      <c r="C68" s="76">
        <v>65.599999999999994</v>
      </c>
      <c r="D68" s="76">
        <v>65.599999999999994</v>
      </c>
      <c r="E68" s="76">
        <v>65.599999999999994</v>
      </c>
      <c r="F68" s="76">
        <v>62.9</v>
      </c>
      <c r="G68" s="76">
        <v>62.7</v>
      </c>
      <c r="H68" s="76">
        <v>62.3</v>
      </c>
      <c r="I68" s="76">
        <v>62.8</v>
      </c>
      <c r="J68" s="76">
        <v>62.7</v>
      </c>
      <c r="K68" s="76">
        <v>62.6</v>
      </c>
      <c r="L68" s="76">
        <v>62.6</v>
      </c>
      <c r="M68" s="76">
        <v>62.6</v>
      </c>
      <c r="N68" s="76">
        <v>62.6</v>
      </c>
      <c r="O68" s="76">
        <v>63.7</v>
      </c>
      <c r="P68" s="76">
        <v>63.7</v>
      </c>
      <c r="Q68" s="76">
        <v>63.2</v>
      </c>
      <c r="R68" s="76">
        <v>63.2</v>
      </c>
      <c r="S68" s="76">
        <v>63.2</v>
      </c>
      <c r="T68" s="76">
        <v>63.2</v>
      </c>
      <c r="U68" s="76">
        <v>63.2</v>
      </c>
      <c r="V68" s="76">
        <v>53.6</v>
      </c>
      <c r="W68" s="76">
        <v>65.5</v>
      </c>
      <c r="X68" s="76">
        <v>65.5</v>
      </c>
      <c r="Y68" s="76">
        <v>65.5</v>
      </c>
      <c r="Z68" s="76">
        <v>65.5</v>
      </c>
      <c r="AA68" s="76">
        <v>65.5</v>
      </c>
      <c r="AB68" s="76">
        <v>65.5</v>
      </c>
      <c r="AC68" s="76">
        <v>65.5</v>
      </c>
      <c r="AD68" s="76">
        <v>65.5</v>
      </c>
      <c r="AE68" s="76">
        <v>64.599999999999994</v>
      </c>
      <c r="AF68" s="76">
        <v>64.599999999999994</v>
      </c>
      <c r="AG68" s="66">
        <v>69</v>
      </c>
      <c r="AH68" s="48">
        <f t="shared" si="2"/>
        <v>65.599999999999994</v>
      </c>
      <c r="AI68" s="49">
        <f t="shared" si="3"/>
        <v>53.6</v>
      </c>
      <c r="AK68" s="51"/>
      <c r="AL68" s="83"/>
      <c r="AO68" s="83"/>
      <c r="AY68" s="1" t="s">
        <v>90</v>
      </c>
      <c r="AZ68" s="82">
        <f>ROUND(C86,0)</f>
        <v>-620</v>
      </c>
      <c r="BA68" s="81">
        <f t="shared" si="36"/>
        <v>-610</v>
      </c>
      <c r="BB68" s="81">
        <f t="shared" si="36"/>
        <v>-651.4</v>
      </c>
      <c r="BC68" s="81">
        <f t="shared" si="36"/>
        <v>-667</v>
      </c>
      <c r="BD68" s="81">
        <f t="shared" si="36"/>
        <v>-665</v>
      </c>
      <c r="BE68" s="82">
        <f>I86</f>
        <v>-619</v>
      </c>
      <c r="BF68" s="82">
        <f>K86</f>
        <v>-612.5</v>
      </c>
      <c r="BG68" s="82">
        <f t="shared" si="37"/>
        <v>-595.29999999999995</v>
      </c>
      <c r="BH68" s="82">
        <f t="shared" si="37"/>
        <v>-557.6</v>
      </c>
      <c r="BI68" s="82">
        <f t="shared" si="37"/>
        <v>-538.6</v>
      </c>
      <c r="BJ68" s="82">
        <f t="shared" si="37"/>
        <v>-588</v>
      </c>
      <c r="BK68" s="82">
        <f t="shared" si="37"/>
        <v>-552</v>
      </c>
      <c r="BL68" s="82">
        <f t="shared" si="37"/>
        <v>-623</v>
      </c>
      <c r="BM68" s="82">
        <f t="shared" si="37"/>
        <v>-506</v>
      </c>
      <c r="BN68" s="82">
        <f t="shared" si="37"/>
        <v>-497</v>
      </c>
      <c r="BO68" s="82">
        <f t="shared" si="37"/>
        <v>-529</v>
      </c>
      <c r="BP68" s="82">
        <f t="shared" si="37"/>
        <v>-553</v>
      </c>
      <c r="BQ68" s="82">
        <f>X86</f>
        <v>-631</v>
      </c>
      <c r="BR68" s="82">
        <f>Z86</f>
        <v>-614</v>
      </c>
      <c r="BS68" s="81">
        <f>AB86</f>
        <v>-549</v>
      </c>
      <c r="BT68" s="81">
        <f t="shared" si="38"/>
        <v>-543</v>
      </c>
      <c r="BU68" s="81">
        <f t="shared" si="38"/>
        <v>-584</v>
      </c>
      <c r="BV68" s="81">
        <f t="shared" si="38"/>
        <v>-620</v>
      </c>
      <c r="BW68" s="81">
        <f>B86</f>
        <v>-610</v>
      </c>
    </row>
    <row r="69" spans="1:75" s="83" customFormat="1" x14ac:dyDescent="0.25">
      <c r="A69" s="65" t="s">
        <v>83</v>
      </c>
      <c r="B69" s="76">
        <v>60</v>
      </c>
      <c r="C69" s="76">
        <v>60</v>
      </c>
      <c r="D69" s="76">
        <v>60</v>
      </c>
      <c r="E69" s="76">
        <v>0</v>
      </c>
      <c r="F69" s="76">
        <v>60</v>
      </c>
      <c r="G69" s="76">
        <v>60.7</v>
      </c>
      <c r="H69" s="76">
        <v>60.7</v>
      </c>
      <c r="I69" s="76">
        <v>60.4</v>
      </c>
      <c r="J69" s="76">
        <v>60.2</v>
      </c>
      <c r="K69" s="68">
        <v>60.4</v>
      </c>
      <c r="L69" s="68">
        <v>60.4</v>
      </c>
      <c r="M69" s="68">
        <v>60.4</v>
      </c>
      <c r="N69" s="68">
        <v>60.4</v>
      </c>
      <c r="O69" s="68">
        <v>60.4</v>
      </c>
      <c r="P69" s="68">
        <v>60.4</v>
      </c>
      <c r="Q69" s="76">
        <v>60.5</v>
      </c>
      <c r="R69" s="76">
        <v>60.5</v>
      </c>
      <c r="S69" s="76">
        <v>60.5</v>
      </c>
      <c r="T69" s="76">
        <v>60.5</v>
      </c>
      <c r="U69" s="76">
        <v>60.5</v>
      </c>
      <c r="V69" s="76">
        <v>60.5</v>
      </c>
      <c r="W69" s="76">
        <v>60.5</v>
      </c>
      <c r="X69" s="76">
        <v>60.5</v>
      </c>
      <c r="Y69" s="76">
        <v>60.5</v>
      </c>
      <c r="Z69" s="76">
        <v>60.5</v>
      </c>
      <c r="AA69" s="76">
        <v>60.5</v>
      </c>
      <c r="AB69" s="76">
        <v>60.5</v>
      </c>
      <c r="AC69" s="76">
        <v>60.5</v>
      </c>
      <c r="AD69" s="76">
        <v>60.5</v>
      </c>
      <c r="AE69" s="76">
        <v>60.5</v>
      </c>
      <c r="AF69" s="76">
        <v>60.5</v>
      </c>
      <c r="AG69" s="66">
        <v>60</v>
      </c>
      <c r="AH69" s="48">
        <f t="shared" si="2"/>
        <v>60.7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6"/>
        <v>0</v>
      </c>
      <c r="BB69" s="81">
        <f t="shared" si="36"/>
        <v>0</v>
      </c>
      <c r="BC69" s="81">
        <f t="shared" si="36"/>
        <v>0</v>
      </c>
      <c r="BD69" s="81">
        <f t="shared" si="36"/>
        <v>0</v>
      </c>
      <c r="BE69" s="82">
        <f>I87</f>
        <v>0</v>
      </c>
      <c r="BF69" s="82">
        <f>K87</f>
        <v>0</v>
      </c>
      <c r="BG69" s="82">
        <f t="shared" si="37"/>
        <v>0</v>
      </c>
      <c r="BH69" s="82">
        <f t="shared" si="37"/>
        <v>0</v>
      </c>
      <c r="BI69" s="82">
        <f t="shared" si="37"/>
        <v>0</v>
      </c>
      <c r="BJ69" s="82">
        <f t="shared" si="37"/>
        <v>0</v>
      </c>
      <c r="BK69" s="82">
        <f t="shared" si="37"/>
        <v>0</v>
      </c>
      <c r="BL69" s="82">
        <f t="shared" si="37"/>
        <v>0</v>
      </c>
      <c r="BM69" s="82">
        <f t="shared" si="37"/>
        <v>0</v>
      </c>
      <c r="BN69" s="82">
        <f t="shared" si="37"/>
        <v>0</v>
      </c>
      <c r="BO69" s="82">
        <f t="shared" si="37"/>
        <v>0</v>
      </c>
      <c r="BP69" s="82">
        <f t="shared" si="37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8"/>
        <v>0</v>
      </c>
      <c r="BU69" s="81">
        <f t="shared" si="38"/>
        <v>0</v>
      </c>
      <c r="BV69" s="81">
        <f t="shared" si="38"/>
        <v>0</v>
      </c>
      <c r="BW69" s="81">
        <f>B87</f>
        <v>0</v>
      </c>
    </row>
    <row r="70" spans="1:75" x14ac:dyDescent="0.25">
      <c r="A70" s="65" t="s">
        <v>84</v>
      </c>
      <c r="B70" s="46">
        <v>28</v>
      </c>
      <c r="C70" s="46">
        <v>28</v>
      </c>
      <c r="D70" s="46">
        <v>28</v>
      </c>
      <c r="E70" s="46">
        <v>28</v>
      </c>
      <c r="F70" s="46">
        <v>28</v>
      </c>
      <c r="G70" s="76">
        <v>27.6</v>
      </c>
      <c r="H70" s="76">
        <v>27.9</v>
      </c>
      <c r="I70" s="76">
        <v>0</v>
      </c>
      <c r="J70" s="76">
        <v>27.3</v>
      </c>
      <c r="K70" s="76">
        <v>0</v>
      </c>
      <c r="L70" s="76">
        <v>27.4</v>
      </c>
      <c r="M70" s="76">
        <v>27.4</v>
      </c>
      <c r="N70" s="76">
        <v>25</v>
      </c>
      <c r="O70" s="76">
        <v>27.6</v>
      </c>
      <c r="P70" s="76">
        <v>14.2</v>
      </c>
      <c r="Q70" s="76">
        <v>14</v>
      </c>
      <c r="R70" s="76">
        <v>14</v>
      </c>
      <c r="S70" s="76">
        <v>14</v>
      </c>
      <c r="T70" s="76">
        <v>14</v>
      </c>
      <c r="U70" s="76">
        <v>27.5</v>
      </c>
      <c r="V70" s="76">
        <v>26.7</v>
      </c>
      <c r="W70" s="76">
        <v>26.7</v>
      </c>
      <c r="X70" s="76">
        <v>26.7</v>
      </c>
      <c r="Y70" s="76">
        <v>27.6</v>
      </c>
      <c r="Z70" s="76">
        <v>27.6</v>
      </c>
      <c r="AA70" s="76">
        <v>23.4</v>
      </c>
      <c r="AB70" s="76">
        <v>27.4</v>
      </c>
      <c r="AC70" s="76">
        <v>27.4</v>
      </c>
      <c r="AD70" s="76">
        <v>27.4</v>
      </c>
      <c r="AE70" s="76">
        <v>27.4</v>
      </c>
      <c r="AF70" s="76">
        <v>27.4</v>
      </c>
      <c r="AG70" s="66">
        <v>30</v>
      </c>
      <c r="AH70" s="48">
        <f t="shared" si="2"/>
        <v>28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6"/>
        <v>0</v>
      </c>
      <c r="BB70" s="81">
        <f t="shared" si="36"/>
        <v>0</v>
      </c>
      <c r="BC70" s="81">
        <f t="shared" si="36"/>
        <v>0</v>
      </c>
      <c r="BD70" s="81">
        <f t="shared" si="36"/>
        <v>0</v>
      </c>
      <c r="BE70" s="82">
        <f>I88</f>
        <v>0</v>
      </c>
      <c r="BF70" s="82">
        <f>K88</f>
        <v>0</v>
      </c>
      <c r="BG70" s="82">
        <f t="shared" si="37"/>
        <v>0</v>
      </c>
      <c r="BH70" s="82">
        <f t="shared" si="37"/>
        <v>0</v>
      </c>
      <c r="BI70" s="82">
        <f t="shared" si="37"/>
        <v>0</v>
      </c>
      <c r="BJ70" s="82">
        <f t="shared" si="37"/>
        <v>0</v>
      </c>
      <c r="BK70" s="82">
        <f t="shared" si="37"/>
        <v>0</v>
      </c>
      <c r="BL70" s="82">
        <f t="shared" si="37"/>
        <v>0</v>
      </c>
      <c r="BM70" s="82">
        <f t="shared" si="37"/>
        <v>0</v>
      </c>
      <c r="BN70" s="82">
        <f t="shared" si="37"/>
        <v>0</v>
      </c>
      <c r="BO70" s="82">
        <f t="shared" si="37"/>
        <v>0</v>
      </c>
      <c r="BP70" s="82">
        <f t="shared" si="37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8"/>
        <v>0</v>
      </c>
      <c r="BU70" s="81">
        <f t="shared" si="38"/>
        <v>0</v>
      </c>
      <c r="BV70" s="81">
        <f t="shared" si="38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1</v>
      </c>
      <c r="K71" s="46">
        <v>1.7</v>
      </c>
      <c r="L71" s="46">
        <v>3.6</v>
      </c>
      <c r="M71" s="46">
        <v>3.6</v>
      </c>
      <c r="N71" s="46">
        <v>6.5</v>
      </c>
      <c r="O71" s="46">
        <v>4.5999999999999996</v>
      </c>
      <c r="P71" s="46">
        <v>7.4</v>
      </c>
      <c r="Q71" s="76">
        <v>9.4</v>
      </c>
      <c r="R71" s="76">
        <v>13.1</v>
      </c>
      <c r="S71" s="76">
        <v>13.1</v>
      </c>
      <c r="T71" s="76">
        <v>4.8</v>
      </c>
      <c r="U71" s="76">
        <v>0.3</v>
      </c>
      <c r="V71" s="76">
        <v>0.3</v>
      </c>
      <c r="W71" s="76">
        <v>0.3</v>
      </c>
      <c r="X71" s="76">
        <v>0.4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13.1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9">M94</f>
        <v>0</v>
      </c>
      <c r="BH71" s="82">
        <f t="shared" si="39"/>
        <v>0</v>
      </c>
      <c r="BI71" s="82">
        <f t="shared" si="39"/>
        <v>0</v>
      </c>
      <c r="BJ71" s="82">
        <f t="shared" si="39"/>
        <v>0</v>
      </c>
      <c r="BK71" s="82">
        <f t="shared" si="39"/>
        <v>0</v>
      </c>
      <c r="BL71" s="82">
        <f t="shared" si="39"/>
        <v>0</v>
      </c>
      <c r="BM71" s="82">
        <f t="shared" si="39"/>
        <v>0</v>
      </c>
      <c r="BN71" s="82">
        <f t="shared" si="39"/>
        <v>0</v>
      </c>
      <c r="BO71" s="82">
        <f t="shared" si="39"/>
        <v>0</v>
      </c>
      <c r="BP71" s="82">
        <f t="shared" si="3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11.5</v>
      </c>
      <c r="C72" s="76">
        <v>11.5</v>
      </c>
      <c r="D72" s="76">
        <v>11.5</v>
      </c>
      <c r="E72" s="76">
        <v>11.5</v>
      </c>
      <c r="F72" s="76">
        <v>11.5</v>
      </c>
      <c r="G72" s="76">
        <v>9.3000000000000007</v>
      </c>
      <c r="H72" s="76">
        <v>9.3000000000000007</v>
      </c>
      <c r="I72" s="76">
        <v>9.3000000000000007</v>
      </c>
      <c r="J72" s="76">
        <v>9.1999999999999993</v>
      </c>
      <c r="K72" s="76">
        <v>9.1999999999999993</v>
      </c>
      <c r="L72" s="76">
        <v>9.1999999999999993</v>
      </c>
      <c r="M72" s="76">
        <v>9.1999999999999993</v>
      </c>
      <c r="N72" s="76">
        <v>9.1999999999999993</v>
      </c>
      <c r="O72" s="76">
        <v>10.8</v>
      </c>
      <c r="P72" s="76">
        <v>10.8</v>
      </c>
      <c r="Q72" s="76">
        <v>10.1</v>
      </c>
      <c r="R72" s="76">
        <v>10.1</v>
      </c>
      <c r="S72" s="76">
        <v>10.1</v>
      </c>
      <c r="T72" s="76">
        <v>10.1</v>
      </c>
      <c r="U72" s="76">
        <v>10.1</v>
      </c>
      <c r="V72" s="76">
        <v>10.1</v>
      </c>
      <c r="W72" s="76">
        <v>10.1</v>
      </c>
      <c r="X72" s="76">
        <v>10.1</v>
      </c>
      <c r="Y72" s="76">
        <v>10.1</v>
      </c>
      <c r="Z72" s="76">
        <v>10.1</v>
      </c>
      <c r="AA72" s="76">
        <v>10.1</v>
      </c>
      <c r="AB72" s="76">
        <v>10.1</v>
      </c>
      <c r="AC72" s="76">
        <v>10.1</v>
      </c>
      <c r="AD72" s="76">
        <v>10.1</v>
      </c>
      <c r="AE72" s="76">
        <v>10.7</v>
      </c>
      <c r="AF72" s="76">
        <v>10.7</v>
      </c>
      <c r="AG72" s="66">
        <v>24</v>
      </c>
      <c r="AH72" s="48">
        <f t="shared" si="2"/>
        <v>11.5</v>
      </c>
      <c r="AI72" s="49">
        <f t="shared" si="3"/>
        <v>9.1999999999999993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4.4000000000000004</v>
      </c>
      <c r="C73" s="76">
        <v>4.4000000000000004</v>
      </c>
      <c r="D73" s="76">
        <v>4.4000000000000004</v>
      </c>
      <c r="E73" s="76">
        <v>4.4000000000000004</v>
      </c>
      <c r="F73" s="76">
        <v>4.4000000000000004</v>
      </c>
      <c r="G73" s="76">
        <v>4.4000000000000004</v>
      </c>
      <c r="H73" s="76">
        <v>4.4000000000000004</v>
      </c>
      <c r="I73" s="76">
        <v>4.4000000000000004</v>
      </c>
      <c r="J73" s="76">
        <v>4.4000000000000004</v>
      </c>
      <c r="K73" s="76">
        <v>4.4000000000000004</v>
      </c>
      <c r="L73" s="76">
        <v>4.4000000000000004</v>
      </c>
      <c r="M73" s="76">
        <v>4.4000000000000004</v>
      </c>
      <c r="N73" s="76">
        <v>4.4000000000000004</v>
      </c>
      <c r="O73" s="76">
        <v>4.4000000000000004</v>
      </c>
      <c r="P73" s="76">
        <v>4.4000000000000004</v>
      </c>
      <c r="Q73" s="76">
        <v>4.4000000000000004</v>
      </c>
      <c r="R73" s="76">
        <v>4.4000000000000004</v>
      </c>
      <c r="S73" s="76">
        <v>4.4000000000000004</v>
      </c>
      <c r="T73" s="76">
        <v>4.4000000000000004</v>
      </c>
      <c r="U73" s="76">
        <v>4.4000000000000004</v>
      </c>
      <c r="V73" s="76">
        <v>4.4000000000000004</v>
      </c>
      <c r="W73" s="76">
        <v>4.4000000000000004</v>
      </c>
      <c r="X73" s="76">
        <v>4.4000000000000004</v>
      </c>
      <c r="Y73" s="76">
        <v>4.4000000000000004</v>
      </c>
      <c r="Z73" s="76">
        <v>4.4000000000000004</v>
      </c>
      <c r="AA73" s="76">
        <v>4.4000000000000004</v>
      </c>
      <c r="AB73" s="76">
        <v>4.4000000000000004</v>
      </c>
      <c r="AC73" s="76">
        <v>4.4000000000000004</v>
      </c>
      <c r="AD73" s="76">
        <v>4.4000000000000004</v>
      </c>
      <c r="AE73" s="76">
        <v>4.4000000000000004</v>
      </c>
      <c r="AF73" s="76">
        <v>4.4000000000000004</v>
      </c>
      <c r="AG73" s="66">
        <v>15</v>
      </c>
      <c r="AH73" s="48">
        <f t="shared" si="2"/>
        <v>4.4000000000000004</v>
      </c>
      <c r="AI73" s="49">
        <f t="shared" si="3"/>
        <v>4.4000000000000004</v>
      </c>
      <c r="AK73" s="51"/>
      <c r="AZ73" s="82">
        <f t="shared" ref="AZ73:BW78" si="40">VALUE(AZ66)</f>
        <v>-25</v>
      </c>
      <c r="BA73" s="82">
        <f t="shared" si="40"/>
        <v>-45</v>
      </c>
      <c r="BB73" s="82">
        <f t="shared" si="40"/>
        <v>-44</v>
      </c>
      <c r="BC73" s="82">
        <f t="shared" si="40"/>
        <v>-66.2</v>
      </c>
      <c r="BD73" s="82">
        <f t="shared" si="40"/>
        <v>-68.3</v>
      </c>
      <c r="BE73" s="82">
        <f t="shared" si="40"/>
        <v>-11.1</v>
      </c>
      <c r="BF73" s="82">
        <f t="shared" si="40"/>
        <v>56.7</v>
      </c>
      <c r="BG73" s="82">
        <f t="shared" si="40"/>
        <v>-63.6</v>
      </c>
      <c r="BH73" s="82">
        <f t="shared" si="40"/>
        <v>-44.1</v>
      </c>
      <c r="BI73" s="82">
        <f t="shared" si="40"/>
        <v>-56.3</v>
      </c>
      <c r="BJ73" s="82">
        <f t="shared" si="40"/>
        <v>-50</v>
      </c>
      <c r="BK73" s="82">
        <f t="shared" si="40"/>
        <v>-51</v>
      </c>
      <c r="BL73" s="82">
        <f t="shared" si="40"/>
        <v>-22</v>
      </c>
      <c r="BM73" s="82">
        <f t="shared" si="40"/>
        <v>2.2999999999999998</v>
      </c>
      <c r="BN73" s="82">
        <f t="shared" si="40"/>
        <v>-64</v>
      </c>
      <c r="BO73" s="82">
        <f t="shared" si="40"/>
        <v>-44</v>
      </c>
      <c r="BP73" s="82">
        <f t="shared" si="40"/>
        <v>-57</v>
      </c>
      <c r="BQ73" s="82">
        <f t="shared" si="40"/>
        <v>-55</v>
      </c>
      <c r="BR73" s="82">
        <f t="shared" si="40"/>
        <v>-62</v>
      </c>
      <c r="BS73" s="82">
        <f t="shared" si="40"/>
        <v>-28.9</v>
      </c>
      <c r="BT73" s="82">
        <f t="shared" si="40"/>
        <v>-20</v>
      </c>
      <c r="BU73" s="82">
        <f t="shared" si="40"/>
        <v>-31.1</v>
      </c>
      <c r="BV73" s="82">
        <f t="shared" si="40"/>
        <v>-35.4</v>
      </c>
      <c r="BW73" s="82">
        <f t="shared" si="40"/>
        <v>-18.399999999999999</v>
      </c>
    </row>
    <row r="74" spans="1:75" x14ac:dyDescent="0.25">
      <c r="A74" s="65" t="s">
        <v>91</v>
      </c>
      <c r="B74" s="76">
        <v>8.8000000000000007</v>
      </c>
      <c r="C74" s="76">
        <v>8.8000000000000007</v>
      </c>
      <c r="D74" s="76">
        <v>8.8000000000000007</v>
      </c>
      <c r="E74" s="76">
        <v>8.8000000000000007</v>
      </c>
      <c r="F74" s="76">
        <v>8.8000000000000007</v>
      </c>
      <c r="G74" s="76">
        <v>8.8000000000000007</v>
      </c>
      <c r="H74" s="76">
        <v>8.8000000000000007</v>
      </c>
      <c r="I74" s="76">
        <v>8.8000000000000007</v>
      </c>
      <c r="J74" s="76">
        <v>8.8000000000000007</v>
      </c>
      <c r="K74" s="76">
        <v>8.8000000000000007</v>
      </c>
      <c r="L74" s="76">
        <v>8.8000000000000007</v>
      </c>
      <c r="M74" s="76">
        <v>8.8000000000000007</v>
      </c>
      <c r="N74" s="76">
        <v>8.8000000000000007</v>
      </c>
      <c r="O74" s="76">
        <v>9.1999999999999993</v>
      </c>
      <c r="P74" s="76">
        <v>9.1999999999999993</v>
      </c>
      <c r="Q74" s="76">
        <v>8.6</v>
      </c>
      <c r="R74" s="76">
        <v>8.6</v>
      </c>
      <c r="S74" s="76">
        <v>8.6</v>
      </c>
      <c r="T74" s="76">
        <v>8.6</v>
      </c>
      <c r="U74" s="76">
        <v>8.6</v>
      </c>
      <c r="V74" s="76">
        <v>8.6</v>
      </c>
      <c r="W74" s="76">
        <v>8.6</v>
      </c>
      <c r="X74" s="76">
        <v>8.6</v>
      </c>
      <c r="Y74" s="76">
        <v>8.6</v>
      </c>
      <c r="Z74" s="76">
        <v>8.6</v>
      </c>
      <c r="AA74" s="76">
        <v>8.6</v>
      </c>
      <c r="AB74" s="76">
        <v>8.6</v>
      </c>
      <c r="AC74" s="76">
        <v>8.6</v>
      </c>
      <c r="AD74" s="76">
        <v>8.6</v>
      </c>
      <c r="AE74" s="76">
        <v>9.6</v>
      </c>
      <c r="AF74" s="76">
        <v>9.6</v>
      </c>
      <c r="AG74" s="66">
        <v>14.1</v>
      </c>
      <c r="AH74" s="48">
        <f t="shared" si="2"/>
        <v>9.6</v>
      </c>
      <c r="AI74" s="49">
        <f t="shared" si="3"/>
        <v>8.6</v>
      </c>
      <c r="AK74" s="51"/>
      <c r="AZ74" s="82">
        <f t="shared" si="40"/>
        <v>0</v>
      </c>
      <c r="BA74" s="82">
        <f t="shared" si="40"/>
        <v>0</v>
      </c>
      <c r="BB74" s="82">
        <f t="shared" si="40"/>
        <v>0</v>
      </c>
      <c r="BC74" s="82">
        <f t="shared" si="40"/>
        <v>0</v>
      </c>
      <c r="BD74" s="82">
        <f t="shared" si="40"/>
        <v>0</v>
      </c>
      <c r="BE74" s="82">
        <f t="shared" si="40"/>
        <v>0</v>
      </c>
      <c r="BF74" s="82">
        <f t="shared" si="40"/>
        <v>0</v>
      </c>
      <c r="BG74" s="82">
        <f t="shared" si="40"/>
        <v>0</v>
      </c>
      <c r="BH74" s="82">
        <f t="shared" si="40"/>
        <v>0</v>
      </c>
      <c r="BI74" s="82">
        <f t="shared" si="40"/>
        <v>0</v>
      </c>
      <c r="BJ74" s="82">
        <f t="shared" si="40"/>
        <v>0</v>
      </c>
      <c r="BK74" s="82">
        <f t="shared" si="40"/>
        <v>0</v>
      </c>
      <c r="BL74" s="82">
        <f t="shared" si="40"/>
        <v>0</v>
      </c>
      <c r="BM74" s="82">
        <f t="shared" si="40"/>
        <v>0</v>
      </c>
      <c r="BN74" s="82">
        <f t="shared" si="40"/>
        <v>0</v>
      </c>
      <c r="BO74" s="82">
        <f t="shared" si="40"/>
        <v>0</v>
      </c>
      <c r="BP74" s="82">
        <f t="shared" si="40"/>
        <v>0</v>
      </c>
      <c r="BQ74" s="82">
        <f t="shared" si="40"/>
        <v>0</v>
      </c>
      <c r="BR74" s="82">
        <f t="shared" si="40"/>
        <v>0</v>
      </c>
      <c r="BS74" s="82">
        <f t="shared" si="40"/>
        <v>0</v>
      </c>
      <c r="BT74" s="82">
        <f t="shared" si="40"/>
        <v>0</v>
      </c>
      <c r="BU74" s="82">
        <f t="shared" si="40"/>
        <v>0</v>
      </c>
      <c r="BV74" s="82">
        <f t="shared" si="40"/>
        <v>0</v>
      </c>
      <c r="BW74" s="82">
        <f t="shared" si="40"/>
        <v>0</v>
      </c>
    </row>
    <row r="75" spans="1:75" x14ac:dyDescent="0.25">
      <c r="A75" s="84" t="s">
        <v>93</v>
      </c>
      <c r="B75" s="76">
        <v>13.6</v>
      </c>
      <c r="C75" s="76">
        <v>13.6</v>
      </c>
      <c r="D75" s="76">
        <v>13.6</v>
      </c>
      <c r="E75" s="76">
        <v>13.6</v>
      </c>
      <c r="F75" s="76">
        <v>13.6</v>
      </c>
      <c r="G75" s="76">
        <v>13.6</v>
      </c>
      <c r="H75" s="76">
        <v>13.6</v>
      </c>
      <c r="I75" s="76">
        <v>13.6</v>
      </c>
      <c r="J75" s="76">
        <v>13.6</v>
      </c>
      <c r="K75" s="76">
        <v>13.6</v>
      </c>
      <c r="L75" s="76">
        <v>13.6</v>
      </c>
      <c r="M75" s="76">
        <v>7.1</v>
      </c>
      <c r="N75" s="76">
        <v>7.1</v>
      </c>
      <c r="O75" s="76">
        <v>7.1</v>
      </c>
      <c r="P75" s="76">
        <v>7.1</v>
      </c>
      <c r="Q75" s="76">
        <v>7.2</v>
      </c>
      <c r="R75" s="76">
        <v>7.2</v>
      </c>
      <c r="S75" s="76">
        <v>7.2</v>
      </c>
      <c r="T75" s="76">
        <v>7.2</v>
      </c>
      <c r="U75" s="76">
        <v>7.2</v>
      </c>
      <c r="V75" s="76">
        <v>7.2</v>
      </c>
      <c r="W75" s="76">
        <v>7.2</v>
      </c>
      <c r="X75" s="76">
        <v>7.2</v>
      </c>
      <c r="Y75" s="76">
        <v>7.2</v>
      </c>
      <c r="Z75" s="76">
        <v>7.2</v>
      </c>
      <c r="AA75" s="76">
        <v>7.2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66">
        <v>14</v>
      </c>
      <c r="AH75" s="48">
        <f t="shared" ref="AH75:AH126" si="41">MAX(B75:AF75)</f>
        <v>13.6</v>
      </c>
      <c r="AI75" s="49">
        <f t="shared" ref="AI75:AI126" si="42">MIN(B75:AF75)</f>
        <v>0</v>
      </c>
      <c r="AK75" s="51"/>
      <c r="AZ75" s="82">
        <f t="shared" si="40"/>
        <v>-620</v>
      </c>
      <c r="BA75" s="82">
        <f t="shared" si="40"/>
        <v>-610</v>
      </c>
      <c r="BB75" s="82">
        <f t="shared" si="40"/>
        <v>-651.4</v>
      </c>
      <c r="BC75" s="82">
        <f t="shared" si="40"/>
        <v>-667</v>
      </c>
      <c r="BD75" s="82">
        <f t="shared" si="40"/>
        <v>-665</v>
      </c>
      <c r="BE75" s="82">
        <f t="shared" si="40"/>
        <v>-619</v>
      </c>
      <c r="BF75" s="82">
        <f t="shared" si="40"/>
        <v>-612.5</v>
      </c>
      <c r="BG75" s="82">
        <f t="shared" si="40"/>
        <v>-595.29999999999995</v>
      </c>
      <c r="BH75" s="82">
        <f t="shared" si="40"/>
        <v>-557.6</v>
      </c>
      <c r="BI75" s="82">
        <f t="shared" si="40"/>
        <v>-538.6</v>
      </c>
      <c r="BJ75" s="82">
        <f t="shared" si="40"/>
        <v>-588</v>
      </c>
      <c r="BK75" s="82">
        <f t="shared" si="40"/>
        <v>-552</v>
      </c>
      <c r="BL75" s="82">
        <f t="shared" si="40"/>
        <v>-623</v>
      </c>
      <c r="BM75" s="82">
        <f t="shared" si="40"/>
        <v>-506</v>
      </c>
      <c r="BN75" s="82">
        <f t="shared" si="40"/>
        <v>-497</v>
      </c>
      <c r="BO75" s="82">
        <f t="shared" si="40"/>
        <v>-529</v>
      </c>
      <c r="BP75" s="82">
        <f t="shared" si="40"/>
        <v>-553</v>
      </c>
      <c r="BQ75" s="82">
        <f t="shared" si="40"/>
        <v>-631</v>
      </c>
      <c r="BR75" s="82">
        <f t="shared" si="40"/>
        <v>-614</v>
      </c>
      <c r="BS75" s="82">
        <f t="shared" si="40"/>
        <v>-549</v>
      </c>
      <c r="BT75" s="82">
        <f t="shared" si="40"/>
        <v>-543</v>
      </c>
      <c r="BU75" s="82">
        <f t="shared" si="40"/>
        <v>-584</v>
      </c>
      <c r="BV75" s="82">
        <f t="shared" si="40"/>
        <v>-620</v>
      </c>
      <c r="BW75" s="82">
        <f t="shared" si="40"/>
        <v>-610</v>
      </c>
    </row>
    <row r="76" spans="1:75" x14ac:dyDescent="0.25">
      <c r="A76" s="65" t="s">
        <v>95</v>
      </c>
      <c r="B76" s="76">
        <v>9.6</v>
      </c>
      <c r="C76" s="76">
        <v>9.6</v>
      </c>
      <c r="D76" s="76">
        <v>9.6</v>
      </c>
      <c r="E76" s="76">
        <v>9.6</v>
      </c>
      <c r="F76" s="76">
        <v>9.6</v>
      </c>
      <c r="G76" s="76">
        <v>9.6</v>
      </c>
      <c r="H76" s="76">
        <v>9.6</v>
      </c>
      <c r="I76" s="76">
        <v>9.6</v>
      </c>
      <c r="J76" s="76">
        <v>9.6</v>
      </c>
      <c r="K76" s="76">
        <v>9.6</v>
      </c>
      <c r="L76" s="76">
        <v>9.6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9</v>
      </c>
      <c r="U76" s="76">
        <v>9</v>
      </c>
      <c r="V76" s="76">
        <v>9</v>
      </c>
      <c r="W76" s="76">
        <v>9</v>
      </c>
      <c r="X76" s="76">
        <v>9</v>
      </c>
      <c r="Y76" s="76">
        <v>9</v>
      </c>
      <c r="Z76" s="76">
        <v>9</v>
      </c>
      <c r="AA76" s="76">
        <v>9</v>
      </c>
      <c r="AB76" s="76">
        <v>9</v>
      </c>
      <c r="AC76" s="76">
        <v>9</v>
      </c>
      <c r="AD76" s="76">
        <v>9</v>
      </c>
      <c r="AE76" s="76">
        <v>9</v>
      </c>
      <c r="AF76" s="76">
        <v>9</v>
      </c>
      <c r="AG76" s="66">
        <v>10.050000000000001</v>
      </c>
      <c r="AH76" s="48">
        <f t="shared" si="41"/>
        <v>9.6</v>
      </c>
      <c r="AI76" s="49">
        <f t="shared" si="42"/>
        <v>0</v>
      </c>
      <c r="AK76" s="51"/>
      <c r="AZ76" s="82">
        <f t="shared" si="40"/>
        <v>0</v>
      </c>
      <c r="BA76" s="82">
        <f t="shared" si="40"/>
        <v>0</v>
      </c>
      <c r="BB76" s="82">
        <f t="shared" si="40"/>
        <v>0</v>
      </c>
      <c r="BC76" s="82">
        <f t="shared" si="40"/>
        <v>0</v>
      </c>
      <c r="BD76" s="82">
        <f t="shared" si="40"/>
        <v>0</v>
      </c>
      <c r="BE76" s="82">
        <f t="shared" si="40"/>
        <v>0</v>
      </c>
      <c r="BF76" s="82">
        <f t="shared" si="40"/>
        <v>0</v>
      </c>
      <c r="BG76" s="82">
        <f t="shared" si="40"/>
        <v>0</v>
      </c>
      <c r="BH76" s="82">
        <f t="shared" si="40"/>
        <v>0</v>
      </c>
      <c r="BI76" s="82">
        <f t="shared" si="40"/>
        <v>0</v>
      </c>
      <c r="BJ76" s="82">
        <f t="shared" si="40"/>
        <v>0</v>
      </c>
      <c r="BK76" s="82">
        <f t="shared" si="40"/>
        <v>0</v>
      </c>
      <c r="BL76" s="82">
        <f t="shared" si="40"/>
        <v>0</v>
      </c>
      <c r="BM76" s="82">
        <f t="shared" si="40"/>
        <v>0</v>
      </c>
      <c r="BN76" s="82">
        <f t="shared" si="40"/>
        <v>0</v>
      </c>
      <c r="BO76" s="82">
        <f t="shared" si="40"/>
        <v>0</v>
      </c>
      <c r="BP76" s="82">
        <f t="shared" si="40"/>
        <v>0</v>
      </c>
      <c r="BQ76" s="82">
        <f t="shared" si="40"/>
        <v>0</v>
      </c>
      <c r="BR76" s="82">
        <f t="shared" si="40"/>
        <v>0</v>
      </c>
      <c r="BS76" s="82">
        <f t="shared" si="40"/>
        <v>0</v>
      </c>
      <c r="BT76" s="82">
        <f t="shared" si="40"/>
        <v>0</v>
      </c>
      <c r="BU76" s="82">
        <f t="shared" si="40"/>
        <v>0</v>
      </c>
      <c r="BV76" s="82">
        <f t="shared" si="40"/>
        <v>0</v>
      </c>
      <c r="BW76" s="82">
        <f t="shared" si="40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1"/>
        <v>6</v>
      </c>
      <c r="AI77" s="49">
        <f t="shared" si="42"/>
        <v>6</v>
      </c>
      <c r="AK77" s="51"/>
      <c r="AZ77" s="82">
        <f t="shared" si="40"/>
        <v>0</v>
      </c>
      <c r="BA77" s="82">
        <f t="shared" si="40"/>
        <v>0</v>
      </c>
      <c r="BB77" s="82">
        <f t="shared" si="40"/>
        <v>0</v>
      </c>
      <c r="BC77" s="82">
        <f t="shared" si="40"/>
        <v>0</v>
      </c>
      <c r="BD77" s="82">
        <f t="shared" si="40"/>
        <v>0</v>
      </c>
      <c r="BE77" s="82">
        <f t="shared" si="40"/>
        <v>0</v>
      </c>
      <c r="BF77" s="82">
        <f t="shared" si="40"/>
        <v>0</v>
      </c>
      <c r="BG77" s="82">
        <f t="shared" si="40"/>
        <v>0</v>
      </c>
      <c r="BH77" s="82">
        <f t="shared" si="40"/>
        <v>0</v>
      </c>
      <c r="BI77" s="82">
        <f t="shared" si="40"/>
        <v>0</v>
      </c>
      <c r="BJ77" s="82">
        <f t="shared" si="40"/>
        <v>0</v>
      </c>
      <c r="BK77" s="82">
        <f t="shared" si="40"/>
        <v>0</v>
      </c>
      <c r="BL77" s="82">
        <f t="shared" si="40"/>
        <v>0</v>
      </c>
      <c r="BM77" s="82">
        <f t="shared" si="40"/>
        <v>0</v>
      </c>
      <c r="BN77" s="82">
        <f t="shared" si="40"/>
        <v>0</v>
      </c>
      <c r="BO77" s="82">
        <f t="shared" si="40"/>
        <v>0</v>
      </c>
      <c r="BP77" s="82">
        <f t="shared" si="40"/>
        <v>0</v>
      </c>
      <c r="BQ77" s="82">
        <f t="shared" si="40"/>
        <v>0</v>
      </c>
      <c r="BR77" s="82">
        <f t="shared" si="40"/>
        <v>0</v>
      </c>
      <c r="BS77" s="82">
        <f t="shared" si="40"/>
        <v>0</v>
      </c>
      <c r="BT77" s="82">
        <f t="shared" si="40"/>
        <v>0</v>
      </c>
      <c r="BU77" s="82">
        <f t="shared" si="40"/>
        <v>0</v>
      </c>
      <c r="BV77" s="82">
        <f t="shared" si="40"/>
        <v>0</v>
      </c>
      <c r="BW77" s="82">
        <f t="shared" si="4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1"/>
        <v>3.54</v>
      </c>
      <c r="AI78" s="49">
        <f t="shared" si="42"/>
        <v>3.54</v>
      </c>
      <c r="AK78" s="51"/>
      <c r="AZ78" s="82">
        <f t="shared" si="40"/>
        <v>0</v>
      </c>
      <c r="BA78" s="82">
        <f t="shared" si="40"/>
        <v>0</v>
      </c>
      <c r="BB78" s="82">
        <f t="shared" si="40"/>
        <v>0</v>
      </c>
      <c r="BC78" s="82">
        <f t="shared" si="40"/>
        <v>0</v>
      </c>
      <c r="BD78" s="82">
        <f t="shared" si="40"/>
        <v>0</v>
      </c>
      <c r="BE78" s="82">
        <f t="shared" si="40"/>
        <v>0</v>
      </c>
      <c r="BF78" s="82">
        <f t="shared" si="40"/>
        <v>0</v>
      </c>
      <c r="BG78" s="82">
        <f t="shared" si="40"/>
        <v>0</v>
      </c>
      <c r="BH78" s="82">
        <f t="shared" si="40"/>
        <v>0</v>
      </c>
      <c r="BI78" s="82">
        <f t="shared" si="40"/>
        <v>0</v>
      </c>
      <c r="BJ78" s="82">
        <f t="shared" si="40"/>
        <v>0</v>
      </c>
      <c r="BK78" s="82">
        <f t="shared" si="40"/>
        <v>0</v>
      </c>
      <c r="BL78" s="82">
        <f t="shared" si="40"/>
        <v>0</v>
      </c>
      <c r="BM78" s="82">
        <f t="shared" si="40"/>
        <v>0</v>
      </c>
      <c r="BN78" s="82">
        <f t="shared" si="40"/>
        <v>0</v>
      </c>
      <c r="BO78" s="82">
        <f t="shared" si="40"/>
        <v>0</v>
      </c>
      <c r="BP78" s="82">
        <f t="shared" si="40"/>
        <v>0</v>
      </c>
      <c r="BQ78" s="82">
        <f t="shared" si="40"/>
        <v>0</v>
      </c>
      <c r="BR78" s="82">
        <f t="shared" si="40"/>
        <v>0</v>
      </c>
      <c r="BS78" s="82">
        <f t="shared" si="40"/>
        <v>0</v>
      </c>
      <c r="BT78" s="82">
        <f t="shared" si="40"/>
        <v>0</v>
      </c>
      <c r="BU78" s="82">
        <f t="shared" si="40"/>
        <v>0</v>
      </c>
      <c r="BV78" s="82">
        <f t="shared" si="40"/>
        <v>0</v>
      </c>
      <c r="BW78" s="82">
        <f t="shared" si="40"/>
        <v>0</v>
      </c>
    </row>
    <row r="79" spans="1:75" ht="15.75" thickBot="1" x14ac:dyDescent="0.3">
      <c r="A79" s="87" t="s">
        <v>99</v>
      </c>
      <c r="B79" s="71">
        <v>349.04000000000008</v>
      </c>
      <c r="C79" s="71">
        <v>349.04000000000008</v>
      </c>
      <c r="D79" s="71">
        <v>349.04000000000008</v>
      </c>
      <c r="E79" s="71">
        <f t="shared" ref="E79:AG79" si="43">SUM(E66:E78)</f>
        <v>312.24</v>
      </c>
      <c r="F79" s="71">
        <f t="shared" si="43"/>
        <v>381.74000000000007</v>
      </c>
      <c r="G79" s="71">
        <f t="shared" si="43"/>
        <v>379.84000000000009</v>
      </c>
      <c r="H79" s="71">
        <f t="shared" si="43"/>
        <v>330.54</v>
      </c>
      <c r="I79" s="71">
        <f t="shared" si="43"/>
        <v>299.6400000000001</v>
      </c>
      <c r="J79" s="71">
        <f t="shared" si="43"/>
        <v>276.34000000000003</v>
      </c>
      <c r="K79" s="71">
        <f t="shared" si="43"/>
        <v>249.83999999999997</v>
      </c>
      <c r="L79" s="71">
        <f t="shared" ref="L79" si="44">SUM(L66:L78)</f>
        <v>415.44000000000005</v>
      </c>
      <c r="M79" s="71">
        <f t="shared" si="43"/>
        <v>399.34000000000003</v>
      </c>
      <c r="N79" s="71">
        <f t="shared" si="43"/>
        <v>399.84000000000003</v>
      </c>
      <c r="O79" s="71">
        <f t="shared" si="43"/>
        <v>403.64000000000004</v>
      </c>
      <c r="P79" s="71">
        <f t="shared" si="43"/>
        <v>383.73999999999995</v>
      </c>
      <c r="Q79" s="71">
        <f t="shared" si="43"/>
        <v>256.94</v>
      </c>
      <c r="R79" s="71">
        <f t="shared" si="43"/>
        <v>331.44000000000005</v>
      </c>
      <c r="S79" s="71">
        <f t="shared" ref="S79:T79" si="45">SUM(S66:S78)</f>
        <v>335.64000000000004</v>
      </c>
      <c r="T79" s="71">
        <f t="shared" si="45"/>
        <v>336.34000000000003</v>
      </c>
      <c r="U79" s="71">
        <f t="shared" ref="U79:V79" si="46">SUM(U66:U78)</f>
        <v>370.34000000000003</v>
      </c>
      <c r="V79" s="71">
        <f t="shared" si="46"/>
        <v>381.04</v>
      </c>
      <c r="W79" s="71">
        <f t="shared" ref="W79:X79" si="47">SUM(W66:W78)</f>
        <v>410.84000000000003</v>
      </c>
      <c r="X79" s="71">
        <f t="shared" si="47"/>
        <v>410.94</v>
      </c>
      <c r="Y79" s="71">
        <f t="shared" ref="Y79:Z79" si="48">SUM(Y66:Y78)</f>
        <v>408.44000000000005</v>
      </c>
      <c r="Z79" s="71">
        <f t="shared" si="48"/>
        <v>408.44000000000005</v>
      </c>
      <c r="AA79" s="71">
        <f t="shared" ref="AA79" si="49">SUM(AA66:AA78)</f>
        <v>404.24</v>
      </c>
      <c r="AB79" s="71">
        <f t="shared" si="43"/>
        <v>401.04</v>
      </c>
      <c r="AC79" s="71">
        <f t="shared" si="43"/>
        <v>401.04</v>
      </c>
      <c r="AD79" s="71">
        <f t="shared" si="43"/>
        <v>401.04</v>
      </c>
      <c r="AE79" s="71">
        <f t="shared" ref="AE79:AF79" si="50">SUM(AE66:AE78)</f>
        <v>365.74</v>
      </c>
      <c r="AF79" s="71">
        <f t="shared" si="50"/>
        <v>365.74</v>
      </c>
      <c r="AG79" s="72">
        <f t="shared" si="43"/>
        <v>489.91</v>
      </c>
      <c r="AH79" s="48">
        <f t="shared" si="41"/>
        <v>415.44000000000005</v>
      </c>
      <c r="AI79" s="49">
        <f t="shared" si="42"/>
        <v>249.83999999999997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0</v>
      </c>
      <c r="P80" s="46">
        <v>10.4</v>
      </c>
      <c r="Q80" s="46">
        <v>14.3</v>
      </c>
      <c r="R80" s="46">
        <v>10.3</v>
      </c>
      <c r="S80" s="46">
        <v>10.3</v>
      </c>
      <c r="T80" s="46">
        <v>14</v>
      </c>
      <c r="U80" s="46">
        <v>10</v>
      </c>
      <c r="V80" s="46">
        <v>10</v>
      </c>
      <c r="W80" s="46">
        <v>0</v>
      </c>
      <c r="X80" s="46">
        <v>0</v>
      </c>
      <c r="Y80" s="46">
        <v>0</v>
      </c>
      <c r="Z80" s="46">
        <v>0</v>
      </c>
      <c r="AA80" s="46">
        <v>0</v>
      </c>
      <c r="AB80" s="46"/>
      <c r="AC80" s="46">
        <v>14.5</v>
      </c>
      <c r="AD80" s="46">
        <v>10</v>
      </c>
      <c r="AE80" s="46">
        <v>0</v>
      </c>
      <c r="AF80" s="46">
        <v>0</v>
      </c>
      <c r="AG80" s="61">
        <v>60</v>
      </c>
      <c r="AH80" s="48">
        <f t="shared" si="41"/>
        <v>14.5</v>
      </c>
      <c r="AI80" s="49">
        <f t="shared" si="42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3.3</v>
      </c>
      <c r="C81" s="76">
        <v>3.3</v>
      </c>
      <c r="D81" s="76">
        <v>3.3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4.0999999999999996</v>
      </c>
      <c r="Q81" s="76">
        <v>5.8</v>
      </c>
      <c r="R81" s="76">
        <v>6.5</v>
      </c>
      <c r="S81" s="76">
        <v>6.5</v>
      </c>
      <c r="T81" s="76">
        <v>4.0999999999999996</v>
      </c>
      <c r="U81" s="76">
        <v>4.0999999999999996</v>
      </c>
      <c r="V81" s="76">
        <v>4.0999999999999996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/>
      <c r="AC81" s="76"/>
      <c r="AD81" s="76">
        <v>4</v>
      </c>
      <c r="AE81" s="76">
        <v>0</v>
      </c>
      <c r="AF81" s="76">
        <v>0</v>
      </c>
      <c r="AG81" s="66">
        <v>32</v>
      </c>
      <c r="AH81" s="48">
        <f t="shared" si="41"/>
        <v>6.5</v>
      </c>
      <c r="AI81" s="49">
        <f t="shared" si="42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1.2</v>
      </c>
      <c r="C82" s="78">
        <v>1.2</v>
      </c>
      <c r="D82" s="78">
        <v>1.2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1.5</v>
      </c>
      <c r="Q82" s="78">
        <v>2.1</v>
      </c>
      <c r="R82" s="78">
        <v>2.4</v>
      </c>
      <c r="S82" s="78">
        <v>2.4</v>
      </c>
      <c r="T82" s="78">
        <v>1.5</v>
      </c>
      <c r="U82" s="78">
        <v>1.5</v>
      </c>
      <c r="V82" s="78">
        <v>1.5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/>
      <c r="AC82" s="78"/>
      <c r="AD82" s="78">
        <v>1.5</v>
      </c>
      <c r="AE82" s="78">
        <v>0</v>
      </c>
      <c r="AF82" s="78">
        <v>0</v>
      </c>
      <c r="AG82" s="79">
        <v>14</v>
      </c>
      <c r="AH82" s="48">
        <f t="shared" si="41"/>
        <v>2.4</v>
      </c>
      <c r="AI82" s="49">
        <f t="shared" si="42"/>
        <v>0</v>
      </c>
      <c r="AK82" s="51"/>
      <c r="AY82" s="82"/>
      <c r="BF82" s="81"/>
      <c r="BG82" s="82">
        <f t="array" ref="BG82:BL105">TRANSPOSE(AZ66:BW71)</f>
        <v>-25</v>
      </c>
      <c r="BH82" s="82">
        <v>0</v>
      </c>
      <c r="BI82" s="82">
        <v>-620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v>14.5</v>
      </c>
      <c r="C83" s="71">
        <v>14.5</v>
      </c>
      <c r="D83" s="71">
        <v>14.5</v>
      </c>
      <c r="E83" s="71">
        <f t="shared" ref="E83:AE83" si="51">E80+E81+E82</f>
        <v>0</v>
      </c>
      <c r="F83" s="71">
        <f t="shared" si="51"/>
        <v>0</v>
      </c>
      <c r="G83" s="71">
        <f t="shared" si="51"/>
        <v>0</v>
      </c>
      <c r="H83" s="71">
        <f t="shared" si="51"/>
        <v>0</v>
      </c>
      <c r="I83" s="71">
        <f t="shared" si="51"/>
        <v>0</v>
      </c>
      <c r="J83" s="71">
        <f t="shared" si="51"/>
        <v>0</v>
      </c>
      <c r="K83" s="71">
        <f t="shared" si="51"/>
        <v>0</v>
      </c>
      <c r="L83" s="71">
        <f t="shared" ref="L83" si="52">L80+L81+L82</f>
        <v>0</v>
      </c>
      <c r="M83" s="71">
        <f t="shared" si="51"/>
        <v>0</v>
      </c>
      <c r="N83" s="71">
        <f t="shared" si="51"/>
        <v>0</v>
      </c>
      <c r="O83" s="71">
        <f t="shared" si="51"/>
        <v>0</v>
      </c>
      <c r="P83" s="71">
        <f t="shared" si="51"/>
        <v>16</v>
      </c>
      <c r="Q83" s="71">
        <f t="shared" si="51"/>
        <v>22.200000000000003</v>
      </c>
      <c r="R83" s="71">
        <f t="shared" si="51"/>
        <v>19.2</v>
      </c>
      <c r="S83" s="71">
        <f t="shared" ref="S83:T83" si="53">S80+S81+S82</f>
        <v>19.2</v>
      </c>
      <c r="T83" s="71">
        <f t="shared" si="53"/>
        <v>19.600000000000001</v>
      </c>
      <c r="U83" s="71">
        <f t="shared" ref="U83:V83" si="54">U80+U81+U82</f>
        <v>15.6</v>
      </c>
      <c r="V83" s="71">
        <f t="shared" si="54"/>
        <v>15.6</v>
      </c>
      <c r="W83" s="71">
        <f t="shared" ref="W83:X83" si="55">W80+W81+W82</f>
        <v>0</v>
      </c>
      <c r="X83" s="71">
        <f t="shared" si="55"/>
        <v>0</v>
      </c>
      <c r="Y83" s="71">
        <f t="shared" ref="Y83:Z83" si="56">Y80+Y81+Y82</f>
        <v>0</v>
      </c>
      <c r="Z83" s="71">
        <f t="shared" si="56"/>
        <v>0</v>
      </c>
      <c r="AA83" s="71">
        <f t="shared" ref="AA83" si="57">AA80+AA81+AA82</f>
        <v>0</v>
      </c>
      <c r="AB83" s="71">
        <f t="shared" si="51"/>
        <v>0</v>
      </c>
      <c r="AC83" s="71">
        <f t="shared" si="51"/>
        <v>14.5</v>
      </c>
      <c r="AD83" s="71">
        <f t="shared" si="51"/>
        <v>15.5</v>
      </c>
      <c r="AE83" s="71">
        <f t="shared" si="51"/>
        <v>0</v>
      </c>
      <c r="AF83" s="71">
        <f t="shared" ref="AF83" si="58">AF80+AF81+AF82</f>
        <v>0</v>
      </c>
      <c r="AG83" s="72">
        <f>SUM(AG80:AG82)</f>
        <v>106</v>
      </c>
      <c r="AH83" s="48">
        <f t="shared" si="41"/>
        <v>22.200000000000003</v>
      </c>
      <c r="AI83" s="49">
        <f t="shared" si="42"/>
        <v>0</v>
      </c>
      <c r="AK83" s="51"/>
      <c r="AY83" s="82"/>
      <c r="BF83" s="81"/>
      <c r="BG83" s="82">
        <v>-45</v>
      </c>
      <c r="BH83" s="82">
        <v>0</v>
      </c>
      <c r="BI83" s="82">
        <v>-610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-18.399999999999999</v>
      </c>
      <c r="C84" s="46">
        <v>-25</v>
      </c>
      <c r="D84" s="46">
        <v>-45</v>
      </c>
      <c r="E84" s="46">
        <v>-44</v>
      </c>
      <c r="F84" s="46">
        <v>-66.2</v>
      </c>
      <c r="G84" s="46">
        <v>-68.3</v>
      </c>
      <c r="H84" s="46">
        <v>-69.400000000000006</v>
      </c>
      <c r="I84" s="46">
        <v>-11.1</v>
      </c>
      <c r="J84" s="46">
        <v>-32.700000000000003</v>
      </c>
      <c r="K84" s="46">
        <v>56.7</v>
      </c>
      <c r="L84" s="46">
        <v>-41</v>
      </c>
      <c r="M84" s="46">
        <v>-63.6</v>
      </c>
      <c r="N84" s="46">
        <v>-44.1</v>
      </c>
      <c r="O84" s="46">
        <v>-56.3</v>
      </c>
      <c r="P84" s="46">
        <v>-50</v>
      </c>
      <c r="Q84" s="46">
        <v>-51</v>
      </c>
      <c r="R84" s="46">
        <v>-22</v>
      </c>
      <c r="S84" s="46">
        <v>2.2999999999999998</v>
      </c>
      <c r="T84" s="46">
        <v>-64</v>
      </c>
      <c r="U84" s="46">
        <v>-44</v>
      </c>
      <c r="V84" s="46">
        <v>-57</v>
      </c>
      <c r="W84" s="46">
        <v>-57</v>
      </c>
      <c r="X84" s="46">
        <v>-55</v>
      </c>
      <c r="Y84" s="46">
        <v>-53</v>
      </c>
      <c r="Z84" s="46">
        <v>-62</v>
      </c>
      <c r="AA84" s="46">
        <v>-45.4</v>
      </c>
      <c r="AB84" s="46">
        <v>-28.9</v>
      </c>
      <c r="AC84" s="46">
        <v>-29.1</v>
      </c>
      <c r="AD84" s="46">
        <v>-20</v>
      </c>
      <c r="AE84" s="46">
        <v>-31.1</v>
      </c>
      <c r="AF84" s="46">
        <v>-35.4</v>
      </c>
      <c r="AG84" s="61"/>
      <c r="AH84" s="48">
        <f t="shared" si="41"/>
        <v>56.7</v>
      </c>
      <c r="AI84" s="49">
        <f t="shared" si="42"/>
        <v>-69.400000000000006</v>
      </c>
      <c r="AK84" s="51"/>
      <c r="AY84" s="82"/>
      <c r="BF84" s="81"/>
      <c r="BG84" s="82">
        <v>-44</v>
      </c>
      <c r="BH84" s="82">
        <v>0</v>
      </c>
      <c r="BI84" s="82">
        <v>-651.4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1"/>
        <v>0</v>
      </c>
      <c r="AI85" s="49">
        <f t="shared" si="42"/>
        <v>0</v>
      </c>
      <c r="AK85" s="51"/>
      <c r="AL85" s="91" t="s">
        <v>111</v>
      </c>
      <c r="AM85" s="91"/>
      <c r="AY85" s="82"/>
      <c r="BF85" s="82"/>
      <c r="BG85" s="82">
        <v>-66.2</v>
      </c>
      <c r="BH85" s="82">
        <v>0</v>
      </c>
      <c r="BI85" s="82">
        <v>-667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-610</v>
      </c>
      <c r="C86" s="76">
        <v>-620</v>
      </c>
      <c r="D86" s="76">
        <v>-610</v>
      </c>
      <c r="E86" s="76">
        <v>-651.4</v>
      </c>
      <c r="F86" s="76">
        <v>-667</v>
      </c>
      <c r="G86" s="76">
        <v>-665</v>
      </c>
      <c r="H86" s="76">
        <v>-635.5</v>
      </c>
      <c r="I86" s="76">
        <v>-619</v>
      </c>
      <c r="J86" s="76">
        <v>-617</v>
      </c>
      <c r="K86" s="76">
        <v>-612.5</v>
      </c>
      <c r="L86" s="76">
        <v>-625</v>
      </c>
      <c r="M86" s="76">
        <v>-595.29999999999995</v>
      </c>
      <c r="N86" s="76">
        <v>-557.6</v>
      </c>
      <c r="O86" s="76">
        <v>-538.6</v>
      </c>
      <c r="P86" s="76">
        <v>-588</v>
      </c>
      <c r="Q86" s="76">
        <v>-552</v>
      </c>
      <c r="R86" s="76">
        <v>-623</v>
      </c>
      <c r="S86" s="76">
        <v>-506</v>
      </c>
      <c r="T86" s="76">
        <v>-497</v>
      </c>
      <c r="U86" s="76">
        <v>-529</v>
      </c>
      <c r="V86" s="76">
        <v>-553</v>
      </c>
      <c r="W86" s="76">
        <v>-607</v>
      </c>
      <c r="X86" s="76">
        <v>-631</v>
      </c>
      <c r="Y86" s="76">
        <v>-622</v>
      </c>
      <c r="Z86" s="76">
        <v>-614</v>
      </c>
      <c r="AA86" s="76">
        <v>-547</v>
      </c>
      <c r="AB86" s="76">
        <v>-549</v>
      </c>
      <c r="AC86" s="76">
        <v>-566.9</v>
      </c>
      <c r="AD86" s="76">
        <v>-543</v>
      </c>
      <c r="AE86" s="76">
        <v>-584</v>
      </c>
      <c r="AF86" s="76">
        <v>-620</v>
      </c>
      <c r="AG86" s="88"/>
      <c r="AH86" s="48">
        <f t="shared" si="41"/>
        <v>-497</v>
      </c>
      <c r="AI86" s="49">
        <f t="shared" si="42"/>
        <v>-667</v>
      </c>
      <c r="AK86" s="92"/>
      <c r="AL86" s="93"/>
      <c r="AM86" s="93"/>
      <c r="AN86" s="94"/>
      <c r="AY86" s="82"/>
      <c r="BF86" s="82"/>
      <c r="BG86" s="82">
        <v>-68.3</v>
      </c>
      <c r="BH86" s="82">
        <v>0</v>
      </c>
      <c r="BI86" s="82">
        <v>-665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1"/>
        <v>0</v>
      </c>
      <c r="AI87" s="49">
        <f t="shared" si="42"/>
        <v>0</v>
      </c>
      <c r="AK87" s="95" t="s">
        <v>114</v>
      </c>
      <c r="AL87" s="76"/>
      <c r="AM87" s="89"/>
      <c r="AN87" s="96"/>
      <c r="AY87" s="82"/>
      <c r="BF87" s="82"/>
      <c r="BG87" s="82">
        <v>-11.1</v>
      </c>
      <c r="BH87" s="82">
        <v>0</v>
      </c>
      <c r="BI87" s="82">
        <v>-619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1"/>
        <v>0</v>
      </c>
      <c r="AI88" s="49">
        <f t="shared" si="42"/>
        <v>0</v>
      </c>
      <c r="AK88" s="95" t="s">
        <v>116</v>
      </c>
      <c r="AL88" s="89"/>
      <c r="AM88" s="89"/>
      <c r="AN88" s="96"/>
      <c r="AY88" s="82"/>
      <c r="BF88" s="82"/>
      <c r="BG88" s="82">
        <v>56.7</v>
      </c>
      <c r="BH88" s="82">
        <v>0</v>
      </c>
      <c r="BI88" s="82">
        <v>-612.5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2"/>
        <v>0</v>
      </c>
      <c r="AK89" s="99"/>
      <c r="AL89" s="46"/>
      <c r="AM89" s="46"/>
      <c r="AN89" s="100"/>
      <c r="AY89" s="82"/>
      <c r="BF89" s="82"/>
      <c r="BG89" s="82">
        <v>-63.6</v>
      </c>
      <c r="BH89" s="82">
        <v>0</v>
      </c>
      <c r="BI89" s="82">
        <v>-595.29999999999995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1"/>
        <v>0</v>
      </c>
      <c r="AI90" s="49">
        <f t="shared" si="42"/>
        <v>0</v>
      </c>
      <c r="AK90" s="99"/>
      <c r="AL90" s="90"/>
      <c r="AM90" s="102"/>
      <c r="AN90" s="204"/>
      <c r="AY90" s="82"/>
      <c r="BF90" s="82"/>
      <c r="BG90" s="82">
        <v>-44.1</v>
      </c>
      <c r="BH90" s="82">
        <v>0</v>
      </c>
      <c r="BI90" s="82">
        <v>-557.6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1"/>
        <v>0</v>
      </c>
      <c r="AI91" s="49">
        <f t="shared" si="42"/>
        <v>0</v>
      </c>
      <c r="AK91" s="99"/>
      <c r="AL91" s="90"/>
      <c r="AM91" s="90"/>
      <c r="AN91" s="205"/>
      <c r="BF91" s="82"/>
      <c r="BG91" s="82">
        <v>-56.3</v>
      </c>
      <c r="BH91" s="82">
        <v>0</v>
      </c>
      <c r="BI91" s="82">
        <v>-538.6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1"/>
        <v>0</v>
      </c>
      <c r="AI92" s="49">
        <f t="shared" si="42"/>
        <v>0</v>
      </c>
      <c r="AK92" s="104"/>
      <c r="AL92" s="105"/>
      <c r="AM92" s="105"/>
      <c r="AN92" s="106"/>
      <c r="BF92" s="82"/>
      <c r="BG92" s="82">
        <v>-50</v>
      </c>
      <c r="BH92" s="82">
        <v>0</v>
      </c>
      <c r="BI92" s="82">
        <v>-588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1"/>
        <v>0</v>
      </c>
      <c r="AI93" s="49">
        <f t="shared" si="42"/>
        <v>0</v>
      </c>
      <c r="BF93" s="82"/>
      <c r="BG93" s="82">
        <v>-51</v>
      </c>
      <c r="BH93" s="82">
        <v>0</v>
      </c>
      <c r="BI93" s="82">
        <v>-552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1"/>
        <v>0</v>
      </c>
      <c r="AI94" s="49">
        <f t="shared" si="42"/>
        <v>0</v>
      </c>
      <c r="BF94" s="82"/>
      <c r="BG94" s="82">
        <v>-22</v>
      </c>
      <c r="BH94" s="82">
        <v>0</v>
      </c>
      <c r="BI94" s="82">
        <v>-623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59">SUMIF(D84:D94,"&gt;0")</f>
        <v>0</v>
      </c>
      <c r="E95" s="71">
        <f t="shared" si="59"/>
        <v>0</v>
      </c>
      <c r="F95" s="71">
        <f t="shared" si="59"/>
        <v>0</v>
      </c>
      <c r="G95" s="71">
        <f t="shared" si="59"/>
        <v>0</v>
      </c>
      <c r="H95" s="71">
        <f t="shared" si="59"/>
        <v>0</v>
      </c>
      <c r="I95" s="71">
        <f t="shared" si="59"/>
        <v>0</v>
      </c>
      <c r="J95" s="71">
        <f t="shared" si="59"/>
        <v>0</v>
      </c>
      <c r="K95" s="71">
        <f t="shared" si="59"/>
        <v>56.7</v>
      </c>
      <c r="L95" s="71">
        <f t="shared" si="59"/>
        <v>0</v>
      </c>
      <c r="M95" s="71">
        <f t="shared" si="59"/>
        <v>0</v>
      </c>
      <c r="N95" s="71">
        <f t="shared" si="59"/>
        <v>0</v>
      </c>
      <c r="O95" s="71">
        <f t="shared" si="59"/>
        <v>0</v>
      </c>
      <c r="P95" s="71">
        <f t="shared" si="59"/>
        <v>0</v>
      </c>
      <c r="Q95" s="71">
        <f t="shared" si="59"/>
        <v>0</v>
      </c>
      <c r="R95" s="71">
        <f t="shared" si="59"/>
        <v>0</v>
      </c>
      <c r="S95" s="71">
        <f t="shared" si="59"/>
        <v>2.2999999999999998</v>
      </c>
      <c r="T95" s="71">
        <f t="shared" si="59"/>
        <v>0</v>
      </c>
      <c r="U95" s="71">
        <f>SUMIF(U84:U94,"&gt;0")</f>
        <v>0</v>
      </c>
      <c r="V95" s="71">
        <f t="shared" si="59"/>
        <v>0</v>
      </c>
      <c r="W95" s="71">
        <f t="shared" si="59"/>
        <v>0</v>
      </c>
      <c r="X95" s="71">
        <f t="shared" si="59"/>
        <v>0</v>
      </c>
      <c r="Y95" s="71">
        <f t="shared" si="59"/>
        <v>0</v>
      </c>
      <c r="Z95" s="71">
        <f t="shared" si="59"/>
        <v>0</v>
      </c>
      <c r="AA95" s="71">
        <f t="shared" si="59"/>
        <v>0</v>
      </c>
      <c r="AB95" s="71">
        <f t="shared" si="59"/>
        <v>0</v>
      </c>
      <c r="AC95" s="71">
        <f t="shared" si="59"/>
        <v>0</v>
      </c>
      <c r="AD95" s="71">
        <f t="shared" si="59"/>
        <v>0</v>
      </c>
      <c r="AE95" s="71">
        <f t="shared" si="59"/>
        <v>0</v>
      </c>
      <c r="AF95" s="71">
        <f t="shared" si="59"/>
        <v>0</v>
      </c>
      <c r="AG95" s="101">
        <f>SUM(AG84:AG94)</f>
        <v>0</v>
      </c>
      <c r="AH95" s="48">
        <f t="shared" si="41"/>
        <v>56.7</v>
      </c>
      <c r="AI95" s="49">
        <f t="shared" si="42"/>
        <v>0</v>
      </c>
      <c r="BF95" s="82"/>
      <c r="BG95" s="82">
        <v>2.2999999999999998</v>
      </c>
      <c r="BH95" s="82">
        <v>0</v>
      </c>
      <c r="BI95" s="82">
        <v>-506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1"/>
        <v>0</v>
      </c>
      <c r="AI96" s="49">
        <f t="shared" si="42"/>
        <v>0</v>
      </c>
      <c r="BF96" s="82"/>
      <c r="BG96" s="82">
        <v>-64</v>
      </c>
      <c r="BH96" s="82">
        <v>0</v>
      </c>
      <c r="BI96" s="82">
        <v>-497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1"/>
        <v>0</v>
      </c>
      <c r="AI97" s="49">
        <f t="shared" si="42"/>
        <v>0</v>
      </c>
      <c r="BF97" s="82"/>
      <c r="BG97" s="82">
        <v>-44</v>
      </c>
      <c r="BH97" s="82">
        <v>0</v>
      </c>
      <c r="BI97" s="82">
        <v>-529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1"/>
        <v>0</v>
      </c>
      <c r="AI98" s="49">
        <f t="shared" si="42"/>
        <v>0</v>
      </c>
      <c r="BF98" s="82"/>
      <c r="BG98" s="82">
        <v>-57</v>
      </c>
      <c r="BH98" s="82">
        <v>0</v>
      </c>
      <c r="BI98" s="82">
        <v>-553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1"/>
        <v>0</v>
      </c>
      <c r="AI99" s="49">
        <f t="shared" si="42"/>
        <v>0</v>
      </c>
      <c r="BF99" s="81"/>
      <c r="BG99" s="82">
        <v>-55</v>
      </c>
      <c r="BH99" s="82">
        <v>0</v>
      </c>
      <c r="BI99" s="82">
        <v>-631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60">B61+B65+B83+B79+B95+B99</f>
        <v>2166.1400000000003</v>
      </c>
      <c r="C100" s="108">
        <f t="shared" si="60"/>
        <v>2166.1400000000003</v>
      </c>
      <c r="D100" s="108">
        <f t="shared" si="60"/>
        <v>2166.1400000000003</v>
      </c>
      <c r="E100" s="108">
        <f t="shared" si="60"/>
        <v>2148.9400000000005</v>
      </c>
      <c r="F100" s="108">
        <f t="shared" si="60"/>
        <v>2159.6400000000003</v>
      </c>
      <c r="G100" s="108">
        <f t="shared" si="60"/>
        <v>2137.2400000000002</v>
      </c>
      <c r="H100" s="108">
        <f t="shared" si="60"/>
        <v>2120.7400000000002</v>
      </c>
      <c r="I100" s="108">
        <f t="shared" si="60"/>
        <v>2089.84</v>
      </c>
      <c r="J100" s="108">
        <f t="shared" si="60"/>
        <v>2078.5400000000004</v>
      </c>
      <c r="K100" s="108">
        <f t="shared" si="60"/>
        <v>2029.6399999999999</v>
      </c>
      <c r="L100" s="108">
        <f t="shared" si="60"/>
        <v>2260.84</v>
      </c>
      <c r="M100" s="108">
        <f t="shared" si="60"/>
        <v>2267.94</v>
      </c>
      <c r="N100" s="108">
        <f t="shared" si="60"/>
        <v>2232.44</v>
      </c>
      <c r="O100" s="108">
        <f t="shared" si="60"/>
        <v>2219.04</v>
      </c>
      <c r="P100" s="108">
        <f t="shared" si="60"/>
        <v>2251.14</v>
      </c>
      <c r="Q100" s="108">
        <f t="shared" si="60"/>
        <v>2238.34</v>
      </c>
      <c r="R100" s="108">
        <f t="shared" si="60"/>
        <v>2309.84</v>
      </c>
      <c r="S100" s="108">
        <f t="shared" si="60"/>
        <v>2290.2400000000002</v>
      </c>
      <c r="T100" s="108">
        <f t="shared" si="60"/>
        <v>2295.1400000000003</v>
      </c>
      <c r="U100" s="108">
        <f t="shared" si="60"/>
        <v>2239.1400000000003</v>
      </c>
      <c r="V100" s="108">
        <f t="shared" si="60"/>
        <v>2249.84</v>
      </c>
      <c r="W100" s="108">
        <f t="shared" si="60"/>
        <v>2253.04</v>
      </c>
      <c r="X100" s="108">
        <f t="shared" si="60"/>
        <v>2253.14</v>
      </c>
      <c r="Y100" s="108">
        <f t="shared" si="60"/>
        <v>2250.64</v>
      </c>
      <c r="Z100" s="108">
        <f t="shared" si="60"/>
        <v>2250.64</v>
      </c>
      <c r="AA100" s="108">
        <f t="shared" si="60"/>
        <v>2290.4399999999996</v>
      </c>
      <c r="AB100" s="108">
        <f t="shared" si="60"/>
        <v>2243.94</v>
      </c>
      <c r="AC100" s="108">
        <f t="shared" si="60"/>
        <v>2274.54</v>
      </c>
      <c r="AD100" s="108">
        <f t="shared" si="60"/>
        <v>2239.94</v>
      </c>
      <c r="AE100" s="108">
        <f t="shared" si="60"/>
        <v>2191.1399999999994</v>
      </c>
      <c r="AF100" s="108">
        <f t="shared" si="60"/>
        <v>2188.9399999999996</v>
      </c>
      <c r="AG100" s="72">
        <f t="shared" si="60"/>
        <v>2655.44</v>
      </c>
      <c r="AH100" s="48">
        <f t="shared" si="41"/>
        <v>2309.84</v>
      </c>
      <c r="AI100" s="49">
        <f t="shared" si="42"/>
        <v>2029.6399999999999</v>
      </c>
      <c r="BF100" s="81"/>
      <c r="BG100" s="82">
        <v>-62</v>
      </c>
      <c r="BH100" s="82">
        <v>0</v>
      </c>
      <c r="BI100" s="82">
        <v>-614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1"/>
        <v>0</v>
      </c>
      <c r="AI101" s="49">
        <f t="shared" si="42"/>
        <v>0</v>
      </c>
      <c r="BF101" s="81"/>
      <c r="BG101" s="82">
        <v>-28.9</v>
      </c>
      <c r="BH101" s="82">
        <v>0</v>
      </c>
      <c r="BI101" s="82">
        <v>-549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2166.1400000000003</v>
      </c>
      <c r="C102" s="108">
        <f t="shared" ref="C102:AF102" si="61">C100+C101</f>
        <v>2166.1400000000003</v>
      </c>
      <c r="D102" s="108">
        <f t="shared" si="61"/>
        <v>2166.1400000000003</v>
      </c>
      <c r="E102" s="108">
        <f t="shared" si="61"/>
        <v>2148.9400000000005</v>
      </c>
      <c r="F102" s="108">
        <f t="shared" si="61"/>
        <v>2159.6400000000003</v>
      </c>
      <c r="G102" s="108">
        <f t="shared" si="61"/>
        <v>2137.2400000000002</v>
      </c>
      <c r="H102" s="108">
        <f t="shared" si="61"/>
        <v>2120.7400000000002</v>
      </c>
      <c r="I102" s="108">
        <f t="shared" si="61"/>
        <v>2089.84</v>
      </c>
      <c r="J102" s="108">
        <f t="shared" si="61"/>
        <v>2078.5400000000004</v>
      </c>
      <c r="K102" s="108">
        <f t="shared" si="61"/>
        <v>2029.6399999999999</v>
      </c>
      <c r="L102" s="108">
        <f t="shared" si="61"/>
        <v>2260.84</v>
      </c>
      <c r="M102" s="108">
        <f t="shared" si="61"/>
        <v>2267.94</v>
      </c>
      <c r="N102" s="108">
        <f t="shared" si="61"/>
        <v>2232.44</v>
      </c>
      <c r="O102" s="108">
        <f t="shared" si="61"/>
        <v>2219.04</v>
      </c>
      <c r="P102" s="108">
        <f t="shared" si="61"/>
        <v>2251.14</v>
      </c>
      <c r="Q102" s="108">
        <f t="shared" si="61"/>
        <v>2238.34</v>
      </c>
      <c r="R102" s="108">
        <f t="shared" si="61"/>
        <v>2309.84</v>
      </c>
      <c r="S102" s="108">
        <f t="shared" si="61"/>
        <v>2290.2400000000002</v>
      </c>
      <c r="T102" s="108">
        <f t="shared" si="61"/>
        <v>2295.1400000000003</v>
      </c>
      <c r="U102" s="108">
        <f t="shared" si="61"/>
        <v>2239.1400000000003</v>
      </c>
      <c r="V102" s="108">
        <f t="shared" si="61"/>
        <v>2249.84</v>
      </c>
      <c r="W102" s="108">
        <f t="shared" si="61"/>
        <v>2253.04</v>
      </c>
      <c r="X102" s="108">
        <f t="shared" si="61"/>
        <v>2253.14</v>
      </c>
      <c r="Y102" s="108">
        <f t="shared" si="61"/>
        <v>2250.64</v>
      </c>
      <c r="Z102" s="108">
        <f t="shared" si="61"/>
        <v>2250.64</v>
      </c>
      <c r="AA102" s="108">
        <f t="shared" si="61"/>
        <v>2290.4399999999996</v>
      </c>
      <c r="AB102" s="108">
        <f t="shared" si="61"/>
        <v>2243.94</v>
      </c>
      <c r="AC102" s="108">
        <f t="shared" si="61"/>
        <v>2274.54</v>
      </c>
      <c r="AD102" s="108">
        <f t="shared" si="61"/>
        <v>2239.94</v>
      </c>
      <c r="AE102" s="108">
        <f t="shared" si="61"/>
        <v>2191.1399999999994</v>
      </c>
      <c r="AF102" s="108">
        <f t="shared" si="61"/>
        <v>2188.9399999999996</v>
      </c>
      <c r="AG102" s="101">
        <f>AG99+AG95+AG83+AG79+AG61+AG101</f>
        <v>2117.34</v>
      </c>
      <c r="AH102" s="48">
        <f t="shared" si="41"/>
        <v>2309.84</v>
      </c>
      <c r="AI102" s="49">
        <f t="shared" si="42"/>
        <v>2029.6399999999999</v>
      </c>
      <c r="BF102" s="81"/>
      <c r="BG102" s="82">
        <v>-20</v>
      </c>
      <c r="BH102" s="82">
        <v>0</v>
      </c>
      <c r="BI102" s="82">
        <v>-543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1537.7400000000002</v>
      </c>
      <c r="C103" s="108">
        <f t="shared" ref="C103:AF103" si="62">C102-(C110)</f>
        <v>1521.1400000000003</v>
      </c>
      <c r="D103" s="108">
        <f t="shared" si="62"/>
        <v>1511.1400000000003</v>
      </c>
      <c r="E103" s="108">
        <f t="shared" si="62"/>
        <v>1453.5400000000004</v>
      </c>
      <c r="F103" s="108">
        <f t="shared" si="62"/>
        <v>1426.4400000000003</v>
      </c>
      <c r="G103" s="108">
        <f t="shared" si="62"/>
        <v>1403.9400000000003</v>
      </c>
      <c r="H103" s="108">
        <f t="shared" si="62"/>
        <v>1415.8400000000001</v>
      </c>
      <c r="I103" s="108">
        <f t="shared" si="62"/>
        <v>1459.7400000000002</v>
      </c>
      <c r="J103" s="108">
        <f t="shared" si="62"/>
        <v>1428.8400000000004</v>
      </c>
      <c r="K103" s="108">
        <f t="shared" si="62"/>
        <v>1417.1399999999999</v>
      </c>
      <c r="L103" s="108">
        <f t="shared" si="62"/>
        <v>1594.8400000000001</v>
      </c>
      <c r="M103" s="108">
        <f t="shared" si="62"/>
        <v>1609.04</v>
      </c>
      <c r="N103" s="108">
        <f t="shared" si="62"/>
        <v>1630.74</v>
      </c>
      <c r="O103" s="108">
        <f t="shared" si="62"/>
        <v>1624.1399999999999</v>
      </c>
      <c r="P103" s="108">
        <f t="shared" si="62"/>
        <v>1613.1399999999999</v>
      </c>
      <c r="Q103" s="108">
        <f t="shared" si="62"/>
        <v>1635.3400000000001</v>
      </c>
      <c r="R103" s="108">
        <f t="shared" si="62"/>
        <v>1664.8400000000001</v>
      </c>
      <c r="S103" s="108">
        <f t="shared" si="62"/>
        <v>1784.2400000000002</v>
      </c>
      <c r="T103" s="108">
        <f t="shared" si="62"/>
        <v>1734.1400000000003</v>
      </c>
      <c r="U103" s="108">
        <f t="shared" si="62"/>
        <v>1666.1400000000003</v>
      </c>
      <c r="V103" s="108">
        <f t="shared" si="62"/>
        <v>1639.8400000000001</v>
      </c>
      <c r="W103" s="108">
        <f t="shared" si="62"/>
        <v>1589.04</v>
      </c>
      <c r="X103" s="108">
        <f t="shared" si="62"/>
        <v>1567.1399999999999</v>
      </c>
      <c r="Y103" s="108">
        <f t="shared" si="62"/>
        <v>1575.6399999999999</v>
      </c>
      <c r="Z103" s="108">
        <f t="shared" si="62"/>
        <v>1574.6399999999999</v>
      </c>
      <c r="AA103" s="108">
        <f t="shared" si="62"/>
        <v>1698.0399999999995</v>
      </c>
      <c r="AB103" s="108">
        <f t="shared" si="62"/>
        <v>1666.04</v>
      </c>
      <c r="AC103" s="108">
        <f t="shared" si="62"/>
        <v>1678.54</v>
      </c>
      <c r="AD103" s="108">
        <f t="shared" si="62"/>
        <v>1676.94</v>
      </c>
      <c r="AE103" s="108">
        <f t="shared" si="62"/>
        <v>1576.0399999999995</v>
      </c>
      <c r="AF103" s="108">
        <f t="shared" si="62"/>
        <v>1533.5399999999995</v>
      </c>
      <c r="AG103" s="101"/>
      <c r="AH103" s="48">
        <f t="shared" si="41"/>
        <v>1784.2400000000002</v>
      </c>
      <c r="AI103" s="49">
        <f t="shared" si="42"/>
        <v>1403.9400000000003</v>
      </c>
      <c r="BF103" s="81"/>
      <c r="BG103" s="82">
        <v>-31.1</v>
      </c>
      <c r="BH103" s="82">
        <v>0</v>
      </c>
      <c r="BI103" s="82">
        <v>-584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9" si="63">IF(B84&lt;0,B84*-1,0)</f>
        <v>18.399999999999999</v>
      </c>
      <c r="C104" s="89">
        <f t="shared" si="63"/>
        <v>25</v>
      </c>
      <c r="D104" s="89">
        <f t="shared" si="63"/>
        <v>45</v>
      </c>
      <c r="E104" s="89">
        <f t="shared" si="63"/>
        <v>44</v>
      </c>
      <c r="F104" s="89">
        <f t="shared" si="63"/>
        <v>66.2</v>
      </c>
      <c r="G104" s="89">
        <f t="shared" si="63"/>
        <v>68.3</v>
      </c>
      <c r="H104" s="89">
        <f t="shared" si="63"/>
        <v>69.400000000000006</v>
      </c>
      <c r="I104" s="89">
        <f t="shared" si="63"/>
        <v>11.1</v>
      </c>
      <c r="J104" s="89">
        <f t="shared" si="63"/>
        <v>32.700000000000003</v>
      </c>
      <c r="K104" s="89">
        <f t="shared" si="63"/>
        <v>0</v>
      </c>
      <c r="L104" s="89">
        <f t="shared" si="63"/>
        <v>41</v>
      </c>
      <c r="M104" s="89">
        <f t="shared" si="63"/>
        <v>63.6</v>
      </c>
      <c r="N104" s="89">
        <f t="shared" si="63"/>
        <v>44.1</v>
      </c>
      <c r="O104" s="89">
        <f t="shared" si="63"/>
        <v>56.3</v>
      </c>
      <c r="P104" s="89">
        <f t="shared" si="63"/>
        <v>50</v>
      </c>
      <c r="Q104" s="89">
        <f t="shared" si="63"/>
        <v>51</v>
      </c>
      <c r="R104" s="89">
        <f t="shared" si="63"/>
        <v>22</v>
      </c>
      <c r="S104" s="89">
        <f t="shared" si="63"/>
        <v>0</v>
      </c>
      <c r="T104" s="89">
        <f t="shared" si="63"/>
        <v>64</v>
      </c>
      <c r="U104" s="89">
        <f t="shared" si="63"/>
        <v>44</v>
      </c>
      <c r="V104" s="89">
        <f t="shared" si="63"/>
        <v>57</v>
      </c>
      <c r="W104" s="89">
        <f t="shared" si="63"/>
        <v>57</v>
      </c>
      <c r="X104" s="89">
        <f t="shared" si="63"/>
        <v>55</v>
      </c>
      <c r="Y104" s="89">
        <f t="shared" si="63"/>
        <v>53</v>
      </c>
      <c r="Z104" s="89">
        <f t="shared" si="63"/>
        <v>62</v>
      </c>
      <c r="AA104" s="89">
        <f t="shared" si="63"/>
        <v>45.4</v>
      </c>
      <c r="AB104" s="89">
        <f t="shared" si="63"/>
        <v>28.9</v>
      </c>
      <c r="AC104" s="89">
        <f t="shared" si="63"/>
        <v>29.1</v>
      </c>
      <c r="AD104" s="89">
        <f t="shared" si="63"/>
        <v>20</v>
      </c>
      <c r="AE104" s="89">
        <f t="shared" si="63"/>
        <v>31.1</v>
      </c>
      <c r="AF104" s="89">
        <f t="shared" si="63"/>
        <v>35.4</v>
      </c>
      <c r="AG104" s="61"/>
      <c r="AH104" s="48">
        <f t="shared" si="41"/>
        <v>69.400000000000006</v>
      </c>
      <c r="AI104" s="49">
        <f t="shared" si="42"/>
        <v>0</v>
      </c>
      <c r="BG104" s="82">
        <v>-35.4</v>
      </c>
      <c r="BH104" s="82">
        <v>0</v>
      </c>
      <c r="BI104" s="82">
        <v>-620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63"/>
        <v>0</v>
      </c>
      <c r="C105" s="89">
        <f t="shared" si="63"/>
        <v>0</v>
      </c>
      <c r="D105" s="89">
        <f t="shared" si="63"/>
        <v>0</v>
      </c>
      <c r="E105" s="89">
        <f t="shared" si="63"/>
        <v>0</v>
      </c>
      <c r="F105" s="89">
        <f t="shared" si="63"/>
        <v>0</v>
      </c>
      <c r="G105" s="89">
        <f t="shared" si="63"/>
        <v>0</v>
      </c>
      <c r="H105" s="89">
        <f t="shared" si="63"/>
        <v>0</v>
      </c>
      <c r="I105" s="89">
        <f t="shared" si="63"/>
        <v>0</v>
      </c>
      <c r="J105" s="89">
        <f t="shared" si="63"/>
        <v>0</v>
      </c>
      <c r="K105" s="89">
        <f t="shared" si="63"/>
        <v>0</v>
      </c>
      <c r="L105" s="89">
        <f t="shared" si="63"/>
        <v>0</v>
      </c>
      <c r="M105" s="89">
        <f t="shared" si="63"/>
        <v>0</v>
      </c>
      <c r="N105" s="89">
        <f t="shared" si="63"/>
        <v>0</v>
      </c>
      <c r="O105" s="89">
        <f t="shared" si="63"/>
        <v>0</v>
      </c>
      <c r="P105" s="89">
        <f t="shared" si="63"/>
        <v>0</v>
      </c>
      <c r="Q105" s="89">
        <f t="shared" si="63"/>
        <v>0</v>
      </c>
      <c r="R105" s="89">
        <f t="shared" si="63"/>
        <v>0</v>
      </c>
      <c r="S105" s="89">
        <f t="shared" si="63"/>
        <v>0</v>
      </c>
      <c r="T105" s="89">
        <f t="shared" si="63"/>
        <v>0</v>
      </c>
      <c r="U105" s="89">
        <f t="shared" si="63"/>
        <v>0</v>
      </c>
      <c r="V105" s="89">
        <f t="shared" si="63"/>
        <v>0</v>
      </c>
      <c r="W105" s="89">
        <f t="shared" si="63"/>
        <v>0</v>
      </c>
      <c r="X105" s="89">
        <f t="shared" si="63"/>
        <v>0</v>
      </c>
      <c r="Y105" s="89">
        <f t="shared" si="63"/>
        <v>0</v>
      </c>
      <c r="Z105" s="89">
        <f t="shared" si="63"/>
        <v>0</v>
      </c>
      <c r="AA105" s="89">
        <f t="shared" si="63"/>
        <v>0</v>
      </c>
      <c r="AB105" s="89">
        <f t="shared" si="63"/>
        <v>0</v>
      </c>
      <c r="AC105" s="89">
        <f t="shared" si="63"/>
        <v>0</v>
      </c>
      <c r="AD105" s="89">
        <f t="shared" si="63"/>
        <v>0</v>
      </c>
      <c r="AE105" s="89">
        <f t="shared" si="63"/>
        <v>0</v>
      </c>
      <c r="AF105" s="89">
        <f t="shared" si="63"/>
        <v>0</v>
      </c>
      <c r="AG105" s="66"/>
      <c r="AH105" s="48">
        <f t="shared" si="41"/>
        <v>0</v>
      </c>
      <c r="AI105" s="49">
        <f t="shared" si="42"/>
        <v>0</v>
      </c>
      <c r="AK105" s="51"/>
      <c r="BG105" s="82">
        <v>-18.399999999999999</v>
      </c>
      <c r="BH105" s="82">
        <v>0</v>
      </c>
      <c r="BI105" s="82">
        <v>-610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63"/>
        <v>610</v>
      </c>
      <c r="C106" s="89">
        <f t="shared" si="63"/>
        <v>620</v>
      </c>
      <c r="D106" s="89">
        <f t="shared" si="63"/>
        <v>610</v>
      </c>
      <c r="E106" s="89">
        <f t="shared" si="63"/>
        <v>651.4</v>
      </c>
      <c r="F106" s="89">
        <f t="shared" si="63"/>
        <v>667</v>
      </c>
      <c r="G106" s="89">
        <f t="shared" si="63"/>
        <v>665</v>
      </c>
      <c r="H106" s="89">
        <f t="shared" si="63"/>
        <v>635.5</v>
      </c>
      <c r="I106" s="89">
        <f t="shared" si="63"/>
        <v>619</v>
      </c>
      <c r="J106" s="89">
        <f t="shared" si="63"/>
        <v>617</v>
      </c>
      <c r="K106" s="89">
        <f t="shared" si="63"/>
        <v>612.5</v>
      </c>
      <c r="L106" s="89">
        <f t="shared" si="63"/>
        <v>625</v>
      </c>
      <c r="M106" s="89">
        <f t="shared" si="63"/>
        <v>595.29999999999995</v>
      </c>
      <c r="N106" s="89">
        <f t="shared" si="63"/>
        <v>557.6</v>
      </c>
      <c r="O106" s="89">
        <f t="shared" si="63"/>
        <v>538.6</v>
      </c>
      <c r="P106" s="89">
        <f t="shared" si="63"/>
        <v>588</v>
      </c>
      <c r="Q106" s="89">
        <f t="shared" si="63"/>
        <v>552</v>
      </c>
      <c r="R106" s="89">
        <f t="shared" si="63"/>
        <v>623</v>
      </c>
      <c r="S106" s="89">
        <f t="shared" si="63"/>
        <v>506</v>
      </c>
      <c r="T106" s="89">
        <f t="shared" si="63"/>
        <v>497</v>
      </c>
      <c r="U106" s="89">
        <f t="shared" si="63"/>
        <v>529</v>
      </c>
      <c r="V106" s="89">
        <f t="shared" si="63"/>
        <v>553</v>
      </c>
      <c r="W106" s="89">
        <f t="shared" si="63"/>
        <v>607</v>
      </c>
      <c r="X106" s="89">
        <f t="shared" si="63"/>
        <v>631</v>
      </c>
      <c r="Y106" s="89">
        <f t="shared" si="63"/>
        <v>622</v>
      </c>
      <c r="Z106" s="89">
        <f t="shared" si="63"/>
        <v>614</v>
      </c>
      <c r="AA106" s="89">
        <f t="shared" si="63"/>
        <v>547</v>
      </c>
      <c r="AB106" s="89">
        <f t="shared" si="63"/>
        <v>549</v>
      </c>
      <c r="AC106" s="89">
        <f t="shared" si="63"/>
        <v>566.9</v>
      </c>
      <c r="AD106" s="89">
        <f t="shared" si="63"/>
        <v>543</v>
      </c>
      <c r="AE106" s="89">
        <f t="shared" si="63"/>
        <v>584</v>
      </c>
      <c r="AF106" s="89">
        <f t="shared" si="63"/>
        <v>620</v>
      </c>
      <c r="AG106" s="111"/>
      <c r="AH106" s="48">
        <f t="shared" si="41"/>
        <v>667</v>
      </c>
      <c r="AI106" s="49">
        <f t="shared" si="42"/>
        <v>497</v>
      </c>
    </row>
    <row r="107" spans="1:64" x14ac:dyDescent="0.25">
      <c r="A107" s="97" t="s">
        <v>107</v>
      </c>
      <c r="B107" s="89">
        <f t="shared" si="63"/>
        <v>0</v>
      </c>
      <c r="C107" s="89">
        <f t="shared" si="63"/>
        <v>0</v>
      </c>
      <c r="D107" s="89">
        <f t="shared" si="63"/>
        <v>0</v>
      </c>
      <c r="E107" s="89">
        <f t="shared" si="63"/>
        <v>0</v>
      </c>
      <c r="F107" s="89">
        <f t="shared" si="63"/>
        <v>0</v>
      </c>
      <c r="G107" s="89">
        <f t="shared" si="63"/>
        <v>0</v>
      </c>
      <c r="H107" s="89">
        <f t="shared" si="63"/>
        <v>0</v>
      </c>
      <c r="I107" s="89">
        <f t="shared" si="63"/>
        <v>0</v>
      </c>
      <c r="J107" s="89">
        <f t="shared" si="63"/>
        <v>0</v>
      </c>
      <c r="K107" s="89">
        <f t="shared" si="63"/>
        <v>0</v>
      </c>
      <c r="L107" s="89">
        <f t="shared" si="63"/>
        <v>0</v>
      </c>
      <c r="M107" s="89">
        <f t="shared" si="63"/>
        <v>0</v>
      </c>
      <c r="N107" s="89">
        <f t="shared" si="63"/>
        <v>0</v>
      </c>
      <c r="O107" s="89">
        <f t="shared" si="63"/>
        <v>0</v>
      </c>
      <c r="P107" s="89">
        <f t="shared" si="63"/>
        <v>0</v>
      </c>
      <c r="Q107" s="89">
        <f t="shared" si="63"/>
        <v>0</v>
      </c>
      <c r="R107" s="89">
        <f t="shared" si="63"/>
        <v>0</v>
      </c>
      <c r="S107" s="89">
        <f t="shared" si="63"/>
        <v>0</v>
      </c>
      <c r="T107" s="89">
        <f t="shared" si="63"/>
        <v>0</v>
      </c>
      <c r="U107" s="89">
        <f t="shared" si="63"/>
        <v>0</v>
      </c>
      <c r="V107" s="89">
        <f t="shared" si="63"/>
        <v>0</v>
      </c>
      <c r="W107" s="89">
        <f t="shared" si="63"/>
        <v>0</v>
      </c>
      <c r="X107" s="89">
        <f t="shared" si="63"/>
        <v>0</v>
      </c>
      <c r="Y107" s="89">
        <f t="shared" si="63"/>
        <v>0</v>
      </c>
      <c r="Z107" s="89">
        <f t="shared" si="63"/>
        <v>0</v>
      </c>
      <c r="AA107" s="89">
        <f t="shared" si="63"/>
        <v>0</v>
      </c>
      <c r="AB107" s="89">
        <f t="shared" si="63"/>
        <v>0</v>
      </c>
      <c r="AC107" s="89">
        <f t="shared" si="63"/>
        <v>0</v>
      </c>
      <c r="AD107" s="89">
        <f t="shared" si="63"/>
        <v>0</v>
      </c>
      <c r="AE107" s="89">
        <f t="shared" si="63"/>
        <v>0</v>
      </c>
      <c r="AF107" s="89">
        <f t="shared" si="63"/>
        <v>0</v>
      </c>
      <c r="AG107" s="111"/>
      <c r="AH107" s="48">
        <f t="shared" si="41"/>
        <v>0</v>
      </c>
      <c r="AI107" s="49">
        <f t="shared" si="42"/>
        <v>0</v>
      </c>
    </row>
    <row r="108" spans="1:64" x14ac:dyDescent="0.25">
      <c r="A108" s="97" t="s">
        <v>108</v>
      </c>
      <c r="B108" s="89">
        <f t="shared" si="63"/>
        <v>0</v>
      </c>
      <c r="C108" s="89">
        <f t="shared" si="63"/>
        <v>0</v>
      </c>
      <c r="D108" s="89">
        <f t="shared" si="63"/>
        <v>0</v>
      </c>
      <c r="E108" s="89">
        <f t="shared" si="63"/>
        <v>0</v>
      </c>
      <c r="F108" s="89">
        <f t="shared" si="63"/>
        <v>0</v>
      </c>
      <c r="G108" s="89">
        <f t="shared" si="63"/>
        <v>0</v>
      </c>
      <c r="H108" s="89">
        <f t="shared" si="63"/>
        <v>0</v>
      </c>
      <c r="I108" s="89">
        <f t="shared" si="63"/>
        <v>0</v>
      </c>
      <c r="J108" s="89">
        <f t="shared" si="63"/>
        <v>0</v>
      </c>
      <c r="K108" s="89">
        <f t="shared" si="63"/>
        <v>0</v>
      </c>
      <c r="L108" s="89">
        <f t="shared" si="63"/>
        <v>0</v>
      </c>
      <c r="M108" s="89">
        <f t="shared" si="63"/>
        <v>0</v>
      </c>
      <c r="N108" s="89">
        <f t="shared" si="63"/>
        <v>0</v>
      </c>
      <c r="O108" s="89">
        <f t="shared" si="63"/>
        <v>0</v>
      </c>
      <c r="P108" s="89">
        <f t="shared" si="63"/>
        <v>0</v>
      </c>
      <c r="Q108" s="89">
        <f t="shared" si="63"/>
        <v>0</v>
      </c>
      <c r="R108" s="89">
        <f t="shared" si="63"/>
        <v>0</v>
      </c>
      <c r="S108" s="89">
        <f t="shared" si="63"/>
        <v>0</v>
      </c>
      <c r="T108" s="89">
        <f t="shared" si="63"/>
        <v>0</v>
      </c>
      <c r="U108" s="89">
        <f t="shared" si="63"/>
        <v>0</v>
      </c>
      <c r="V108" s="89">
        <f t="shared" si="63"/>
        <v>0</v>
      </c>
      <c r="W108" s="89">
        <f t="shared" si="63"/>
        <v>0</v>
      </c>
      <c r="X108" s="89">
        <f t="shared" si="63"/>
        <v>0</v>
      </c>
      <c r="Y108" s="89">
        <f t="shared" si="63"/>
        <v>0</v>
      </c>
      <c r="Z108" s="89">
        <f t="shared" si="63"/>
        <v>0</v>
      </c>
      <c r="AA108" s="89">
        <f t="shared" si="63"/>
        <v>0</v>
      </c>
      <c r="AB108" s="89">
        <f t="shared" si="63"/>
        <v>0</v>
      </c>
      <c r="AC108" s="89">
        <f t="shared" si="63"/>
        <v>0</v>
      </c>
      <c r="AD108" s="89">
        <f t="shared" si="63"/>
        <v>0</v>
      </c>
      <c r="AE108" s="89">
        <f t="shared" si="63"/>
        <v>0</v>
      </c>
      <c r="AF108" s="89">
        <f t="shared" si="63"/>
        <v>0</v>
      </c>
      <c r="AG108" s="111"/>
      <c r="AH108" s="48">
        <f t="shared" si="41"/>
        <v>0</v>
      </c>
      <c r="AI108" s="49">
        <f t="shared" si="42"/>
        <v>0</v>
      </c>
    </row>
    <row r="109" spans="1:64" ht="15.75" thickBot="1" x14ac:dyDescent="0.3">
      <c r="A109" s="97" t="s">
        <v>117</v>
      </c>
      <c r="B109" s="89">
        <f t="shared" si="63"/>
        <v>0</v>
      </c>
      <c r="C109" s="89">
        <f t="shared" si="63"/>
        <v>0</v>
      </c>
      <c r="D109" s="89">
        <f t="shared" si="63"/>
        <v>0</v>
      </c>
      <c r="E109" s="89">
        <f t="shared" si="63"/>
        <v>0</v>
      </c>
      <c r="F109" s="89">
        <f t="shared" si="63"/>
        <v>0</v>
      </c>
      <c r="G109" s="89">
        <f t="shared" si="63"/>
        <v>0</v>
      </c>
      <c r="H109" s="89">
        <f t="shared" si="63"/>
        <v>0</v>
      </c>
      <c r="I109" s="89">
        <f t="shared" si="63"/>
        <v>0</v>
      </c>
      <c r="J109" s="89">
        <f t="shared" si="63"/>
        <v>0</v>
      </c>
      <c r="K109" s="89">
        <f t="shared" si="63"/>
        <v>0</v>
      </c>
      <c r="L109" s="89">
        <f t="shared" si="63"/>
        <v>0</v>
      </c>
      <c r="M109" s="89">
        <f t="shared" si="63"/>
        <v>0</v>
      </c>
      <c r="N109" s="89">
        <f t="shared" si="63"/>
        <v>0</v>
      </c>
      <c r="O109" s="89">
        <f t="shared" si="63"/>
        <v>0</v>
      </c>
      <c r="P109" s="89">
        <f t="shared" si="63"/>
        <v>0</v>
      </c>
      <c r="Q109" s="89">
        <f t="shared" si="63"/>
        <v>0</v>
      </c>
      <c r="R109" s="89">
        <f t="shared" si="63"/>
        <v>0</v>
      </c>
      <c r="S109" s="89">
        <f t="shared" si="63"/>
        <v>0</v>
      </c>
      <c r="T109" s="89">
        <f t="shared" si="63"/>
        <v>0</v>
      </c>
      <c r="U109" s="89">
        <f t="shared" si="63"/>
        <v>0</v>
      </c>
      <c r="V109" s="89">
        <f t="shared" si="63"/>
        <v>0</v>
      </c>
      <c r="W109" s="89">
        <f t="shared" si="63"/>
        <v>0</v>
      </c>
      <c r="X109" s="89">
        <f t="shared" si="63"/>
        <v>0</v>
      </c>
      <c r="Y109" s="89">
        <f t="shared" si="63"/>
        <v>0</v>
      </c>
      <c r="Z109" s="89">
        <f t="shared" si="63"/>
        <v>0</v>
      </c>
      <c r="AA109" s="89">
        <f t="shared" si="63"/>
        <v>0</v>
      </c>
      <c r="AB109" s="89">
        <f t="shared" si="63"/>
        <v>0</v>
      </c>
      <c r="AC109" s="89">
        <f t="shared" si="63"/>
        <v>0</v>
      </c>
      <c r="AD109" s="89">
        <f t="shared" si="63"/>
        <v>0</v>
      </c>
      <c r="AE109" s="89">
        <f t="shared" si="63"/>
        <v>0</v>
      </c>
      <c r="AF109" s="89">
        <f t="shared" si="63"/>
        <v>0</v>
      </c>
      <c r="AG109" s="98"/>
      <c r="AH109" s="48">
        <f t="shared" si="41"/>
        <v>0</v>
      </c>
      <c r="AI109" s="49">
        <f t="shared" si="42"/>
        <v>0</v>
      </c>
    </row>
    <row r="110" spans="1:64" ht="15.75" thickBot="1" x14ac:dyDescent="0.3">
      <c r="A110" s="112" t="s">
        <v>130</v>
      </c>
      <c r="B110" s="71">
        <f>SUM(B104:B109)</f>
        <v>628.4</v>
      </c>
      <c r="C110" s="71">
        <f t="shared" ref="C110:AF110" si="64">SUM(C104:C109)</f>
        <v>645</v>
      </c>
      <c r="D110" s="71">
        <f t="shared" si="64"/>
        <v>655</v>
      </c>
      <c r="E110" s="71">
        <f t="shared" si="64"/>
        <v>695.4</v>
      </c>
      <c r="F110" s="71">
        <f t="shared" si="64"/>
        <v>733.2</v>
      </c>
      <c r="G110" s="71">
        <f t="shared" si="64"/>
        <v>733.3</v>
      </c>
      <c r="H110" s="71">
        <f t="shared" si="64"/>
        <v>704.9</v>
      </c>
      <c r="I110" s="71">
        <f t="shared" si="64"/>
        <v>630.1</v>
      </c>
      <c r="J110" s="71">
        <f t="shared" si="64"/>
        <v>649.70000000000005</v>
      </c>
      <c r="K110" s="71">
        <f t="shared" si="64"/>
        <v>612.5</v>
      </c>
      <c r="L110" s="71">
        <f t="shared" si="64"/>
        <v>666</v>
      </c>
      <c r="M110" s="71">
        <f t="shared" si="64"/>
        <v>658.9</v>
      </c>
      <c r="N110" s="71">
        <f t="shared" si="64"/>
        <v>601.70000000000005</v>
      </c>
      <c r="O110" s="71">
        <f t="shared" si="64"/>
        <v>594.9</v>
      </c>
      <c r="P110" s="71">
        <f t="shared" si="64"/>
        <v>638</v>
      </c>
      <c r="Q110" s="71">
        <f t="shared" si="64"/>
        <v>603</v>
      </c>
      <c r="R110" s="71">
        <f t="shared" si="64"/>
        <v>645</v>
      </c>
      <c r="S110" s="71">
        <f t="shared" si="64"/>
        <v>506</v>
      </c>
      <c r="T110" s="71">
        <f t="shared" si="64"/>
        <v>561</v>
      </c>
      <c r="U110" s="71">
        <f t="shared" si="64"/>
        <v>573</v>
      </c>
      <c r="V110" s="71">
        <f t="shared" si="64"/>
        <v>610</v>
      </c>
      <c r="W110" s="71">
        <f t="shared" si="64"/>
        <v>664</v>
      </c>
      <c r="X110" s="71">
        <f t="shared" si="64"/>
        <v>686</v>
      </c>
      <c r="Y110" s="71">
        <f t="shared" si="64"/>
        <v>675</v>
      </c>
      <c r="Z110" s="71">
        <f t="shared" si="64"/>
        <v>676</v>
      </c>
      <c r="AA110" s="71">
        <f t="shared" si="64"/>
        <v>592.4</v>
      </c>
      <c r="AB110" s="71">
        <f t="shared" si="64"/>
        <v>577.9</v>
      </c>
      <c r="AC110" s="71">
        <f t="shared" si="64"/>
        <v>596</v>
      </c>
      <c r="AD110" s="71">
        <f t="shared" si="64"/>
        <v>563</v>
      </c>
      <c r="AE110" s="71">
        <f t="shared" si="64"/>
        <v>615.1</v>
      </c>
      <c r="AF110" s="71">
        <f t="shared" si="64"/>
        <v>655.4</v>
      </c>
      <c r="AG110" s="101"/>
      <c r="AH110" s="48">
        <f t="shared" si="41"/>
        <v>733.3</v>
      </c>
      <c r="AI110" s="49">
        <f t="shared" si="42"/>
        <v>506</v>
      </c>
    </row>
    <row r="111" spans="1:64" ht="15.75" thickBot="1" x14ac:dyDescent="0.3">
      <c r="A111" s="87" t="s">
        <v>131</v>
      </c>
      <c r="B111" s="71">
        <f t="shared" ref="B111:AF111" si="65">B95-B110</f>
        <v>-628.4</v>
      </c>
      <c r="C111" s="71">
        <f t="shared" si="65"/>
        <v>-645</v>
      </c>
      <c r="D111" s="71">
        <f t="shared" si="65"/>
        <v>-655</v>
      </c>
      <c r="E111" s="71">
        <f t="shared" si="65"/>
        <v>-695.4</v>
      </c>
      <c r="F111" s="71">
        <f t="shared" si="65"/>
        <v>-733.2</v>
      </c>
      <c r="G111" s="71">
        <f t="shared" si="65"/>
        <v>-733.3</v>
      </c>
      <c r="H111" s="71">
        <f t="shared" si="65"/>
        <v>-704.9</v>
      </c>
      <c r="I111" s="71">
        <f t="shared" si="65"/>
        <v>-630.1</v>
      </c>
      <c r="J111" s="71">
        <f t="shared" si="65"/>
        <v>-649.70000000000005</v>
      </c>
      <c r="K111" s="71">
        <f t="shared" si="65"/>
        <v>-555.79999999999995</v>
      </c>
      <c r="L111" s="71">
        <f t="shared" si="65"/>
        <v>-666</v>
      </c>
      <c r="M111" s="71">
        <f t="shared" si="65"/>
        <v>-658.9</v>
      </c>
      <c r="N111" s="71">
        <f t="shared" si="65"/>
        <v>-601.70000000000005</v>
      </c>
      <c r="O111" s="71">
        <f t="shared" si="65"/>
        <v>-594.9</v>
      </c>
      <c r="P111" s="71">
        <f t="shared" si="65"/>
        <v>-638</v>
      </c>
      <c r="Q111" s="71">
        <f t="shared" si="65"/>
        <v>-603</v>
      </c>
      <c r="R111" s="71">
        <f t="shared" si="65"/>
        <v>-645</v>
      </c>
      <c r="S111" s="71">
        <f t="shared" si="65"/>
        <v>-503.7</v>
      </c>
      <c r="T111" s="71">
        <f t="shared" si="65"/>
        <v>-561</v>
      </c>
      <c r="U111" s="71">
        <f t="shared" si="65"/>
        <v>-573</v>
      </c>
      <c r="V111" s="71">
        <f t="shared" si="65"/>
        <v>-610</v>
      </c>
      <c r="W111" s="71">
        <f t="shared" si="65"/>
        <v>-664</v>
      </c>
      <c r="X111" s="71">
        <f t="shared" si="65"/>
        <v>-686</v>
      </c>
      <c r="Y111" s="71">
        <f t="shared" si="65"/>
        <v>-675</v>
      </c>
      <c r="Z111" s="71">
        <f t="shared" si="65"/>
        <v>-676</v>
      </c>
      <c r="AA111" s="71">
        <f t="shared" si="65"/>
        <v>-592.4</v>
      </c>
      <c r="AB111" s="71">
        <f t="shared" si="65"/>
        <v>-577.9</v>
      </c>
      <c r="AC111" s="71">
        <f t="shared" si="65"/>
        <v>-596</v>
      </c>
      <c r="AD111" s="71">
        <f t="shared" si="65"/>
        <v>-563</v>
      </c>
      <c r="AE111" s="71">
        <f t="shared" si="65"/>
        <v>-615.1</v>
      </c>
      <c r="AF111" s="71">
        <f t="shared" si="65"/>
        <v>-655.4</v>
      </c>
      <c r="AG111" s="101"/>
      <c r="AH111" s="48">
        <f t="shared" si="41"/>
        <v>-503.7</v>
      </c>
      <c r="AI111" s="49">
        <f t="shared" si="42"/>
        <v>-733.3</v>
      </c>
    </row>
    <row r="112" spans="1:64" x14ac:dyDescent="0.25">
      <c r="A112" s="113" t="s">
        <v>132</v>
      </c>
      <c r="B112" s="114">
        <v>50.078000000000003</v>
      </c>
      <c r="C112" s="114">
        <v>50.078000000000003</v>
      </c>
      <c r="D112" s="114">
        <v>50</v>
      </c>
      <c r="E112" s="114">
        <v>50.045000000000002</v>
      </c>
      <c r="F112" s="114">
        <v>50.024000000000001</v>
      </c>
      <c r="G112" s="114">
        <v>49.962000000000003</v>
      </c>
      <c r="H112" s="114">
        <v>49.96</v>
      </c>
      <c r="I112" s="114">
        <v>49.942999999999998</v>
      </c>
      <c r="J112" s="114">
        <v>50.045999999999999</v>
      </c>
      <c r="K112" s="114">
        <v>49.997999999999998</v>
      </c>
      <c r="L112" s="114">
        <v>50.048999999999999</v>
      </c>
      <c r="M112" s="114">
        <v>50.029000000000003</v>
      </c>
      <c r="N112" s="114">
        <v>50</v>
      </c>
      <c r="O112" s="114">
        <v>50.023000000000003</v>
      </c>
      <c r="P112" s="114">
        <v>49.89</v>
      </c>
      <c r="Q112" s="114">
        <v>50.015000000000001</v>
      </c>
      <c r="R112" s="114">
        <v>49.96</v>
      </c>
      <c r="S112" s="114">
        <v>50.122</v>
      </c>
      <c r="T112" s="114">
        <v>49.970999999999997</v>
      </c>
      <c r="U112" s="114">
        <v>50.023000000000003</v>
      </c>
      <c r="V112" s="114">
        <v>50.023000000000003</v>
      </c>
      <c r="W112" s="114">
        <v>49.991999999999997</v>
      </c>
      <c r="X112" s="114">
        <v>49.975999999999999</v>
      </c>
      <c r="Y112" s="114">
        <v>50</v>
      </c>
      <c r="Z112" s="114">
        <v>49.99</v>
      </c>
      <c r="AA112" s="114">
        <v>49.908999999999999</v>
      </c>
      <c r="AB112" s="114">
        <v>49.984999999999999</v>
      </c>
      <c r="AC112" s="114">
        <v>50.03</v>
      </c>
      <c r="AD112" s="114">
        <v>49.984999999999999</v>
      </c>
      <c r="AE112" s="114">
        <v>50</v>
      </c>
      <c r="AF112" s="114">
        <v>50</v>
      </c>
      <c r="AG112" s="115"/>
      <c r="AH112" s="48">
        <f t="shared" si="41"/>
        <v>50.122</v>
      </c>
      <c r="AI112" s="49">
        <f t="shared" si="42"/>
        <v>49.89</v>
      </c>
    </row>
    <row r="113" spans="1:35" x14ac:dyDescent="0.25">
      <c r="A113" s="116" t="s">
        <v>133</v>
      </c>
      <c r="B113" s="76">
        <v>126.4</v>
      </c>
      <c r="C113" s="76">
        <v>126.4</v>
      </c>
      <c r="D113" s="76">
        <v>123</v>
      </c>
      <c r="E113" s="76">
        <v>122.5</v>
      </c>
      <c r="F113" s="76">
        <v>123.6</v>
      </c>
      <c r="G113" s="76">
        <v>125.3</v>
      </c>
      <c r="H113" s="76">
        <v>125.1</v>
      </c>
      <c r="I113" s="76">
        <v>123.9</v>
      </c>
      <c r="J113" s="76">
        <v>123.2</v>
      </c>
      <c r="K113" s="76">
        <v>121.7</v>
      </c>
      <c r="L113" s="76">
        <v>119.2</v>
      </c>
      <c r="M113" s="76">
        <v>120.1</v>
      </c>
      <c r="N113" s="76">
        <v>117</v>
      </c>
      <c r="O113" s="76">
        <v>117.4</v>
      </c>
      <c r="P113" s="76">
        <v>118.2</v>
      </c>
      <c r="Q113" s="76">
        <v>119.3</v>
      </c>
      <c r="R113" s="76">
        <v>120</v>
      </c>
      <c r="S113" s="76">
        <v>120.5</v>
      </c>
      <c r="T113" s="76">
        <v>118.7</v>
      </c>
      <c r="U113" s="76">
        <v>120.3</v>
      </c>
      <c r="V113" s="76">
        <v>120.3</v>
      </c>
      <c r="W113" s="76">
        <v>121.3</v>
      </c>
      <c r="X113" s="76">
        <v>122.3</v>
      </c>
      <c r="Y113" s="76">
        <v>121.6</v>
      </c>
      <c r="Z113" s="76">
        <v>123.7</v>
      </c>
      <c r="AA113" s="76">
        <v>123.1</v>
      </c>
      <c r="AB113" s="76">
        <v>124.3</v>
      </c>
      <c r="AC113" s="76">
        <v>126.3</v>
      </c>
      <c r="AD113" s="76">
        <v>123.6</v>
      </c>
      <c r="AE113" s="76">
        <v>122.9</v>
      </c>
      <c r="AF113" s="76">
        <v>124.9</v>
      </c>
      <c r="AG113" s="117"/>
      <c r="AH113" s="48">
        <f t="shared" si="41"/>
        <v>126.4</v>
      </c>
      <c r="AI113" s="49">
        <f t="shared" si="42"/>
        <v>117</v>
      </c>
    </row>
    <row r="114" spans="1:35" x14ac:dyDescent="0.25">
      <c r="A114" s="116" t="s">
        <v>134</v>
      </c>
      <c r="B114" s="76">
        <v>130.6</v>
      </c>
      <c r="C114" s="76">
        <v>130.6</v>
      </c>
      <c r="D114" s="76">
        <v>126.8</v>
      </c>
      <c r="E114" s="76">
        <v>127.1</v>
      </c>
      <c r="F114" s="76">
        <v>128.9</v>
      </c>
      <c r="G114" s="76">
        <v>130.1</v>
      </c>
      <c r="H114" s="76">
        <v>129.69999999999999</v>
      </c>
      <c r="I114" s="76">
        <v>128.19999999999999</v>
      </c>
      <c r="J114" s="76">
        <v>127.2</v>
      </c>
      <c r="K114" s="76">
        <v>126</v>
      </c>
      <c r="L114" s="76">
        <v>124</v>
      </c>
      <c r="M114" s="76">
        <v>123.7</v>
      </c>
      <c r="N114" s="76">
        <v>118.5</v>
      </c>
      <c r="O114" s="76">
        <v>122</v>
      </c>
      <c r="P114" s="76">
        <v>122.4</v>
      </c>
      <c r="Q114" s="76">
        <v>123.3</v>
      </c>
      <c r="R114" s="76">
        <v>122.2</v>
      </c>
      <c r="S114" s="76">
        <v>124.2</v>
      </c>
      <c r="T114" s="76">
        <v>123</v>
      </c>
      <c r="U114" s="76">
        <v>124.7</v>
      </c>
      <c r="V114" s="76">
        <v>124.7</v>
      </c>
      <c r="W114" s="76">
        <v>124.8</v>
      </c>
      <c r="X114" s="76">
        <v>125.8</v>
      </c>
      <c r="Y114" s="76">
        <v>125.2</v>
      </c>
      <c r="Z114" s="76">
        <v>127.3</v>
      </c>
      <c r="AA114" s="76">
        <v>126.6</v>
      </c>
      <c r="AB114" s="76">
        <v>127.1</v>
      </c>
      <c r="AC114" s="76">
        <v>128.6</v>
      </c>
      <c r="AD114" s="76">
        <v>127.1</v>
      </c>
      <c r="AE114" s="76">
        <v>127.3</v>
      </c>
      <c r="AF114" s="76">
        <v>129.80000000000001</v>
      </c>
      <c r="AG114" s="117"/>
      <c r="AH114" s="48">
        <f t="shared" si="41"/>
        <v>130.6</v>
      </c>
      <c r="AI114" s="49">
        <f t="shared" si="42"/>
        <v>118.5</v>
      </c>
    </row>
    <row r="115" spans="1:35" x14ac:dyDescent="0.25">
      <c r="A115" s="116" t="s">
        <v>135</v>
      </c>
      <c r="B115" s="76">
        <v>130.5</v>
      </c>
      <c r="C115" s="76">
        <v>130.5</v>
      </c>
      <c r="D115" s="76">
        <v>131.4</v>
      </c>
      <c r="E115" s="76">
        <v>131.69999999999999</v>
      </c>
      <c r="F115" s="76">
        <v>131.6</v>
      </c>
      <c r="G115" s="76">
        <v>130.9</v>
      </c>
      <c r="H115" s="76">
        <v>130.80000000000001</v>
      </c>
      <c r="I115" s="76">
        <v>131.19999999999999</v>
      </c>
      <c r="J115" s="76">
        <v>129.9</v>
      </c>
      <c r="K115" s="76">
        <v>129.9</v>
      </c>
      <c r="L115" s="76">
        <v>128.5</v>
      </c>
      <c r="M115" s="76">
        <v>130.69999999999999</v>
      </c>
      <c r="N115" s="76">
        <v>122.4</v>
      </c>
      <c r="O115" s="76">
        <v>130.30000000000001</v>
      </c>
      <c r="P115" s="76">
        <v>130.69999999999999</v>
      </c>
      <c r="Q115" s="76">
        <v>130.69999999999999</v>
      </c>
      <c r="R115" s="76">
        <v>130.1</v>
      </c>
      <c r="S115" s="76">
        <v>129.69999999999999</v>
      </c>
      <c r="T115" s="76">
        <v>130</v>
      </c>
      <c r="U115" s="76">
        <v>130.6</v>
      </c>
      <c r="V115" s="76">
        <v>130.6</v>
      </c>
      <c r="W115" s="76">
        <v>131.1</v>
      </c>
      <c r="X115" s="76">
        <v>132.30000000000001</v>
      </c>
      <c r="Y115" s="76">
        <v>131.4</v>
      </c>
      <c r="Z115" s="76">
        <v>130.80000000000001</v>
      </c>
      <c r="AA115" s="76">
        <v>129.30000000000001</v>
      </c>
      <c r="AB115" s="76">
        <v>130.30000000000001</v>
      </c>
      <c r="AC115" s="76">
        <v>130.5</v>
      </c>
      <c r="AD115" s="76">
        <v>130.19999999999999</v>
      </c>
      <c r="AE115" s="76">
        <v>129.4</v>
      </c>
      <c r="AF115" s="76">
        <v>129.30000000000001</v>
      </c>
      <c r="AG115" s="117"/>
      <c r="AH115" s="48">
        <f t="shared" si="41"/>
        <v>132.30000000000001</v>
      </c>
      <c r="AI115" s="49">
        <f t="shared" si="42"/>
        <v>122.4</v>
      </c>
    </row>
    <row r="116" spans="1:35" x14ac:dyDescent="0.25">
      <c r="A116" s="118" t="s">
        <v>136</v>
      </c>
      <c r="B116" s="76">
        <v>132.9</v>
      </c>
      <c r="C116" s="76">
        <v>132.9</v>
      </c>
      <c r="D116" s="76">
        <v>133.69999999999999</v>
      </c>
      <c r="E116" s="76">
        <v>134</v>
      </c>
      <c r="F116" s="76">
        <v>134.19999999999999</v>
      </c>
      <c r="G116" s="76">
        <v>134</v>
      </c>
      <c r="H116" s="76">
        <v>133.6</v>
      </c>
      <c r="I116" s="76">
        <v>133.6</v>
      </c>
      <c r="J116" s="76">
        <v>131.19999999999999</v>
      </c>
      <c r="K116" s="76">
        <v>131.69999999999999</v>
      </c>
      <c r="L116" s="76">
        <v>129.19999999999999</v>
      </c>
      <c r="M116" s="76">
        <v>130.9</v>
      </c>
      <c r="N116" s="76">
        <v>130.9</v>
      </c>
      <c r="O116" s="76">
        <v>131.5</v>
      </c>
      <c r="P116" s="76">
        <v>132</v>
      </c>
      <c r="Q116" s="76">
        <v>133.1</v>
      </c>
      <c r="R116" s="76">
        <v>131.9</v>
      </c>
      <c r="S116" s="76">
        <v>130.4</v>
      </c>
      <c r="T116" s="76">
        <v>130.80000000000001</v>
      </c>
      <c r="U116" s="76">
        <v>131.5</v>
      </c>
      <c r="V116" s="76">
        <v>131.5</v>
      </c>
      <c r="W116" s="76">
        <v>131.9</v>
      </c>
      <c r="X116" s="76">
        <v>134</v>
      </c>
      <c r="Y116" s="76">
        <v>131.5</v>
      </c>
      <c r="Z116" s="76">
        <v>131.1</v>
      </c>
      <c r="AA116" s="76">
        <v>129.19999999999999</v>
      </c>
      <c r="AB116" s="76">
        <v>132.30000000000001</v>
      </c>
      <c r="AC116" s="76">
        <v>132.1</v>
      </c>
      <c r="AD116" s="76">
        <v>132.5</v>
      </c>
      <c r="AE116" s="76">
        <v>132.30000000000001</v>
      </c>
      <c r="AF116" s="76">
        <v>132.80000000000001</v>
      </c>
      <c r="AG116" s="117"/>
      <c r="AH116" s="48">
        <f t="shared" si="41"/>
        <v>134.19999999999999</v>
      </c>
      <c r="AI116" s="49">
        <f t="shared" si="42"/>
        <v>129.19999999999999</v>
      </c>
    </row>
    <row r="117" spans="1:35" x14ac:dyDescent="0.25">
      <c r="A117" s="118" t="s">
        <v>137</v>
      </c>
      <c r="B117" s="119">
        <v>134.30000000000001</v>
      </c>
      <c r="C117" s="119">
        <v>134.30000000000001</v>
      </c>
      <c r="D117" s="119">
        <v>136</v>
      </c>
      <c r="E117" s="119">
        <v>133.5</v>
      </c>
      <c r="F117" s="119">
        <v>131.9</v>
      </c>
      <c r="G117" s="119">
        <v>134.69999999999999</v>
      </c>
      <c r="H117" s="119">
        <v>133.1</v>
      </c>
      <c r="I117" s="119">
        <v>131.69999999999999</v>
      </c>
      <c r="J117" s="119">
        <v>133.9</v>
      </c>
      <c r="K117" s="119">
        <v>133.80000000000001</v>
      </c>
      <c r="L117" s="119">
        <v>134.19999999999999</v>
      </c>
      <c r="M117" s="119">
        <v>135.30000000000001</v>
      </c>
      <c r="N117" s="119">
        <v>131.9</v>
      </c>
      <c r="O117" s="119">
        <v>133.4</v>
      </c>
      <c r="P117" s="119">
        <v>134.69999999999999</v>
      </c>
      <c r="Q117" s="119">
        <v>132.5</v>
      </c>
      <c r="R117" s="119">
        <v>130.1</v>
      </c>
      <c r="S117" s="119">
        <v>129.4</v>
      </c>
      <c r="T117" s="119">
        <v>134.4</v>
      </c>
      <c r="U117" s="119">
        <v>135.6</v>
      </c>
      <c r="V117" s="119">
        <v>135.6</v>
      </c>
      <c r="W117" s="119">
        <v>133.69999999999999</v>
      </c>
      <c r="X117" s="119">
        <v>135</v>
      </c>
      <c r="Y117" s="119">
        <v>133</v>
      </c>
      <c r="Z117" s="119">
        <v>135</v>
      </c>
      <c r="AA117" s="119">
        <v>133.1</v>
      </c>
      <c r="AB117" s="119">
        <v>131.4</v>
      </c>
      <c r="AC117" s="119">
        <v>134.5</v>
      </c>
      <c r="AD117" s="119">
        <v>134.4</v>
      </c>
      <c r="AE117" s="119">
        <v>135.80000000000001</v>
      </c>
      <c r="AF117" s="119">
        <v>135.30000000000001</v>
      </c>
      <c r="AG117" s="120"/>
      <c r="AH117" s="48">
        <f t="shared" si="41"/>
        <v>136</v>
      </c>
      <c r="AI117" s="49">
        <f t="shared" si="42"/>
        <v>129.4</v>
      </c>
    </row>
    <row r="118" spans="1:35" x14ac:dyDescent="0.25">
      <c r="A118" s="116" t="s">
        <v>138</v>
      </c>
      <c r="B118" s="76">
        <v>130.9</v>
      </c>
      <c r="C118" s="76">
        <v>130.9</v>
      </c>
      <c r="D118" s="76">
        <v>136</v>
      </c>
      <c r="E118" s="76">
        <v>130.6</v>
      </c>
      <c r="F118" s="76">
        <v>130.1</v>
      </c>
      <c r="G118" s="76">
        <v>134.6</v>
      </c>
      <c r="H118" s="76">
        <v>133</v>
      </c>
      <c r="I118" s="76">
        <v>131.1</v>
      </c>
      <c r="J118" s="76">
        <v>124.9</v>
      </c>
      <c r="K118" s="76">
        <v>132</v>
      </c>
      <c r="L118" s="76">
        <v>124.3</v>
      </c>
      <c r="M118" s="76">
        <v>125</v>
      </c>
      <c r="N118" s="76">
        <v>127.6</v>
      </c>
      <c r="O118" s="76">
        <v>127.5</v>
      </c>
      <c r="P118" s="76">
        <v>124.6</v>
      </c>
      <c r="Q118" s="76">
        <v>126</v>
      </c>
      <c r="R118" s="76">
        <v>131.4</v>
      </c>
      <c r="S118" s="76">
        <v>128.19999999999999</v>
      </c>
      <c r="T118" s="76">
        <v>128.9</v>
      </c>
      <c r="U118" s="76">
        <v>129.6</v>
      </c>
      <c r="V118" s="76">
        <v>129.6</v>
      </c>
      <c r="W118" s="76">
        <v>133</v>
      </c>
      <c r="X118" s="76">
        <v>134.5</v>
      </c>
      <c r="Y118" s="76">
        <v>131.4</v>
      </c>
      <c r="Z118" s="76">
        <v>123.5</v>
      </c>
      <c r="AA118" s="76">
        <v>130.6</v>
      </c>
      <c r="AB118" s="76">
        <v>125.9</v>
      </c>
      <c r="AC118" s="76">
        <v>125.6</v>
      </c>
      <c r="AD118" s="76">
        <v>122.7</v>
      </c>
      <c r="AE118" s="76">
        <v>125.4</v>
      </c>
      <c r="AF118" s="76">
        <v>125.4</v>
      </c>
      <c r="AG118" s="117"/>
      <c r="AH118" s="48">
        <f t="shared" si="41"/>
        <v>136</v>
      </c>
      <c r="AI118" s="49">
        <f t="shared" si="42"/>
        <v>122.7</v>
      </c>
    </row>
    <row r="119" spans="1:35" ht="15.75" thickBot="1" x14ac:dyDescent="0.3">
      <c r="A119" s="116" t="s">
        <v>139</v>
      </c>
      <c r="B119" s="105">
        <v>65.400000000000006</v>
      </c>
      <c r="C119" s="105">
        <v>65.400000000000006</v>
      </c>
      <c r="D119" s="105">
        <v>64</v>
      </c>
      <c r="E119" s="105">
        <v>63.9</v>
      </c>
      <c r="F119" s="105">
        <v>64.599999999999994</v>
      </c>
      <c r="G119" s="105">
        <v>65.3</v>
      </c>
      <c r="H119" s="105">
        <v>64.900000000000006</v>
      </c>
      <c r="I119" s="105">
        <v>64.2</v>
      </c>
      <c r="J119" s="105">
        <v>64.3</v>
      </c>
      <c r="K119" s="105">
        <v>62.8</v>
      </c>
      <c r="L119" s="105">
        <v>62</v>
      </c>
      <c r="M119" s="105">
        <v>62.2</v>
      </c>
      <c r="N119" s="105">
        <v>61.4</v>
      </c>
      <c r="O119" s="105">
        <v>61</v>
      </c>
      <c r="P119" s="105">
        <v>61.4</v>
      </c>
      <c r="Q119" s="105">
        <v>62.1</v>
      </c>
      <c r="R119" s="105">
        <v>61.4</v>
      </c>
      <c r="S119" s="105">
        <v>62.3</v>
      </c>
      <c r="T119" s="105">
        <v>61.8</v>
      </c>
      <c r="U119" s="105">
        <v>62.8</v>
      </c>
      <c r="V119" s="105">
        <v>62.8</v>
      </c>
      <c r="W119" s="105">
        <v>62.9</v>
      </c>
      <c r="X119" s="105">
        <v>63.2</v>
      </c>
      <c r="Y119" s="105">
        <v>62.8</v>
      </c>
      <c r="Z119" s="105">
        <v>63.9</v>
      </c>
      <c r="AA119" s="105">
        <v>63.6</v>
      </c>
      <c r="AB119" s="105">
        <v>63.7</v>
      </c>
      <c r="AC119" s="105">
        <v>64.599999999999994</v>
      </c>
      <c r="AD119" s="105">
        <v>63.8</v>
      </c>
      <c r="AE119" s="105">
        <v>63.9</v>
      </c>
      <c r="AF119" s="105">
        <v>65</v>
      </c>
      <c r="AG119" s="121"/>
      <c r="AH119" s="48">
        <f t="shared" si="41"/>
        <v>65.400000000000006</v>
      </c>
      <c r="AI119" s="49">
        <f t="shared" si="42"/>
        <v>61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1"/>
        <v>0</v>
      </c>
      <c r="AI120" s="49">
        <f t="shared" si="42"/>
        <v>0</v>
      </c>
    </row>
    <row r="121" spans="1:35" ht="15.75" thickBot="1" x14ac:dyDescent="0.3">
      <c r="A121" s="123" t="s">
        <v>141</v>
      </c>
      <c r="B121" s="124">
        <f t="shared" ref="B121:O121" si="66">SUM(B25,B31,B34:B35,B69,B71:B72,B74,B76,B122:B126,B158,B164,B170,B179,B181,B193,B200,B203:B204,B211,B213,B215,B219:B221,B223:B225,B230,B236:B237,B239:B241,B249,B254)</f>
        <v>132.54</v>
      </c>
      <c r="C121" s="124">
        <f t="shared" ref="C121:D121" si="67">SUM(C25,C31,C34:C35,C69,C71:C72,C74,C76,C122:C126,C158,C164,C170,C179,C181,C193,C200,C203:C204,C211,C213,C215,C219:C221,C223:C225,C230,C236:C237,C239:C241,C249,C254)</f>
        <v>132.54</v>
      </c>
      <c r="D121" s="124">
        <f t="shared" si="67"/>
        <v>186.53999999999996</v>
      </c>
      <c r="E121" s="124">
        <f t="shared" si="66"/>
        <v>94.740000000000009</v>
      </c>
      <c r="F121" s="124">
        <f t="shared" si="66"/>
        <v>97.940000000000055</v>
      </c>
      <c r="G121" s="124">
        <f t="shared" si="66"/>
        <v>103.34000000000003</v>
      </c>
      <c r="H121" s="124">
        <f t="shared" si="66"/>
        <v>111.54000000000005</v>
      </c>
      <c r="I121" s="124">
        <f t="shared" si="66"/>
        <v>77.940000000000055</v>
      </c>
      <c r="J121" s="124">
        <f t="shared" si="66"/>
        <v>98.14</v>
      </c>
      <c r="K121" s="124">
        <f t="shared" si="66"/>
        <v>108.13999999999999</v>
      </c>
      <c r="L121" s="124">
        <f t="shared" si="66"/>
        <v>148.44</v>
      </c>
      <c r="M121" s="124">
        <f t="shared" si="66"/>
        <v>207.34</v>
      </c>
      <c r="N121" s="124">
        <f t="shared" si="66"/>
        <v>249.44</v>
      </c>
      <c r="O121" s="124">
        <f t="shared" si="66"/>
        <v>242.54000000000002</v>
      </c>
      <c r="P121" s="124">
        <v>42</v>
      </c>
      <c r="Q121" s="124">
        <f t="shared" ref="Q121:X121" si="68">SUM(Q25,Q31,Q34:Q35,Q69,Q71:Q72,Q74,Q76,Q122:Q126,Q158,Q164,Q170,Q179,Q181,Q193,Q200,Q203:Q204,Q211,Q213,Q215,Q219:Q221,Q223:Q225,Q230,Q236:Q237,Q239:Q241,Q249,Q254)</f>
        <v>205.03999999999996</v>
      </c>
      <c r="R121" s="124">
        <f t="shared" si="68"/>
        <v>262.13999999999993</v>
      </c>
      <c r="S121" s="124">
        <f t="shared" si="68"/>
        <v>199.83999999999995</v>
      </c>
      <c r="T121" s="124">
        <f t="shared" si="68"/>
        <v>168.24</v>
      </c>
      <c r="U121" s="124">
        <f t="shared" si="68"/>
        <v>206.23999999999998</v>
      </c>
      <c r="V121" s="124">
        <f t="shared" si="68"/>
        <v>206.23999999999998</v>
      </c>
      <c r="W121" s="124">
        <f t="shared" si="68"/>
        <v>191.44</v>
      </c>
      <c r="X121" s="124">
        <f t="shared" si="68"/>
        <v>195.24</v>
      </c>
      <c r="Y121" s="124">
        <f>SUM(Y23,Y29,Y40:Y41,Y69,Y71:Y72,Y74,Y76,Y122:Y126,Y151,Y157,Y163,Y172,Y174,Y186,Y193,Y196:Y197,Y204,Y206,Y208,Y212:Y214,Y216:Y218,Y223,Y229:Y230,Y232:Y234,Y242,Y247)</f>
        <v>224.99999999999994</v>
      </c>
      <c r="Z121" s="124">
        <f>SUM(Z23,Z29,Z40:Z41,Z69,Z71:Z72,Z74,Z76,Z122:Z126,Z151,Z157,Z163,Z172,Z174,Z186,Z193,Z196:Z197,Z204,Z206,Z208,Z212:Z214,Z216:Z218,Z223,Z229:Z230,Z232:Z234,Z242,Z247)</f>
        <v>247.19999999999996</v>
      </c>
      <c r="AA121" s="124">
        <f t="shared" ref="AA121:AF121" si="69">SUM(AA25,AA31,AA34:AA35,AA69,AA71:AA72,AA74,AA76,AA122:AA126,AA158,AA164,AA170,AA179,AA181,AA193,AA200,AA203:AA204,AA211,AA213,AA215,AA219:AA221,AA223:AA225,AA230,AA236:AA237,AA239:AA241,AA249,AA254)</f>
        <v>261.24</v>
      </c>
      <c r="AB121" s="124">
        <f t="shared" si="69"/>
        <v>233.03999999999996</v>
      </c>
      <c r="AC121" s="124">
        <f t="shared" si="69"/>
        <v>225.74</v>
      </c>
      <c r="AD121" s="124">
        <f t="shared" si="69"/>
        <v>177.84</v>
      </c>
      <c r="AE121" s="124">
        <f t="shared" si="69"/>
        <v>119.63999999999997</v>
      </c>
      <c r="AF121" s="124">
        <f t="shared" si="69"/>
        <v>83.14</v>
      </c>
      <c r="AG121" s="125"/>
      <c r="AH121" s="48">
        <f t="shared" si="41"/>
        <v>262.13999999999993</v>
      </c>
      <c r="AI121" s="49">
        <f t="shared" si="42"/>
        <v>42</v>
      </c>
    </row>
    <row r="122" spans="1:35" x14ac:dyDescent="0.25">
      <c r="A122" s="126" t="s">
        <v>142</v>
      </c>
      <c r="B122" s="127">
        <v>31.4</v>
      </c>
      <c r="C122" s="127">
        <v>31.4</v>
      </c>
      <c r="D122" s="127">
        <v>60</v>
      </c>
      <c r="E122" s="127">
        <v>70.599999999999994</v>
      </c>
      <c r="F122" s="127">
        <v>58.3</v>
      </c>
      <c r="G122" s="127">
        <v>54.3</v>
      </c>
      <c r="H122" s="127">
        <v>48.3</v>
      </c>
      <c r="I122" s="127">
        <v>36.799999999999997</v>
      </c>
      <c r="J122" s="127">
        <v>37.700000000000003</v>
      </c>
      <c r="K122" s="127">
        <v>41.1</v>
      </c>
      <c r="L122" s="127">
        <v>67.2</v>
      </c>
      <c r="M122" s="127">
        <v>67.900000000000006</v>
      </c>
      <c r="N122" s="127">
        <v>84.4</v>
      </c>
      <c r="O122" s="127">
        <v>76.900000000000006</v>
      </c>
      <c r="P122" s="127">
        <v>73.5</v>
      </c>
      <c r="Q122" s="127">
        <v>57.5</v>
      </c>
      <c r="R122" s="127">
        <v>100.6</v>
      </c>
      <c r="S122" s="127">
        <v>51.3</v>
      </c>
      <c r="T122" s="127">
        <v>55.1</v>
      </c>
      <c r="U122" s="127">
        <v>78.2</v>
      </c>
      <c r="V122" s="127">
        <v>78.2</v>
      </c>
      <c r="W122" s="127">
        <v>60.5</v>
      </c>
      <c r="X122" s="127">
        <v>64.7</v>
      </c>
      <c r="Y122" s="127">
        <v>74</v>
      </c>
      <c r="Z122" s="127">
        <v>64.5</v>
      </c>
      <c r="AA122" s="127">
        <v>64</v>
      </c>
      <c r="AB122" s="127">
        <v>41.1</v>
      </c>
      <c r="AC122" s="127">
        <v>38.799999999999997</v>
      </c>
      <c r="AD122" s="127">
        <v>39.6</v>
      </c>
      <c r="AE122" s="127">
        <v>49.6</v>
      </c>
      <c r="AF122" s="127">
        <v>42.9</v>
      </c>
      <c r="AG122" s="128">
        <v>75</v>
      </c>
      <c r="AH122" s="48">
        <f t="shared" si="41"/>
        <v>100.6</v>
      </c>
      <c r="AI122" s="49">
        <f t="shared" si="42"/>
        <v>31.4</v>
      </c>
    </row>
    <row r="123" spans="1:35" x14ac:dyDescent="0.25">
      <c r="A123" s="129" t="s">
        <v>143</v>
      </c>
      <c r="B123" s="130">
        <v>48.6</v>
      </c>
      <c r="C123" s="130">
        <v>48.6</v>
      </c>
      <c r="D123" s="130">
        <v>90</v>
      </c>
      <c r="E123" s="130">
        <v>105.8</v>
      </c>
      <c r="F123" s="130">
        <v>83.4</v>
      </c>
      <c r="G123" s="130">
        <v>80.400000000000006</v>
      </c>
      <c r="H123" s="130">
        <v>76.400000000000006</v>
      </c>
      <c r="I123" s="130">
        <v>59.9</v>
      </c>
      <c r="J123" s="130">
        <v>62.1</v>
      </c>
      <c r="K123" s="130">
        <v>64.099999999999994</v>
      </c>
      <c r="L123" s="130">
        <v>96.2</v>
      </c>
      <c r="M123" s="130">
        <v>97.1</v>
      </c>
      <c r="N123" s="130">
        <v>118</v>
      </c>
      <c r="O123" s="130">
        <v>107.4</v>
      </c>
      <c r="P123" s="130">
        <v>105</v>
      </c>
      <c r="Q123" s="130">
        <v>86.8</v>
      </c>
      <c r="R123" s="130">
        <v>140.19999999999999</v>
      </c>
      <c r="S123" s="130">
        <v>80.7</v>
      </c>
      <c r="T123" s="130">
        <v>84.2</v>
      </c>
      <c r="U123" s="130">
        <v>114</v>
      </c>
      <c r="V123" s="130">
        <v>114</v>
      </c>
      <c r="W123" s="130">
        <v>90.5</v>
      </c>
      <c r="X123" s="130">
        <v>96</v>
      </c>
      <c r="Y123" s="130">
        <v>110</v>
      </c>
      <c r="Z123" s="130">
        <v>94.5</v>
      </c>
      <c r="AA123" s="130">
        <v>91.3</v>
      </c>
      <c r="AB123" s="130">
        <v>61.8</v>
      </c>
      <c r="AC123" s="130">
        <v>62</v>
      </c>
      <c r="AD123" s="130">
        <v>63.2</v>
      </c>
      <c r="AE123" s="130">
        <v>77.5</v>
      </c>
      <c r="AF123" s="130">
        <v>66.5</v>
      </c>
      <c r="AG123" s="128">
        <v>240</v>
      </c>
      <c r="AH123" s="48">
        <f t="shared" si="41"/>
        <v>140.19999999999999</v>
      </c>
      <c r="AI123" s="49">
        <f t="shared" si="42"/>
        <v>48.6</v>
      </c>
    </row>
    <row r="124" spans="1:35" x14ac:dyDescent="0.25">
      <c r="A124" s="129" t="s">
        <v>144</v>
      </c>
      <c r="B124" s="130">
        <v>-96</v>
      </c>
      <c r="C124" s="130">
        <v>-96</v>
      </c>
      <c r="D124" s="130">
        <v>-112</v>
      </c>
      <c r="E124" s="130">
        <f>-75.8-80.7</f>
        <v>-156.5</v>
      </c>
      <c r="F124" s="130">
        <f>-78.1-82.1</f>
        <v>-160.19999999999999</v>
      </c>
      <c r="G124" s="130">
        <f>-72.9-76.5</f>
        <v>-149.4</v>
      </c>
      <c r="H124" s="130">
        <f>-68.3-73.1</f>
        <v>-141.39999999999998</v>
      </c>
      <c r="I124" s="130">
        <f>-72.4-76.3</f>
        <v>-148.69999999999999</v>
      </c>
      <c r="J124" s="130">
        <f>-69-74.7</f>
        <v>-143.69999999999999</v>
      </c>
      <c r="K124" s="130">
        <f>-68-72.1</f>
        <v>-140.1</v>
      </c>
      <c r="L124" s="130">
        <v>-158</v>
      </c>
      <c r="M124" s="130">
        <v>-153</v>
      </c>
      <c r="N124" s="130">
        <v>-160</v>
      </c>
      <c r="O124" s="130">
        <v>-156</v>
      </c>
      <c r="P124" s="130">
        <v>-170.5</v>
      </c>
      <c r="Q124" s="130">
        <v>-151.19999999999999</v>
      </c>
      <c r="R124" s="130">
        <v>-165</v>
      </c>
      <c r="S124" s="130">
        <v>-141</v>
      </c>
      <c r="T124" s="130">
        <v>-145</v>
      </c>
      <c r="U124" s="130">
        <v>-170</v>
      </c>
      <c r="V124" s="130">
        <v>-170</v>
      </c>
      <c r="W124" s="130">
        <v>-154</v>
      </c>
      <c r="X124" s="130">
        <v>-158</v>
      </c>
      <c r="Y124" s="130">
        <v>-162</v>
      </c>
      <c r="Z124" s="130">
        <v>-93</v>
      </c>
      <c r="AA124" s="130">
        <v>-80</v>
      </c>
      <c r="AB124" s="130">
        <f>-26.4-28.8</f>
        <v>-55.2</v>
      </c>
      <c r="AC124" s="130">
        <f>-30-31</f>
        <v>-61</v>
      </c>
      <c r="AD124" s="130">
        <f>-48-52</f>
        <v>-100</v>
      </c>
      <c r="AE124" s="130">
        <f>-80.7-84.8</f>
        <v>-165.5</v>
      </c>
      <c r="AF124" s="130">
        <f>-59.3-62.4</f>
        <v>-121.69999999999999</v>
      </c>
      <c r="AG124" s="128">
        <v>240</v>
      </c>
      <c r="AH124" s="48">
        <f t="shared" si="41"/>
        <v>-55.2</v>
      </c>
      <c r="AI124" s="49">
        <f t="shared" si="42"/>
        <v>-170.5</v>
      </c>
    </row>
    <row r="125" spans="1:35" ht="15.75" thickBot="1" x14ac:dyDescent="0.3">
      <c r="A125" s="129" t="s">
        <v>145</v>
      </c>
      <c r="B125" s="130">
        <v>-28.3</v>
      </c>
      <c r="C125" s="130">
        <v>-28.3</v>
      </c>
      <c r="D125" s="130">
        <v>-28.3</v>
      </c>
      <c r="E125" s="130">
        <v>-30</v>
      </c>
      <c r="F125" s="130">
        <v>-29</v>
      </c>
      <c r="G125" s="130">
        <v>-25.9</v>
      </c>
      <c r="H125" s="130">
        <v>-25.6</v>
      </c>
      <c r="I125" s="130">
        <v>-23.6</v>
      </c>
      <c r="J125" s="130">
        <v>-12.2</v>
      </c>
      <c r="K125" s="130">
        <v>-12.1</v>
      </c>
      <c r="L125" s="130">
        <v>-14</v>
      </c>
      <c r="M125" s="130">
        <v>-9.5</v>
      </c>
      <c r="N125" s="130">
        <v>-15.3</v>
      </c>
      <c r="O125" s="130">
        <v>-8</v>
      </c>
      <c r="P125" s="130">
        <v>-10</v>
      </c>
      <c r="Q125" s="130">
        <v>-5.9</v>
      </c>
      <c r="R125" s="130">
        <v>-8.9</v>
      </c>
      <c r="S125" s="130">
        <v>-7</v>
      </c>
      <c r="T125" s="130">
        <v>-5</v>
      </c>
      <c r="U125" s="130">
        <v>-12</v>
      </c>
      <c r="V125" s="130">
        <v>-12</v>
      </c>
      <c r="W125" s="130">
        <v>-16</v>
      </c>
      <c r="X125" s="130">
        <v>-11</v>
      </c>
      <c r="Y125" s="130">
        <v>-10.4</v>
      </c>
      <c r="Z125" s="130">
        <v>0</v>
      </c>
      <c r="AA125" s="130">
        <v>2.8</v>
      </c>
      <c r="AB125" s="130">
        <v>11.2</v>
      </c>
      <c r="AC125" s="130">
        <v>11.8</v>
      </c>
      <c r="AD125" s="130">
        <v>0.9</v>
      </c>
      <c r="AE125" s="130">
        <v>-17.7</v>
      </c>
      <c r="AF125" s="130">
        <v>-19.600000000000001</v>
      </c>
      <c r="AG125" s="128">
        <v>60</v>
      </c>
      <c r="AH125" s="48">
        <f t="shared" si="41"/>
        <v>11.8</v>
      </c>
      <c r="AI125" s="49">
        <f t="shared" si="42"/>
        <v>-30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>
        <v>46.4</v>
      </c>
      <c r="N126" s="131">
        <v>61</v>
      </c>
      <c r="O126" s="131">
        <v>64.5</v>
      </c>
      <c r="P126" s="131">
        <v>49</v>
      </c>
      <c r="Q126" s="131">
        <v>58.3</v>
      </c>
      <c r="R126" s="131">
        <v>32</v>
      </c>
      <c r="S126" s="131">
        <v>52.6</v>
      </c>
      <c r="T126" s="131"/>
      <c r="U126" s="131">
        <v>21.6</v>
      </c>
      <c r="V126" s="131">
        <v>21.6</v>
      </c>
      <c r="W126" s="131">
        <v>36</v>
      </c>
      <c r="X126" s="131">
        <v>29</v>
      </c>
      <c r="Y126" s="131">
        <v>29.1</v>
      </c>
      <c r="Z126" s="131">
        <v>-3.1</v>
      </c>
      <c r="AA126" s="131">
        <v>9</v>
      </c>
      <c r="AB126" s="131">
        <v>0</v>
      </c>
      <c r="AC126" s="131">
        <v>0</v>
      </c>
      <c r="AD126" s="131">
        <v>0</v>
      </c>
      <c r="AE126" s="131">
        <v>0</v>
      </c>
      <c r="AF126" s="131">
        <v>-60.7</v>
      </c>
      <c r="AG126" s="132">
        <v>120</v>
      </c>
      <c r="AH126" s="48">
        <f t="shared" si="41"/>
        <v>64.5</v>
      </c>
      <c r="AI126" s="49">
        <f t="shared" si="42"/>
        <v>-60.7</v>
      </c>
    </row>
    <row r="127" spans="1:35" x14ac:dyDescent="0.25">
      <c r="A127" s="129" t="s">
        <v>147</v>
      </c>
      <c r="B127" s="131">
        <v>46</v>
      </c>
      <c r="C127" s="131">
        <v>46</v>
      </c>
      <c r="D127" s="131">
        <v>46</v>
      </c>
      <c r="E127" s="131">
        <v>40</v>
      </c>
      <c r="F127" s="131">
        <v>41.1</v>
      </c>
      <c r="G127" s="131">
        <v>45.4</v>
      </c>
      <c r="H127" s="131">
        <v>52.3</v>
      </c>
      <c r="I127" s="131">
        <v>91.4</v>
      </c>
      <c r="J127" s="131">
        <v>107.6</v>
      </c>
      <c r="K127" s="131">
        <v>111.7</v>
      </c>
      <c r="L127" s="131">
        <v>105</v>
      </c>
      <c r="M127" s="131">
        <v>102.7</v>
      </c>
      <c r="N127" s="131">
        <v>94.8</v>
      </c>
      <c r="O127" s="131">
        <v>97.4</v>
      </c>
      <c r="P127" s="131">
        <v>103.5</v>
      </c>
      <c r="Q127" s="131">
        <v>110.3</v>
      </c>
      <c r="R127" s="131">
        <v>97</v>
      </c>
      <c r="S127" s="131">
        <v>111</v>
      </c>
      <c r="T127" s="131">
        <v>114</v>
      </c>
      <c r="U127" s="131">
        <v>96</v>
      </c>
      <c r="V127" s="131">
        <v>96</v>
      </c>
      <c r="W127" s="131">
        <v>104</v>
      </c>
      <c r="X127" s="131">
        <v>100</v>
      </c>
      <c r="Y127" s="131">
        <v>100.2</v>
      </c>
      <c r="Z127" s="131">
        <v>82.4</v>
      </c>
      <c r="AA127" s="131">
        <v>88</v>
      </c>
      <c r="AB127" s="131">
        <v>78</v>
      </c>
      <c r="AC127" s="131">
        <v>78</v>
      </c>
      <c r="AD127" s="131">
        <v>84.6</v>
      </c>
      <c r="AE127" s="131">
        <v>83.4</v>
      </c>
      <c r="AF127" s="131">
        <v>53.6</v>
      </c>
      <c r="AG127" s="132"/>
      <c r="AH127" s="48"/>
      <c r="AI127" s="49"/>
    </row>
    <row r="128" spans="1:35" x14ac:dyDescent="0.25">
      <c r="A128" s="129" t="s">
        <v>148</v>
      </c>
      <c r="B128" s="131">
        <v>-6</v>
      </c>
      <c r="C128" s="131">
        <v>-6</v>
      </c>
      <c r="D128" s="131">
        <v>-6</v>
      </c>
      <c r="E128" s="131">
        <v>-5</v>
      </c>
      <c r="F128" s="131">
        <v>-4.9000000000000004</v>
      </c>
      <c r="G128" s="131">
        <v>-4.7</v>
      </c>
      <c r="H128" s="131">
        <v>-6.2</v>
      </c>
      <c r="I128" s="131">
        <v>57.3</v>
      </c>
      <c r="J128" s="131">
        <v>61.6</v>
      </c>
      <c r="K128" s="131">
        <v>55.4</v>
      </c>
      <c r="L128" s="131">
        <v>32</v>
      </c>
      <c r="M128" s="131">
        <v>25.1</v>
      </c>
      <c r="N128" s="131">
        <v>3.8</v>
      </c>
      <c r="O128" s="131">
        <v>11.9</v>
      </c>
      <c r="P128" s="131">
        <v>36.6</v>
      </c>
      <c r="Q128" s="131">
        <v>43.9</v>
      </c>
      <c r="R128" s="131">
        <v>23.8</v>
      </c>
      <c r="S128" s="131">
        <v>52</v>
      </c>
      <c r="T128" s="131">
        <v>48</v>
      </c>
      <c r="U128" s="131">
        <v>20</v>
      </c>
      <c r="V128" s="131">
        <v>20</v>
      </c>
      <c r="W128" s="131">
        <v>39</v>
      </c>
      <c r="X128" s="131">
        <v>32.299999999999997</v>
      </c>
      <c r="Y128" s="131">
        <v>22.5</v>
      </c>
      <c r="Z128" s="131">
        <v>-23</v>
      </c>
      <c r="AA128" s="131">
        <v>-23</v>
      </c>
      <c r="AB128" s="131">
        <v>-21.8</v>
      </c>
      <c r="AC128" s="131">
        <v>-11.4</v>
      </c>
      <c r="AD128" s="131">
        <v>17</v>
      </c>
      <c r="AE128" s="131">
        <v>48.3</v>
      </c>
      <c r="AF128" s="131">
        <v>-3.8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64</v>
      </c>
      <c r="C129" s="131">
        <v>64</v>
      </c>
      <c r="D129" s="131">
        <v>64</v>
      </c>
      <c r="E129" s="131">
        <v>42.9</v>
      </c>
      <c r="F129" s="131">
        <v>51.4</v>
      </c>
      <c r="G129" s="131">
        <v>50.4</v>
      </c>
      <c r="H129" s="131">
        <v>50.2</v>
      </c>
      <c r="I129" s="131">
        <v>44.8</v>
      </c>
      <c r="J129" s="131">
        <v>54.6</v>
      </c>
      <c r="K129" s="131">
        <v>57.2</v>
      </c>
      <c r="L129" s="131">
        <v>60</v>
      </c>
      <c r="M129" s="131">
        <v>46</v>
      </c>
      <c r="N129" s="131">
        <v>55.8</v>
      </c>
      <c r="O129" s="131">
        <v>61.7</v>
      </c>
      <c r="P129" s="131">
        <v>58.9</v>
      </c>
      <c r="Q129" s="131">
        <v>62.3</v>
      </c>
      <c r="R129" s="131">
        <v>45.6</v>
      </c>
      <c r="S129" s="131">
        <v>66</v>
      </c>
      <c r="T129" s="131">
        <v>65</v>
      </c>
      <c r="U129" s="131">
        <v>47</v>
      </c>
      <c r="V129" s="131">
        <v>47</v>
      </c>
      <c r="W129" s="131">
        <v>44</v>
      </c>
      <c r="X129" s="131">
        <v>33</v>
      </c>
      <c r="Y129" s="131">
        <v>38</v>
      </c>
      <c r="Z129" s="131">
        <v>68</v>
      </c>
      <c r="AA129" s="131">
        <v>84</v>
      </c>
      <c r="AB129" s="131">
        <v>105</v>
      </c>
      <c r="AC129" s="131">
        <v>90</v>
      </c>
      <c r="AD129" s="131">
        <v>67.3</v>
      </c>
      <c r="AE129" s="131">
        <v>35.799999999999997</v>
      </c>
      <c r="AF129" s="131">
        <v>62.5</v>
      </c>
      <c r="AG129" s="128"/>
      <c r="AH129" s="48">
        <f>MAX(B129:AF129)</f>
        <v>105</v>
      </c>
      <c r="AI129" s="49">
        <f>MIN(B129:AF129)</f>
        <v>33</v>
      </c>
    </row>
    <row r="130" spans="1:37" x14ac:dyDescent="0.25">
      <c r="A130" s="126" t="s">
        <v>150</v>
      </c>
      <c r="B130" s="131">
        <v>-377</v>
      </c>
      <c r="C130" s="131">
        <v>-377</v>
      </c>
      <c r="D130" s="131">
        <v>-377</v>
      </c>
      <c r="E130" s="131">
        <v>-375.6</v>
      </c>
      <c r="F130" s="131">
        <v>-376</v>
      </c>
      <c r="G130" s="131">
        <v>-371</v>
      </c>
      <c r="H130" s="131">
        <v>-362.1</v>
      </c>
      <c r="I130" s="131">
        <v>-335.3</v>
      </c>
      <c r="J130" s="131">
        <v>-349.4</v>
      </c>
      <c r="K130" s="131">
        <v>-348</v>
      </c>
      <c r="L130" s="131">
        <v>-349</v>
      </c>
      <c r="M130" s="131">
        <v>-254.8</v>
      </c>
      <c r="N130" s="131">
        <v>-346.4</v>
      </c>
      <c r="O130" s="131">
        <v>-341.1</v>
      </c>
      <c r="P130" s="131">
        <v>-347.6</v>
      </c>
      <c r="Q130" s="131">
        <v>-348.5</v>
      </c>
      <c r="R130" s="131">
        <v>-352.9</v>
      </c>
      <c r="S130" s="131">
        <v>-324</v>
      </c>
      <c r="T130" s="131">
        <v>-340</v>
      </c>
      <c r="U130" s="131">
        <v>-336</v>
      </c>
      <c r="V130" s="131">
        <v>-336</v>
      </c>
      <c r="W130" s="131">
        <v>-353</v>
      </c>
      <c r="X130" s="131">
        <v>-356</v>
      </c>
      <c r="Y130" s="131">
        <v>-354</v>
      </c>
      <c r="Z130" s="131">
        <v>-370</v>
      </c>
      <c r="AA130" s="131">
        <v>-363</v>
      </c>
      <c r="AB130" s="131">
        <v>-373</v>
      </c>
      <c r="AC130" s="131">
        <v>-372.4</v>
      </c>
      <c r="AD130" s="131">
        <v>-356</v>
      </c>
      <c r="AE130" s="131">
        <v>-357.6</v>
      </c>
      <c r="AF130" s="131">
        <v>-382.7</v>
      </c>
      <c r="AG130" s="128"/>
      <c r="AH130" s="48">
        <f>MAX(B130:AF130)</f>
        <v>-254.8</v>
      </c>
      <c r="AI130" s="49">
        <f>MIN(B130:AF130)</f>
        <v>-382.7</v>
      </c>
    </row>
    <row r="131" spans="1:37" x14ac:dyDescent="0.25">
      <c r="A131" s="129" t="s">
        <v>151</v>
      </c>
      <c r="B131" s="119">
        <v>105</v>
      </c>
      <c r="C131" s="119">
        <v>105</v>
      </c>
      <c r="D131" s="119">
        <v>105</v>
      </c>
      <c r="E131" s="119">
        <v>112.9</v>
      </c>
      <c r="F131" s="119">
        <v>112.2</v>
      </c>
      <c r="G131" s="119">
        <v>112.2</v>
      </c>
      <c r="H131" s="119">
        <v>111.5</v>
      </c>
      <c r="I131" s="119">
        <v>106.7</v>
      </c>
      <c r="J131" s="119">
        <v>101.8</v>
      </c>
      <c r="K131" s="119">
        <v>103</v>
      </c>
      <c r="L131" s="119">
        <v>108</v>
      </c>
      <c r="M131" s="119">
        <v>50.7</v>
      </c>
      <c r="N131" s="119">
        <v>20.100000000000001</v>
      </c>
      <c r="O131" s="119">
        <v>33.4</v>
      </c>
      <c r="P131" s="119">
        <v>43.2</v>
      </c>
      <c r="Q131" s="119">
        <v>41.6</v>
      </c>
      <c r="R131" s="119">
        <v>44</v>
      </c>
      <c r="S131" s="119">
        <v>28.2</v>
      </c>
      <c r="T131" s="119">
        <v>36</v>
      </c>
      <c r="U131" s="119">
        <v>37</v>
      </c>
      <c r="V131" s="119">
        <v>37</v>
      </c>
      <c r="W131" s="119">
        <v>36.1</v>
      </c>
      <c r="X131" s="119">
        <v>38</v>
      </c>
      <c r="Y131" s="119">
        <v>44</v>
      </c>
      <c r="Z131" s="119">
        <v>87</v>
      </c>
      <c r="AA131" s="119">
        <v>87.1</v>
      </c>
      <c r="AB131" s="119">
        <v>69.5</v>
      </c>
      <c r="AC131" s="119">
        <v>71.3</v>
      </c>
      <c r="AD131" s="119">
        <v>99</v>
      </c>
      <c r="AE131" s="119">
        <v>103.8</v>
      </c>
      <c r="AF131" s="119">
        <v>109.8</v>
      </c>
      <c r="AG131" s="128"/>
      <c r="AH131" s="48">
        <f>MAX(B131:AF131)</f>
        <v>112.9</v>
      </c>
      <c r="AI131" s="49">
        <f>MIN(B131:AF131)</f>
        <v>20.100000000000001</v>
      </c>
    </row>
    <row r="132" spans="1:37" x14ac:dyDescent="0.25">
      <c r="A132" s="129" t="s">
        <v>152</v>
      </c>
      <c r="B132" s="119">
        <v>-20</v>
      </c>
      <c r="C132" s="119">
        <v>-20</v>
      </c>
      <c r="D132" s="119">
        <v>-20</v>
      </c>
      <c r="E132" s="119">
        <v>-20.6</v>
      </c>
      <c r="F132" s="119">
        <v>-22.9</v>
      </c>
      <c r="G132" s="119">
        <v>-22.5</v>
      </c>
      <c r="H132" s="119">
        <v>-21.2</v>
      </c>
      <c r="I132" s="119">
        <v>-22.7</v>
      </c>
      <c r="J132" s="119">
        <v>-22.5</v>
      </c>
      <c r="K132" s="119">
        <v>-24.2</v>
      </c>
      <c r="L132" s="119">
        <v>-25</v>
      </c>
      <c r="M132" s="119">
        <v>-18.7</v>
      </c>
      <c r="N132" s="119">
        <v>-14.3</v>
      </c>
      <c r="O132" s="119">
        <v>-14.9</v>
      </c>
      <c r="P132" s="119">
        <v>-20.399999999999999</v>
      </c>
      <c r="Q132" s="119">
        <v>-22.1</v>
      </c>
      <c r="R132" s="119">
        <v>-11.8</v>
      </c>
      <c r="S132" s="119">
        <v>-5</v>
      </c>
      <c r="T132" s="119">
        <v>-14</v>
      </c>
      <c r="U132" s="119">
        <v>-9</v>
      </c>
      <c r="V132" s="119">
        <v>-9</v>
      </c>
      <c r="W132" s="119">
        <v>-10.3</v>
      </c>
      <c r="X132" s="119">
        <v>-11</v>
      </c>
      <c r="Y132" s="119">
        <v>-12</v>
      </c>
      <c r="Z132" s="119">
        <v>-13</v>
      </c>
      <c r="AA132" s="119">
        <v>-14</v>
      </c>
      <c r="AB132" s="119">
        <v>-14.7</v>
      </c>
      <c r="AC132" s="119">
        <v>-15.7</v>
      </c>
      <c r="AD132" s="119">
        <v>-17.7</v>
      </c>
      <c r="AE132" s="119">
        <v>-16.100000000000001</v>
      </c>
      <c r="AF132" s="119">
        <v>-19.2</v>
      </c>
      <c r="AG132" s="128"/>
      <c r="AH132" s="48">
        <f>MAX(B132:AF132)</f>
        <v>-5</v>
      </c>
      <c r="AI132" s="49">
        <f>MIN(B132:AF132)</f>
        <v>-25</v>
      </c>
    </row>
    <row r="133" spans="1:37" ht="15.75" thickBot="1" x14ac:dyDescent="0.3">
      <c r="A133" s="129" t="s">
        <v>153</v>
      </c>
      <c r="B133" s="119">
        <v>42</v>
      </c>
      <c r="C133" s="119">
        <v>42</v>
      </c>
      <c r="D133" s="119">
        <v>42</v>
      </c>
      <c r="E133" s="119">
        <v>40.200000000000003</v>
      </c>
      <c r="F133" s="119">
        <v>39.5</v>
      </c>
      <c r="G133" s="119">
        <v>39.5</v>
      </c>
      <c r="H133" s="119">
        <v>36.299999999999997</v>
      </c>
      <c r="I133" s="119">
        <v>37.5</v>
      </c>
      <c r="J133" s="119">
        <v>38.799999999999997</v>
      </c>
      <c r="K133" s="119">
        <v>40.200000000000003</v>
      </c>
      <c r="L133" s="119">
        <v>39</v>
      </c>
      <c r="M133" s="119">
        <v>46.7</v>
      </c>
      <c r="N133" s="119">
        <v>50.7</v>
      </c>
      <c r="O133" s="119">
        <v>51</v>
      </c>
      <c r="P133" s="119">
        <v>44.8</v>
      </c>
      <c r="Q133" s="119">
        <v>42</v>
      </c>
      <c r="R133" s="119">
        <v>50.9</v>
      </c>
      <c r="S133" s="119">
        <v>50.3</v>
      </c>
      <c r="T133" s="119">
        <v>46</v>
      </c>
      <c r="U133" s="119">
        <v>49</v>
      </c>
      <c r="V133" s="119">
        <v>49</v>
      </c>
      <c r="W133" s="119">
        <v>43</v>
      </c>
      <c r="X133" s="119">
        <v>46</v>
      </c>
      <c r="Y133" s="119">
        <v>46</v>
      </c>
      <c r="Z133" s="119">
        <v>40</v>
      </c>
      <c r="AA133" s="119">
        <v>39</v>
      </c>
      <c r="AB133" s="119">
        <v>44.4</v>
      </c>
      <c r="AC133" s="119">
        <v>43.5</v>
      </c>
      <c r="AD133" s="119">
        <v>40.9</v>
      </c>
      <c r="AE133" s="119">
        <v>46.9</v>
      </c>
      <c r="AF133" s="119">
        <v>45.6</v>
      </c>
      <c r="AG133" s="128"/>
      <c r="AH133" s="48">
        <f>MAX(B133:AF133)</f>
        <v>51</v>
      </c>
      <c r="AI133" s="49">
        <f>MIN(B133:AF133)</f>
        <v>36.299999999999997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70">SUM(B142:B246)</f>
        <v>0</v>
      </c>
      <c r="C247" s="161">
        <f t="shared" si="70"/>
        <v>0</v>
      </c>
      <c r="D247" s="161">
        <f t="shared" si="70"/>
        <v>0</v>
      </c>
      <c r="E247" s="161">
        <f t="shared" si="70"/>
        <v>0</v>
      </c>
      <c r="F247" s="161">
        <f t="shared" si="70"/>
        <v>0</v>
      </c>
      <c r="G247" s="161">
        <f t="shared" si="70"/>
        <v>0</v>
      </c>
      <c r="H247" s="161">
        <f t="shared" si="70"/>
        <v>0</v>
      </c>
      <c r="I247" s="161">
        <f t="shared" si="70"/>
        <v>0</v>
      </c>
      <c r="J247" s="161">
        <f t="shared" si="70"/>
        <v>0</v>
      </c>
      <c r="K247" s="161">
        <f t="shared" si="70"/>
        <v>0</v>
      </c>
      <c r="L247" s="161">
        <f t="shared" si="70"/>
        <v>0</v>
      </c>
      <c r="M247" s="161">
        <f t="shared" si="70"/>
        <v>0</v>
      </c>
      <c r="N247" s="161">
        <f t="shared" si="70"/>
        <v>0</v>
      </c>
      <c r="O247" s="161">
        <f t="shared" si="70"/>
        <v>0</v>
      </c>
      <c r="P247" s="161">
        <f t="shared" si="70"/>
        <v>0</v>
      </c>
      <c r="Q247" s="161">
        <f t="shared" si="70"/>
        <v>0</v>
      </c>
      <c r="R247" s="161">
        <f t="shared" si="70"/>
        <v>0</v>
      </c>
      <c r="S247" s="161">
        <f t="shared" si="70"/>
        <v>0</v>
      </c>
      <c r="T247" s="161">
        <f t="shared" si="70"/>
        <v>0</v>
      </c>
      <c r="U247" s="161">
        <f t="shared" si="70"/>
        <v>0</v>
      </c>
      <c r="V247" s="161">
        <f t="shared" si="70"/>
        <v>0</v>
      </c>
      <c r="W247" s="161">
        <f t="shared" si="70"/>
        <v>0</v>
      </c>
      <c r="X247" s="161">
        <f t="shared" si="70"/>
        <v>0</v>
      </c>
      <c r="Y247" s="161">
        <f t="shared" si="70"/>
        <v>0</v>
      </c>
      <c r="Z247" s="161">
        <f t="shared" si="70"/>
        <v>0</v>
      </c>
      <c r="AA247" s="161">
        <f t="shared" si="70"/>
        <v>0</v>
      </c>
      <c r="AB247" s="161">
        <f t="shared" si="70"/>
        <v>0</v>
      </c>
      <c r="AC247" s="161">
        <f t="shared" si="70"/>
        <v>0</v>
      </c>
      <c r="AD247" s="161">
        <f t="shared" si="70"/>
        <v>0</v>
      </c>
      <c r="AE247" s="161">
        <f t="shared" si="70"/>
        <v>0</v>
      </c>
      <c r="AF247" s="162">
        <f t="shared" si="70"/>
        <v>0</v>
      </c>
      <c r="AG247" s="163">
        <f t="shared" si="70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71">AF249</f>
        <v>0.3</v>
      </c>
      <c r="C249" s="166">
        <v>0.3</v>
      </c>
      <c r="D249" s="166">
        <f t="shared" ref="D249:S254" si="72">C249</f>
        <v>0.3</v>
      </c>
      <c r="E249" s="166">
        <f t="shared" si="72"/>
        <v>0.3</v>
      </c>
      <c r="F249" s="166">
        <f t="shared" si="72"/>
        <v>0.3</v>
      </c>
      <c r="G249" s="166">
        <f t="shared" si="72"/>
        <v>0.3</v>
      </c>
      <c r="H249" s="166">
        <f t="shared" si="72"/>
        <v>0.3</v>
      </c>
      <c r="I249" s="166">
        <f t="shared" si="72"/>
        <v>0.3</v>
      </c>
      <c r="J249" s="166">
        <f t="shared" si="72"/>
        <v>0.3</v>
      </c>
      <c r="K249" s="166">
        <f t="shared" si="72"/>
        <v>0.3</v>
      </c>
      <c r="L249" s="166">
        <f t="shared" si="72"/>
        <v>0.3</v>
      </c>
      <c r="M249" s="166">
        <f t="shared" si="72"/>
        <v>0.3</v>
      </c>
      <c r="N249" s="166">
        <f t="shared" si="72"/>
        <v>0.3</v>
      </c>
      <c r="O249" s="166">
        <f t="shared" si="72"/>
        <v>0.3</v>
      </c>
      <c r="P249" s="166">
        <f t="shared" si="72"/>
        <v>0.3</v>
      </c>
      <c r="Q249" s="166">
        <f t="shared" si="72"/>
        <v>0.3</v>
      </c>
      <c r="R249" s="166">
        <f t="shared" si="72"/>
        <v>0.3</v>
      </c>
      <c r="S249" s="166">
        <f t="shared" si="72"/>
        <v>0.3</v>
      </c>
      <c r="T249" s="166">
        <f t="shared" ref="T249:AF254" si="73">S249</f>
        <v>0.3</v>
      </c>
      <c r="U249" s="166">
        <f t="shared" si="73"/>
        <v>0.3</v>
      </c>
      <c r="V249" s="166">
        <f t="shared" si="73"/>
        <v>0.3</v>
      </c>
      <c r="W249" s="166">
        <f t="shared" si="73"/>
        <v>0.3</v>
      </c>
      <c r="X249" s="166">
        <f t="shared" si="73"/>
        <v>0.3</v>
      </c>
      <c r="Y249" s="166">
        <f t="shared" si="73"/>
        <v>0.3</v>
      </c>
      <c r="Z249" s="166">
        <f t="shared" si="73"/>
        <v>0.3</v>
      </c>
      <c r="AA249" s="166">
        <f t="shared" si="73"/>
        <v>0.3</v>
      </c>
      <c r="AB249" s="166">
        <f t="shared" si="73"/>
        <v>0.3</v>
      </c>
      <c r="AC249" s="166">
        <f t="shared" si="73"/>
        <v>0.3</v>
      </c>
      <c r="AD249" s="166">
        <f t="shared" si="73"/>
        <v>0.3</v>
      </c>
      <c r="AE249" s="166">
        <f t="shared" si="73"/>
        <v>0.3</v>
      </c>
      <c r="AF249" s="166">
        <f t="shared" si="73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71"/>
        <v>0.4</v>
      </c>
      <c r="C250" s="152">
        <v>0.4</v>
      </c>
      <c r="D250" s="152">
        <f t="shared" si="72"/>
        <v>0.4</v>
      </c>
      <c r="E250" s="152">
        <f t="shared" si="72"/>
        <v>0.4</v>
      </c>
      <c r="F250" s="152">
        <f t="shared" si="72"/>
        <v>0.4</v>
      </c>
      <c r="G250" s="152">
        <f t="shared" si="72"/>
        <v>0.4</v>
      </c>
      <c r="H250" s="152">
        <f t="shared" si="72"/>
        <v>0.4</v>
      </c>
      <c r="I250" s="152">
        <f t="shared" si="72"/>
        <v>0.4</v>
      </c>
      <c r="J250" s="152">
        <f t="shared" si="72"/>
        <v>0.4</v>
      </c>
      <c r="K250" s="152">
        <f t="shared" si="72"/>
        <v>0.4</v>
      </c>
      <c r="L250" s="152">
        <f t="shared" si="72"/>
        <v>0.4</v>
      </c>
      <c r="M250" s="152">
        <f t="shared" si="72"/>
        <v>0.4</v>
      </c>
      <c r="N250" s="152">
        <f t="shared" si="72"/>
        <v>0.4</v>
      </c>
      <c r="O250" s="152">
        <f t="shared" si="72"/>
        <v>0.4</v>
      </c>
      <c r="P250" s="152">
        <f t="shared" si="72"/>
        <v>0.4</v>
      </c>
      <c r="Q250" s="152">
        <f t="shared" si="72"/>
        <v>0.4</v>
      </c>
      <c r="R250" s="152">
        <f t="shared" si="72"/>
        <v>0.4</v>
      </c>
      <c r="S250" s="152">
        <f t="shared" si="72"/>
        <v>0.4</v>
      </c>
      <c r="T250" s="152">
        <f t="shared" si="73"/>
        <v>0.4</v>
      </c>
      <c r="U250" s="152">
        <f t="shared" si="73"/>
        <v>0.4</v>
      </c>
      <c r="V250" s="152">
        <f t="shared" si="73"/>
        <v>0.4</v>
      </c>
      <c r="W250" s="152">
        <f t="shared" si="73"/>
        <v>0.4</v>
      </c>
      <c r="X250" s="152">
        <f t="shared" si="73"/>
        <v>0.4</v>
      </c>
      <c r="Y250" s="152">
        <f t="shared" si="73"/>
        <v>0.4</v>
      </c>
      <c r="Z250" s="152">
        <f t="shared" si="73"/>
        <v>0.4</v>
      </c>
      <c r="AA250" s="152">
        <f t="shared" si="73"/>
        <v>0.4</v>
      </c>
      <c r="AB250" s="152">
        <f t="shared" si="73"/>
        <v>0.4</v>
      </c>
      <c r="AC250" s="152">
        <f t="shared" si="73"/>
        <v>0.4</v>
      </c>
      <c r="AD250" s="152">
        <f t="shared" si="73"/>
        <v>0.4</v>
      </c>
      <c r="AE250" s="152">
        <f t="shared" si="73"/>
        <v>0.4</v>
      </c>
      <c r="AF250" s="152">
        <f t="shared" si="73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71"/>
        <v>1.5</v>
      </c>
      <c r="C251" s="152">
        <v>1.5</v>
      </c>
      <c r="D251" s="152">
        <f t="shared" si="72"/>
        <v>1.5</v>
      </c>
      <c r="E251" s="152">
        <f t="shared" si="72"/>
        <v>1.5</v>
      </c>
      <c r="F251" s="152">
        <f t="shared" si="72"/>
        <v>1.5</v>
      </c>
      <c r="G251" s="152">
        <f t="shared" si="72"/>
        <v>1.5</v>
      </c>
      <c r="H251" s="152">
        <f t="shared" si="72"/>
        <v>1.5</v>
      </c>
      <c r="I251" s="152">
        <f t="shared" si="72"/>
        <v>1.5</v>
      </c>
      <c r="J251" s="152">
        <f t="shared" si="72"/>
        <v>1.5</v>
      </c>
      <c r="K251" s="152">
        <f t="shared" si="72"/>
        <v>1.5</v>
      </c>
      <c r="L251" s="152">
        <f t="shared" si="72"/>
        <v>1.5</v>
      </c>
      <c r="M251" s="152">
        <f t="shared" si="72"/>
        <v>1.5</v>
      </c>
      <c r="N251" s="152">
        <f t="shared" si="72"/>
        <v>1.5</v>
      </c>
      <c r="O251" s="152">
        <f t="shared" si="72"/>
        <v>1.5</v>
      </c>
      <c r="P251" s="152">
        <f t="shared" si="72"/>
        <v>1.5</v>
      </c>
      <c r="Q251" s="152">
        <f t="shared" si="72"/>
        <v>1.5</v>
      </c>
      <c r="R251" s="152">
        <f t="shared" si="72"/>
        <v>1.5</v>
      </c>
      <c r="S251" s="152">
        <f t="shared" si="72"/>
        <v>1.5</v>
      </c>
      <c r="T251" s="152">
        <f t="shared" si="73"/>
        <v>1.5</v>
      </c>
      <c r="U251" s="152">
        <f t="shared" si="73"/>
        <v>1.5</v>
      </c>
      <c r="V251" s="152">
        <f t="shared" si="73"/>
        <v>1.5</v>
      </c>
      <c r="W251" s="152">
        <f t="shared" si="73"/>
        <v>1.5</v>
      </c>
      <c r="X251" s="152">
        <f t="shared" si="73"/>
        <v>1.5</v>
      </c>
      <c r="Y251" s="152">
        <f t="shared" si="73"/>
        <v>1.5</v>
      </c>
      <c r="Z251" s="152">
        <f t="shared" si="73"/>
        <v>1.5</v>
      </c>
      <c r="AA251" s="152">
        <f t="shared" si="73"/>
        <v>1.5</v>
      </c>
      <c r="AB251" s="152">
        <f t="shared" si="73"/>
        <v>1.5</v>
      </c>
      <c r="AC251" s="152">
        <f t="shared" si="73"/>
        <v>1.5</v>
      </c>
      <c r="AD251" s="152">
        <f t="shared" si="73"/>
        <v>1.5</v>
      </c>
      <c r="AE251" s="152">
        <f t="shared" si="73"/>
        <v>1.5</v>
      </c>
      <c r="AF251" s="152">
        <f t="shared" si="73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71"/>
        <v>0.3</v>
      </c>
      <c r="C252" s="152">
        <v>0.3</v>
      </c>
      <c r="D252" s="152">
        <f t="shared" si="72"/>
        <v>0.3</v>
      </c>
      <c r="E252" s="152">
        <f t="shared" si="72"/>
        <v>0.3</v>
      </c>
      <c r="F252" s="152">
        <f t="shared" si="72"/>
        <v>0.3</v>
      </c>
      <c r="G252" s="152">
        <f t="shared" si="72"/>
        <v>0.3</v>
      </c>
      <c r="H252" s="152">
        <f t="shared" si="72"/>
        <v>0.3</v>
      </c>
      <c r="I252" s="152">
        <f t="shared" si="72"/>
        <v>0.3</v>
      </c>
      <c r="J252" s="152">
        <f t="shared" si="72"/>
        <v>0.3</v>
      </c>
      <c r="K252" s="152">
        <f t="shared" si="72"/>
        <v>0.3</v>
      </c>
      <c r="L252" s="152">
        <f t="shared" si="72"/>
        <v>0.3</v>
      </c>
      <c r="M252" s="152">
        <f t="shared" si="72"/>
        <v>0.3</v>
      </c>
      <c r="N252" s="152">
        <f t="shared" si="72"/>
        <v>0.3</v>
      </c>
      <c r="O252" s="152">
        <f t="shared" si="72"/>
        <v>0.3</v>
      </c>
      <c r="P252" s="152">
        <f t="shared" si="72"/>
        <v>0.3</v>
      </c>
      <c r="Q252" s="152">
        <f t="shared" si="72"/>
        <v>0.3</v>
      </c>
      <c r="R252" s="152">
        <f t="shared" si="72"/>
        <v>0.3</v>
      </c>
      <c r="S252" s="152">
        <f t="shared" si="72"/>
        <v>0.3</v>
      </c>
      <c r="T252" s="152">
        <f t="shared" si="73"/>
        <v>0.3</v>
      </c>
      <c r="U252" s="152">
        <f t="shared" si="73"/>
        <v>0.3</v>
      </c>
      <c r="V252" s="152">
        <f t="shared" si="73"/>
        <v>0.3</v>
      </c>
      <c r="W252" s="152">
        <f t="shared" si="73"/>
        <v>0.3</v>
      </c>
      <c r="X252" s="152">
        <f t="shared" si="73"/>
        <v>0.3</v>
      </c>
      <c r="Y252" s="152">
        <f t="shared" si="73"/>
        <v>0.3</v>
      </c>
      <c r="Z252" s="152">
        <f t="shared" si="73"/>
        <v>0.3</v>
      </c>
      <c r="AA252" s="152">
        <f t="shared" si="73"/>
        <v>0.3</v>
      </c>
      <c r="AB252" s="152">
        <f t="shared" si="73"/>
        <v>0.3</v>
      </c>
      <c r="AC252" s="152">
        <f t="shared" si="73"/>
        <v>0.3</v>
      </c>
      <c r="AD252" s="152">
        <f t="shared" si="73"/>
        <v>0.3</v>
      </c>
      <c r="AE252" s="152">
        <f t="shared" si="73"/>
        <v>0.3</v>
      </c>
      <c r="AF252" s="152">
        <f t="shared" si="73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71"/>
        <v>0.4</v>
      </c>
      <c r="C253" s="152">
        <v>0.4</v>
      </c>
      <c r="D253" s="152">
        <f t="shared" si="72"/>
        <v>0.4</v>
      </c>
      <c r="E253" s="152">
        <f t="shared" si="72"/>
        <v>0.4</v>
      </c>
      <c r="F253" s="152">
        <f t="shared" si="72"/>
        <v>0.4</v>
      </c>
      <c r="G253" s="152">
        <f t="shared" si="72"/>
        <v>0.4</v>
      </c>
      <c r="H253" s="152">
        <f t="shared" si="72"/>
        <v>0.4</v>
      </c>
      <c r="I253" s="152">
        <f t="shared" si="72"/>
        <v>0.4</v>
      </c>
      <c r="J253" s="152">
        <f t="shared" si="72"/>
        <v>0.4</v>
      </c>
      <c r="K253" s="152">
        <f t="shared" si="72"/>
        <v>0.4</v>
      </c>
      <c r="L253" s="152">
        <f t="shared" si="72"/>
        <v>0.4</v>
      </c>
      <c r="M253" s="152">
        <f t="shared" si="72"/>
        <v>0.4</v>
      </c>
      <c r="N253" s="152">
        <f t="shared" si="72"/>
        <v>0.4</v>
      </c>
      <c r="O253" s="152">
        <f t="shared" si="72"/>
        <v>0.4</v>
      </c>
      <c r="P253" s="152">
        <f t="shared" si="72"/>
        <v>0.4</v>
      </c>
      <c r="Q253" s="152">
        <f t="shared" si="72"/>
        <v>0.4</v>
      </c>
      <c r="R253" s="152">
        <f t="shared" si="72"/>
        <v>0.4</v>
      </c>
      <c r="S253" s="152">
        <f t="shared" si="72"/>
        <v>0.4</v>
      </c>
      <c r="T253" s="152">
        <f t="shared" si="73"/>
        <v>0.4</v>
      </c>
      <c r="U253" s="152">
        <f t="shared" si="73"/>
        <v>0.4</v>
      </c>
      <c r="V253" s="152">
        <f t="shared" si="73"/>
        <v>0.4</v>
      </c>
      <c r="W253" s="152">
        <f t="shared" si="73"/>
        <v>0.4</v>
      </c>
      <c r="X253" s="152">
        <f t="shared" si="73"/>
        <v>0.4</v>
      </c>
      <c r="Y253" s="152">
        <f t="shared" si="73"/>
        <v>0.4</v>
      </c>
      <c r="Z253" s="152">
        <f t="shared" si="73"/>
        <v>0.4</v>
      </c>
      <c r="AA253" s="152">
        <f t="shared" si="73"/>
        <v>0.4</v>
      </c>
      <c r="AB253" s="152">
        <f t="shared" si="73"/>
        <v>0.4</v>
      </c>
      <c r="AC253" s="152">
        <f t="shared" si="73"/>
        <v>0.4</v>
      </c>
      <c r="AD253" s="152">
        <f t="shared" si="73"/>
        <v>0.4</v>
      </c>
      <c r="AE253" s="152">
        <f t="shared" si="73"/>
        <v>0.4</v>
      </c>
      <c r="AF253" s="152">
        <f t="shared" si="73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71"/>
        <v>0.64</v>
      </c>
      <c r="C254" s="157">
        <v>0.64</v>
      </c>
      <c r="D254" s="157">
        <f t="shared" si="72"/>
        <v>0.64</v>
      </c>
      <c r="E254" s="157">
        <f t="shared" si="72"/>
        <v>0.64</v>
      </c>
      <c r="F254" s="157">
        <f t="shared" si="72"/>
        <v>0.64</v>
      </c>
      <c r="G254" s="157">
        <f t="shared" si="72"/>
        <v>0.64</v>
      </c>
      <c r="H254" s="157">
        <f t="shared" si="72"/>
        <v>0.64</v>
      </c>
      <c r="I254" s="157">
        <f t="shared" si="72"/>
        <v>0.64</v>
      </c>
      <c r="J254" s="157">
        <f t="shared" si="72"/>
        <v>0.64</v>
      </c>
      <c r="K254" s="157">
        <f t="shared" si="72"/>
        <v>0.64</v>
      </c>
      <c r="L254" s="157">
        <f t="shared" si="72"/>
        <v>0.64</v>
      </c>
      <c r="M254" s="157">
        <f t="shared" si="72"/>
        <v>0.64</v>
      </c>
      <c r="N254" s="157">
        <f t="shared" si="72"/>
        <v>0.64</v>
      </c>
      <c r="O254" s="157">
        <f t="shared" si="72"/>
        <v>0.64</v>
      </c>
      <c r="P254" s="157">
        <f t="shared" si="72"/>
        <v>0.64</v>
      </c>
      <c r="Q254" s="157">
        <f t="shared" si="72"/>
        <v>0.64</v>
      </c>
      <c r="R254" s="157">
        <f t="shared" si="72"/>
        <v>0.64</v>
      </c>
      <c r="S254" s="157">
        <f t="shared" si="72"/>
        <v>0.64</v>
      </c>
      <c r="T254" s="157">
        <f t="shared" si="73"/>
        <v>0.64</v>
      </c>
      <c r="U254" s="157">
        <f t="shared" si="73"/>
        <v>0.64</v>
      </c>
      <c r="V254" s="157">
        <f t="shared" si="73"/>
        <v>0.64</v>
      </c>
      <c r="W254" s="157">
        <f t="shared" si="73"/>
        <v>0.64</v>
      </c>
      <c r="X254" s="157">
        <f t="shared" si="73"/>
        <v>0.64</v>
      </c>
      <c r="Y254" s="157">
        <f t="shared" si="73"/>
        <v>0.64</v>
      </c>
      <c r="Z254" s="157">
        <f t="shared" si="73"/>
        <v>0.64</v>
      </c>
      <c r="AA254" s="157">
        <f t="shared" si="73"/>
        <v>0.64</v>
      </c>
      <c r="AB254" s="157">
        <f t="shared" si="73"/>
        <v>0.64</v>
      </c>
      <c r="AC254" s="157">
        <f t="shared" si="73"/>
        <v>0.64</v>
      </c>
      <c r="AD254" s="157">
        <f t="shared" si="73"/>
        <v>0.64</v>
      </c>
      <c r="AE254" s="157">
        <f t="shared" si="73"/>
        <v>0.64</v>
      </c>
      <c r="AF254" s="157">
        <f t="shared" si="73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74">SUM(B249:B254)</f>
        <v>3.54</v>
      </c>
      <c r="C255" s="161">
        <f t="shared" si="74"/>
        <v>3.54</v>
      </c>
      <c r="D255" s="161">
        <f t="shared" si="74"/>
        <v>3.54</v>
      </c>
      <c r="E255" s="161">
        <f t="shared" si="74"/>
        <v>3.54</v>
      </c>
      <c r="F255" s="161">
        <f t="shared" si="74"/>
        <v>3.54</v>
      </c>
      <c r="G255" s="161">
        <f t="shared" si="74"/>
        <v>3.54</v>
      </c>
      <c r="H255" s="161">
        <f t="shared" si="74"/>
        <v>3.54</v>
      </c>
      <c r="I255" s="161">
        <f t="shared" si="74"/>
        <v>3.54</v>
      </c>
      <c r="J255" s="161">
        <f t="shared" si="74"/>
        <v>3.54</v>
      </c>
      <c r="K255" s="161">
        <f t="shared" si="74"/>
        <v>3.54</v>
      </c>
      <c r="L255" s="161">
        <f t="shared" si="74"/>
        <v>3.54</v>
      </c>
      <c r="M255" s="161">
        <f t="shared" si="74"/>
        <v>3.54</v>
      </c>
      <c r="N255" s="161">
        <f t="shared" si="74"/>
        <v>3.54</v>
      </c>
      <c r="O255" s="161">
        <f t="shared" si="74"/>
        <v>3.54</v>
      </c>
      <c r="P255" s="161">
        <f t="shared" si="74"/>
        <v>3.54</v>
      </c>
      <c r="Q255" s="161">
        <f t="shared" si="74"/>
        <v>3.54</v>
      </c>
      <c r="R255" s="161">
        <f t="shared" si="74"/>
        <v>3.54</v>
      </c>
      <c r="S255" s="161">
        <f t="shared" si="74"/>
        <v>3.54</v>
      </c>
      <c r="T255" s="161">
        <f t="shared" si="74"/>
        <v>3.54</v>
      </c>
      <c r="U255" s="161">
        <f t="shared" si="74"/>
        <v>3.54</v>
      </c>
      <c r="V255" s="161">
        <f t="shared" si="74"/>
        <v>3.54</v>
      </c>
      <c r="W255" s="161">
        <f t="shared" si="74"/>
        <v>3.54</v>
      </c>
      <c r="X255" s="161">
        <f t="shared" si="74"/>
        <v>3.54</v>
      </c>
      <c r="Y255" s="161">
        <f t="shared" si="74"/>
        <v>3.54</v>
      </c>
      <c r="Z255" s="161">
        <f t="shared" si="74"/>
        <v>3.54</v>
      </c>
      <c r="AA255" s="161">
        <f t="shared" si="74"/>
        <v>3.54</v>
      </c>
      <c r="AB255" s="161">
        <f t="shared" si="74"/>
        <v>3.54</v>
      </c>
      <c r="AC255" s="161">
        <f t="shared" si="74"/>
        <v>3.54</v>
      </c>
      <c r="AD255" s="161">
        <f t="shared" si="74"/>
        <v>3.54</v>
      </c>
      <c r="AE255" s="161">
        <f t="shared" si="74"/>
        <v>3.54</v>
      </c>
      <c r="AF255" s="161">
        <f t="shared" si="74"/>
        <v>3.54</v>
      </c>
      <c r="AG255" s="171">
        <f t="shared" si="74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2267.94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2080/10/19)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1997" priority="80">
      <formula>$AH11=0</formula>
    </cfRule>
  </conditionalFormatting>
  <conditionalFormatting sqref="A89">
    <cfRule type="expression" dxfId="1996" priority="138">
      <formula>$AH94=0</formula>
    </cfRule>
  </conditionalFormatting>
  <conditionalFormatting sqref="A90:A94">
    <cfRule type="expression" dxfId="1995" priority="81">
      <formula>$AH89=0</formula>
    </cfRule>
  </conditionalFormatting>
  <conditionalFormatting sqref="B8">
    <cfRule type="expression" dxfId="1994" priority="134">
      <formula>AND(C$9&gt;=14/24,C$9&lt;20/24)</formula>
    </cfRule>
    <cfRule type="expression" dxfId="1993" priority="135">
      <formula>AND(C$9&gt;=8/24,C$9&lt;14/24)</formula>
    </cfRule>
    <cfRule type="expression" dxfId="1992" priority="136">
      <formula>C$9&lt;8/24</formula>
    </cfRule>
    <cfRule type="expression" dxfId="1991" priority="137">
      <formula>C$9&gt;=20/24</formula>
    </cfRule>
  </conditionalFormatting>
  <conditionalFormatting sqref="B11:L83 R15:R60 S15:AF83 Q35:Q58 M35:P60 E59:Q59 Q60 M11:P33 Q15:Q33 M34:Q34 F51:Q51 AG61 M61:R83 AG65 AG83">
    <cfRule type="expression" dxfId="1990" priority="40">
      <formula>B11&gt;$AG11</formula>
    </cfRule>
  </conditionalFormatting>
  <conditionalFormatting sqref="B11:P33 Q15:Q33 R15:AF57 B34:Q57 C62:D71 B62:B77 E68:F77 C72:AF77 B80:AF102 B9:AF10 B104:AF120 B122:AF140 B247:AF247 B249:B255">
    <cfRule type="expression" dxfId="1989" priority="41">
      <formula>B$9&gt;=20/24</formula>
    </cfRule>
  </conditionalFormatting>
  <conditionalFormatting sqref="B9:AF10 B11:P33 Q15:Q33 R15:AF57 B34:Q57 C62:D71 B62:B77 E68:F77 C72:AF77 B80:AF102 B104:AF120 B122:AF140 B247:AF247 B249:B255">
    <cfRule type="expression" dxfId="1988" priority="42">
      <formula>AND(B$9&gt;=14/24,B$9&lt;20/24)</formula>
    </cfRule>
    <cfRule type="expression" dxfId="1987" priority="43">
      <formula>AND(B$9&gt;=8/24,B$9&lt;14/24)</formula>
    </cfRule>
    <cfRule type="expression" dxfId="1986" priority="44">
      <formula>B$9&lt;8/24</formula>
    </cfRule>
  </conditionalFormatting>
  <conditionalFormatting sqref="B58:AF60">
    <cfRule type="expression" dxfId="1985" priority="37">
      <formula>B$9&gt;=20/24</formula>
    </cfRule>
    <cfRule type="expression" dxfId="1984" priority="38">
      <formula>AND(B$9&gt;=14/24,B$9&lt;20/24)</formula>
    </cfRule>
    <cfRule type="expression" dxfId="1983" priority="39">
      <formula>AND(B$9&gt;=8/24,B$9&lt;14/24)</formula>
    </cfRule>
    <cfRule type="expression" dxfId="1982" priority="49">
      <formula>B$9&lt;8/24</formula>
    </cfRule>
  </conditionalFormatting>
  <conditionalFormatting sqref="D249:AF255">
    <cfRule type="expression" dxfId="1981" priority="119">
      <formula>D$9&gt;=20/24</formula>
    </cfRule>
    <cfRule type="expression" dxfId="1980" priority="120">
      <formula>AND(D$9&gt;=14/24,D$9&lt;20/24)</formula>
    </cfRule>
    <cfRule type="expression" dxfId="1979" priority="121">
      <formula>AND(D$9&gt;=8/24,D$9&lt;14/24)</formula>
    </cfRule>
    <cfRule type="expression" dxfId="1978" priority="122">
      <formula>D$9&lt;8/24</formula>
    </cfRule>
  </conditionalFormatting>
  <conditionalFormatting sqref="E66:I70 J67:J70 K70:P70">
    <cfRule type="expression" dxfId="1977" priority="50">
      <formula>E$9&gt;=20/24</formula>
    </cfRule>
    <cfRule type="expression" dxfId="1976" priority="51">
      <formula>AND(E$9&gt;=14/24,E$9&lt;20/24)</formula>
    </cfRule>
    <cfRule type="expression" dxfId="1975" priority="52">
      <formula>AND(E$9&gt;=8/24,E$9&lt;14/24)</formula>
    </cfRule>
    <cfRule type="expression" dxfId="1974" priority="53">
      <formula>E$9&lt;8/24</formula>
    </cfRule>
  </conditionalFormatting>
  <conditionalFormatting sqref="E71:P71">
    <cfRule type="expression" dxfId="1973" priority="45">
      <formula>E$9&gt;=20/24</formula>
    </cfRule>
    <cfRule type="expression" dxfId="1972" priority="46">
      <formula>AND(E$9&gt;=14/24,E$9&lt;20/24)</formula>
    </cfRule>
    <cfRule type="expression" dxfId="1971" priority="47">
      <formula>AND(E$9&gt;=8/24,E$9&lt;14/24)</formula>
    </cfRule>
    <cfRule type="expression" dxfId="1970" priority="48">
      <formula>E$9&lt;8/24</formula>
    </cfRule>
  </conditionalFormatting>
  <conditionalFormatting sqref="E62:AF65">
    <cfRule type="expression" dxfId="1969" priority="60">
      <formula>E$9&gt;=20/24</formula>
    </cfRule>
    <cfRule type="expression" dxfId="1968" priority="61">
      <formula>AND(E$9&gt;=14/24,E$9&lt;20/24)</formula>
    </cfRule>
    <cfRule type="expression" dxfId="1967" priority="62">
      <formula>AND(E$9&gt;=8/24,E$9&lt;14/24)</formula>
    </cfRule>
    <cfRule type="expression" dxfId="1966" priority="63">
      <formula>E$9&lt;8/24</formula>
    </cfRule>
  </conditionalFormatting>
  <conditionalFormatting sqref="F66:P68">
    <cfRule type="expression" dxfId="1965" priority="72">
      <formula>F$9&gt;=20/24</formula>
    </cfRule>
    <cfRule type="expression" dxfId="1964" priority="73">
      <formula>AND(F$9&gt;=14/24,F$9&lt;20/24)</formula>
    </cfRule>
    <cfRule type="expression" dxfId="1963" priority="74">
      <formula>AND(F$9&gt;=8/24,F$9&lt;14/24)</formula>
    </cfRule>
    <cfRule type="expression" dxfId="1962" priority="75">
      <formula>F$9&lt;8/24</formula>
    </cfRule>
  </conditionalFormatting>
  <conditionalFormatting sqref="M8 S8 AB8">
    <cfRule type="expression" dxfId="1961" priority="126">
      <formula>AND(N$9&gt;=14/24,N$9&lt;20/24)</formula>
    </cfRule>
    <cfRule type="expression" dxfId="1960" priority="127">
      <formula>AND(N$9&gt;=8/24,N$9&lt;14/24)</formula>
    </cfRule>
    <cfRule type="expression" dxfId="1959" priority="128">
      <formula>N$9&lt;8/24</formula>
    </cfRule>
  </conditionalFormatting>
  <conditionalFormatting sqref="M66:AF70">
    <cfRule type="expression" dxfId="1958" priority="76">
      <formula>M$9&gt;=20/24</formula>
    </cfRule>
    <cfRule type="expression" dxfId="1957" priority="77">
      <formula>AND(M$9&gt;=14/24,M$9&lt;20/24)</formula>
    </cfRule>
    <cfRule type="expression" dxfId="1956" priority="78">
      <formula>AND(M$9&gt;=8/24,M$9&lt;14/24)</formula>
    </cfRule>
    <cfRule type="expression" dxfId="1955" priority="79">
      <formula>M$9&lt;8/24</formula>
    </cfRule>
  </conditionalFormatting>
  <conditionalFormatting sqref="M71:AF71">
    <cfRule type="expression" dxfId="1954" priority="68">
      <formula>M$9&gt;=20/24</formula>
    </cfRule>
    <cfRule type="expression" dxfId="1953" priority="69">
      <formula>AND(M$9&gt;=14/24,M$9&lt;20/24)</formula>
    </cfRule>
    <cfRule type="expression" dxfId="1952" priority="70">
      <formula>AND(M$9&gt;=8/24,M$9&lt;14/24)</formula>
    </cfRule>
    <cfRule type="expression" dxfId="1951" priority="71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Q11:AF14">
    <cfRule type="expression" dxfId="1950" priority="54">
      <formula>Q11&gt;$AG11</formula>
    </cfRule>
    <cfRule type="expression" dxfId="1949" priority="55">
      <formula>Q$9&gt;=20/24</formula>
    </cfRule>
    <cfRule type="expression" dxfId="1948" priority="56">
      <formula>AND(Q$9&gt;=14/24,Q$9&lt;20/24)</formula>
    </cfRule>
    <cfRule type="expression" dxfId="1947" priority="57">
      <formula>AND(Q$9&gt;=8/24,Q$9&lt;14/24)</formula>
    </cfRule>
    <cfRule type="expression" dxfId="1946" priority="58">
      <formula>Q$9&lt;8/24</formula>
    </cfRule>
  </conditionalFormatting>
  <conditionalFormatting sqref="S8 AB8 M8">
    <cfRule type="expression" dxfId="1945" priority="125">
      <formula>N$9&gt;=20/24</formula>
    </cfRule>
  </conditionalFormatting>
  <conditionalFormatting sqref="S8">
    <cfRule type="expression" dxfId="1944" priority="112">
      <formula>U$9&gt;=20/24</formula>
    </cfRule>
    <cfRule type="expression" dxfId="1943" priority="113">
      <formula>AND(U$9&gt;=14/24,U$9&lt;20/24)</formula>
    </cfRule>
    <cfRule type="expression" dxfId="1942" priority="114">
      <formula>AND(U$9&gt;=8/24,U$9&lt;14/24)</formula>
    </cfRule>
    <cfRule type="expression" dxfId="1941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940" priority="108">
      <formula>AD$9&gt;=20/24</formula>
    </cfRule>
    <cfRule type="expression" dxfId="1939" priority="109">
      <formula>AND(AD$9&gt;=14/24,AD$9&lt;20/24)</formula>
    </cfRule>
    <cfRule type="expression" dxfId="1938" priority="110">
      <formula>AND(AD$9&gt;=8/24,AD$9&lt;14/24)</formula>
    </cfRule>
    <cfRule type="expression" dxfId="1937" priority="111">
      <formula>AD$9&lt;8/24</formula>
    </cfRule>
  </conditionalFormatting>
  <conditionalFormatting sqref="AB66:AF71">
    <cfRule type="expression" dxfId="1936" priority="64">
      <formula>AB$9&gt;=20/24</formula>
    </cfRule>
    <cfRule type="expression" dxfId="1935" priority="65">
      <formula>AND(AB$9&gt;=14/24,AB$9&lt;20/24)</formula>
    </cfRule>
    <cfRule type="expression" dxfId="1934" priority="66">
      <formula>AND(AB$9&gt;=8/24,AB$9&lt;14/24)</formula>
    </cfRule>
    <cfRule type="expression" dxfId="1933" priority="67">
      <formula>AB$9&lt;8/24</formula>
    </cfRule>
  </conditionalFormatting>
  <conditionalFormatting sqref="AG65">
    <cfRule type="expression" dxfId="1932" priority="87">
      <formula>AG$9&gt;=20/24</formula>
    </cfRule>
    <cfRule type="expression" dxfId="1931" priority="88">
      <formula>AND(AG$9&gt;=14/24,AG$9&lt;20/24)</formula>
    </cfRule>
    <cfRule type="expression" dxfId="1930" priority="89">
      <formula>AND(AG$9&gt;=8/24,AG$9&lt;14/24)</formula>
    </cfRule>
    <cfRule type="expression" dxfId="1929" priority="90">
      <formula>AG$9&lt;8/24</formula>
    </cfRule>
  </conditionalFormatting>
  <conditionalFormatting sqref="AG78:AG79">
    <cfRule type="expression" dxfId="1928" priority="82">
      <formula>AG78&gt;$AG78</formula>
    </cfRule>
  </conditionalFormatting>
  <conditionalFormatting sqref="AG83">
    <cfRule type="expression" dxfId="1927" priority="83">
      <formula>AG$9&gt;=20/24</formula>
    </cfRule>
    <cfRule type="expression" dxfId="1926" priority="84">
      <formula>AND(AG$9&gt;=14/24,AG$9&lt;20/24)</formula>
    </cfRule>
    <cfRule type="expression" dxfId="1925" priority="85">
      <formula>AND(AG$9&gt;=8/24,AG$9&lt;14/24)</formula>
    </cfRule>
    <cfRule type="expression" dxfId="1924" priority="86">
      <formula>AG$9&lt;8/24</formula>
    </cfRule>
  </conditionalFormatting>
  <conditionalFormatting sqref="AG100">
    <cfRule type="expression" dxfId="1923" priority="104">
      <formula>AG$9&gt;=20/24</formula>
    </cfRule>
    <cfRule type="expression" dxfId="1922" priority="105">
      <formula>AND(AG$9&gt;=14/24,AG$9&lt;20/24)</formula>
    </cfRule>
    <cfRule type="expression" dxfId="1921" priority="106">
      <formula>AND(AG$9&gt;=8/24,AG$9&lt;14/24)</formula>
    </cfRule>
    <cfRule type="expression" dxfId="1920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919" priority="129">
      <formula>AJ$9&gt;=20/24</formula>
    </cfRule>
    <cfRule type="expression" dxfId="1918" priority="130">
      <formula>AND(AJ$9&gt;=14/24,AJ$9&lt;20/24)</formula>
    </cfRule>
    <cfRule type="expression" dxfId="1917" priority="131">
      <formula>AND(AJ$9&gt;=8/24,AJ$9&lt;14/24)</formula>
    </cfRule>
    <cfRule type="expression" dxfId="1916" priority="132">
      <formula>AJ$9&lt;8/24</formula>
    </cfRule>
  </conditionalFormatting>
  <conditionalFormatting sqref="AL86:AN86 AL92:AN92">
    <cfRule type="expression" dxfId="1915" priority="97">
      <formula>AL$9&gt;=20/24</formula>
    </cfRule>
    <cfRule type="expression" dxfId="1914" priority="98">
      <formula>AND(AL$9&gt;=14/24,AL$9&lt;20/24)</formula>
    </cfRule>
    <cfRule type="expression" dxfId="1913" priority="99">
      <formula>AND(AL$9&gt;=8/24,AL$9&lt;14/24)</formula>
    </cfRule>
    <cfRule type="expression" dxfId="1912" priority="100">
      <formula>AL$9&lt;8/24</formula>
    </cfRule>
  </conditionalFormatting>
  <conditionalFormatting sqref="AM15:AM21 AN16:AR21">
    <cfRule type="expression" dxfId="1911" priority="13">
      <formula>AX$9&gt;=20/24</formula>
    </cfRule>
    <cfRule type="expression" dxfId="1910" priority="14">
      <formula>AND(AX$9&gt;=14/24,AX$9&lt;20/24)</formula>
    </cfRule>
    <cfRule type="expression" dxfId="1909" priority="15">
      <formula>AND(AX$9&gt;=8/24,AX$9&lt;14/24)</formula>
    </cfRule>
    <cfRule type="expression" dxfId="1908" priority="16">
      <formula>AX$9&lt;8/24</formula>
    </cfRule>
  </conditionalFormatting>
  <conditionalFormatting sqref="AN87:AN90">
    <cfRule type="expression" dxfId="1907" priority="93">
      <formula>AN$9&gt;=20/24</formula>
    </cfRule>
    <cfRule type="expression" dxfId="1906" priority="94">
      <formula>AND(AN$9&gt;=14/24,AN$9&lt;20/24)</formula>
    </cfRule>
    <cfRule type="expression" dxfId="1905" priority="95">
      <formula>AND(AN$9&gt;=8/24,AN$9&lt;14/24)</formula>
    </cfRule>
    <cfRule type="expression" dxfId="1904" priority="96">
      <formula>AN$9&lt;8/24</formula>
    </cfRule>
  </conditionalFormatting>
  <conditionalFormatting sqref="AN15:AR15">
    <cfRule type="expression" dxfId="1903" priority="1">
      <formula>U$9&gt;=20/24</formula>
    </cfRule>
    <cfRule type="expression" dxfId="1902" priority="2">
      <formula>AND(U$9&gt;=14/24,U$9&lt;20/24)</formula>
    </cfRule>
    <cfRule type="expression" dxfId="1901" priority="3">
      <formula>AND(U$9&gt;=8/24,U$9&lt;14/24)</formula>
    </cfRule>
    <cfRule type="expression" dxfId="1900" priority="4">
      <formula>U$9&lt;8/24</formula>
    </cfRule>
  </conditionalFormatting>
  <conditionalFormatting sqref="AS15">
    <cfRule type="expression" dxfId="1899" priority="9">
      <formula>AA$9&gt;=20/24</formula>
    </cfRule>
    <cfRule type="expression" dxfId="1898" priority="10">
      <formula>AND(AA$9&gt;=14/24,AA$9&lt;20/24)</formula>
    </cfRule>
    <cfRule type="expression" dxfId="1897" priority="11">
      <formula>AND(AA$9&gt;=8/24,AA$9&lt;14/24)</formula>
    </cfRule>
    <cfRule type="expression" dxfId="1896" priority="12">
      <formula>AA$9&lt;8/24</formula>
    </cfRule>
  </conditionalFormatting>
  <conditionalFormatting sqref="AS16:AS21">
    <cfRule type="expression" dxfId="1895" priority="17">
      <formula>BE$9&gt;=20/24</formula>
    </cfRule>
    <cfRule type="expression" dxfId="1894" priority="18">
      <formula>AND(BE$9&gt;=14/24,BE$9&lt;20/24)</formula>
    </cfRule>
    <cfRule type="expression" dxfId="1893" priority="19">
      <formula>AND(BE$9&gt;=8/24,BE$9&lt;14/24)</formula>
    </cfRule>
    <cfRule type="expression" dxfId="1892" priority="20">
      <formula>BE$9&lt;8/24</formula>
    </cfRule>
  </conditionalFormatting>
  <conditionalFormatting sqref="AT15 AX15:BJ15">
    <cfRule type="expression" dxfId="1891" priority="21">
      <formula>AC$9&gt;=20/24</formula>
    </cfRule>
    <cfRule type="expression" dxfId="1890" priority="22">
      <formula>AND(AC$9&gt;=14/24,AC$9&lt;20/24)</formula>
    </cfRule>
    <cfRule type="expression" dxfId="1889" priority="23">
      <formula>AND(AC$9&gt;=8/24,AC$9&lt;14/24)</formula>
    </cfRule>
    <cfRule type="expression" dxfId="1888" priority="24">
      <formula>AC$9&lt;8/24</formula>
    </cfRule>
  </conditionalFormatting>
  <conditionalFormatting sqref="AT16:AT21">
    <cfRule type="expression" dxfId="1887" priority="25">
      <formula>BG$9&gt;=20/24</formula>
    </cfRule>
    <cfRule type="expression" dxfId="1886" priority="26">
      <formula>AND(BG$9&gt;=14/24,BG$9&lt;20/24)</formula>
    </cfRule>
    <cfRule type="expression" dxfId="1885" priority="27">
      <formula>AND(BG$9&gt;=8/24,BG$9&lt;14/24)</formula>
    </cfRule>
    <cfRule type="expression" dxfId="1884" priority="28">
      <formula>BG$9&lt;8/24</formula>
    </cfRule>
  </conditionalFormatting>
  <conditionalFormatting sqref="AU15:AV15">
    <cfRule type="expression" dxfId="1883" priority="29">
      <formula>AE$9&gt;=20/24</formula>
    </cfRule>
    <cfRule type="expression" dxfId="1882" priority="30">
      <formula>AND(AE$9&gt;=14/24,AE$9&lt;20/24)</formula>
    </cfRule>
    <cfRule type="expression" dxfId="1881" priority="31">
      <formula>AND(AE$9&gt;=8/24,AE$9&lt;14/24)</formula>
    </cfRule>
    <cfRule type="expression" dxfId="1880" priority="32">
      <formula>AE$9&lt;8/24</formula>
    </cfRule>
  </conditionalFormatting>
  <conditionalFormatting sqref="AU16:BJ21">
    <cfRule type="expression" dxfId="1879" priority="33">
      <formula>BI$9&gt;=20/24</formula>
    </cfRule>
    <cfRule type="expression" dxfId="1878" priority="34">
      <formula>AND(BI$9&gt;=14/24,BI$9&lt;20/24)</formula>
    </cfRule>
    <cfRule type="expression" dxfId="1877" priority="35">
      <formula>AND(BI$9&gt;=8/24,BI$9&lt;14/24)</formula>
    </cfRule>
    <cfRule type="expression" dxfId="1876" priority="36">
      <formula>BI$9&lt;8/24</formula>
    </cfRule>
  </conditionalFormatting>
  <conditionalFormatting sqref="AW15">
    <cfRule type="expression" dxfId="1875" priority="5">
      <formula>B$9&gt;=20/24</formula>
    </cfRule>
    <cfRule type="expression" dxfId="1874" priority="6">
      <formula>AND(B$9&gt;=14/24,B$9&lt;20/24)</formula>
    </cfRule>
    <cfRule type="expression" dxfId="1873" priority="7">
      <formula>AND(B$9&gt;=8/24,B$9&lt;14/24)</formula>
    </cfRule>
    <cfRule type="expression" dxfId="1872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C366-CEC6-4601-B0E9-894D573E4E63}">
  <dimension ref="A1:CJ297"/>
  <sheetViews>
    <sheetView zoomScale="106" workbookViewId="0">
      <pane xSplit="1" ySplit="10" topLeftCell="B7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D59" sqref="D59:AF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8.1406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2080/10/20</v>
      </c>
      <c r="C4" s="189"/>
      <c r="D4" s="189"/>
      <c r="E4" s="190" t="str">
        <f ca="1">"2080/"&amp;"10/"&amp;INT(MID(CELL("filename",G6),FIND("]",CELL("filename",G6))+1,200))</f>
        <v>2080/10/20</v>
      </c>
      <c r="F4" s="190"/>
      <c r="G4" s="190"/>
      <c r="H4" s="190" t="str">
        <f ca="1">TEXT(E4,"dddd")</f>
        <v>Sunday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20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2315MW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Load=1357</v>
      </c>
      <c r="B7" s="35">
        <f t="shared" ref="B7:AF7" si="1">B103</f>
        <v>1476.44</v>
      </c>
      <c r="C7" s="35">
        <f t="shared" si="1"/>
        <v>1449.8400000000001</v>
      </c>
      <c r="D7" s="35">
        <f t="shared" si="1"/>
        <v>1474.7399999999998</v>
      </c>
      <c r="E7" s="35">
        <f t="shared" si="1"/>
        <v>1357.1399999999999</v>
      </c>
      <c r="F7" s="35">
        <f t="shared" si="1"/>
        <v>1428.1399999999999</v>
      </c>
      <c r="G7" s="35">
        <f t="shared" si="1"/>
        <v>1410.94</v>
      </c>
      <c r="H7" s="35">
        <f t="shared" si="1"/>
        <v>1429.94</v>
      </c>
      <c r="I7" s="35">
        <f t="shared" si="1"/>
        <v>1453.94</v>
      </c>
      <c r="J7" s="35">
        <f t="shared" si="1"/>
        <v>1482.3399999999997</v>
      </c>
      <c r="K7" s="35">
        <f t="shared" si="1"/>
        <v>1518.54</v>
      </c>
      <c r="L7" s="35">
        <f t="shared" si="1"/>
        <v>1721.54</v>
      </c>
      <c r="M7" s="35">
        <f t="shared" si="1"/>
        <v>1654.54</v>
      </c>
      <c r="N7" s="35">
        <f t="shared" si="1"/>
        <v>1773.54</v>
      </c>
      <c r="O7" s="35">
        <f t="shared" si="1"/>
        <v>1744.8400000000001</v>
      </c>
      <c r="P7" s="35">
        <f t="shared" si="1"/>
        <v>1758.3400000000001</v>
      </c>
      <c r="Q7" s="35">
        <f t="shared" si="1"/>
        <v>1745.8400000000001</v>
      </c>
      <c r="R7" s="35">
        <f t="shared" si="1"/>
        <v>1738.8400000000001</v>
      </c>
      <c r="S7" s="35">
        <f t="shared" si="1"/>
        <v>1789.84</v>
      </c>
      <c r="T7" s="35">
        <f t="shared" si="1"/>
        <v>1773.54</v>
      </c>
      <c r="U7" s="35">
        <f t="shared" si="1"/>
        <v>1884.34</v>
      </c>
      <c r="V7" s="35">
        <f t="shared" si="1"/>
        <v>1726.94</v>
      </c>
      <c r="W7" s="35">
        <f t="shared" si="1"/>
        <v>1697.94</v>
      </c>
      <c r="X7" s="35">
        <f t="shared" si="1"/>
        <v>1664.6399999999999</v>
      </c>
      <c r="Y7" s="35">
        <f t="shared" si="1"/>
        <v>1606.3999999999999</v>
      </c>
      <c r="Z7" s="35">
        <f t="shared" si="1"/>
        <v>1664.5</v>
      </c>
      <c r="AA7" s="35">
        <f t="shared" si="1"/>
        <v>1786.6400000000003</v>
      </c>
      <c r="AB7" s="35">
        <f t="shared" si="1"/>
        <v>1790.4400000000003</v>
      </c>
      <c r="AC7" s="35">
        <f t="shared" si="1"/>
        <v>1754.1400000000003</v>
      </c>
      <c r="AD7" s="35">
        <f t="shared" si="1"/>
        <v>1704.1400000000003</v>
      </c>
      <c r="AE7" s="35">
        <f t="shared" si="1"/>
        <v>1730.1400000000003</v>
      </c>
      <c r="AF7" s="35">
        <f t="shared" si="1"/>
        <v>1718.8400000000001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2379.14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1884.34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</v>
      </c>
      <c r="C11" s="46">
        <v>86</v>
      </c>
      <c r="D11" s="46">
        <v>86</v>
      </c>
      <c r="E11" s="46">
        <v>86.4</v>
      </c>
      <c r="F11" s="46">
        <v>86.4</v>
      </c>
      <c r="G11" s="46">
        <v>86.4</v>
      </c>
      <c r="H11" s="46">
        <v>86.4</v>
      </c>
      <c r="I11" s="46">
        <v>86.4</v>
      </c>
      <c r="J11" s="46">
        <v>86.4</v>
      </c>
      <c r="K11" s="46">
        <v>86.4</v>
      </c>
      <c r="L11" s="46">
        <v>86.4</v>
      </c>
      <c r="M11" s="46">
        <v>86.4</v>
      </c>
      <c r="N11" s="46">
        <v>86.4</v>
      </c>
      <c r="O11" s="46">
        <v>0</v>
      </c>
      <c r="P11" s="46">
        <v>0</v>
      </c>
      <c r="Q11" s="46">
        <v>49</v>
      </c>
      <c r="R11" s="46">
        <v>0</v>
      </c>
      <c r="S11" s="46">
        <v>90.3</v>
      </c>
      <c r="T11" s="46">
        <v>86.6</v>
      </c>
      <c r="U11" s="46">
        <v>90.2</v>
      </c>
      <c r="V11" s="46">
        <v>90.2</v>
      </c>
      <c r="W11" s="46">
        <v>90.2</v>
      </c>
      <c r="X11" s="46">
        <v>90.3</v>
      </c>
      <c r="Y11" s="46">
        <v>90.3</v>
      </c>
      <c r="Z11" s="46">
        <v>80.099999999999994</v>
      </c>
      <c r="AA11" s="46">
        <v>87</v>
      </c>
      <c r="AB11" s="46">
        <v>87</v>
      </c>
      <c r="AC11" s="46">
        <v>87</v>
      </c>
      <c r="AD11" s="46">
        <v>87</v>
      </c>
      <c r="AE11" s="46">
        <v>86</v>
      </c>
      <c r="AF11" s="46">
        <v>86</v>
      </c>
      <c r="AG11" s="47">
        <v>86</v>
      </c>
      <c r="AH11" s="48">
        <f t="shared" ref="AH11:AH74" si="2">MAX(B11:AF11)</f>
        <v>90.3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50</v>
      </c>
      <c r="C12" s="46">
        <v>50</v>
      </c>
      <c r="D12" s="46">
        <v>50</v>
      </c>
      <c r="E12" s="46">
        <v>50</v>
      </c>
      <c r="F12" s="46">
        <v>47</v>
      </c>
      <c r="G12" s="46">
        <v>47</v>
      </c>
      <c r="H12" s="46">
        <v>47</v>
      </c>
      <c r="I12" s="46">
        <v>47</v>
      </c>
      <c r="J12" s="46">
        <v>55</v>
      </c>
      <c r="K12" s="46">
        <v>55</v>
      </c>
      <c r="L12" s="46">
        <v>68</v>
      </c>
      <c r="M12" s="46">
        <v>68</v>
      </c>
      <c r="N12" s="46">
        <v>68</v>
      </c>
      <c r="O12" s="46">
        <v>78.3</v>
      </c>
      <c r="P12" s="46">
        <v>78.3</v>
      </c>
      <c r="Q12" s="46">
        <v>78.3</v>
      </c>
      <c r="R12" s="46">
        <v>78.3</v>
      </c>
      <c r="S12" s="46">
        <v>71.900000000000006</v>
      </c>
      <c r="T12" s="46">
        <v>78.8</v>
      </c>
      <c r="U12" s="46">
        <v>83.7</v>
      </c>
      <c r="V12" s="46">
        <v>83.7</v>
      </c>
      <c r="W12" s="46">
        <v>53.7</v>
      </c>
      <c r="X12" s="46">
        <v>32.700000000000003</v>
      </c>
      <c r="Y12" s="46">
        <v>32.700000000000003</v>
      </c>
      <c r="Z12" s="46">
        <v>55</v>
      </c>
      <c r="AA12" s="46">
        <v>55</v>
      </c>
      <c r="AB12" s="46">
        <v>55</v>
      </c>
      <c r="AC12" s="46">
        <v>55</v>
      </c>
      <c r="AD12" s="46">
        <v>55</v>
      </c>
      <c r="AE12" s="46">
        <v>62.5</v>
      </c>
      <c r="AF12" s="46">
        <v>62.5</v>
      </c>
      <c r="AG12" s="50">
        <v>77</v>
      </c>
      <c r="AH12" s="48">
        <f t="shared" si="2"/>
        <v>83.7</v>
      </c>
      <c r="AI12" s="49">
        <f t="shared" si="3"/>
        <v>32.700000000000003</v>
      </c>
      <c r="AK12" s="51"/>
      <c r="AL12" s="52" t="str">
        <f ca="1">MID(CELL("filename",C7),FIND("]",CELL("filename",C7))+1,600)</f>
        <v>20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22</v>
      </c>
      <c r="C13" s="46">
        <v>22</v>
      </c>
      <c r="D13" s="46">
        <v>22</v>
      </c>
      <c r="E13" s="46">
        <v>22</v>
      </c>
      <c r="F13" s="46">
        <v>14</v>
      </c>
      <c r="G13" s="46">
        <v>14</v>
      </c>
      <c r="H13" s="46">
        <v>21</v>
      </c>
      <c r="I13" s="46">
        <v>21</v>
      </c>
      <c r="J13" s="46">
        <v>21</v>
      </c>
      <c r="K13" s="46">
        <v>21</v>
      </c>
      <c r="L13" s="46">
        <v>54</v>
      </c>
      <c r="M13" s="46">
        <v>54</v>
      </c>
      <c r="N13" s="46">
        <v>54</v>
      </c>
      <c r="O13" s="46">
        <v>65.400000000000006</v>
      </c>
      <c r="P13" s="46">
        <v>65.400000000000006</v>
      </c>
      <c r="Q13" s="46">
        <v>65.400000000000006</v>
      </c>
      <c r="R13" s="46">
        <v>65.400000000000006</v>
      </c>
      <c r="S13" s="46">
        <v>65.400000000000006</v>
      </c>
      <c r="T13" s="46">
        <v>63.7</v>
      </c>
      <c r="U13" s="46">
        <v>67.599999999999994</v>
      </c>
      <c r="V13" s="46">
        <v>65.599999999999994</v>
      </c>
      <c r="W13" s="46">
        <v>65</v>
      </c>
      <c r="X13" s="46">
        <v>65</v>
      </c>
      <c r="Y13" s="46">
        <v>65</v>
      </c>
      <c r="Z13" s="46">
        <v>44</v>
      </c>
      <c r="AA13" s="46">
        <v>44</v>
      </c>
      <c r="AB13" s="46">
        <v>44</v>
      </c>
      <c r="AC13" s="46">
        <v>44</v>
      </c>
      <c r="AD13" s="46">
        <v>44</v>
      </c>
      <c r="AE13" s="46">
        <v>55</v>
      </c>
      <c r="AF13" s="46">
        <v>0</v>
      </c>
      <c r="AG13" s="50">
        <v>73</v>
      </c>
      <c r="AH13" s="48">
        <f t="shared" si="2"/>
        <v>67.599999999999994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0</v>
      </c>
      <c r="C14" s="46">
        <v>40</v>
      </c>
      <c r="D14" s="46">
        <v>20</v>
      </c>
      <c r="E14" s="46">
        <v>20</v>
      </c>
      <c r="F14" s="46">
        <v>14</v>
      </c>
      <c r="G14" s="46">
        <v>14</v>
      </c>
      <c r="H14" s="46">
        <v>24</v>
      </c>
      <c r="I14" s="46">
        <v>24</v>
      </c>
      <c r="J14" s="46">
        <v>24</v>
      </c>
      <c r="K14" s="46">
        <v>24</v>
      </c>
      <c r="L14" s="46">
        <v>40</v>
      </c>
      <c r="M14" s="46">
        <v>40</v>
      </c>
      <c r="N14" s="46">
        <v>40</v>
      </c>
      <c r="O14" s="46">
        <v>40.4</v>
      </c>
      <c r="P14" s="46">
        <v>40.4</v>
      </c>
      <c r="Q14" s="46">
        <v>40.4</v>
      </c>
      <c r="R14" s="46">
        <v>40.4</v>
      </c>
      <c r="S14" s="46">
        <v>40.4</v>
      </c>
      <c r="T14" s="46">
        <v>40.4</v>
      </c>
      <c r="U14" s="46">
        <v>40.4</v>
      </c>
      <c r="V14" s="46">
        <v>0</v>
      </c>
      <c r="W14" s="46">
        <v>0</v>
      </c>
      <c r="X14" s="46">
        <v>0</v>
      </c>
      <c r="Y14" s="46">
        <v>0</v>
      </c>
      <c r="Z14" s="46">
        <v>20</v>
      </c>
      <c r="AA14" s="46">
        <v>20</v>
      </c>
      <c r="AB14" s="46">
        <v>20</v>
      </c>
      <c r="AC14" s="46">
        <v>20</v>
      </c>
      <c r="AD14" s="46">
        <v>20</v>
      </c>
      <c r="AE14" s="46">
        <v>20</v>
      </c>
      <c r="AF14" s="46">
        <v>20</v>
      </c>
      <c r="AG14" s="50">
        <v>71</v>
      </c>
      <c r="AH14" s="48">
        <f t="shared" si="2"/>
        <v>40.4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36</v>
      </c>
      <c r="C15" s="46">
        <v>36</v>
      </c>
      <c r="D15" s="46">
        <v>30</v>
      </c>
      <c r="E15" s="46">
        <v>30</v>
      </c>
      <c r="F15" s="46">
        <v>26</v>
      </c>
      <c r="G15" s="46">
        <v>26</v>
      </c>
      <c r="H15" s="46">
        <v>26</v>
      </c>
      <c r="I15" s="46">
        <v>26</v>
      </c>
      <c r="J15" s="46">
        <v>26</v>
      </c>
      <c r="K15" s="46">
        <v>26</v>
      </c>
      <c r="L15" s="46">
        <v>26</v>
      </c>
      <c r="M15" s="46">
        <v>26</v>
      </c>
      <c r="N15" s="46">
        <v>26</v>
      </c>
      <c r="O15" s="46">
        <v>59.9</v>
      </c>
      <c r="P15" s="46">
        <v>59.9</v>
      </c>
      <c r="Q15" s="46">
        <v>59.9</v>
      </c>
      <c r="R15" s="46">
        <v>59.9</v>
      </c>
      <c r="S15" s="46">
        <v>59.9</v>
      </c>
      <c r="T15" s="46">
        <v>57</v>
      </c>
      <c r="U15" s="46">
        <v>59.9</v>
      </c>
      <c r="V15" s="46">
        <v>59.9</v>
      </c>
      <c r="W15" s="46">
        <v>40.5</v>
      </c>
      <c r="X15" s="46">
        <v>34.700000000000003</v>
      </c>
      <c r="Y15" s="46">
        <v>34.700000000000003</v>
      </c>
      <c r="Z15" s="46">
        <v>22.1</v>
      </c>
      <c r="AA15" s="46">
        <v>22.1</v>
      </c>
      <c r="AB15" s="46">
        <v>22.1</v>
      </c>
      <c r="AC15" s="46">
        <v>22.1</v>
      </c>
      <c r="AD15" s="46">
        <v>22.1</v>
      </c>
      <c r="AE15" s="46">
        <v>47</v>
      </c>
      <c r="AF15" s="46">
        <v>47</v>
      </c>
      <c r="AG15" s="50">
        <v>54</v>
      </c>
      <c r="AH15" s="48">
        <f t="shared" si="2"/>
        <v>59.9</v>
      </c>
      <c r="AI15" s="49">
        <f t="shared" si="3"/>
        <v>22.1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</v>
      </c>
      <c r="C16" s="46">
        <v>27</v>
      </c>
      <c r="D16" s="46">
        <v>27</v>
      </c>
      <c r="E16" s="46">
        <v>27</v>
      </c>
      <c r="F16" s="46">
        <v>27</v>
      </c>
      <c r="G16" s="46">
        <v>27</v>
      </c>
      <c r="H16" s="46">
        <v>27</v>
      </c>
      <c r="I16" s="46">
        <v>27</v>
      </c>
      <c r="J16" s="46">
        <v>27</v>
      </c>
      <c r="K16" s="46">
        <v>27</v>
      </c>
      <c r="L16" s="46">
        <v>27</v>
      </c>
      <c r="M16" s="46">
        <v>27</v>
      </c>
      <c r="N16" s="46">
        <v>27</v>
      </c>
      <c r="O16" s="46">
        <v>27.1</v>
      </c>
      <c r="P16" s="46">
        <v>27.1</v>
      </c>
      <c r="Q16" s="46">
        <v>27.1</v>
      </c>
      <c r="R16" s="46">
        <v>27.1</v>
      </c>
      <c r="S16" s="46">
        <v>27.1</v>
      </c>
      <c r="T16" s="46">
        <v>27.1</v>
      </c>
      <c r="U16" s="46">
        <v>27.1</v>
      </c>
      <c r="V16" s="46">
        <v>27.1</v>
      </c>
      <c r="W16" s="46">
        <v>27.1</v>
      </c>
      <c r="X16" s="46">
        <v>27.1</v>
      </c>
      <c r="Y16" s="46">
        <v>27.1</v>
      </c>
      <c r="Z16" s="46">
        <v>27.1</v>
      </c>
      <c r="AA16" s="46">
        <v>27.1</v>
      </c>
      <c r="AB16" s="46">
        <v>27.1</v>
      </c>
      <c r="AC16" s="46">
        <v>27.1</v>
      </c>
      <c r="AD16" s="46">
        <v>27.1</v>
      </c>
      <c r="AE16" s="46">
        <v>27.1</v>
      </c>
      <c r="AF16" s="46">
        <v>27.1</v>
      </c>
      <c r="AG16" s="50">
        <v>54</v>
      </c>
      <c r="AH16" s="48">
        <f t="shared" si="2"/>
        <v>27.1</v>
      </c>
      <c r="AI16" s="49">
        <f t="shared" si="3"/>
        <v>27</v>
      </c>
      <c r="AK16" s="51"/>
      <c r="AL16" s="54" t="s">
        <v>7</v>
      </c>
      <c r="AM16" s="59">
        <f t="shared" ref="AM16:AR16" si="4">B61</f>
        <v>1248.3</v>
      </c>
      <c r="AN16" s="59">
        <f t="shared" si="4"/>
        <v>1288.3</v>
      </c>
      <c r="AO16" s="59">
        <f t="shared" si="4"/>
        <v>1222.5999999999999</v>
      </c>
      <c r="AP16" s="59">
        <f t="shared" si="4"/>
        <v>1245</v>
      </c>
      <c r="AQ16" s="59">
        <f t="shared" si="4"/>
        <v>1216</v>
      </c>
      <c r="AR16" s="59">
        <f t="shared" si="4"/>
        <v>1223.2</v>
      </c>
      <c r="AS16" s="59">
        <f>I61</f>
        <v>1240.2</v>
      </c>
      <c r="AT16" s="59">
        <f>K61</f>
        <v>1278</v>
      </c>
      <c r="AU16" s="59">
        <f t="shared" ref="AU16:BD16" si="5">M61</f>
        <v>1380.1</v>
      </c>
      <c r="AV16" s="59">
        <f t="shared" si="5"/>
        <v>1380.1</v>
      </c>
      <c r="AW16" s="59">
        <f t="shared" si="5"/>
        <v>1345.4</v>
      </c>
      <c r="AX16" s="59">
        <f t="shared" si="5"/>
        <v>1345.4</v>
      </c>
      <c r="AY16" s="59">
        <f t="shared" si="5"/>
        <v>1394.4</v>
      </c>
      <c r="AZ16" s="59">
        <f t="shared" si="5"/>
        <v>1345.4</v>
      </c>
      <c r="BA16" s="59">
        <f t="shared" si="5"/>
        <v>1425.5</v>
      </c>
      <c r="BB16" s="59">
        <f t="shared" si="5"/>
        <v>1412.1</v>
      </c>
      <c r="BC16" s="59">
        <f t="shared" si="5"/>
        <v>1384.3000000000002</v>
      </c>
      <c r="BD16" s="59">
        <f t="shared" si="5"/>
        <v>1381.3</v>
      </c>
      <c r="BE16" s="60">
        <f>X61</f>
        <v>1311.1</v>
      </c>
      <c r="BF16" s="60">
        <f>Z61</f>
        <v>1286.2</v>
      </c>
      <c r="BG16" s="60">
        <f>AB61</f>
        <v>1328.9</v>
      </c>
      <c r="BH16" s="60">
        <f>AD61</f>
        <v>1328.9</v>
      </c>
      <c r="BI16" s="60">
        <f>AE61</f>
        <v>1371.9</v>
      </c>
      <c r="BJ16" s="60">
        <f>AF61</f>
        <v>1290.5999999999999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52</v>
      </c>
      <c r="C17" s="46">
        <v>52</v>
      </c>
      <c r="D17" s="46">
        <v>52</v>
      </c>
      <c r="E17" s="46">
        <v>52</v>
      </c>
      <c r="F17" s="46">
        <v>52</v>
      </c>
      <c r="G17" s="46">
        <v>53.2</v>
      </c>
      <c r="H17" s="46">
        <v>53.2</v>
      </c>
      <c r="I17" s="46">
        <v>53.2</v>
      </c>
      <c r="J17" s="46">
        <v>53.2</v>
      </c>
      <c r="K17" s="46">
        <v>53.2</v>
      </c>
      <c r="L17" s="46">
        <v>53.2</v>
      </c>
      <c r="M17" s="46">
        <v>53.2</v>
      </c>
      <c r="N17" s="46">
        <v>53.2</v>
      </c>
      <c r="O17" s="46">
        <v>55.4</v>
      </c>
      <c r="P17" s="46">
        <v>55.4</v>
      </c>
      <c r="Q17" s="46">
        <v>55.4</v>
      </c>
      <c r="R17" s="46">
        <v>55.4</v>
      </c>
      <c r="S17" s="46">
        <v>55.4</v>
      </c>
      <c r="T17" s="46">
        <v>55.4</v>
      </c>
      <c r="U17" s="46">
        <v>55.4</v>
      </c>
      <c r="V17" s="46">
        <v>55.4</v>
      </c>
      <c r="W17" s="46">
        <v>55.4</v>
      </c>
      <c r="X17" s="46">
        <v>55.4</v>
      </c>
      <c r="Y17" s="46">
        <v>55.4</v>
      </c>
      <c r="Z17" s="46">
        <v>55.4</v>
      </c>
      <c r="AA17" s="46">
        <v>55.4</v>
      </c>
      <c r="AB17" s="46">
        <v>55.4</v>
      </c>
      <c r="AC17" s="46">
        <v>55.4</v>
      </c>
      <c r="AD17" s="46">
        <v>55.4</v>
      </c>
      <c r="AE17" s="46">
        <v>56</v>
      </c>
      <c r="AF17" s="46">
        <v>56</v>
      </c>
      <c r="AG17" s="47">
        <v>52.4</v>
      </c>
      <c r="AH17" s="48">
        <f t="shared" si="2"/>
        <v>56</v>
      </c>
      <c r="AI17" s="49">
        <f t="shared" si="3"/>
        <v>52</v>
      </c>
      <c r="AK17" s="51"/>
      <c r="AL17" s="54" t="s">
        <v>27</v>
      </c>
      <c r="AM17" s="59">
        <f t="shared" ref="AM17:AR17" si="6">B65</f>
        <v>538.6</v>
      </c>
      <c r="AN17" s="59">
        <f t="shared" si="6"/>
        <v>538.6</v>
      </c>
      <c r="AO17" s="59">
        <f t="shared" si="6"/>
        <v>538.6</v>
      </c>
      <c r="AP17" s="59">
        <f t="shared" si="6"/>
        <v>538.6</v>
      </c>
      <c r="AQ17" s="59">
        <f t="shared" si="6"/>
        <v>538.6</v>
      </c>
      <c r="AR17" s="59">
        <f t="shared" si="6"/>
        <v>538.6</v>
      </c>
      <c r="AS17" s="59">
        <f>I65</f>
        <v>538.6</v>
      </c>
      <c r="AT17" s="59">
        <f>K65</f>
        <v>538.6</v>
      </c>
      <c r="AU17" s="59">
        <f t="shared" ref="AU17:BD17" si="7">M65</f>
        <v>538.6</v>
      </c>
      <c r="AV17" s="59">
        <f t="shared" si="7"/>
        <v>538.6</v>
      </c>
      <c r="AW17" s="59">
        <f t="shared" si="7"/>
        <v>538.6</v>
      </c>
      <c r="AX17" s="59">
        <f t="shared" si="7"/>
        <v>538.6</v>
      </c>
      <c r="AY17" s="59">
        <f t="shared" si="7"/>
        <v>538.6</v>
      </c>
      <c r="AZ17" s="59">
        <f t="shared" si="7"/>
        <v>538.6</v>
      </c>
      <c r="BA17" s="59">
        <f t="shared" si="7"/>
        <v>538.70000000000005</v>
      </c>
      <c r="BB17" s="59">
        <f t="shared" si="7"/>
        <v>538.70000000000005</v>
      </c>
      <c r="BC17" s="59">
        <f t="shared" si="7"/>
        <v>542</v>
      </c>
      <c r="BD17" s="59">
        <f t="shared" si="7"/>
        <v>542</v>
      </c>
      <c r="BE17" s="60">
        <f>X65</f>
        <v>543.1</v>
      </c>
      <c r="BF17" s="60">
        <f>Z65</f>
        <v>542.40000000000009</v>
      </c>
      <c r="BG17" s="60">
        <f>AB65</f>
        <v>542.40000000000009</v>
      </c>
      <c r="BH17" s="60">
        <f>AD65</f>
        <v>542.40000000000009</v>
      </c>
      <c r="BI17" s="60">
        <f>AE65</f>
        <v>542.40000000000009</v>
      </c>
      <c r="BJ17" s="60">
        <f>AF65</f>
        <v>542.40000000000009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25.7</v>
      </c>
      <c r="C18" s="46">
        <v>25.7</v>
      </c>
      <c r="D18" s="46">
        <v>25.7</v>
      </c>
      <c r="E18" s="46">
        <v>25.7</v>
      </c>
      <c r="F18" s="46">
        <v>25.7</v>
      </c>
      <c r="G18" s="46">
        <v>25.7</v>
      </c>
      <c r="H18" s="46">
        <v>25.7</v>
      </c>
      <c r="I18" s="46">
        <v>25.7</v>
      </c>
      <c r="J18" s="46">
        <v>25.7</v>
      </c>
      <c r="K18" s="46">
        <v>25.7</v>
      </c>
      <c r="L18" s="46">
        <v>25.7</v>
      </c>
      <c r="M18" s="46">
        <v>25.7</v>
      </c>
      <c r="N18" s="46">
        <v>25.7</v>
      </c>
      <c r="O18" s="46">
        <v>25.2</v>
      </c>
      <c r="P18" s="46">
        <v>25.2</v>
      </c>
      <c r="Q18" s="46">
        <v>25.2</v>
      </c>
      <c r="R18" s="46">
        <v>25.2</v>
      </c>
      <c r="S18" s="46">
        <v>25.2</v>
      </c>
      <c r="T18" s="46">
        <v>25.2</v>
      </c>
      <c r="U18" s="46">
        <v>25.2</v>
      </c>
      <c r="V18" s="46">
        <v>25.2</v>
      </c>
      <c r="W18" s="46">
        <v>25.2</v>
      </c>
      <c r="X18" s="46">
        <v>25.2</v>
      </c>
      <c r="Y18" s="46">
        <v>25.2</v>
      </c>
      <c r="Z18" s="46">
        <v>25.2</v>
      </c>
      <c r="AA18" s="46">
        <v>25.2</v>
      </c>
      <c r="AB18" s="46">
        <v>25.2</v>
      </c>
      <c r="AC18" s="46">
        <v>25.2</v>
      </c>
      <c r="AD18" s="46">
        <v>25.2</v>
      </c>
      <c r="AE18" s="46">
        <v>25.2</v>
      </c>
      <c r="AF18" s="46">
        <v>25.2</v>
      </c>
      <c r="AG18" s="50">
        <v>50</v>
      </c>
      <c r="AH18" s="48">
        <f t="shared" si="2"/>
        <v>25.7</v>
      </c>
      <c r="AI18" s="49">
        <f t="shared" si="3"/>
        <v>25.2</v>
      </c>
      <c r="AK18" s="51"/>
      <c r="AL18" s="54" t="s">
        <v>29</v>
      </c>
      <c r="AM18" s="59">
        <f t="shared" ref="AM18:AR18" si="8">B79</f>
        <v>345.44</v>
      </c>
      <c r="AN18" s="59">
        <f t="shared" si="8"/>
        <v>284.94000000000005</v>
      </c>
      <c r="AO18" s="59">
        <f t="shared" si="8"/>
        <v>317.54000000000002</v>
      </c>
      <c r="AP18" s="59">
        <f t="shared" si="8"/>
        <v>307.54000000000002</v>
      </c>
      <c r="AQ18" s="59">
        <f t="shared" si="8"/>
        <v>333.54</v>
      </c>
      <c r="AR18" s="59">
        <f t="shared" si="8"/>
        <v>343.54</v>
      </c>
      <c r="AS18" s="59">
        <f>I79</f>
        <v>353.54</v>
      </c>
      <c r="AT18" s="59">
        <f>K79</f>
        <v>370.94</v>
      </c>
      <c r="AU18" s="59">
        <f t="shared" ref="AU18:BD18" si="9">M79</f>
        <v>395.84</v>
      </c>
      <c r="AV18" s="59">
        <f t="shared" si="9"/>
        <v>395.84</v>
      </c>
      <c r="AW18" s="59">
        <f t="shared" si="9"/>
        <v>395.84</v>
      </c>
      <c r="AX18" s="59">
        <f t="shared" si="9"/>
        <v>395.84</v>
      </c>
      <c r="AY18" s="59">
        <f t="shared" si="9"/>
        <v>395.84</v>
      </c>
      <c r="AZ18" s="59">
        <f t="shared" si="9"/>
        <v>395.84</v>
      </c>
      <c r="BA18" s="59">
        <f t="shared" si="9"/>
        <v>414.93999999999994</v>
      </c>
      <c r="BB18" s="59">
        <f t="shared" si="9"/>
        <v>415.63999999999993</v>
      </c>
      <c r="BC18" s="59">
        <f t="shared" si="9"/>
        <v>407.94</v>
      </c>
      <c r="BD18" s="59">
        <f t="shared" si="9"/>
        <v>388.44</v>
      </c>
      <c r="BE18" s="60">
        <f>X79</f>
        <v>400.54</v>
      </c>
      <c r="BF18" s="60">
        <f>Z79</f>
        <v>414.8</v>
      </c>
      <c r="BG18" s="60">
        <f>AB79</f>
        <v>412.84000000000003</v>
      </c>
      <c r="BH18" s="60">
        <f>AD79</f>
        <v>412.84000000000003</v>
      </c>
      <c r="BI18" s="60">
        <f>AE79</f>
        <v>412.84000000000003</v>
      </c>
      <c r="BJ18" s="60">
        <f>AF79</f>
        <v>412.84000000000003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20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17.3</v>
      </c>
      <c r="BD20" s="59">
        <f t="shared" si="13"/>
        <v>16.2</v>
      </c>
      <c r="BE20" s="60">
        <f>X83</f>
        <v>16.8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40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1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39.700000000000003</v>
      </c>
      <c r="C22" s="46">
        <v>39.700000000000003</v>
      </c>
      <c r="D22" s="46">
        <v>0</v>
      </c>
      <c r="E22" s="46">
        <v>22</v>
      </c>
      <c r="F22" s="46">
        <v>14</v>
      </c>
      <c r="G22" s="46">
        <v>20</v>
      </c>
      <c r="H22" s="46">
        <v>20</v>
      </c>
      <c r="I22" s="46">
        <v>20</v>
      </c>
      <c r="J22" s="46">
        <v>32</v>
      </c>
      <c r="K22" s="46">
        <v>32</v>
      </c>
      <c r="L22" s="46">
        <v>40</v>
      </c>
      <c r="M22" s="46">
        <v>40</v>
      </c>
      <c r="N22" s="46">
        <v>40</v>
      </c>
      <c r="O22" s="46">
        <v>27</v>
      </c>
      <c r="P22" s="46">
        <v>27</v>
      </c>
      <c r="Q22" s="46">
        <v>27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>
        <v>27</v>
      </c>
      <c r="X22" s="46">
        <v>27</v>
      </c>
      <c r="Y22" s="46">
        <v>27</v>
      </c>
      <c r="Z22" s="46">
        <v>26.3</v>
      </c>
      <c r="AA22" s="46">
        <v>26.3</v>
      </c>
      <c r="AB22" s="46">
        <v>26.3</v>
      </c>
      <c r="AC22" s="46">
        <v>26.3</v>
      </c>
      <c r="AD22" s="46">
        <v>26.3</v>
      </c>
      <c r="AE22" s="46">
        <v>26.3</v>
      </c>
      <c r="AF22" s="46">
        <v>0</v>
      </c>
      <c r="AG22" s="50">
        <v>38.46</v>
      </c>
      <c r="AH22" s="48">
        <f t="shared" si="2"/>
        <v>40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2132.34</v>
      </c>
      <c r="AN22" s="63">
        <f t="shared" si="16"/>
        <v>2111.84</v>
      </c>
      <c r="AO22" s="63">
        <f t="shared" si="16"/>
        <v>2098.7399999999998</v>
      </c>
      <c r="AP22" s="63">
        <f t="shared" si="16"/>
        <v>2091.14</v>
      </c>
      <c r="AQ22" s="63">
        <f t="shared" si="16"/>
        <v>2088.14</v>
      </c>
      <c r="AR22" s="63">
        <f t="shared" si="16"/>
        <v>2105.34</v>
      </c>
      <c r="AS22" s="63">
        <f t="shared" si="16"/>
        <v>2132.34</v>
      </c>
      <c r="AT22" s="63">
        <f t="shared" si="16"/>
        <v>2187.54</v>
      </c>
      <c r="AU22" s="63">
        <f t="shared" si="16"/>
        <v>2314.54</v>
      </c>
      <c r="AV22" s="63">
        <f t="shared" si="16"/>
        <v>2314.54</v>
      </c>
      <c r="AW22" s="63">
        <f t="shared" si="16"/>
        <v>2279.84</v>
      </c>
      <c r="AX22" s="63">
        <f t="shared" si="16"/>
        <v>2279.84</v>
      </c>
      <c r="AY22" s="63">
        <f t="shared" si="16"/>
        <v>2328.84</v>
      </c>
      <c r="AZ22" s="63">
        <f t="shared" si="16"/>
        <v>2279.84</v>
      </c>
      <c r="BA22" s="63">
        <f t="shared" si="16"/>
        <v>2379.14</v>
      </c>
      <c r="BB22" s="63">
        <f t="shared" si="16"/>
        <v>2366.44</v>
      </c>
      <c r="BC22" s="63">
        <f t="shared" si="16"/>
        <v>2351.5400000000004</v>
      </c>
      <c r="BD22" s="63">
        <f t="shared" si="16"/>
        <v>2327.9399999999996</v>
      </c>
      <c r="BE22" s="63">
        <f t="shared" si="16"/>
        <v>2271.54</v>
      </c>
      <c r="BF22" s="63">
        <f t="shared" si="16"/>
        <v>2283.4</v>
      </c>
      <c r="BG22" s="63">
        <f t="shared" si="16"/>
        <v>2284.1400000000003</v>
      </c>
      <c r="BH22" s="63">
        <f t="shared" si="16"/>
        <v>2284.1400000000003</v>
      </c>
      <c r="BI22" s="63">
        <f t="shared" si="16"/>
        <v>2327.1400000000003</v>
      </c>
      <c r="BJ22" s="63">
        <f t="shared" si="16"/>
        <v>2246.84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>
        <v>38</v>
      </c>
      <c r="D23" s="46">
        <v>38</v>
      </c>
      <c r="E23" s="46">
        <v>38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38</v>
      </c>
      <c r="O23" s="46">
        <v>38</v>
      </c>
      <c r="P23" s="46">
        <v>38</v>
      </c>
      <c r="Q23" s="46">
        <v>38</v>
      </c>
      <c r="R23" s="46">
        <v>38</v>
      </c>
      <c r="S23" s="46">
        <v>38</v>
      </c>
      <c r="T23" s="46">
        <v>26</v>
      </c>
      <c r="U23" s="46">
        <v>38</v>
      </c>
      <c r="V23" s="46">
        <v>38</v>
      </c>
      <c r="W23" s="46">
        <v>38</v>
      </c>
      <c r="X23" s="46">
        <v>38</v>
      </c>
      <c r="Y23" s="46">
        <v>38</v>
      </c>
      <c r="Z23" s="46">
        <v>38</v>
      </c>
      <c r="AA23" s="46">
        <v>38</v>
      </c>
      <c r="AB23" s="46">
        <v>38</v>
      </c>
      <c r="AC23" s="46">
        <v>38</v>
      </c>
      <c r="AD23" s="46">
        <v>38</v>
      </c>
      <c r="AE23" s="46">
        <v>38</v>
      </c>
      <c r="AF23" s="46">
        <v>38</v>
      </c>
      <c r="AG23" s="50">
        <v>38.46</v>
      </c>
      <c r="AH23" s="48">
        <f t="shared" si="2"/>
        <v>38</v>
      </c>
      <c r="AI23" s="49">
        <f t="shared" si="3"/>
        <v>26</v>
      </c>
      <c r="AK23" s="51"/>
      <c r="AL23" s="62" t="s">
        <v>39</v>
      </c>
      <c r="AM23" s="63">
        <f t="shared" ref="AM23:AR23" si="17">B110*-1</f>
        <v>-655.9</v>
      </c>
      <c r="AN23" s="63">
        <f t="shared" si="17"/>
        <v>-662</v>
      </c>
      <c r="AO23" s="63">
        <f t="shared" si="17"/>
        <v>-624</v>
      </c>
      <c r="AP23" s="63">
        <f t="shared" si="17"/>
        <v>-734</v>
      </c>
      <c r="AQ23" s="63">
        <f t="shared" si="17"/>
        <v>-660</v>
      </c>
      <c r="AR23" s="63">
        <f t="shared" si="17"/>
        <v>-694.4</v>
      </c>
      <c r="AS23" s="63">
        <f>I110*-1</f>
        <v>-678.4</v>
      </c>
      <c r="AT23" s="63">
        <f>K110*-1</f>
        <v>-669</v>
      </c>
      <c r="AU23" s="63">
        <f t="shared" ref="AU23:BD23" si="18">M110*-1</f>
        <v>-660</v>
      </c>
      <c r="AV23" s="63">
        <f t="shared" si="18"/>
        <v>-541</v>
      </c>
      <c r="AW23" s="63">
        <f t="shared" si="18"/>
        <v>-535</v>
      </c>
      <c r="AX23" s="63">
        <f t="shared" si="18"/>
        <v>-521.5</v>
      </c>
      <c r="AY23" s="63">
        <f t="shared" si="18"/>
        <v>-583</v>
      </c>
      <c r="AZ23" s="63">
        <f t="shared" si="18"/>
        <v>-541</v>
      </c>
      <c r="BA23" s="63">
        <f t="shared" si="18"/>
        <v>-589.29999999999995</v>
      </c>
      <c r="BB23" s="63">
        <f t="shared" si="18"/>
        <v>-592.9</v>
      </c>
      <c r="BC23" s="63">
        <f t="shared" si="18"/>
        <v>-467.20000000000005</v>
      </c>
      <c r="BD23" s="63">
        <f t="shared" si="18"/>
        <v>-601</v>
      </c>
      <c r="BE23" s="63">
        <f>X110*-1</f>
        <v>-606.9</v>
      </c>
      <c r="BF23" s="63">
        <f>Z110*-1</f>
        <v>-618.9</v>
      </c>
      <c r="BG23" s="63">
        <f>AB110*-1</f>
        <v>-493.7</v>
      </c>
      <c r="BH23" s="63">
        <f>AD110*-1</f>
        <v>-580</v>
      </c>
      <c r="BI23" s="63">
        <f>AE110*-1</f>
        <v>-597</v>
      </c>
      <c r="BJ23" s="63">
        <f>AF110*-1</f>
        <v>-528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>
        <v>36</v>
      </c>
      <c r="R24" s="46">
        <v>36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36</v>
      </c>
      <c r="AK24" s="51"/>
      <c r="AL24" s="62" t="s">
        <v>41</v>
      </c>
      <c r="AM24" s="63">
        <f t="shared" ref="AM24:BJ24" si="19">AM22+AM23</f>
        <v>1476.44</v>
      </c>
      <c r="AN24" s="63">
        <f t="shared" si="19"/>
        <v>1449.8400000000001</v>
      </c>
      <c r="AO24" s="63">
        <f t="shared" si="19"/>
        <v>1474.7399999999998</v>
      </c>
      <c r="AP24" s="63">
        <f t="shared" si="19"/>
        <v>1357.1399999999999</v>
      </c>
      <c r="AQ24" s="63">
        <f t="shared" si="19"/>
        <v>1428.1399999999999</v>
      </c>
      <c r="AR24" s="63">
        <f t="shared" si="19"/>
        <v>1410.94</v>
      </c>
      <c r="AS24" s="63">
        <f t="shared" si="19"/>
        <v>1453.94</v>
      </c>
      <c r="AT24" s="63">
        <f t="shared" si="19"/>
        <v>1518.54</v>
      </c>
      <c r="AU24" s="63">
        <f t="shared" si="19"/>
        <v>1654.54</v>
      </c>
      <c r="AV24" s="63">
        <f t="shared" si="19"/>
        <v>1773.54</v>
      </c>
      <c r="AW24" s="63">
        <f t="shared" si="19"/>
        <v>1744.8400000000001</v>
      </c>
      <c r="AX24" s="63">
        <f t="shared" si="19"/>
        <v>1758.3400000000001</v>
      </c>
      <c r="AY24" s="63">
        <f t="shared" si="19"/>
        <v>1745.8400000000001</v>
      </c>
      <c r="AZ24" s="63">
        <f t="shared" si="19"/>
        <v>1738.8400000000001</v>
      </c>
      <c r="BA24" s="63">
        <f t="shared" si="19"/>
        <v>1789.84</v>
      </c>
      <c r="BB24" s="63">
        <f t="shared" si="19"/>
        <v>1773.54</v>
      </c>
      <c r="BC24" s="63">
        <f t="shared" si="19"/>
        <v>1884.3400000000004</v>
      </c>
      <c r="BD24" s="63">
        <f t="shared" si="19"/>
        <v>1726.9399999999996</v>
      </c>
      <c r="BE24" s="63">
        <f t="shared" si="19"/>
        <v>1664.6399999999999</v>
      </c>
      <c r="BF24" s="63">
        <f t="shared" si="19"/>
        <v>1664.5</v>
      </c>
      <c r="BG24" s="63">
        <f t="shared" si="19"/>
        <v>1790.4400000000003</v>
      </c>
      <c r="BH24" s="63">
        <f t="shared" si="19"/>
        <v>1704.1400000000003</v>
      </c>
      <c r="BI24" s="63">
        <f t="shared" si="19"/>
        <v>1730.1400000000003</v>
      </c>
      <c r="BJ24" s="63">
        <f t="shared" si="19"/>
        <v>1718.8400000000001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15.3</v>
      </c>
      <c r="C25" s="46">
        <v>15.3</v>
      </c>
      <c r="D25" s="46">
        <v>15.3</v>
      </c>
      <c r="E25" s="46">
        <v>15.3</v>
      </c>
      <c r="F25" s="46">
        <v>15.3</v>
      </c>
      <c r="G25" s="46">
        <v>15.3</v>
      </c>
      <c r="H25" s="46">
        <v>15.3</v>
      </c>
      <c r="I25" s="46">
        <v>15.3</v>
      </c>
      <c r="J25" s="46">
        <v>15.3</v>
      </c>
      <c r="K25" s="46">
        <v>24</v>
      </c>
      <c r="L25" s="46">
        <v>16.8</v>
      </c>
      <c r="M25" s="46">
        <v>16.8</v>
      </c>
      <c r="N25" s="46">
        <v>16.8</v>
      </c>
      <c r="O25" s="46">
        <v>10.9</v>
      </c>
      <c r="P25" s="46">
        <v>10.9</v>
      </c>
      <c r="Q25" s="46">
        <v>10.9</v>
      </c>
      <c r="R25" s="46">
        <v>10.9</v>
      </c>
      <c r="S25" s="46">
        <v>30.1</v>
      </c>
      <c r="T25" s="46">
        <v>30.1</v>
      </c>
      <c r="U25" s="46">
        <v>30.1</v>
      </c>
      <c r="V25" s="46">
        <v>30.5</v>
      </c>
      <c r="W25" s="46">
        <v>30.5</v>
      </c>
      <c r="X25" s="46">
        <v>30.5</v>
      </c>
      <c r="Y25" s="46">
        <v>30.5</v>
      </c>
      <c r="Z25" s="46">
        <v>15.1</v>
      </c>
      <c r="AA25" s="46">
        <v>30.2</v>
      </c>
      <c r="AB25" s="46">
        <v>30.2</v>
      </c>
      <c r="AC25" s="46">
        <v>30.2</v>
      </c>
      <c r="AD25" s="46">
        <v>30.2</v>
      </c>
      <c r="AE25" s="46">
        <v>30.2</v>
      </c>
      <c r="AF25" s="46">
        <v>30.2</v>
      </c>
      <c r="AG25" s="61">
        <v>30</v>
      </c>
      <c r="AH25" s="48">
        <f t="shared" si="2"/>
        <v>30.5</v>
      </c>
      <c r="AI25" s="49">
        <f t="shared" si="3"/>
        <v>10.9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20.5</v>
      </c>
      <c r="C26" s="46">
        <v>20.5</v>
      </c>
      <c r="D26" s="46">
        <v>20.5</v>
      </c>
      <c r="E26" s="46">
        <v>20.5</v>
      </c>
      <c r="F26" s="46">
        <v>20.5</v>
      </c>
      <c r="G26" s="46">
        <v>20.5</v>
      </c>
      <c r="H26" s="46">
        <v>20.5</v>
      </c>
      <c r="I26" s="46">
        <v>20.5</v>
      </c>
      <c r="J26" s="46">
        <v>20.5</v>
      </c>
      <c r="K26" s="46">
        <v>20.5</v>
      </c>
      <c r="L26" s="46">
        <v>20.5</v>
      </c>
      <c r="M26" s="46">
        <v>20.5</v>
      </c>
      <c r="N26" s="46">
        <v>20.5</v>
      </c>
      <c r="O26" s="46">
        <v>33</v>
      </c>
      <c r="P26" s="46">
        <v>33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25.7</v>
      </c>
      <c r="X26" s="46">
        <v>25.5</v>
      </c>
      <c r="Y26" s="46">
        <v>25.5</v>
      </c>
      <c r="Z26" s="46">
        <v>25.5</v>
      </c>
      <c r="AA26" s="46">
        <v>25.5</v>
      </c>
      <c r="AB26" s="46">
        <v>25.5</v>
      </c>
      <c r="AC26" s="46">
        <v>25.5</v>
      </c>
      <c r="AD26" s="46">
        <v>25.5</v>
      </c>
      <c r="AE26" s="46">
        <v>25.5</v>
      </c>
      <c r="AF26" s="46">
        <v>25.5</v>
      </c>
      <c r="AG26" s="50">
        <v>24.2</v>
      </c>
      <c r="AH26" s="48">
        <f t="shared" si="2"/>
        <v>33</v>
      </c>
      <c r="AI26" s="49">
        <f t="shared" si="3"/>
        <v>20.5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28.6</v>
      </c>
      <c r="C27" s="46">
        <v>28.6</v>
      </c>
      <c r="D27" s="46">
        <v>28.6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28.6</v>
      </c>
      <c r="N27" s="46">
        <v>28.6</v>
      </c>
      <c r="O27" s="46">
        <v>28.7</v>
      </c>
      <c r="P27" s="46">
        <v>28.7</v>
      </c>
      <c r="Q27" s="46">
        <v>28.7</v>
      </c>
      <c r="R27" s="46">
        <v>28.7</v>
      </c>
      <c r="S27" s="46">
        <v>28.7</v>
      </c>
      <c r="T27" s="46">
        <v>28.7</v>
      </c>
      <c r="U27" s="46">
        <v>28.7</v>
      </c>
      <c r="V27" s="46">
        <v>28.7</v>
      </c>
      <c r="W27" s="46">
        <v>28.7</v>
      </c>
      <c r="X27" s="46">
        <v>25.7</v>
      </c>
      <c r="Y27" s="46">
        <v>25.7</v>
      </c>
      <c r="Z27" s="46">
        <v>28.6</v>
      </c>
      <c r="AA27" s="46">
        <v>28.6</v>
      </c>
      <c r="AB27" s="46">
        <v>28.6</v>
      </c>
      <c r="AC27" s="46">
        <v>28.6</v>
      </c>
      <c r="AD27" s="46">
        <v>28.6</v>
      </c>
      <c r="AE27" s="46">
        <v>28.6</v>
      </c>
      <c r="AF27" s="46">
        <v>28.6</v>
      </c>
      <c r="AG27" s="50">
        <v>28</v>
      </c>
      <c r="AH27" s="48">
        <f t="shared" si="2"/>
        <v>28.7</v>
      </c>
      <c r="AI27" s="49">
        <f t="shared" si="3"/>
        <v>25.7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12.6</v>
      </c>
      <c r="C28" s="46">
        <v>12.6</v>
      </c>
      <c r="D28" s="46">
        <v>12.6</v>
      </c>
      <c r="E28" s="46">
        <v>12.6</v>
      </c>
      <c r="F28" s="46">
        <v>12.6</v>
      </c>
      <c r="G28" s="46">
        <v>12.6</v>
      </c>
      <c r="H28" s="46">
        <v>12.6</v>
      </c>
      <c r="I28" s="46">
        <v>12.6</v>
      </c>
      <c r="J28" s="46">
        <v>12.6</v>
      </c>
      <c r="K28" s="46">
        <v>12.6</v>
      </c>
      <c r="L28" s="46">
        <v>25.4</v>
      </c>
      <c r="M28" s="46">
        <v>25.4</v>
      </c>
      <c r="N28" s="46">
        <v>25.4</v>
      </c>
      <c r="O28" s="46">
        <v>26.9</v>
      </c>
      <c r="P28" s="46">
        <v>26.9</v>
      </c>
      <c r="Q28" s="46">
        <v>26.9</v>
      </c>
      <c r="R28" s="46">
        <v>26.9</v>
      </c>
      <c r="S28" s="46">
        <v>26.9</v>
      </c>
      <c r="T28" s="46">
        <v>26.9</v>
      </c>
      <c r="U28" s="46">
        <v>26.9</v>
      </c>
      <c r="V28" s="46">
        <v>26.9</v>
      </c>
      <c r="W28" s="46">
        <v>26.9</v>
      </c>
      <c r="X28" s="46">
        <v>26.9</v>
      </c>
      <c r="Y28" s="46">
        <v>26.9</v>
      </c>
      <c r="Z28" s="46">
        <v>16.8</v>
      </c>
      <c r="AA28" s="46">
        <v>26.9</v>
      </c>
      <c r="AB28" s="46">
        <v>26.9</v>
      </c>
      <c r="AC28" s="46">
        <v>26.9</v>
      </c>
      <c r="AD28" s="46">
        <v>26.9</v>
      </c>
      <c r="AE28" s="46">
        <v>26.9</v>
      </c>
      <c r="AF28" s="46">
        <v>26.9</v>
      </c>
      <c r="AG28" s="61">
        <v>30</v>
      </c>
      <c r="AH28" s="48">
        <f t="shared" si="2"/>
        <v>26.9</v>
      </c>
      <c r="AI28" s="49">
        <f t="shared" si="3"/>
        <v>12.6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>
        <v>26</v>
      </c>
      <c r="D29" s="46">
        <v>26</v>
      </c>
      <c r="E29" s="46">
        <v>26</v>
      </c>
      <c r="F29" s="46">
        <v>26</v>
      </c>
      <c r="G29" s="46">
        <v>26</v>
      </c>
      <c r="H29" s="46">
        <v>26</v>
      </c>
      <c r="I29" s="46">
        <v>26</v>
      </c>
      <c r="J29" s="46">
        <v>26</v>
      </c>
      <c r="K29" s="46">
        <v>26</v>
      </c>
      <c r="L29" s="46">
        <v>26</v>
      </c>
      <c r="M29" s="46">
        <v>26</v>
      </c>
      <c r="N29" s="46">
        <v>26</v>
      </c>
      <c r="O29" s="46">
        <v>26.1</v>
      </c>
      <c r="P29" s="46">
        <v>26.1</v>
      </c>
      <c r="Q29" s="46">
        <v>26.1</v>
      </c>
      <c r="R29" s="46">
        <v>26.1</v>
      </c>
      <c r="S29" s="46">
        <v>26.1</v>
      </c>
      <c r="T29" s="46">
        <v>26.1</v>
      </c>
      <c r="U29" s="46">
        <v>26.1</v>
      </c>
      <c r="V29" s="46">
        <v>26.1</v>
      </c>
      <c r="W29" s="46">
        <v>26.1</v>
      </c>
      <c r="X29" s="46">
        <v>26.1</v>
      </c>
      <c r="Y29" s="46">
        <v>26.1</v>
      </c>
      <c r="Z29" s="46">
        <v>26</v>
      </c>
      <c r="AA29" s="46">
        <v>26</v>
      </c>
      <c r="AB29" s="46">
        <v>26</v>
      </c>
      <c r="AC29" s="46">
        <v>26</v>
      </c>
      <c r="AD29" s="46">
        <v>26</v>
      </c>
      <c r="AE29" s="46">
        <v>26</v>
      </c>
      <c r="AF29" s="46">
        <v>26</v>
      </c>
      <c r="AG29" s="50">
        <v>25</v>
      </c>
      <c r="AH29" s="48">
        <f t="shared" si="2"/>
        <v>26.1</v>
      </c>
      <c r="AI29" s="49">
        <f t="shared" si="3"/>
        <v>26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4</v>
      </c>
      <c r="C30" s="46">
        <v>4</v>
      </c>
      <c r="D30" s="46">
        <v>4</v>
      </c>
      <c r="E30" s="46">
        <v>4</v>
      </c>
      <c r="F30" s="46">
        <v>4</v>
      </c>
      <c r="G30" s="46">
        <v>4</v>
      </c>
      <c r="H30" s="46">
        <v>4</v>
      </c>
      <c r="I30" s="46">
        <v>4</v>
      </c>
      <c r="J30" s="46">
        <v>4</v>
      </c>
      <c r="K30" s="46">
        <v>4</v>
      </c>
      <c r="L30" s="46">
        <v>4</v>
      </c>
      <c r="M30" s="46">
        <v>4</v>
      </c>
      <c r="N30" s="46">
        <v>4</v>
      </c>
      <c r="O30" s="46">
        <v>0</v>
      </c>
      <c r="P30" s="46">
        <v>0</v>
      </c>
      <c r="Q30" s="46">
        <v>0</v>
      </c>
      <c r="R30" s="46">
        <v>0</v>
      </c>
      <c r="S30" s="46">
        <v>10</v>
      </c>
      <c r="T30" s="46">
        <v>10</v>
      </c>
      <c r="U30" s="46">
        <v>0</v>
      </c>
      <c r="V30" s="46">
        <v>10</v>
      </c>
      <c r="W30" s="46">
        <v>10</v>
      </c>
      <c r="X30" s="46">
        <v>10</v>
      </c>
      <c r="Y30" s="46">
        <v>10</v>
      </c>
      <c r="Z30" s="46">
        <v>10</v>
      </c>
      <c r="AA30" s="46">
        <v>10</v>
      </c>
      <c r="AB30" s="46">
        <v>10</v>
      </c>
      <c r="AC30" s="46">
        <v>10</v>
      </c>
      <c r="AD30" s="46">
        <v>10</v>
      </c>
      <c r="AE30" s="46">
        <v>10</v>
      </c>
      <c r="AF30" s="46">
        <v>10</v>
      </c>
      <c r="AG30" s="50">
        <v>25</v>
      </c>
      <c r="AH30" s="48">
        <f t="shared" si="2"/>
        <v>10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22</v>
      </c>
      <c r="C31" s="46">
        <v>22</v>
      </c>
      <c r="D31" s="46">
        <v>22</v>
      </c>
      <c r="E31" s="46">
        <v>22</v>
      </c>
      <c r="F31" s="46">
        <v>22</v>
      </c>
      <c r="G31" s="46">
        <v>22</v>
      </c>
      <c r="H31" s="46">
        <v>22</v>
      </c>
      <c r="I31" s="46">
        <v>22</v>
      </c>
      <c r="J31" s="46">
        <v>22</v>
      </c>
      <c r="K31" s="46">
        <v>22</v>
      </c>
      <c r="L31" s="46">
        <v>22</v>
      </c>
      <c r="M31" s="46">
        <v>22</v>
      </c>
      <c r="N31" s="46">
        <v>22</v>
      </c>
      <c r="O31" s="46">
        <v>22</v>
      </c>
      <c r="P31" s="46">
        <v>22</v>
      </c>
      <c r="Q31" s="46">
        <v>22</v>
      </c>
      <c r="R31" s="46">
        <v>22</v>
      </c>
      <c r="S31" s="46">
        <v>22</v>
      </c>
      <c r="T31" s="46">
        <v>22</v>
      </c>
      <c r="U31" s="46">
        <v>22</v>
      </c>
      <c r="V31" s="46">
        <v>22</v>
      </c>
      <c r="W31" s="46">
        <v>22</v>
      </c>
      <c r="X31" s="46">
        <v>22</v>
      </c>
      <c r="Y31" s="46">
        <v>22</v>
      </c>
      <c r="Z31" s="46">
        <v>22</v>
      </c>
      <c r="AA31" s="46">
        <v>22</v>
      </c>
      <c r="AB31" s="46">
        <v>22</v>
      </c>
      <c r="AC31" s="46">
        <v>22</v>
      </c>
      <c r="AD31" s="46">
        <v>22</v>
      </c>
      <c r="AE31" s="46">
        <v>22</v>
      </c>
      <c r="AF31" s="46">
        <v>22</v>
      </c>
      <c r="AG31" s="50">
        <v>25</v>
      </c>
      <c r="AH31" s="48">
        <f t="shared" si="2"/>
        <v>22</v>
      </c>
      <c r="AI31" s="49">
        <f t="shared" si="3"/>
        <v>22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12.9</v>
      </c>
      <c r="C32" s="46">
        <v>12.9</v>
      </c>
      <c r="D32" s="46">
        <v>12.9</v>
      </c>
      <c r="E32" s="46">
        <v>12.9</v>
      </c>
      <c r="F32" s="46">
        <v>12.9</v>
      </c>
      <c r="G32" s="46">
        <v>12.9</v>
      </c>
      <c r="H32" s="46">
        <v>12.9</v>
      </c>
      <c r="I32" s="46">
        <v>12.9</v>
      </c>
      <c r="J32" s="46">
        <v>12.9</v>
      </c>
      <c r="K32" s="46">
        <v>20</v>
      </c>
      <c r="L32" s="46">
        <v>25</v>
      </c>
      <c r="M32" s="46">
        <v>25</v>
      </c>
      <c r="N32" s="46">
        <v>25</v>
      </c>
      <c r="O32" s="46">
        <v>25</v>
      </c>
      <c r="P32" s="46">
        <v>25</v>
      </c>
      <c r="Q32" s="46">
        <v>25</v>
      </c>
      <c r="R32" s="46">
        <v>25</v>
      </c>
      <c r="S32" s="46">
        <v>25</v>
      </c>
      <c r="T32" s="46">
        <v>25</v>
      </c>
      <c r="U32" s="46">
        <v>25</v>
      </c>
      <c r="V32" s="46">
        <v>25</v>
      </c>
      <c r="W32" s="46">
        <v>25</v>
      </c>
      <c r="X32" s="46">
        <v>25</v>
      </c>
      <c r="Y32" s="46">
        <v>25</v>
      </c>
      <c r="Z32" s="46">
        <v>15</v>
      </c>
      <c r="AA32" s="46">
        <v>25.6</v>
      </c>
      <c r="AB32" s="46">
        <v>25.6</v>
      </c>
      <c r="AC32" s="46">
        <v>25.6</v>
      </c>
      <c r="AD32" s="46">
        <v>25.6</v>
      </c>
      <c r="AE32" s="46">
        <v>25.6</v>
      </c>
      <c r="AF32" s="46">
        <v>25.6</v>
      </c>
      <c r="AG32" s="50">
        <v>25</v>
      </c>
      <c r="AH32" s="48">
        <f t="shared" si="2"/>
        <v>25.6</v>
      </c>
      <c r="AI32" s="49">
        <f t="shared" si="3"/>
        <v>12.9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24.3</v>
      </c>
      <c r="C33" s="46">
        <v>24.3</v>
      </c>
      <c r="D33" s="46">
        <v>24.3</v>
      </c>
      <c r="E33" s="46">
        <v>24.3</v>
      </c>
      <c r="F33" s="46">
        <v>24.3</v>
      </c>
      <c r="G33" s="46">
        <v>24.3</v>
      </c>
      <c r="H33" s="46">
        <v>24.3</v>
      </c>
      <c r="I33" s="46">
        <v>24.3</v>
      </c>
      <c r="J33" s="46">
        <v>24.3</v>
      </c>
      <c r="K33" s="46">
        <v>24.3</v>
      </c>
      <c r="L33" s="46">
        <v>24.3</v>
      </c>
      <c r="M33" s="46">
        <v>24.3</v>
      </c>
      <c r="N33" s="46">
        <v>24.3</v>
      </c>
      <c r="O33" s="46">
        <v>24.6</v>
      </c>
      <c r="P33" s="46">
        <v>24.6</v>
      </c>
      <c r="Q33" s="46">
        <v>24.6</v>
      </c>
      <c r="R33" s="46">
        <v>24.6</v>
      </c>
      <c r="S33" s="46">
        <v>24.6</v>
      </c>
      <c r="T33" s="46">
        <v>24.6</v>
      </c>
      <c r="U33" s="46">
        <v>12.5</v>
      </c>
      <c r="V33" s="46">
        <v>12.5</v>
      </c>
      <c r="W33" s="46">
        <v>22.4</v>
      </c>
      <c r="X33" s="46">
        <v>22.4</v>
      </c>
      <c r="Y33" s="46">
        <v>22.4</v>
      </c>
      <c r="Z33" s="46">
        <v>22.4</v>
      </c>
      <c r="AA33" s="46">
        <v>22.4</v>
      </c>
      <c r="AB33" s="46">
        <v>22.4</v>
      </c>
      <c r="AC33" s="46">
        <v>22.4</v>
      </c>
      <c r="AD33" s="46">
        <v>22.4</v>
      </c>
      <c r="AE33" s="46">
        <v>22.4</v>
      </c>
      <c r="AF33" s="46">
        <v>22.4</v>
      </c>
      <c r="AG33" s="50">
        <v>23.5</v>
      </c>
      <c r="AH33" s="48">
        <f t="shared" si="2"/>
        <v>24.6</v>
      </c>
      <c r="AI33" s="49">
        <f t="shared" si="3"/>
        <v>12.5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3</v>
      </c>
      <c r="C34" s="46">
        <v>3</v>
      </c>
      <c r="D34" s="46">
        <v>3</v>
      </c>
      <c r="E34" s="46">
        <v>3</v>
      </c>
      <c r="F34" s="46">
        <v>3</v>
      </c>
      <c r="G34" s="46">
        <v>3</v>
      </c>
      <c r="H34" s="46">
        <v>3</v>
      </c>
      <c r="I34" s="46">
        <v>3</v>
      </c>
      <c r="J34" s="46">
        <v>3</v>
      </c>
      <c r="K34" s="46">
        <v>3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3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11</v>
      </c>
      <c r="T35" s="46">
        <v>11</v>
      </c>
      <c r="U35" s="46">
        <v>0</v>
      </c>
      <c r="V35" s="46">
        <v>11</v>
      </c>
      <c r="W35" s="46">
        <v>11</v>
      </c>
      <c r="X35" s="46">
        <v>11</v>
      </c>
      <c r="Y35" s="46">
        <v>11</v>
      </c>
      <c r="Z35" s="46">
        <v>11</v>
      </c>
      <c r="AA35" s="46">
        <v>11</v>
      </c>
      <c r="AB35" s="46">
        <v>11</v>
      </c>
      <c r="AC35" s="46">
        <v>11</v>
      </c>
      <c r="AD35" s="46">
        <v>11</v>
      </c>
      <c r="AE35" s="46">
        <v>11</v>
      </c>
      <c r="AF35" s="46">
        <v>11</v>
      </c>
      <c r="AG35" s="50">
        <v>22.1</v>
      </c>
      <c r="AH35" s="48">
        <f t="shared" si="2"/>
        <v>22</v>
      </c>
      <c r="AI35" s="49">
        <f t="shared" si="3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19.5</v>
      </c>
      <c r="C36" s="46">
        <v>19.5</v>
      </c>
      <c r="D36" s="46">
        <v>19.5</v>
      </c>
      <c r="E36" s="46">
        <v>19.5</v>
      </c>
      <c r="F36" s="46">
        <v>19.5</v>
      </c>
      <c r="G36" s="46">
        <v>19.5</v>
      </c>
      <c r="H36" s="46">
        <v>19.5</v>
      </c>
      <c r="I36" s="46">
        <v>19.5</v>
      </c>
      <c r="J36" s="46">
        <v>19.5</v>
      </c>
      <c r="K36" s="46">
        <v>19.5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0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25</v>
      </c>
      <c r="C37" s="46">
        <v>25</v>
      </c>
      <c r="D37" s="46">
        <v>25</v>
      </c>
      <c r="E37" s="46">
        <v>25</v>
      </c>
      <c r="F37" s="46">
        <v>25</v>
      </c>
      <c r="G37" s="46">
        <v>25</v>
      </c>
      <c r="H37" s="46">
        <v>25</v>
      </c>
      <c r="I37" s="46">
        <v>25</v>
      </c>
      <c r="J37" s="46">
        <v>25</v>
      </c>
      <c r="K37" s="46">
        <v>25</v>
      </c>
      <c r="L37" s="46">
        <v>25</v>
      </c>
      <c r="M37" s="46">
        <v>25</v>
      </c>
      <c r="N37" s="46">
        <v>25</v>
      </c>
      <c r="O37" s="46">
        <v>24</v>
      </c>
      <c r="P37" s="46">
        <v>24</v>
      </c>
      <c r="Q37" s="46">
        <v>24</v>
      </c>
      <c r="R37" s="46">
        <v>24</v>
      </c>
      <c r="S37" s="46">
        <v>16</v>
      </c>
      <c r="T37" s="46">
        <v>16</v>
      </c>
      <c r="U37" s="46">
        <v>16</v>
      </c>
      <c r="V37" s="46">
        <v>12</v>
      </c>
      <c r="W37" s="46">
        <v>12</v>
      </c>
      <c r="X37" s="46">
        <v>12</v>
      </c>
      <c r="Y37" s="46">
        <v>14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25</v>
      </c>
      <c r="AI37" s="49">
        <f t="shared" si="3"/>
        <v>12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10.7</v>
      </c>
      <c r="C38" s="46">
        <v>10.7</v>
      </c>
      <c r="D38" s="46">
        <v>10.7</v>
      </c>
      <c r="E38" s="46">
        <v>10.7</v>
      </c>
      <c r="F38" s="46">
        <v>10.7</v>
      </c>
      <c r="G38" s="46">
        <v>10.7</v>
      </c>
      <c r="H38" s="46">
        <v>10.7</v>
      </c>
      <c r="I38" s="46">
        <v>10.7</v>
      </c>
      <c r="J38" s="46">
        <v>10.7</v>
      </c>
      <c r="K38" s="46">
        <v>10.7</v>
      </c>
      <c r="L38" s="46">
        <v>10.7</v>
      </c>
      <c r="M38" s="46">
        <v>10.7</v>
      </c>
      <c r="N38" s="46">
        <v>10.7</v>
      </c>
      <c r="O38" s="46">
        <v>14</v>
      </c>
      <c r="P38" s="46">
        <v>14</v>
      </c>
      <c r="Q38" s="46">
        <v>14</v>
      </c>
      <c r="R38" s="46">
        <v>14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14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15</v>
      </c>
      <c r="M40" s="46">
        <v>15</v>
      </c>
      <c r="N40" s="46">
        <v>15</v>
      </c>
      <c r="O40" s="46">
        <v>15</v>
      </c>
      <c r="P40" s="46">
        <v>15</v>
      </c>
      <c r="Q40" s="46">
        <v>15</v>
      </c>
      <c r="R40" s="46">
        <v>15</v>
      </c>
      <c r="S40" s="46">
        <v>15</v>
      </c>
      <c r="T40" s="46">
        <v>15</v>
      </c>
      <c r="U40" s="46">
        <v>15</v>
      </c>
      <c r="V40" s="46">
        <v>15</v>
      </c>
      <c r="W40" s="46">
        <v>15</v>
      </c>
      <c r="X40" s="46">
        <v>15</v>
      </c>
      <c r="Y40" s="46">
        <v>15</v>
      </c>
      <c r="Z40" s="46">
        <v>15</v>
      </c>
      <c r="AA40" s="46">
        <v>15</v>
      </c>
      <c r="AB40" s="46">
        <v>15</v>
      </c>
      <c r="AC40" s="46">
        <v>15</v>
      </c>
      <c r="AD40" s="46">
        <v>15</v>
      </c>
      <c r="AE40" s="46">
        <v>15</v>
      </c>
      <c r="AF40" s="46">
        <v>15</v>
      </c>
      <c r="AG40" s="50">
        <v>18</v>
      </c>
      <c r="AH40" s="48">
        <f t="shared" si="2"/>
        <v>15</v>
      </c>
      <c r="AI40" s="49">
        <f t="shared" si="3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15</v>
      </c>
      <c r="C41" s="46">
        <v>15</v>
      </c>
      <c r="D41" s="46">
        <v>15</v>
      </c>
      <c r="E41" s="46">
        <v>15</v>
      </c>
      <c r="F41" s="46">
        <v>15</v>
      </c>
      <c r="G41" s="46">
        <v>15</v>
      </c>
      <c r="H41" s="46">
        <v>15</v>
      </c>
      <c r="I41" s="46">
        <v>15</v>
      </c>
      <c r="J41" s="46">
        <v>15</v>
      </c>
      <c r="K41" s="46">
        <v>15</v>
      </c>
      <c r="L41" s="46">
        <v>15</v>
      </c>
      <c r="M41" s="46">
        <v>15</v>
      </c>
      <c r="N41" s="46">
        <v>15</v>
      </c>
      <c r="O41" s="46">
        <v>15</v>
      </c>
      <c r="P41" s="46">
        <v>15</v>
      </c>
      <c r="Q41" s="46">
        <v>15</v>
      </c>
      <c r="R41" s="46">
        <v>15</v>
      </c>
      <c r="S41" s="46">
        <v>15</v>
      </c>
      <c r="T41" s="46">
        <v>15</v>
      </c>
      <c r="U41" s="46">
        <v>15</v>
      </c>
      <c r="V41" s="46">
        <v>15</v>
      </c>
      <c r="W41" s="46">
        <v>15</v>
      </c>
      <c r="X41" s="46">
        <v>15</v>
      </c>
      <c r="Y41" s="46">
        <v>15</v>
      </c>
      <c r="Z41" s="46">
        <v>15</v>
      </c>
      <c r="AA41" s="46">
        <v>15</v>
      </c>
      <c r="AB41" s="46">
        <v>15</v>
      </c>
      <c r="AC41" s="46">
        <v>15</v>
      </c>
      <c r="AD41" s="46">
        <v>15</v>
      </c>
      <c r="AE41" s="46">
        <v>15</v>
      </c>
      <c r="AF41" s="46">
        <v>15</v>
      </c>
      <c r="AG41" s="50">
        <v>15.33</v>
      </c>
      <c r="AH41" s="48">
        <f t="shared" si="2"/>
        <v>15</v>
      </c>
      <c r="AI41" s="49">
        <f t="shared" si="3"/>
        <v>15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15.5</v>
      </c>
      <c r="C43" s="46">
        <v>15.5</v>
      </c>
      <c r="D43" s="46">
        <v>15.5</v>
      </c>
      <c r="E43" s="46">
        <v>15.5</v>
      </c>
      <c r="F43" s="46">
        <v>15.5</v>
      </c>
      <c r="G43" s="46">
        <v>15.5</v>
      </c>
      <c r="H43" s="46">
        <v>15.5</v>
      </c>
      <c r="I43" s="46">
        <v>15.5</v>
      </c>
      <c r="J43" s="46">
        <v>15.5</v>
      </c>
      <c r="K43" s="46">
        <v>15.5</v>
      </c>
      <c r="L43" s="46">
        <v>15.5</v>
      </c>
      <c r="M43" s="46">
        <v>15.5</v>
      </c>
      <c r="N43" s="46">
        <v>15.5</v>
      </c>
      <c r="O43" s="46">
        <v>15.5</v>
      </c>
      <c r="P43" s="46">
        <v>15.5</v>
      </c>
      <c r="Q43" s="46">
        <v>15.5</v>
      </c>
      <c r="R43" s="46">
        <v>15.5</v>
      </c>
      <c r="S43" s="46">
        <v>15.5</v>
      </c>
      <c r="T43" s="46">
        <v>15.5</v>
      </c>
      <c r="U43" s="46">
        <v>15.5</v>
      </c>
      <c r="V43" s="46">
        <v>15.5</v>
      </c>
      <c r="W43" s="46">
        <v>15.5</v>
      </c>
      <c r="X43" s="46">
        <v>15.5</v>
      </c>
      <c r="Y43" s="46">
        <v>15.5</v>
      </c>
      <c r="Z43" s="46">
        <v>15.5</v>
      </c>
      <c r="AA43" s="46">
        <v>15.5</v>
      </c>
      <c r="AB43" s="46">
        <v>15.5</v>
      </c>
      <c r="AC43" s="46">
        <v>15.5</v>
      </c>
      <c r="AD43" s="46">
        <v>15.5</v>
      </c>
      <c r="AE43" s="46">
        <v>15.5</v>
      </c>
      <c r="AF43" s="46">
        <v>15.5</v>
      </c>
      <c r="AG43" s="50">
        <v>14.9</v>
      </c>
      <c r="AH43" s="48">
        <f t="shared" si="2"/>
        <v>15.5</v>
      </c>
      <c r="AI43" s="49">
        <f t="shared" si="3"/>
        <v>15.5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0</v>
      </c>
      <c r="C46" s="46">
        <v>0</v>
      </c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7.1</v>
      </c>
      <c r="Y46" s="46">
        <v>7.1</v>
      </c>
      <c r="Z46" s="46">
        <v>7.1</v>
      </c>
      <c r="AA46" s="46">
        <v>7.1</v>
      </c>
      <c r="AB46" s="46">
        <v>7.1</v>
      </c>
      <c r="AC46" s="46">
        <v>7.1</v>
      </c>
      <c r="AD46" s="46">
        <v>7.1</v>
      </c>
      <c r="AE46" s="46">
        <v>7.1</v>
      </c>
      <c r="AF46" s="46">
        <v>7.1</v>
      </c>
      <c r="AG46" s="50">
        <v>14</v>
      </c>
      <c r="AH46" s="48">
        <f t="shared" si="2"/>
        <v>7.1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8</v>
      </c>
      <c r="L49" s="46">
        <v>12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>
        <v>12</v>
      </c>
      <c r="R53" s="46">
        <v>12</v>
      </c>
      <c r="S53" s="46">
        <v>12</v>
      </c>
      <c r="T53" s="46">
        <v>12</v>
      </c>
      <c r="U53" s="46">
        <v>12</v>
      </c>
      <c r="V53" s="46">
        <v>12</v>
      </c>
      <c r="W53" s="46">
        <v>12</v>
      </c>
      <c r="X53" s="46">
        <v>12</v>
      </c>
      <c r="Y53" s="46">
        <v>12</v>
      </c>
      <c r="Z53" s="46">
        <v>12</v>
      </c>
      <c r="AA53" s="46">
        <v>12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12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10</v>
      </c>
      <c r="C55" s="46">
        <v>10</v>
      </c>
      <c r="D55" s="46">
        <v>10</v>
      </c>
      <c r="E55" s="46">
        <v>10</v>
      </c>
      <c r="F55" s="46">
        <v>10</v>
      </c>
      <c r="G55" s="46">
        <v>10</v>
      </c>
      <c r="H55" s="46">
        <v>10</v>
      </c>
      <c r="I55" s="46">
        <v>10</v>
      </c>
      <c r="J55" s="46">
        <v>10</v>
      </c>
      <c r="K55" s="46">
        <v>10</v>
      </c>
      <c r="L55" s="46">
        <v>10</v>
      </c>
      <c r="M55" s="46">
        <v>10</v>
      </c>
      <c r="N55" s="46">
        <v>10</v>
      </c>
      <c r="O55" s="46">
        <v>10</v>
      </c>
      <c r="P55" s="46">
        <v>10</v>
      </c>
      <c r="Q55" s="46">
        <v>10</v>
      </c>
      <c r="R55" s="46">
        <v>10</v>
      </c>
      <c r="S55" s="46">
        <v>10</v>
      </c>
      <c r="T55" s="46">
        <v>10</v>
      </c>
      <c r="U55" s="46">
        <v>10</v>
      </c>
      <c r="V55" s="46">
        <v>10</v>
      </c>
      <c r="W55" s="46">
        <v>10</v>
      </c>
      <c r="X55" s="46">
        <v>10</v>
      </c>
      <c r="Y55" s="46">
        <v>10</v>
      </c>
      <c r="Z55" s="46">
        <v>10</v>
      </c>
      <c r="AA55" s="46">
        <v>10</v>
      </c>
      <c r="AB55" s="46">
        <v>10</v>
      </c>
      <c r="AC55" s="46">
        <v>10</v>
      </c>
      <c r="AD55" s="46">
        <v>10</v>
      </c>
      <c r="AE55" s="46">
        <v>10</v>
      </c>
      <c r="AF55" s="46">
        <v>10</v>
      </c>
      <c r="AG55" s="66">
        <v>11</v>
      </c>
      <c r="AH55" s="48">
        <f t="shared" si="2"/>
        <v>10</v>
      </c>
      <c r="AI55" s="49">
        <f t="shared" si="3"/>
        <v>10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>
        <v>9</v>
      </c>
      <c r="O57" s="46">
        <v>9</v>
      </c>
      <c r="P57" s="46">
        <v>9</v>
      </c>
      <c r="Q57" s="46">
        <v>9</v>
      </c>
      <c r="R57" s="46">
        <v>9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f>60.5+104.4</f>
        <v>164.9</v>
      </c>
      <c r="C60" s="68">
        <f>76.3+104.6</f>
        <v>180.89999999999998</v>
      </c>
      <c r="D60" s="68">
        <f>76.3+105</f>
        <v>181.3</v>
      </c>
      <c r="E60" s="68">
        <f>104.9+76.1</f>
        <v>181</v>
      </c>
      <c r="F60" s="68">
        <f>104.9+76.1</f>
        <v>181</v>
      </c>
      <c r="G60" s="68">
        <v>177.5</v>
      </c>
      <c r="H60" s="68">
        <f>100.7+76</f>
        <v>176.7</v>
      </c>
      <c r="I60" s="68">
        <v>175</v>
      </c>
      <c r="J60" s="68">
        <f>96.2+75.4</f>
        <v>171.60000000000002</v>
      </c>
      <c r="K60" s="68">
        <f t="shared" ref="K60" si="20">96.2+75.4</f>
        <v>171.60000000000002</v>
      </c>
      <c r="L60" s="68">
        <v>55</v>
      </c>
      <c r="M60" s="68">
        <v>55</v>
      </c>
      <c r="N60" s="68">
        <v>55</v>
      </c>
      <c r="O60" s="53">
        <v>0</v>
      </c>
      <c r="P60" s="53">
        <v>82</v>
      </c>
      <c r="Q60" s="53">
        <v>82</v>
      </c>
      <c r="R60" s="53">
        <v>82</v>
      </c>
      <c r="S60" s="53">
        <v>99.2</v>
      </c>
      <c r="T60" s="53">
        <v>99.2</v>
      </c>
      <c r="U60" s="53">
        <v>0</v>
      </c>
      <c r="V60" s="53">
        <v>101</v>
      </c>
      <c r="W60" s="53">
        <f>98.2</f>
        <v>98.2</v>
      </c>
      <c r="X60" s="53">
        <v>93.9</v>
      </c>
      <c r="Y60" s="53">
        <v>93.9</v>
      </c>
      <c r="Z60" s="53">
        <v>96.9</v>
      </c>
      <c r="AA60" s="53">
        <v>96.3</v>
      </c>
      <c r="AB60" s="53">
        <v>96.3</v>
      </c>
      <c r="AC60" s="53">
        <v>96.3</v>
      </c>
      <c r="AD60" s="53">
        <v>96.3</v>
      </c>
      <c r="AE60" s="53">
        <v>96.3</v>
      </c>
      <c r="AF60" s="53">
        <v>96.3</v>
      </c>
      <c r="AG60" s="66">
        <v>240</v>
      </c>
      <c r="AH60" s="48">
        <f t="shared" si="2"/>
        <v>181.3</v>
      </c>
      <c r="AI60" s="49">
        <f t="shared" si="3"/>
        <v>0</v>
      </c>
      <c r="AK60" s="51"/>
    </row>
    <row r="61" spans="1:88" ht="15.75" thickBot="1" x14ac:dyDescent="0.3">
      <c r="A61" s="70" t="s">
        <v>75</v>
      </c>
      <c r="B61" s="71">
        <f t="shared" ref="B61:C61" si="21">SUM(B11:B59)</f>
        <v>1248.3</v>
      </c>
      <c r="C61" s="71">
        <f t="shared" si="21"/>
        <v>1288.3</v>
      </c>
      <c r="D61" s="71">
        <f t="shared" ref="D61" si="22">SUM(D11:D59)</f>
        <v>1222.5999999999999</v>
      </c>
      <c r="E61" s="71">
        <f t="shared" ref="E61:AG61" si="23">SUM(E11:E59)</f>
        <v>1245</v>
      </c>
      <c r="F61" s="71">
        <f t="shared" ref="F61" si="24">SUM(F11:F59)</f>
        <v>1216</v>
      </c>
      <c r="G61" s="71">
        <f t="shared" si="23"/>
        <v>1223.2</v>
      </c>
      <c r="H61" s="71">
        <f t="shared" si="23"/>
        <v>1240.2</v>
      </c>
      <c r="I61" s="71">
        <f t="shared" si="23"/>
        <v>1240.2</v>
      </c>
      <c r="J61" s="71">
        <f t="shared" si="23"/>
        <v>1260.1999999999998</v>
      </c>
      <c r="K61" s="71">
        <f t="shared" si="23"/>
        <v>1278</v>
      </c>
      <c r="L61" s="71">
        <f t="shared" si="23"/>
        <v>1380.1</v>
      </c>
      <c r="M61" s="71">
        <f t="shared" si="23"/>
        <v>1380.1</v>
      </c>
      <c r="N61" s="71">
        <f t="shared" si="23"/>
        <v>1380.1</v>
      </c>
      <c r="O61" s="71">
        <f t="shared" si="23"/>
        <v>1345.4</v>
      </c>
      <c r="P61" s="71">
        <f t="shared" si="23"/>
        <v>1345.4</v>
      </c>
      <c r="Q61" s="71">
        <f t="shared" si="23"/>
        <v>1394.4</v>
      </c>
      <c r="R61" s="71">
        <f t="shared" si="23"/>
        <v>1345.4</v>
      </c>
      <c r="S61" s="71">
        <f t="shared" si="23"/>
        <v>1425.5</v>
      </c>
      <c r="T61" s="71">
        <f t="shared" si="23"/>
        <v>1412.1</v>
      </c>
      <c r="U61" s="71">
        <f t="shared" si="23"/>
        <v>1384.3000000000002</v>
      </c>
      <c r="V61" s="71">
        <f t="shared" si="23"/>
        <v>1381.3</v>
      </c>
      <c r="W61" s="71">
        <f t="shared" si="23"/>
        <v>1333.9</v>
      </c>
      <c r="X61" s="71">
        <f t="shared" si="23"/>
        <v>1311.1</v>
      </c>
      <c r="Y61" s="71">
        <f t="shared" si="23"/>
        <v>1313.1</v>
      </c>
      <c r="Z61" s="71">
        <f t="shared" si="23"/>
        <v>1286.2</v>
      </c>
      <c r="AA61" s="71">
        <f t="shared" si="23"/>
        <v>1328.9</v>
      </c>
      <c r="AB61" s="71">
        <f t="shared" ref="AB61:AD61" si="25">SUM(AB11:AB59)</f>
        <v>1328.9</v>
      </c>
      <c r="AC61" s="71">
        <f t="shared" si="25"/>
        <v>1328.9</v>
      </c>
      <c r="AD61" s="71">
        <f t="shared" si="25"/>
        <v>1328.9</v>
      </c>
      <c r="AE61" s="71">
        <f t="shared" ref="AE61:AF61" si="26">SUM(AE11:AE59)</f>
        <v>1371.9</v>
      </c>
      <c r="AF61" s="71">
        <f t="shared" si="26"/>
        <v>1290.5999999999999</v>
      </c>
      <c r="AG61" s="71">
        <f t="shared" si="23"/>
        <v>1466.0300000000002</v>
      </c>
      <c r="AH61" s="48">
        <f t="shared" si="2"/>
        <v>1425.5</v>
      </c>
      <c r="AI61" s="49">
        <f t="shared" si="3"/>
        <v>1216</v>
      </c>
      <c r="AK61" s="51"/>
    </row>
    <row r="62" spans="1:88" x14ac:dyDescent="0.25">
      <c r="A62" s="73" t="s">
        <v>76</v>
      </c>
      <c r="B62" s="46">
        <v>456</v>
      </c>
      <c r="C62" s="46">
        <v>456</v>
      </c>
      <c r="D62" s="46">
        <v>456</v>
      </c>
      <c r="E62" s="46">
        <v>456</v>
      </c>
      <c r="F62" s="46">
        <v>456</v>
      </c>
      <c r="G62" s="46">
        <v>456</v>
      </c>
      <c r="H62" s="46">
        <v>456</v>
      </c>
      <c r="I62" s="46">
        <v>456</v>
      </c>
      <c r="J62" s="46">
        <v>456</v>
      </c>
      <c r="K62" s="46">
        <v>456</v>
      </c>
      <c r="L62" s="46">
        <v>456</v>
      </c>
      <c r="M62" s="46">
        <v>456</v>
      </c>
      <c r="N62" s="46">
        <v>456</v>
      </c>
      <c r="O62" s="46">
        <v>456</v>
      </c>
      <c r="P62" s="46">
        <v>456</v>
      </c>
      <c r="Q62" s="46">
        <v>456</v>
      </c>
      <c r="R62" s="46">
        <v>456</v>
      </c>
      <c r="S62" s="46">
        <v>456</v>
      </c>
      <c r="T62" s="46">
        <v>456</v>
      </c>
      <c r="U62" s="74">
        <v>459.3</v>
      </c>
      <c r="V62" s="74">
        <v>459.3</v>
      </c>
      <c r="W62" s="46">
        <v>458.9</v>
      </c>
      <c r="X62" s="46">
        <v>459.1</v>
      </c>
      <c r="Y62" s="46">
        <v>459.1</v>
      </c>
      <c r="Z62" s="46">
        <v>459.1</v>
      </c>
      <c r="AA62" s="46">
        <v>459.1</v>
      </c>
      <c r="AB62" s="46">
        <v>459.1</v>
      </c>
      <c r="AC62" s="46">
        <v>459.1</v>
      </c>
      <c r="AD62" s="46">
        <v>459.1</v>
      </c>
      <c r="AE62" s="46">
        <v>459.1</v>
      </c>
      <c r="AF62" s="46">
        <v>459.1</v>
      </c>
      <c r="AG62" s="61">
        <v>456</v>
      </c>
      <c r="AH62" s="48">
        <f t="shared" si="2"/>
        <v>459.3</v>
      </c>
      <c r="AI62" s="49">
        <f t="shared" si="3"/>
        <v>456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61.3</v>
      </c>
      <c r="Y63" s="76">
        <v>60.6</v>
      </c>
      <c r="Z63" s="76">
        <v>60.6</v>
      </c>
      <c r="AA63" s="76">
        <v>60.6</v>
      </c>
      <c r="AB63" s="76">
        <v>60.6</v>
      </c>
      <c r="AC63" s="76">
        <v>60.6</v>
      </c>
      <c r="AD63" s="76">
        <v>60.6</v>
      </c>
      <c r="AE63" s="76">
        <v>60.6</v>
      </c>
      <c r="AF63" s="76">
        <v>60.6</v>
      </c>
      <c r="AG63" s="66">
        <v>60</v>
      </c>
      <c r="AH63" s="48">
        <f t="shared" si="2"/>
        <v>61.3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22.7</v>
      </c>
      <c r="T64" s="78">
        <v>22.7</v>
      </c>
      <c r="U64" s="78">
        <v>22.7</v>
      </c>
      <c r="V64" s="78">
        <v>22.7</v>
      </c>
      <c r="W64" s="78">
        <v>22.6</v>
      </c>
      <c r="X64" s="78">
        <v>22.7</v>
      </c>
      <c r="Y64" s="78">
        <v>22.7</v>
      </c>
      <c r="Z64" s="78">
        <v>22.7</v>
      </c>
      <c r="AA64" s="78">
        <v>22.7</v>
      </c>
      <c r="AB64" s="78">
        <v>22.7</v>
      </c>
      <c r="AC64" s="78">
        <v>22.7</v>
      </c>
      <c r="AD64" s="78">
        <v>22.7</v>
      </c>
      <c r="AE64" s="78">
        <v>22.7</v>
      </c>
      <c r="AF64" s="78">
        <v>22.7</v>
      </c>
      <c r="AG64" s="79">
        <v>22.1</v>
      </c>
      <c r="AH64" s="48">
        <f t="shared" si="2"/>
        <v>22.7</v>
      </c>
      <c r="AI64" s="49">
        <f t="shared" si="3"/>
        <v>22.6</v>
      </c>
      <c r="AK64" s="51"/>
    </row>
    <row r="65" spans="1:75" ht="15.75" thickBot="1" x14ac:dyDescent="0.3">
      <c r="A65" s="80" t="s">
        <v>79</v>
      </c>
      <c r="B65" s="71">
        <f t="shared" ref="B65:C65" si="27">SUM(B62:B64)</f>
        <v>538.6</v>
      </c>
      <c r="C65" s="71">
        <f t="shared" si="27"/>
        <v>538.6</v>
      </c>
      <c r="D65" s="71">
        <f t="shared" ref="D65" si="28">SUM(D62:D64)</f>
        <v>538.6</v>
      </c>
      <c r="E65" s="71">
        <f t="shared" ref="E65:AG65" si="29">SUM(E62:E64)</f>
        <v>538.6</v>
      </c>
      <c r="F65" s="71">
        <f t="shared" ref="F65" si="30">SUM(F62:F64)</f>
        <v>538.6</v>
      </c>
      <c r="G65" s="71">
        <f t="shared" si="29"/>
        <v>538.6</v>
      </c>
      <c r="H65" s="71">
        <f t="shared" si="29"/>
        <v>538.6</v>
      </c>
      <c r="I65" s="71">
        <f t="shared" si="29"/>
        <v>538.6</v>
      </c>
      <c r="J65" s="71">
        <f t="shared" si="29"/>
        <v>538.6</v>
      </c>
      <c r="K65" s="71">
        <f t="shared" si="29"/>
        <v>538.6</v>
      </c>
      <c r="L65" s="71">
        <f t="shared" si="29"/>
        <v>538.6</v>
      </c>
      <c r="M65" s="71">
        <f t="shared" si="29"/>
        <v>538.6</v>
      </c>
      <c r="N65" s="71">
        <f t="shared" si="29"/>
        <v>538.6</v>
      </c>
      <c r="O65" s="71">
        <f t="shared" si="29"/>
        <v>538.6</v>
      </c>
      <c r="P65" s="71">
        <f t="shared" si="29"/>
        <v>538.6</v>
      </c>
      <c r="Q65" s="71">
        <f t="shared" si="29"/>
        <v>538.6</v>
      </c>
      <c r="R65" s="71">
        <f t="shared" si="29"/>
        <v>538.6</v>
      </c>
      <c r="S65" s="71">
        <f t="shared" si="29"/>
        <v>538.70000000000005</v>
      </c>
      <c r="T65" s="71">
        <f t="shared" si="29"/>
        <v>538.70000000000005</v>
      </c>
      <c r="U65" s="71">
        <f>SUM(U62:U64)</f>
        <v>542</v>
      </c>
      <c r="V65" s="71">
        <f t="shared" si="29"/>
        <v>542</v>
      </c>
      <c r="W65" s="71">
        <f t="shared" si="29"/>
        <v>541.5</v>
      </c>
      <c r="X65" s="71">
        <f t="shared" si="29"/>
        <v>543.1</v>
      </c>
      <c r="Y65" s="71">
        <f t="shared" si="29"/>
        <v>542.40000000000009</v>
      </c>
      <c r="Z65" s="71">
        <f t="shared" si="29"/>
        <v>542.40000000000009</v>
      </c>
      <c r="AA65" s="71">
        <f t="shared" si="29"/>
        <v>542.40000000000009</v>
      </c>
      <c r="AB65" s="71">
        <f t="shared" ref="AB65:AD65" si="31">SUM(AB62:AB64)</f>
        <v>542.40000000000009</v>
      </c>
      <c r="AC65" s="71">
        <f t="shared" si="31"/>
        <v>542.40000000000009</v>
      </c>
      <c r="AD65" s="71">
        <f t="shared" si="31"/>
        <v>542.40000000000009</v>
      </c>
      <c r="AE65" s="71">
        <f t="shared" ref="AE65:AF65" si="32">SUM(AE62:AE64)</f>
        <v>542.40000000000009</v>
      </c>
      <c r="AF65" s="71">
        <f t="shared" si="32"/>
        <v>542.40000000000009</v>
      </c>
      <c r="AG65" s="72">
        <f t="shared" si="29"/>
        <v>538.1</v>
      </c>
      <c r="AH65" s="48">
        <f t="shared" si="2"/>
        <v>543.1</v>
      </c>
      <c r="AI65" s="49">
        <f t="shared" si="3"/>
        <v>538.6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80</v>
      </c>
      <c r="C66" s="46">
        <v>80</v>
      </c>
      <c r="D66" s="46">
        <v>80</v>
      </c>
      <c r="E66" s="46">
        <v>80</v>
      </c>
      <c r="F66" s="46">
        <v>80</v>
      </c>
      <c r="G66" s="46">
        <v>80</v>
      </c>
      <c r="H66" s="46">
        <v>80</v>
      </c>
      <c r="I66" s="46">
        <v>90</v>
      </c>
      <c r="J66" s="46">
        <v>100</v>
      </c>
      <c r="K66" s="46">
        <v>112</v>
      </c>
      <c r="L66" s="46">
        <v>136</v>
      </c>
      <c r="M66" s="46">
        <v>136</v>
      </c>
      <c r="N66" s="46">
        <v>136</v>
      </c>
      <c r="O66" s="46">
        <v>136</v>
      </c>
      <c r="P66" s="46">
        <v>136</v>
      </c>
      <c r="Q66" s="46">
        <v>136</v>
      </c>
      <c r="R66" s="46">
        <v>136</v>
      </c>
      <c r="S66" s="46">
        <v>138</v>
      </c>
      <c r="T66" s="46">
        <v>138</v>
      </c>
      <c r="U66" s="46">
        <v>138.19999999999999</v>
      </c>
      <c r="V66" s="46">
        <v>138.19999999999999</v>
      </c>
      <c r="W66" s="46">
        <v>138.19999999999999</v>
      </c>
      <c r="X66" s="46">
        <v>138.19999999999999</v>
      </c>
      <c r="Y66" s="46">
        <v>138.19999999999999</v>
      </c>
      <c r="Z66" s="46">
        <v>138.19999999999999</v>
      </c>
      <c r="AA66" s="46">
        <v>138.19999999999999</v>
      </c>
      <c r="AB66" s="46">
        <v>138.19999999999999</v>
      </c>
      <c r="AC66" s="46">
        <v>138.19999999999999</v>
      </c>
      <c r="AD66" s="46">
        <v>138.19999999999999</v>
      </c>
      <c r="AE66" s="46">
        <v>138.19999999999999</v>
      </c>
      <c r="AF66" s="46">
        <v>138.19999999999999</v>
      </c>
      <c r="AG66" s="61">
        <v>144</v>
      </c>
      <c r="AH66" s="48">
        <f t="shared" si="2"/>
        <v>138.19999999999999</v>
      </c>
      <c r="AI66" s="49">
        <f t="shared" si="3"/>
        <v>80</v>
      </c>
      <c r="AK66" s="51"/>
      <c r="AY66" s="1" t="s">
        <v>86</v>
      </c>
      <c r="AZ66" s="82">
        <f>ROUND(C84,0)</f>
        <v>-61</v>
      </c>
      <c r="BA66" s="81">
        <f t="shared" ref="BA66:BD70" si="33">D84</f>
        <v>20</v>
      </c>
      <c r="BB66" s="81">
        <f t="shared" si="33"/>
        <v>-56</v>
      </c>
      <c r="BC66" s="81">
        <f t="shared" si="33"/>
        <v>-48</v>
      </c>
      <c r="BD66" s="81">
        <f t="shared" si="33"/>
        <v>-61</v>
      </c>
      <c r="BE66" s="82">
        <f>I84</f>
        <v>-45</v>
      </c>
      <c r="BF66" s="82">
        <f>K84</f>
        <v>-59</v>
      </c>
      <c r="BG66" s="82">
        <f t="shared" ref="BG66:BP70" si="34">M84</f>
        <v>-30</v>
      </c>
      <c r="BH66" s="82">
        <f t="shared" si="34"/>
        <v>-10</v>
      </c>
      <c r="BI66" s="82">
        <f t="shared" si="34"/>
        <v>-25</v>
      </c>
      <c r="BJ66" s="82">
        <f t="shared" si="34"/>
        <v>-23.5</v>
      </c>
      <c r="BK66" s="82">
        <f t="shared" si="34"/>
        <v>-40</v>
      </c>
      <c r="BL66" s="82">
        <f t="shared" si="34"/>
        <v>-40</v>
      </c>
      <c r="BM66" s="82">
        <f t="shared" si="34"/>
        <v>-28.8</v>
      </c>
      <c r="BN66" s="82">
        <f t="shared" si="34"/>
        <v>-41.4</v>
      </c>
      <c r="BO66" s="82">
        <f t="shared" si="34"/>
        <v>-34.6</v>
      </c>
      <c r="BP66" s="82">
        <f t="shared" si="34"/>
        <v>-43</v>
      </c>
      <c r="BQ66" s="82">
        <f>X84</f>
        <v>-57</v>
      </c>
      <c r="BR66" s="82">
        <f>Z84</f>
        <v>-45.8</v>
      </c>
      <c r="BS66" s="81">
        <f>AB84</f>
        <v>-44.8</v>
      </c>
      <c r="BT66" s="81">
        <f t="shared" ref="BT66:BV70" si="35">AD84</f>
        <v>-30</v>
      </c>
      <c r="BU66" s="81">
        <f t="shared" si="35"/>
        <v>-37</v>
      </c>
      <c r="BV66" s="81">
        <f t="shared" si="35"/>
        <v>-38</v>
      </c>
      <c r="BW66" s="81">
        <f>B84</f>
        <v>-34.5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70</v>
      </c>
      <c r="AK67" s="51"/>
      <c r="AY67" s="1" t="s">
        <v>88</v>
      </c>
      <c r="AZ67" s="82">
        <f>ROUND(C85,0)</f>
        <v>0</v>
      </c>
      <c r="BA67" s="81">
        <f t="shared" si="33"/>
        <v>0</v>
      </c>
      <c r="BB67" s="81">
        <f t="shared" si="33"/>
        <v>0</v>
      </c>
      <c r="BC67" s="81">
        <f t="shared" si="33"/>
        <v>0</v>
      </c>
      <c r="BD67" s="81">
        <f t="shared" si="33"/>
        <v>0</v>
      </c>
      <c r="BE67" s="82">
        <f>I85</f>
        <v>0</v>
      </c>
      <c r="BF67" s="82">
        <f>K85</f>
        <v>0</v>
      </c>
      <c r="BG67" s="82">
        <f t="shared" si="34"/>
        <v>0</v>
      </c>
      <c r="BH67" s="82">
        <f t="shared" si="34"/>
        <v>0</v>
      </c>
      <c r="BI67" s="82">
        <f t="shared" si="34"/>
        <v>0</v>
      </c>
      <c r="BJ67" s="82">
        <f t="shared" si="34"/>
        <v>0</v>
      </c>
      <c r="BK67" s="82">
        <f t="shared" si="34"/>
        <v>0</v>
      </c>
      <c r="BL67" s="82">
        <f t="shared" si="34"/>
        <v>0</v>
      </c>
      <c r="BM67" s="82">
        <f t="shared" si="34"/>
        <v>0</v>
      </c>
      <c r="BN67" s="82">
        <f t="shared" si="34"/>
        <v>0</v>
      </c>
      <c r="BO67" s="82">
        <f t="shared" si="34"/>
        <v>0</v>
      </c>
      <c r="BP67" s="82">
        <f t="shared" si="34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5"/>
        <v>0</v>
      </c>
      <c r="BU67" s="81">
        <f t="shared" si="35"/>
        <v>0</v>
      </c>
      <c r="BV67" s="81">
        <f t="shared" si="35"/>
        <v>0</v>
      </c>
      <c r="BW67" s="81">
        <f>B85</f>
        <v>0</v>
      </c>
    </row>
    <row r="68" spans="1:75" x14ac:dyDescent="0.25">
      <c r="A68" s="65" t="s">
        <v>82</v>
      </c>
      <c r="B68" s="76">
        <v>64.3</v>
      </c>
      <c r="C68" s="76">
        <v>64.3</v>
      </c>
      <c r="D68" s="76">
        <v>64.3</v>
      </c>
      <c r="E68" s="76">
        <v>64.3</v>
      </c>
      <c r="F68" s="76">
        <v>64.3</v>
      </c>
      <c r="G68" s="76">
        <v>64.3</v>
      </c>
      <c r="H68" s="76">
        <v>64.3</v>
      </c>
      <c r="I68" s="76">
        <v>64.3</v>
      </c>
      <c r="J68" s="76">
        <v>64.3</v>
      </c>
      <c r="K68" s="76">
        <v>64.3</v>
      </c>
      <c r="L68" s="76">
        <v>64.3</v>
      </c>
      <c r="M68" s="76">
        <v>64.3</v>
      </c>
      <c r="N68" s="76">
        <v>64.3</v>
      </c>
      <c r="O68" s="76">
        <v>64.3</v>
      </c>
      <c r="P68" s="76">
        <v>64.3</v>
      </c>
      <c r="Q68" s="76">
        <v>64.3</v>
      </c>
      <c r="R68" s="76">
        <v>64.3</v>
      </c>
      <c r="S68" s="76">
        <v>64.900000000000006</v>
      </c>
      <c r="T68" s="76">
        <v>64.900000000000006</v>
      </c>
      <c r="U68" s="76">
        <v>64.900000000000006</v>
      </c>
      <c r="V68" s="76">
        <v>64.900000000000006</v>
      </c>
      <c r="W68" s="76">
        <v>64.900000000000006</v>
      </c>
      <c r="X68" s="76">
        <v>64.900000000000006</v>
      </c>
      <c r="Y68" s="76">
        <v>64.900000000000006</v>
      </c>
      <c r="Z68" s="76">
        <v>64.900000000000006</v>
      </c>
      <c r="AA68" s="76">
        <v>64.900000000000006</v>
      </c>
      <c r="AB68" s="76">
        <v>64.900000000000006</v>
      </c>
      <c r="AC68" s="76">
        <v>64.900000000000006</v>
      </c>
      <c r="AD68" s="76">
        <v>64.900000000000006</v>
      </c>
      <c r="AE68" s="76">
        <v>64.900000000000006</v>
      </c>
      <c r="AF68" s="76">
        <v>64.900000000000006</v>
      </c>
      <c r="AG68" s="66">
        <v>69</v>
      </c>
      <c r="AH68" s="48">
        <f t="shared" si="2"/>
        <v>64.900000000000006</v>
      </c>
      <c r="AI68" s="49">
        <f t="shared" si="3"/>
        <v>64.3</v>
      </c>
      <c r="AK68" s="51"/>
      <c r="AL68" s="83"/>
      <c r="AO68" s="83"/>
      <c r="AY68" s="1" t="s">
        <v>90</v>
      </c>
      <c r="AZ68" s="82">
        <f>ROUND(C86,0)</f>
        <v>-601</v>
      </c>
      <c r="BA68" s="81">
        <f t="shared" si="33"/>
        <v>-624</v>
      </c>
      <c r="BB68" s="81">
        <f t="shared" si="33"/>
        <v>-678</v>
      </c>
      <c r="BC68" s="81">
        <f t="shared" si="33"/>
        <v>-612</v>
      </c>
      <c r="BD68" s="81">
        <f t="shared" si="33"/>
        <v>-633.4</v>
      </c>
      <c r="BE68" s="82">
        <f>I86</f>
        <v>-633.4</v>
      </c>
      <c r="BF68" s="82">
        <f>K86</f>
        <v>-610</v>
      </c>
      <c r="BG68" s="82">
        <f t="shared" si="34"/>
        <v>-630</v>
      </c>
      <c r="BH68" s="82">
        <f t="shared" si="34"/>
        <v>-531</v>
      </c>
      <c r="BI68" s="82">
        <f t="shared" si="34"/>
        <v>-510</v>
      </c>
      <c r="BJ68" s="82">
        <f t="shared" si="34"/>
        <v>-498</v>
      </c>
      <c r="BK68" s="82">
        <f t="shared" si="34"/>
        <v>-543</v>
      </c>
      <c r="BL68" s="82">
        <f t="shared" si="34"/>
        <v>-501</v>
      </c>
      <c r="BM68" s="82">
        <f t="shared" si="34"/>
        <v>-560.5</v>
      </c>
      <c r="BN68" s="82">
        <f t="shared" si="34"/>
        <v>-551.5</v>
      </c>
      <c r="BO68" s="82">
        <f t="shared" si="34"/>
        <v>-432.6</v>
      </c>
      <c r="BP68" s="82">
        <f t="shared" si="34"/>
        <v>-558</v>
      </c>
      <c r="BQ68" s="82">
        <f>X86</f>
        <v>-549.9</v>
      </c>
      <c r="BR68" s="82">
        <f>Z86</f>
        <v>-573.1</v>
      </c>
      <c r="BS68" s="81">
        <f>AB86</f>
        <v>-448.9</v>
      </c>
      <c r="BT68" s="81">
        <f t="shared" si="35"/>
        <v>-550</v>
      </c>
      <c r="BU68" s="81">
        <f t="shared" si="35"/>
        <v>-560</v>
      </c>
      <c r="BV68" s="81">
        <f t="shared" si="35"/>
        <v>-490</v>
      </c>
      <c r="BW68" s="81">
        <f>B86</f>
        <v>-621.4</v>
      </c>
    </row>
    <row r="69" spans="1:75" s="83" customFormat="1" x14ac:dyDescent="0.25">
      <c r="A69" s="65" t="s">
        <v>83</v>
      </c>
      <c r="B69" s="76">
        <v>60.5</v>
      </c>
      <c r="C69" s="76">
        <v>0</v>
      </c>
      <c r="D69" s="76">
        <v>60</v>
      </c>
      <c r="E69" s="76">
        <v>50</v>
      </c>
      <c r="F69" s="76">
        <v>50</v>
      </c>
      <c r="G69" s="76">
        <v>60</v>
      </c>
      <c r="H69" s="76">
        <v>60</v>
      </c>
      <c r="I69" s="76">
        <v>60</v>
      </c>
      <c r="J69" s="76">
        <v>60</v>
      </c>
      <c r="K69" s="76">
        <v>60</v>
      </c>
      <c r="L69" s="76">
        <v>60</v>
      </c>
      <c r="M69" s="76">
        <v>60</v>
      </c>
      <c r="N69" s="76">
        <v>60</v>
      </c>
      <c r="O69" s="76">
        <v>60</v>
      </c>
      <c r="P69" s="76">
        <v>60</v>
      </c>
      <c r="Q69" s="76">
        <v>60</v>
      </c>
      <c r="R69" s="76">
        <v>60</v>
      </c>
      <c r="S69" s="76">
        <v>61.4</v>
      </c>
      <c r="T69" s="76">
        <v>61.4</v>
      </c>
      <c r="U69" s="76">
        <v>61.4</v>
      </c>
      <c r="V69" s="76">
        <v>61.4</v>
      </c>
      <c r="W69" s="76">
        <v>61.4</v>
      </c>
      <c r="X69" s="76">
        <v>61.4</v>
      </c>
      <c r="Y69" s="76">
        <v>61.4</v>
      </c>
      <c r="Z69" s="76">
        <v>61.4</v>
      </c>
      <c r="AA69" s="76">
        <v>61.4</v>
      </c>
      <c r="AB69" s="76">
        <v>61.4</v>
      </c>
      <c r="AC69" s="76">
        <v>61.4</v>
      </c>
      <c r="AD69" s="76">
        <v>61.4</v>
      </c>
      <c r="AE69" s="76">
        <v>61.4</v>
      </c>
      <c r="AF69" s="76">
        <v>61.4</v>
      </c>
      <c r="AG69" s="66">
        <v>60</v>
      </c>
      <c r="AH69" s="48">
        <f t="shared" si="2"/>
        <v>61.4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3"/>
        <v>0</v>
      </c>
      <c r="BB69" s="81">
        <f t="shared" si="33"/>
        <v>0</v>
      </c>
      <c r="BC69" s="81">
        <f t="shared" si="33"/>
        <v>0</v>
      </c>
      <c r="BD69" s="81">
        <f t="shared" si="33"/>
        <v>0</v>
      </c>
      <c r="BE69" s="82">
        <f>I87</f>
        <v>0</v>
      </c>
      <c r="BF69" s="82">
        <f>K87</f>
        <v>0</v>
      </c>
      <c r="BG69" s="82">
        <f t="shared" si="34"/>
        <v>0</v>
      </c>
      <c r="BH69" s="82">
        <f t="shared" si="34"/>
        <v>0</v>
      </c>
      <c r="BI69" s="82">
        <f t="shared" si="34"/>
        <v>0</v>
      </c>
      <c r="BJ69" s="82">
        <f t="shared" si="34"/>
        <v>0</v>
      </c>
      <c r="BK69" s="82">
        <f t="shared" si="34"/>
        <v>0</v>
      </c>
      <c r="BL69" s="82">
        <f t="shared" si="34"/>
        <v>0</v>
      </c>
      <c r="BM69" s="82">
        <f t="shared" si="34"/>
        <v>0</v>
      </c>
      <c r="BN69" s="82">
        <f t="shared" si="34"/>
        <v>0</v>
      </c>
      <c r="BO69" s="82">
        <f t="shared" si="34"/>
        <v>0</v>
      </c>
      <c r="BP69" s="82">
        <f t="shared" si="34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5"/>
        <v>0</v>
      </c>
      <c r="BU69" s="81">
        <f t="shared" si="35"/>
        <v>0</v>
      </c>
      <c r="BV69" s="81">
        <f t="shared" si="35"/>
        <v>0</v>
      </c>
      <c r="BW69" s="81">
        <f>B87</f>
        <v>0</v>
      </c>
    </row>
    <row r="70" spans="1:75" x14ac:dyDescent="0.25">
      <c r="A70" s="65" t="s">
        <v>84</v>
      </c>
      <c r="B70" s="76">
        <v>27.4</v>
      </c>
      <c r="C70" s="76">
        <v>27.4</v>
      </c>
      <c r="D70" s="76">
        <v>0</v>
      </c>
      <c r="E70" s="76">
        <v>0</v>
      </c>
      <c r="F70" s="76">
        <v>26</v>
      </c>
      <c r="G70" s="76">
        <v>26</v>
      </c>
      <c r="H70" s="76">
        <v>26</v>
      </c>
      <c r="I70" s="76">
        <v>26</v>
      </c>
      <c r="J70" s="76">
        <v>26</v>
      </c>
      <c r="K70" s="76">
        <v>26</v>
      </c>
      <c r="L70" s="76">
        <v>26</v>
      </c>
      <c r="M70" s="76">
        <v>26</v>
      </c>
      <c r="N70" s="76">
        <v>26</v>
      </c>
      <c r="O70" s="76">
        <v>26</v>
      </c>
      <c r="P70" s="76">
        <v>26</v>
      </c>
      <c r="Q70" s="76">
        <v>26</v>
      </c>
      <c r="R70" s="76">
        <v>26</v>
      </c>
      <c r="S70" s="76">
        <v>26</v>
      </c>
      <c r="T70" s="76">
        <v>26</v>
      </c>
      <c r="U70" s="76">
        <v>26</v>
      </c>
      <c r="V70" s="76">
        <v>0</v>
      </c>
      <c r="W70" s="76">
        <v>0</v>
      </c>
      <c r="X70" s="76">
        <v>15.3</v>
      </c>
      <c r="Y70" s="76">
        <v>22.6</v>
      </c>
      <c r="Z70" s="76">
        <v>27.6</v>
      </c>
      <c r="AA70" s="76">
        <v>27.6</v>
      </c>
      <c r="AB70" s="76">
        <v>27.6</v>
      </c>
      <c r="AC70" s="76">
        <v>27.6</v>
      </c>
      <c r="AD70" s="76">
        <v>27.6</v>
      </c>
      <c r="AE70" s="76">
        <v>27.6</v>
      </c>
      <c r="AF70" s="76">
        <v>27.6</v>
      </c>
      <c r="AG70" s="66">
        <v>30</v>
      </c>
      <c r="AH70" s="48">
        <f t="shared" si="2"/>
        <v>27.6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3"/>
        <v>0</v>
      </c>
      <c r="BB70" s="81">
        <f t="shared" si="33"/>
        <v>0</v>
      </c>
      <c r="BC70" s="81">
        <f t="shared" si="33"/>
        <v>0</v>
      </c>
      <c r="BD70" s="81">
        <f t="shared" si="33"/>
        <v>0</v>
      </c>
      <c r="BE70" s="82">
        <f>I88</f>
        <v>0</v>
      </c>
      <c r="BF70" s="82">
        <f>K88</f>
        <v>0</v>
      </c>
      <c r="BG70" s="82">
        <f t="shared" si="34"/>
        <v>0</v>
      </c>
      <c r="BH70" s="82">
        <f t="shared" si="34"/>
        <v>0</v>
      </c>
      <c r="BI70" s="82">
        <f t="shared" si="34"/>
        <v>0</v>
      </c>
      <c r="BJ70" s="82">
        <f t="shared" si="34"/>
        <v>0</v>
      </c>
      <c r="BK70" s="82">
        <f t="shared" si="34"/>
        <v>0</v>
      </c>
      <c r="BL70" s="82">
        <f t="shared" si="34"/>
        <v>0</v>
      </c>
      <c r="BM70" s="82">
        <f t="shared" si="34"/>
        <v>0</v>
      </c>
      <c r="BN70" s="82">
        <f t="shared" si="34"/>
        <v>0</v>
      </c>
      <c r="BO70" s="82">
        <f t="shared" si="34"/>
        <v>0</v>
      </c>
      <c r="BP70" s="82">
        <f t="shared" si="34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5"/>
        <v>0</v>
      </c>
      <c r="BU70" s="81">
        <f t="shared" si="35"/>
        <v>0</v>
      </c>
      <c r="BV70" s="81">
        <f t="shared" si="35"/>
        <v>0</v>
      </c>
      <c r="BW70" s="81">
        <f>B88</f>
        <v>0</v>
      </c>
    </row>
    <row r="71" spans="1:75" x14ac:dyDescent="0.25">
      <c r="A71" s="65" t="s">
        <v>85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0.9</v>
      </c>
      <c r="M71" s="76">
        <v>0.9</v>
      </c>
      <c r="N71" s="76">
        <v>0.9</v>
      </c>
      <c r="O71" s="76">
        <v>0.9</v>
      </c>
      <c r="P71" s="76">
        <v>0.9</v>
      </c>
      <c r="Q71" s="76">
        <v>0.9</v>
      </c>
      <c r="R71" s="76">
        <v>0.9</v>
      </c>
      <c r="S71" s="76">
        <v>9</v>
      </c>
      <c r="T71" s="76">
        <v>9.6999999999999993</v>
      </c>
      <c r="U71" s="76">
        <v>8.8000000000000007</v>
      </c>
      <c r="V71" s="76">
        <v>3.2</v>
      </c>
      <c r="W71" s="76">
        <v>3.2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9.6999999999999993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6">M94</f>
        <v>0</v>
      </c>
      <c r="BH71" s="82">
        <f t="shared" si="36"/>
        <v>0</v>
      </c>
      <c r="BI71" s="82">
        <f t="shared" si="36"/>
        <v>0</v>
      </c>
      <c r="BJ71" s="82">
        <f t="shared" si="36"/>
        <v>0</v>
      </c>
      <c r="BK71" s="82">
        <f t="shared" si="36"/>
        <v>0</v>
      </c>
      <c r="BL71" s="82">
        <f t="shared" si="36"/>
        <v>0</v>
      </c>
      <c r="BM71" s="82">
        <f t="shared" si="36"/>
        <v>0</v>
      </c>
      <c r="BN71" s="82">
        <f t="shared" si="36"/>
        <v>0</v>
      </c>
      <c r="BO71" s="82">
        <f t="shared" si="36"/>
        <v>0</v>
      </c>
      <c r="BP71" s="82">
        <f t="shared" si="36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10.7</v>
      </c>
      <c r="C72" s="76">
        <v>10.7</v>
      </c>
      <c r="D72" s="76">
        <v>10.7</v>
      </c>
      <c r="E72" s="76">
        <v>10.7</v>
      </c>
      <c r="F72" s="76">
        <v>10.7</v>
      </c>
      <c r="G72" s="76">
        <v>10.7</v>
      </c>
      <c r="H72" s="76">
        <v>10.7</v>
      </c>
      <c r="I72" s="76">
        <v>10.7</v>
      </c>
      <c r="J72" s="76">
        <v>10.7</v>
      </c>
      <c r="K72" s="76">
        <v>10.7</v>
      </c>
      <c r="L72" s="76">
        <v>10.7</v>
      </c>
      <c r="M72" s="76">
        <v>10.7</v>
      </c>
      <c r="N72" s="76">
        <v>10.7</v>
      </c>
      <c r="O72" s="76">
        <v>10.7</v>
      </c>
      <c r="P72" s="76">
        <v>10.7</v>
      </c>
      <c r="Q72" s="76">
        <v>10.7</v>
      </c>
      <c r="R72" s="76">
        <v>10.7</v>
      </c>
      <c r="S72" s="76">
        <v>10.7</v>
      </c>
      <c r="T72" s="76">
        <v>10.7</v>
      </c>
      <c r="U72" s="76">
        <v>10.7</v>
      </c>
      <c r="V72" s="76">
        <v>10.7</v>
      </c>
      <c r="W72" s="76">
        <v>10.7</v>
      </c>
      <c r="X72" s="76">
        <v>10.7</v>
      </c>
      <c r="Y72" s="76">
        <v>10.7</v>
      </c>
      <c r="Z72" s="76">
        <v>10.7</v>
      </c>
      <c r="AA72" s="76">
        <v>10.7</v>
      </c>
      <c r="AB72" s="76">
        <v>10.7</v>
      </c>
      <c r="AC72" s="76">
        <v>10.7</v>
      </c>
      <c r="AD72" s="76">
        <v>10.7</v>
      </c>
      <c r="AE72" s="76">
        <v>10.7</v>
      </c>
      <c r="AF72" s="76">
        <v>10.7</v>
      </c>
      <c r="AG72" s="66">
        <v>24</v>
      </c>
      <c r="AH72" s="48">
        <f t="shared" si="2"/>
        <v>10.7</v>
      </c>
      <c r="AI72" s="49">
        <f t="shared" si="3"/>
        <v>10.7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4.4000000000000004</v>
      </c>
      <c r="C73" s="76">
        <v>4.4000000000000004</v>
      </c>
      <c r="D73" s="76">
        <v>4.4000000000000004</v>
      </c>
      <c r="E73" s="76">
        <v>4.4000000000000004</v>
      </c>
      <c r="F73" s="76">
        <v>4.4000000000000004</v>
      </c>
      <c r="G73" s="76">
        <v>4.4000000000000004</v>
      </c>
      <c r="H73" s="76">
        <v>4.4000000000000004</v>
      </c>
      <c r="I73" s="76">
        <v>4.4000000000000004</v>
      </c>
      <c r="J73" s="76">
        <v>4.4000000000000004</v>
      </c>
      <c r="K73" s="76">
        <v>4.4000000000000004</v>
      </c>
      <c r="L73" s="76">
        <v>4.4000000000000004</v>
      </c>
      <c r="M73" s="76">
        <v>4.4000000000000004</v>
      </c>
      <c r="N73" s="76">
        <v>4.4000000000000004</v>
      </c>
      <c r="O73" s="76">
        <v>4.4000000000000004</v>
      </c>
      <c r="P73" s="76">
        <v>4.4000000000000004</v>
      </c>
      <c r="Q73" s="76">
        <v>4.4000000000000004</v>
      </c>
      <c r="R73" s="76">
        <v>4.4000000000000004</v>
      </c>
      <c r="S73" s="76">
        <v>4.4000000000000004</v>
      </c>
      <c r="T73" s="76">
        <v>4.4000000000000004</v>
      </c>
      <c r="U73" s="76">
        <v>4.4000000000000004</v>
      </c>
      <c r="V73" s="76">
        <v>4.4000000000000004</v>
      </c>
      <c r="W73" s="76">
        <v>4.4000000000000004</v>
      </c>
      <c r="X73" s="76">
        <v>4.4000000000000004</v>
      </c>
      <c r="Y73" s="76">
        <v>4.4000000000000004</v>
      </c>
      <c r="Z73" s="76">
        <v>4.4000000000000004</v>
      </c>
      <c r="AA73" s="76">
        <v>4.4000000000000004</v>
      </c>
      <c r="AB73" s="76">
        <v>4.4000000000000004</v>
      </c>
      <c r="AC73" s="76">
        <v>4.4000000000000004</v>
      </c>
      <c r="AD73" s="76">
        <v>4.4000000000000004</v>
      </c>
      <c r="AE73" s="76">
        <v>4.4000000000000004</v>
      </c>
      <c r="AF73" s="76">
        <v>4.4000000000000004</v>
      </c>
      <c r="AG73" s="66">
        <v>15</v>
      </c>
      <c r="AH73" s="48">
        <f t="shared" si="2"/>
        <v>4.4000000000000004</v>
      </c>
      <c r="AI73" s="49">
        <f t="shared" si="3"/>
        <v>4.4000000000000004</v>
      </c>
      <c r="AK73" s="51"/>
      <c r="AZ73" s="82">
        <f t="shared" ref="AZ73:BW78" si="37">VALUE(AZ66)</f>
        <v>-61</v>
      </c>
      <c r="BA73" s="82">
        <f t="shared" si="37"/>
        <v>20</v>
      </c>
      <c r="BB73" s="82">
        <f t="shared" si="37"/>
        <v>-56</v>
      </c>
      <c r="BC73" s="82">
        <f t="shared" si="37"/>
        <v>-48</v>
      </c>
      <c r="BD73" s="82">
        <f t="shared" si="37"/>
        <v>-61</v>
      </c>
      <c r="BE73" s="82">
        <f t="shared" si="37"/>
        <v>-45</v>
      </c>
      <c r="BF73" s="82">
        <f t="shared" si="37"/>
        <v>-59</v>
      </c>
      <c r="BG73" s="82">
        <f t="shared" si="37"/>
        <v>-30</v>
      </c>
      <c r="BH73" s="82">
        <f t="shared" si="37"/>
        <v>-10</v>
      </c>
      <c r="BI73" s="82">
        <f t="shared" si="37"/>
        <v>-25</v>
      </c>
      <c r="BJ73" s="82">
        <f t="shared" si="37"/>
        <v>-23.5</v>
      </c>
      <c r="BK73" s="82">
        <f t="shared" si="37"/>
        <v>-40</v>
      </c>
      <c r="BL73" s="82">
        <f t="shared" si="37"/>
        <v>-40</v>
      </c>
      <c r="BM73" s="82">
        <f t="shared" si="37"/>
        <v>-28.8</v>
      </c>
      <c r="BN73" s="82">
        <f t="shared" si="37"/>
        <v>-41.4</v>
      </c>
      <c r="BO73" s="82">
        <f t="shared" si="37"/>
        <v>-34.6</v>
      </c>
      <c r="BP73" s="82">
        <f t="shared" si="37"/>
        <v>-43</v>
      </c>
      <c r="BQ73" s="82">
        <f t="shared" si="37"/>
        <v>-57</v>
      </c>
      <c r="BR73" s="82">
        <f t="shared" si="37"/>
        <v>-45.8</v>
      </c>
      <c r="BS73" s="82">
        <f t="shared" si="37"/>
        <v>-44.8</v>
      </c>
      <c r="BT73" s="82">
        <f t="shared" si="37"/>
        <v>-30</v>
      </c>
      <c r="BU73" s="82">
        <f t="shared" si="37"/>
        <v>-37</v>
      </c>
      <c r="BV73" s="82">
        <f t="shared" si="37"/>
        <v>-38</v>
      </c>
      <c r="BW73" s="82">
        <f t="shared" si="37"/>
        <v>-34.5</v>
      </c>
    </row>
    <row r="74" spans="1:75" x14ac:dyDescent="0.25">
      <c r="A74" s="65" t="s">
        <v>91</v>
      </c>
      <c r="B74" s="76">
        <v>9.6</v>
      </c>
      <c r="C74" s="76">
        <v>9.6</v>
      </c>
      <c r="D74" s="76">
        <v>9.6</v>
      </c>
      <c r="E74" s="76">
        <v>9.6</v>
      </c>
      <c r="F74" s="76">
        <v>9.6</v>
      </c>
      <c r="G74" s="76">
        <v>9.6</v>
      </c>
      <c r="H74" s="76">
        <v>9.6</v>
      </c>
      <c r="I74" s="76">
        <v>9.6</v>
      </c>
      <c r="J74" s="76">
        <v>5</v>
      </c>
      <c r="K74" s="76">
        <v>5</v>
      </c>
      <c r="L74" s="76">
        <v>5</v>
      </c>
      <c r="M74" s="76">
        <v>5</v>
      </c>
      <c r="N74" s="76">
        <v>5</v>
      </c>
      <c r="O74" s="76">
        <v>5</v>
      </c>
      <c r="P74" s="76">
        <v>5</v>
      </c>
      <c r="Q74" s="76">
        <v>5</v>
      </c>
      <c r="R74" s="76">
        <v>5</v>
      </c>
      <c r="S74" s="76">
        <v>5</v>
      </c>
      <c r="T74" s="76">
        <v>5</v>
      </c>
      <c r="U74" s="76">
        <v>5</v>
      </c>
      <c r="V74" s="76">
        <v>5</v>
      </c>
      <c r="W74" s="76">
        <v>5</v>
      </c>
      <c r="X74" s="76">
        <v>5</v>
      </c>
      <c r="Y74" s="76">
        <v>5</v>
      </c>
      <c r="Z74" s="76">
        <v>5</v>
      </c>
      <c r="AA74" s="76">
        <v>5</v>
      </c>
      <c r="AB74" s="76">
        <v>5</v>
      </c>
      <c r="AC74" s="76">
        <v>5</v>
      </c>
      <c r="AD74" s="76">
        <v>5</v>
      </c>
      <c r="AE74" s="76">
        <v>5</v>
      </c>
      <c r="AF74" s="76">
        <v>5</v>
      </c>
      <c r="AG74" s="66">
        <v>14.1</v>
      </c>
      <c r="AH74" s="48">
        <f t="shared" si="2"/>
        <v>9.6</v>
      </c>
      <c r="AI74" s="49">
        <f t="shared" si="3"/>
        <v>5</v>
      </c>
      <c r="AK74" s="51"/>
      <c r="AZ74" s="82">
        <f t="shared" si="37"/>
        <v>0</v>
      </c>
      <c r="BA74" s="82">
        <f t="shared" si="37"/>
        <v>0</v>
      </c>
      <c r="BB74" s="82">
        <f t="shared" si="37"/>
        <v>0</v>
      </c>
      <c r="BC74" s="82">
        <f t="shared" si="37"/>
        <v>0</v>
      </c>
      <c r="BD74" s="82">
        <f t="shared" si="37"/>
        <v>0</v>
      </c>
      <c r="BE74" s="82">
        <f t="shared" si="37"/>
        <v>0</v>
      </c>
      <c r="BF74" s="82">
        <f t="shared" si="37"/>
        <v>0</v>
      </c>
      <c r="BG74" s="82">
        <f t="shared" si="37"/>
        <v>0</v>
      </c>
      <c r="BH74" s="82">
        <f t="shared" si="37"/>
        <v>0</v>
      </c>
      <c r="BI74" s="82">
        <f t="shared" si="37"/>
        <v>0</v>
      </c>
      <c r="BJ74" s="82">
        <f t="shared" si="37"/>
        <v>0</v>
      </c>
      <c r="BK74" s="82">
        <f t="shared" si="37"/>
        <v>0</v>
      </c>
      <c r="BL74" s="82">
        <f t="shared" si="37"/>
        <v>0</v>
      </c>
      <c r="BM74" s="82">
        <f t="shared" si="37"/>
        <v>0</v>
      </c>
      <c r="BN74" s="82">
        <f t="shared" si="37"/>
        <v>0</v>
      </c>
      <c r="BO74" s="82">
        <f t="shared" si="37"/>
        <v>0</v>
      </c>
      <c r="BP74" s="82">
        <f t="shared" si="37"/>
        <v>0</v>
      </c>
      <c r="BQ74" s="82">
        <f t="shared" si="37"/>
        <v>0</v>
      </c>
      <c r="BR74" s="82">
        <f t="shared" si="37"/>
        <v>0</v>
      </c>
      <c r="BS74" s="82">
        <f t="shared" si="37"/>
        <v>0</v>
      </c>
      <c r="BT74" s="82">
        <f t="shared" si="37"/>
        <v>0</v>
      </c>
      <c r="BU74" s="82">
        <f t="shared" si="37"/>
        <v>0</v>
      </c>
      <c r="BV74" s="82">
        <f t="shared" si="37"/>
        <v>0</v>
      </c>
      <c r="BW74" s="82">
        <f t="shared" si="37"/>
        <v>0</v>
      </c>
    </row>
    <row r="75" spans="1:75" x14ac:dyDescent="0.25">
      <c r="A75" s="84" t="s">
        <v>93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7</v>
      </c>
      <c r="T75" s="76">
        <v>7</v>
      </c>
      <c r="U75" s="76">
        <v>0</v>
      </c>
      <c r="V75" s="76">
        <v>12.1</v>
      </c>
      <c r="W75" s="76">
        <v>12.1</v>
      </c>
      <c r="X75" s="76">
        <v>12.1</v>
      </c>
      <c r="Y75" s="76">
        <v>12.1</v>
      </c>
      <c r="Z75" s="76">
        <v>12.1</v>
      </c>
      <c r="AA75" s="76">
        <v>12.1</v>
      </c>
      <c r="AB75" s="76">
        <v>12.1</v>
      </c>
      <c r="AC75" s="76">
        <v>12.1</v>
      </c>
      <c r="AD75" s="76">
        <v>12.1</v>
      </c>
      <c r="AE75" s="76">
        <v>12.1</v>
      </c>
      <c r="AF75" s="76">
        <v>12.1</v>
      </c>
      <c r="AG75" s="66">
        <v>14</v>
      </c>
      <c r="AH75" s="48">
        <f t="shared" ref="AH75:AH128" si="38">MAX(B75:AF75)</f>
        <v>12.1</v>
      </c>
      <c r="AI75" s="49">
        <f t="shared" ref="AI75:AI128" si="39">MIN(B75:AF75)</f>
        <v>0</v>
      </c>
      <c r="AK75" s="51"/>
      <c r="AZ75" s="82">
        <f t="shared" si="37"/>
        <v>-601</v>
      </c>
      <c r="BA75" s="82">
        <f t="shared" si="37"/>
        <v>-624</v>
      </c>
      <c r="BB75" s="82">
        <f t="shared" si="37"/>
        <v>-678</v>
      </c>
      <c r="BC75" s="82">
        <f t="shared" si="37"/>
        <v>-612</v>
      </c>
      <c r="BD75" s="82">
        <f t="shared" si="37"/>
        <v>-633.4</v>
      </c>
      <c r="BE75" s="82">
        <f t="shared" si="37"/>
        <v>-633.4</v>
      </c>
      <c r="BF75" s="82">
        <f t="shared" si="37"/>
        <v>-610</v>
      </c>
      <c r="BG75" s="82">
        <f t="shared" si="37"/>
        <v>-630</v>
      </c>
      <c r="BH75" s="82">
        <f t="shared" si="37"/>
        <v>-531</v>
      </c>
      <c r="BI75" s="82">
        <f t="shared" si="37"/>
        <v>-510</v>
      </c>
      <c r="BJ75" s="82">
        <f t="shared" si="37"/>
        <v>-498</v>
      </c>
      <c r="BK75" s="82">
        <f t="shared" si="37"/>
        <v>-543</v>
      </c>
      <c r="BL75" s="82">
        <f t="shared" si="37"/>
        <v>-501</v>
      </c>
      <c r="BM75" s="82">
        <f t="shared" si="37"/>
        <v>-560.5</v>
      </c>
      <c r="BN75" s="82">
        <f t="shared" si="37"/>
        <v>-551.5</v>
      </c>
      <c r="BO75" s="82">
        <f t="shared" si="37"/>
        <v>-432.6</v>
      </c>
      <c r="BP75" s="82">
        <f t="shared" si="37"/>
        <v>-558</v>
      </c>
      <c r="BQ75" s="82">
        <f t="shared" si="37"/>
        <v>-549.9</v>
      </c>
      <c r="BR75" s="82">
        <f t="shared" si="37"/>
        <v>-573.1</v>
      </c>
      <c r="BS75" s="82">
        <f t="shared" si="37"/>
        <v>-448.9</v>
      </c>
      <c r="BT75" s="82">
        <f t="shared" si="37"/>
        <v>-550</v>
      </c>
      <c r="BU75" s="82">
        <f t="shared" si="37"/>
        <v>-560</v>
      </c>
      <c r="BV75" s="82">
        <f t="shared" si="37"/>
        <v>-490</v>
      </c>
      <c r="BW75" s="82">
        <f t="shared" si="37"/>
        <v>-621.4</v>
      </c>
    </row>
    <row r="76" spans="1:75" x14ac:dyDescent="0.25">
      <c r="A76" s="65" t="s">
        <v>95</v>
      </c>
      <c r="B76" s="76">
        <v>9</v>
      </c>
      <c r="C76" s="76">
        <v>9</v>
      </c>
      <c r="D76" s="76">
        <v>9</v>
      </c>
      <c r="E76" s="76">
        <v>9</v>
      </c>
      <c r="F76" s="76">
        <v>9</v>
      </c>
      <c r="G76" s="76">
        <v>9</v>
      </c>
      <c r="H76" s="76">
        <v>9</v>
      </c>
      <c r="I76" s="76">
        <v>9</v>
      </c>
      <c r="J76" s="76">
        <v>9</v>
      </c>
      <c r="K76" s="76">
        <v>9</v>
      </c>
      <c r="L76" s="76">
        <v>9</v>
      </c>
      <c r="M76" s="76">
        <v>9</v>
      </c>
      <c r="N76" s="76">
        <v>9</v>
      </c>
      <c r="O76" s="76">
        <v>9</v>
      </c>
      <c r="P76" s="76">
        <v>9</v>
      </c>
      <c r="Q76" s="76">
        <v>9</v>
      </c>
      <c r="R76" s="76">
        <v>9</v>
      </c>
      <c r="S76" s="76">
        <v>9</v>
      </c>
      <c r="T76" s="76">
        <v>9</v>
      </c>
      <c r="U76" s="76">
        <v>9</v>
      </c>
      <c r="V76" s="76">
        <v>9</v>
      </c>
      <c r="W76" s="76">
        <v>9</v>
      </c>
      <c r="X76" s="76">
        <v>9</v>
      </c>
      <c r="Y76" s="76">
        <v>9</v>
      </c>
      <c r="Z76" s="76">
        <v>9</v>
      </c>
      <c r="AA76" s="76">
        <v>9</v>
      </c>
      <c r="AB76" s="76">
        <v>9</v>
      </c>
      <c r="AC76" s="76">
        <v>9</v>
      </c>
      <c r="AD76" s="76">
        <v>9</v>
      </c>
      <c r="AE76" s="76">
        <v>9</v>
      </c>
      <c r="AF76" s="76">
        <v>9</v>
      </c>
      <c r="AG76" s="66">
        <v>10.050000000000001</v>
      </c>
      <c r="AH76" s="48">
        <f t="shared" si="38"/>
        <v>9</v>
      </c>
      <c r="AI76" s="49">
        <f t="shared" si="39"/>
        <v>9</v>
      </c>
      <c r="AK76" s="51"/>
      <c r="AZ76" s="82">
        <f t="shared" si="37"/>
        <v>0</v>
      </c>
      <c r="BA76" s="82">
        <f t="shared" si="37"/>
        <v>0</v>
      </c>
      <c r="BB76" s="82">
        <f t="shared" si="37"/>
        <v>0</v>
      </c>
      <c r="BC76" s="82">
        <f t="shared" si="37"/>
        <v>0</v>
      </c>
      <c r="BD76" s="82">
        <f t="shared" si="37"/>
        <v>0</v>
      </c>
      <c r="BE76" s="82">
        <f t="shared" si="37"/>
        <v>0</v>
      </c>
      <c r="BF76" s="82">
        <f t="shared" si="37"/>
        <v>0</v>
      </c>
      <c r="BG76" s="82">
        <f t="shared" si="37"/>
        <v>0</v>
      </c>
      <c r="BH76" s="82">
        <f t="shared" si="37"/>
        <v>0</v>
      </c>
      <c r="BI76" s="82">
        <f t="shared" si="37"/>
        <v>0</v>
      </c>
      <c r="BJ76" s="82">
        <f t="shared" si="37"/>
        <v>0</v>
      </c>
      <c r="BK76" s="82">
        <f t="shared" si="37"/>
        <v>0</v>
      </c>
      <c r="BL76" s="82">
        <f t="shared" si="37"/>
        <v>0</v>
      </c>
      <c r="BM76" s="82">
        <f t="shared" si="37"/>
        <v>0</v>
      </c>
      <c r="BN76" s="82">
        <f t="shared" si="37"/>
        <v>0</v>
      </c>
      <c r="BO76" s="82">
        <f t="shared" si="37"/>
        <v>0</v>
      </c>
      <c r="BP76" s="82">
        <f t="shared" si="37"/>
        <v>0</v>
      </c>
      <c r="BQ76" s="82">
        <f t="shared" si="37"/>
        <v>0</v>
      </c>
      <c r="BR76" s="82">
        <f t="shared" si="37"/>
        <v>0</v>
      </c>
      <c r="BS76" s="82">
        <f t="shared" si="37"/>
        <v>0</v>
      </c>
      <c r="BT76" s="82">
        <f t="shared" si="37"/>
        <v>0</v>
      </c>
      <c r="BU76" s="82">
        <f t="shared" si="37"/>
        <v>0</v>
      </c>
      <c r="BV76" s="82">
        <f t="shared" si="37"/>
        <v>0</v>
      </c>
      <c r="BW76" s="82">
        <f t="shared" si="37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38"/>
        <v>6</v>
      </c>
      <c r="AI77" s="49">
        <f t="shared" si="39"/>
        <v>6</v>
      </c>
      <c r="AK77" s="51"/>
      <c r="AZ77" s="82">
        <f t="shared" si="37"/>
        <v>0</v>
      </c>
      <c r="BA77" s="82">
        <f t="shared" si="37"/>
        <v>0</v>
      </c>
      <c r="BB77" s="82">
        <f t="shared" si="37"/>
        <v>0</v>
      </c>
      <c r="BC77" s="82">
        <f t="shared" si="37"/>
        <v>0</v>
      </c>
      <c r="BD77" s="82">
        <f t="shared" si="37"/>
        <v>0</v>
      </c>
      <c r="BE77" s="82">
        <f t="shared" si="37"/>
        <v>0</v>
      </c>
      <c r="BF77" s="82">
        <f t="shared" si="37"/>
        <v>0</v>
      </c>
      <c r="BG77" s="82">
        <f t="shared" si="37"/>
        <v>0</v>
      </c>
      <c r="BH77" s="82">
        <f t="shared" si="37"/>
        <v>0</v>
      </c>
      <c r="BI77" s="82">
        <f t="shared" si="37"/>
        <v>0</v>
      </c>
      <c r="BJ77" s="82">
        <f t="shared" si="37"/>
        <v>0</v>
      </c>
      <c r="BK77" s="82">
        <f t="shared" si="37"/>
        <v>0</v>
      </c>
      <c r="BL77" s="82">
        <f t="shared" si="37"/>
        <v>0</v>
      </c>
      <c r="BM77" s="82">
        <f t="shared" si="37"/>
        <v>0</v>
      </c>
      <c r="BN77" s="82">
        <f t="shared" si="37"/>
        <v>0</v>
      </c>
      <c r="BO77" s="82">
        <f t="shared" si="37"/>
        <v>0</v>
      </c>
      <c r="BP77" s="82">
        <f t="shared" si="37"/>
        <v>0</v>
      </c>
      <c r="BQ77" s="82">
        <f t="shared" si="37"/>
        <v>0</v>
      </c>
      <c r="BR77" s="82">
        <f t="shared" si="37"/>
        <v>0</v>
      </c>
      <c r="BS77" s="82">
        <f t="shared" si="37"/>
        <v>0</v>
      </c>
      <c r="BT77" s="82">
        <f t="shared" si="37"/>
        <v>0</v>
      </c>
      <c r="BU77" s="82">
        <f t="shared" si="37"/>
        <v>0</v>
      </c>
      <c r="BV77" s="82">
        <f t="shared" si="37"/>
        <v>0</v>
      </c>
      <c r="BW77" s="82">
        <f t="shared" si="37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8"/>
        <v>5.5</v>
      </c>
      <c r="AI78" s="49">
        <f t="shared" si="39"/>
        <v>3.5</v>
      </c>
      <c r="AK78" s="51"/>
      <c r="AZ78" s="82">
        <f t="shared" si="37"/>
        <v>0</v>
      </c>
      <c r="BA78" s="82">
        <f t="shared" si="37"/>
        <v>0</v>
      </c>
      <c r="BB78" s="82">
        <f t="shared" si="37"/>
        <v>0</v>
      </c>
      <c r="BC78" s="82">
        <f t="shared" si="37"/>
        <v>0</v>
      </c>
      <c r="BD78" s="82">
        <f t="shared" si="37"/>
        <v>0</v>
      </c>
      <c r="BE78" s="82">
        <f t="shared" si="37"/>
        <v>0</v>
      </c>
      <c r="BF78" s="82">
        <f t="shared" si="37"/>
        <v>0</v>
      </c>
      <c r="BG78" s="82">
        <f t="shared" si="37"/>
        <v>0</v>
      </c>
      <c r="BH78" s="82">
        <f t="shared" si="37"/>
        <v>0</v>
      </c>
      <c r="BI78" s="82">
        <f t="shared" si="37"/>
        <v>0</v>
      </c>
      <c r="BJ78" s="82">
        <f t="shared" si="37"/>
        <v>0</v>
      </c>
      <c r="BK78" s="82">
        <f t="shared" si="37"/>
        <v>0</v>
      </c>
      <c r="BL78" s="82">
        <f t="shared" si="37"/>
        <v>0</v>
      </c>
      <c r="BM78" s="82">
        <f t="shared" si="37"/>
        <v>0</v>
      </c>
      <c r="BN78" s="82">
        <f t="shared" si="37"/>
        <v>0</v>
      </c>
      <c r="BO78" s="82">
        <f t="shared" si="37"/>
        <v>0</v>
      </c>
      <c r="BP78" s="82">
        <f t="shared" si="37"/>
        <v>0</v>
      </c>
      <c r="BQ78" s="82">
        <f t="shared" si="37"/>
        <v>0</v>
      </c>
      <c r="BR78" s="82">
        <f t="shared" si="37"/>
        <v>0</v>
      </c>
      <c r="BS78" s="82">
        <f t="shared" si="37"/>
        <v>0</v>
      </c>
      <c r="BT78" s="82">
        <f t="shared" si="37"/>
        <v>0</v>
      </c>
      <c r="BU78" s="82">
        <f t="shared" si="37"/>
        <v>0</v>
      </c>
      <c r="BV78" s="82">
        <f t="shared" si="37"/>
        <v>0</v>
      </c>
      <c r="BW78" s="82">
        <f t="shared" si="37"/>
        <v>0</v>
      </c>
    </row>
    <row r="79" spans="1:75" ht="15.75" thickBot="1" x14ac:dyDescent="0.3">
      <c r="A79" s="87" t="s">
        <v>99</v>
      </c>
      <c r="B79" s="71">
        <f t="shared" ref="B79:C79" si="40">SUM(B66:B78)</f>
        <v>345.44</v>
      </c>
      <c r="C79" s="71">
        <f t="shared" si="40"/>
        <v>284.94000000000005</v>
      </c>
      <c r="D79" s="71">
        <f t="shared" ref="D79" si="41">SUM(D66:D78)</f>
        <v>317.54000000000002</v>
      </c>
      <c r="E79" s="71">
        <f t="shared" ref="E79:AG79" si="42">SUM(E66:E78)</f>
        <v>307.54000000000002</v>
      </c>
      <c r="F79" s="71">
        <f t="shared" si="42"/>
        <v>333.54</v>
      </c>
      <c r="G79" s="71">
        <f t="shared" si="42"/>
        <v>343.54</v>
      </c>
      <c r="H79" s="71">
        <f t="shared" si="42"/>
        <v>343.54</v>
      </c>
      <c r="I79" s="71">
        <f t="shared" si="42"/>
        <v>353.54</v>
      </c>
      <c r="J79" s="71">
        <f t="shared" si="42"/>
        <v>358.94</v>
      </c>
      <c r="K79" s="71">
        <f t="shared" si="42"/>
        <v>370.94</v>
      </c>
      <c r="L79" s="71">
        <f t="shared" si="42"/>
        <v>395.84</v>
      </c>
      <c r="M79" s="71">
        <f t="shared" si="42"/>
        <v>395.84</v>
      </c>
      <c r="N79" s="71">
        <f t="shared" si="42"/>
        <v>395.84</v>
      </c>
      <c r="O79" s="71">
        <f t="shared" si="42"/>
        <v>395.84</v>
      </c>
      <c r="P79" s="71">
        <f t="shared" si="42"/>
        <v>395.84</v>
      </c>
      <c r="Q79" s="71">
        <f t="shared" si="42"/>
        <v>395.84</v>
      </c>
      <c r="R79" s="71">
        <f t="shared" si="42"/>
        <v>395.84</v>
      </c>
      <c r="S79" s="71">
        <f t="shared" si="42"/>
        <v>414.93999999999994</v>
      </c>
      <c r="T79" s="71">
        <f t="shared" si="42"/>
        <v>415.63999999999993</v>
      </c>
      <c r="U79" s="71">
        <f t="shared" si="42"/>
        <v>407.94</v>
      </c>
      <c r="V79" s="71">
        <f t="shared" si="42"/>
        <v>388.44</v>
      </c>
      <c r="W79" s="71">
        <f t="shared" si="42"/>
        <v>388.44</v>
      </c>
      <c r="X79" s="71">
        <f t="shared" si="42"/>
        <v>400.54</v>
      </c>
      <c r="Y79" s="71">
        <f t="shared" si="42"/>
        <v>407.8</v>
      </c>
      <c r="Z79" s="71">
        <f t="shared" si="42"/>
        <v>414.8</v>
      </c>
      <c r="AA79" s="71">
        <f t="shared" si="42"/>
        <v>412.84000000000003</v>
      </c>
      <c r="AB79" s="71">
        <f t="shared" ref="AB79:AD79" si="43">SUM(AB66:AB78)</f>
        <v>412.84000000000003</v>
      </c>
      <c r="AC79" s="71">
        <f t="shared" si="43"/>
        <v>412.84000000000003</v>
      </c>
      <c r="AD79" s="71">
        <f t="shared" si="43"/>
        <v>412.84000000000003</v>
      </c>
      <c r="AE79" s="71">
        <f t="shared" ref="AE79:AF79" si="44">SUM(AE66:AE78)</f>
        <v>412.84000000000003</v>
      </c>
      <c r="AF79" s="71">
        <f t="shared" si="44"/>
        <v>412.84000000000003</v>
      </c>
      <c r="AG79" s="72">
        <f t="shared" si="42"/>
        <v>489.91</v>
      </c>
      <c r="AH79" s="48">
        <f t="shared" si="38"/>
        <v>415.63999999999993</v>
      </c>
      <c r="AI79" s="49">
        <f t="shared" si="39"/>
        <v>284.94000000000005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>
        <v>11.3</v>
      </c>
      <c r="V80" s="46">
        <v>10.9</v>
      </c>
      <c r="W80" s="46">
        <v>10.7</v>
      </c>
      <c r="X80" s="46">
        <v>11.5</v>
      </c>
      <c r="Y80" s="46">
        <v>0</v>
      </c>
      <c r="Z80" s="46">
        <v>0</v>
      </c>
      <c r="AA80" s="46">
        <v>0</v>
      </c>
      <c r="AB80" s="46">
        <v>0</v>
      </c>
      <c r="AC80" s="46">
        <v>0</v>
      </c>
      <c r="AD80" s="46">
        <v>0</v>
      </c>
      <c r="AE80" s="46">
        <v>0</v>
      </c>
      <c r="AF80" s="46">
        <v>0</v>
      </c>
      <c r="AG80" s="61">
        <v>60</v>
      </c>
      <c r="AH80" s="48">
        <f t="shared" si="38"/>
        <v>11.5</v>
      </c>
      <c r="AI80" s="49">
        <f t="shared" si="39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>
        <v>4.4000000000000004</v>
      </c>
      <c r="V81" s="76">
        <v>3.9</v>
      </c>
      <c r="W81" s="76">
        <v>3.9</v>
      </c>
      <c r="X81" s="76">
        <v>3.9</v>
      </c>
      <c r="Y81" s="76">
        <v>3.9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66">
        <v>32</v>
      </c>
      <c r="AH81" s="48">
        <f t="shared" si="38"/>
        <v>4.4000000000000004</v>
      </c>
      <c r="AI81" s="49">
        <f t="shared" si="39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>
        <v>1.6</v>
      </c>
      <c r="V82" s="78">
        <v>1.4</v>
      </c>
      <c r="W82" s="78">
        <v>1.4</v>
      </c>
      <c r="X82" s="78">
        <v>1.4</v>
      </c>
      <c r="Y82" s="78">
        <v>1.4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  <c r="AF82" s="78">
        <v>0</v>
      </c>
      <c r="AG82" s="79">
        <v>14</v>
      </c>
      <c r="AH82" s="48">
        <f t="shared" si="38"/>
        <v>1.6</v>
      </c>
      <c r="AI82" s="49">
        <f t="shared" si="39"/>
        <v>0</v>
      </c>
      <c r="AK82" s="51"/>
      <c r="AY82" s="82"/>
      <c r="BF82" s="81"/>
      <c r="BG82" s="82">
        <f t="array" ref="BG82:BL105">TRANSPOSE(AZ66:BW71)</f>
        <v>-61</v>
      </c>
      <c r="BH82" s="82">
        <v>0</v>
      </c>
      <c r="BI82" s="82">
        <v>-601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45">B80+B81+B82</f>
        <v>0</v>
      </c>
      <c r="C83" s="71">
        <f t="shared" si="45"/>
        <v>0</v>
      </c>
      <c r="D83" s="71">
        <f t="shared" ref="D83" si="46">D80+D81+D82</f>
        <v>0</v>
      </c>
      <c r="E83" s="71">
        <f t="shared" ref="E83:AA83" si="47">E80+E81+E82</f>
        <v>0</v>
      </c>
      <c r="F83" s="71">
        <f t="shared" si="47"/>
        <v>0</v>
      </c>
      <c r="G83" s="71">
        <f t="shared" si="47"/>
        <v>0</v>
      </c>
      <c r="H83" s="71">
        <f t="shared" si="47"/>
        <v>0</v>
      </c>
      <c r="I83" s="71">
        <f t="shared" si="47"/>
        <v>0</v>
      </c>
      <c r="J83" s="71">
        <f t="shared" si="47"/>
        <v>0</v>
      </c>
      <c r="K83" s="71">
        <f t="shared" si="47"/>
        <v>0</v>
      </c>
      <c r="L83" s="71">
        <f t="shared" si="47"/>
        <v>0</v>
      </c>
      <c r="M83" s="71">
        <f t="shared" si="47"/>
        <v>0</v>
      </c>
      <c r="N83" s="71">
        <f t="shared" si="47"/>
        <v>0</v>
      </c>
      <c r="O83" s="71">
        <f t="shared" si="47"/>
        <v>0</v>
      </c>
      <c r="P83" s="71">
        <f t="shared" si="47"/>
        <v>0</v>
      </c>
      <c r="Q83" s="71">
        <f t="shared" si="47"/>
        <v>0</v>
      </c>
      <c r="R83" s="71">
        <f t="shared" si="47"/>
        <v>0</v>
      </c>
      <c r="S83" s="71">
        <f t="shared" si="47"/>
        <v>0</v>
      </c>
      <c r="T83" s="71">
        <f t="shared" si="47"/>
        <v>0</v>
      </c>
      <c r="U83" s="71">
        <f t="shared" si="47"/>
        <v>17.3</v>
      </c>
      <c r="V83" s="71">
        <f t="shared" si="47"/>
        <v>16.2</v>
      </c>
      <c r="W83" s="71">
        <f t="shared" si="47"/>
        <v>16</v>
      </c>
      <c r="X83" s="71">
        <f t="shared" si="47"/>
        <v>16.8</v>
      </c>
      <c r="Y83" s="71">
        <f t="shared" si="47"/>
        <v>5.3</v>
      </c>
      <c r="Z83" s="71">
        <f t="shared" si="47"/>
        <v>0</v>
      </c>
      <c r="AA83" s="71">
        <f t="shared" si="47"/>
        <v>0</v>
      </c>
      <c r="AB83" s="71">
        <f t="shared" ref="AB83:AD83" si="48">AB80+AB81+AB82</f>
        <v>0</v>
      </c>
      <c r="AC83" s="71">
        <f t="shared" si="48"/>
        <v>0</v>
      </c>
      <c r="AD83" s="71">
        <f t="shared" si="48"/>
        <v>0</v>
      </c>
      <c r="AE83" s="71">
        <f t="shared" ref="AE83:AF83" si="49">AE80+AE81+AE82</f>
        <v>0</v>
      </c>
      <c r="AF83" s="71">
        <f t="shared" si="49"/>
        <v>0</v>
      </c>
      <c r="AG83" s="72">
        <f>SUM(AG80:AG82)</f>
        <v>106</v>
      </c>
      <c r="AH83" s="48">
        <f t="shared" si="38"/>
        <v>17.3</v>
      </c>
      <c r="AI83" s="49">
        <f t="shared" si="39"/>
        <v>0</v>
      </c>
      <c r="AK83" s="51"/>
      <c r="AY83" s="82"/>
      <c r="BF83" s="81"/>
      <c r="BG83" s="82">
        <v>20</v>
      </c>
      <c r="BH83" s="82">
        <v>0</v>
      </c>
      <c r="BI83" s="82">
        <v>-624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-34.5</v>
      </c>
      <c r="C84" s="46">
        <v>-61</v>
      </c>
      <c r="D84" s="46">
        <v>20</v>
      </c>
      <c r="E84" s="46">
        <v>-56</v>
      </c>
      <c r="F84" s="46">
        <v>-48</v>
      </c>
      <c r="G84" s="46">
        <v>-61</v>
      </c>
      <c r="H84" s="46">
        <v>-59</v>
      </c>
      <c r="I84" s="46">
        <v>-45</v>
      </c>
      <c r="J84" s="46">
        <v>-42</v>
      </c>
      <c r="K84" s="46">
        <v>-59</v>
      </c>
      <c r="L84" s="46">
        <v>-35</v>
      </c>
      <c r="M84" s="46">
        <v>-30</v>
      </c>
      <c r="N84" s="46">
        <v>-10</v>
      </c>
      <c r="O84" s="46">
        <v>-25</v>
      </c>
      <c r="P84" s="46">
        <v>-23.5</v>
      </c>
      <c r="Q84" s="46">
        <v>-40</v>
      </c>
      <c r="R84" s="46">
        <v>-40</v>
      </c>
      <c r="S84" s="46">
        <v>-28.8</v>
      </c>
      <c r="T84" s="46">
        <v>-41.4</v>
      </c>
      <c r="U84" s="46">
        <v>-34.6</v>
      </c>
      <c r="V84" s="46">
        <v>-43</v>
      </c>
      <c r="W84" s="46">
        <v>-11.8</v>
      </c>
      <c r="X84" s="46">
        <v>-57</v>
      </c>
      <c r="Y84" s="46">
        <v>-62.2</v>
      </c>
      <c r="Z84" s="46">
        <v>-45.8</v>
      </c>
      <c r="AA84" s="46">
        <v>-31.9</v>
      </c>
      <c r="AB84" s="46">
        <v>-44.8</v>
      </c>
      <c r="AC84" s="46">
        <v>-40</v>
      </c>
      <c r="AD84" s="46">
        <v>-30</v>
      </c>
      <c r="AE84" s="46">
        <v>-37</v>
      </c>
      <c r="AF84" s="46">
        <v>-38</v>
      </c>
      <c r="AG84" s="61"/>
      <c r="AH84" s="48">
        <f t="shared" si="38"/>
        <v>20</v>
      </c>
      <c r="AI84" s="49">
        <f t="shared" si="39"/>
        <v>-62.2</v>
      </c>
      <c r="AK84" s="51"/>
      <c r="AY84" s="82"/>
      <c r="BF84" s="81"/>
      <c r="BG84" s="82">
        <v>-56</v>
      </c>
      <c r="BH84" s="82">
        <v>0</v>
      </c>
      <c r="BI84" s="82">
        <v>-678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8"/>
        <v>0</v>
      </c>
      <c r="AI85" s="49">
        <f t="shared" si="39"/>
        <v>0</v>
      </c>
      <c r="AK85" s="51"/>
      <c r="AL85" s="91" t="s">
        <v>111</v>
      </c>
      <c r="AM85" s="91"/>
      <c r="AY85" s="82"/>
      <c r="BF85" s="82"/>
      <c r="BG85" s="82">
        <v>-48</v>
      </c>
      <c r="BH85" s="82">
        <v>0</v>
      </c>
      <c r="BI85" s="82">
        <v>-612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-621.4</v>
      </c>
      <c r="C86" s="76">
        <v>-601</v>
      </c>
      <c r="D86" s="76">
        <v>-624</v>
      </c>
      <c r="E86" s="76">
        <v>-678</v>
      </c>
      <c r="F86" s="76">
        <v>-612</v>
      </c>
      <c r="G86" s="76">
        <v>-633.4</v>
      </c>
      <c r="H86" s="76">
        <v>-633.4</v>
      </c>
      <c r="I86" s="76">
        <v>-633.4</v>
      </c>
      <c r="J86" s="76">
        <v>-633.4</v>
      </c>
      <c r="K86" s="76">
        <v>-610</v>
      </c>
      <c r="L86" s="76">
        <v>-558</v>
      </c>
      <c r="M86" s="76">
        <v>-630</v>
      </c>
      <c r="N86" s="76">
        <v>-531</v>
      </c>
      <c r="O86" s="76">
        <v>-510</v>
      </c>
      <c r="P86" s="76">
        <v>-498</v>
      </c>
      <c r="Q86" s="76">
        <v>-543</v>
      </c>
      <c r="R86" s="76">
        <v>-501</v>
      </c>
      <c r="S86" s="76">
        <v>-560.5</v>
      </c>
      <c r="T86" s="76">
        <v>-551.5</v>
      </c>
      <c r="U86" s="76">
        <v>-432.6</v>
      </c>
      <c r="V86" s="76">
        <v>-558</v>
      </c>
      <c r="W86" s="76">
        <v>-570.1</v>
      </c>
      <c r="X86" s="76">
        <v>-549.9</v>
      </c>
      <c r="Y86" s="76">
        <v>-600</v>
      </c>
      <c r="Z86" s="76">
        <v>-573.1</v>
      </c>
      <c r="AA86" s="76">
        <v>-505.6</v>
      </c>
      <c r="AB86" s="76">
        <v>-448.9</v>
      </c>
      <c r="AC86" s="76">
        <v>-490</v>
      </c>
      <c r="AD86" s="76">
        <v>-550</v>
      </c>
      <c r="AE86" s="76">
        <v>-560</v>
      </c>
      <c r="AF86" s="76">
        <v>-490</v>
      </c>
      <c r="AG86" s="88"/>
      <c r="AH86" s="48">
        <f t="shared" si="38"/>
        <v>-432.6</v>
      </c>
      <c r="AI86" s="49">
        <f t="shared" si="39"/>
        <v>-678</v>
      </c>
      <c r="AK86" s="92"/>
      <c r="AL86" s="93"/>
      <c r="AM86" s="93"/>
      <c r="AN86" s="94"/>
      <c r="AY86" s="82"/>
      <c r="BF86" s="82"/>
      <c r="BG86" s="82">
        <v>-61</v>
      </c>
      <c r="BH86" s="82">
        <v>0</v>
      </c>
      <c r="BI86" s="82">
        <v>-633.4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38"/>
        <v>0</v>
      </c>
      <c r="AI87" s="49">
        <f t="shared" si="39"/>
        <v>0</v>
      </c>
      <c r="AK87" s="95" t="s">
        <v>114</v>
      </c>
      <c r="AL87" s="76"/>
      <c r="AM87" s="89"/>
      <c r="AN87" s="96"/>
      <c r="AY87" s="82"/>
      <c r="BF87" s="82"/>
      <c r="BG87" s="82">
        <v>-45</v>
      </c>
      <c r="BH87" s="82">
        <v>0</v>
      </c>
      <c r="BI87" s="82">
        <v>-633.4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38"/>
        <v>0</v>
      </c>
      <c r="AI88" s="49">
        <f t="shared" si="39"/>
        <v>0</v>
      </c>
      <c r="AK88" s="95" t="s">
        <v>116</v>
      </c>
      <c r="AL88" s="89"/>
      <c r="AM88" s="89"/>
      <c r="AN88" s="96"/>
      <c r="AY88" s="82"/>
      <c r="BF88" s="82"/>
      <c r="BG88" s="82">
        <v>-59</v>
      </c>
      <c r="BH88" s="82">
        <v>0</v>
      </c>
      <c r="BI88" s="82">
        <v>-610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39"/>
        <v>0</v>
      </c>
      <c r="AK89" s="99"/>
      <c r="AL89" s="46"/>
      <c r="AM89" s="46"/>
      <c r="AN89" s="100"/>
      <c r="AY89" s="82"/>
      <c r="BF89" s="82"/>
      <c r="BG89" s="82">
        <v>-30</v>
      </c>
      <c r="BH89" s="82">
        <v>0</v>
      </c>
      <c r="BI89" s="82">
        <v>-630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8"/>
        <v>0</v>
      </c>
      <c r="AI90" s="49">
        <f t="shared" si="39"/>
        <v>0</v>
      </c>
      <c r="AK90" s="99"/>
      <c r="AL90" s="90"/>
      <c r="AM90" s="102"/>
      <c r="AN90" s="204"/>
      <c r="AY90" s="82"/>
      <c r="BF90" s="82"/>
      <c r="BG90" s="82">
        <v>-10</v>
      </c>
      <c r="BH90" s="82">
        <v>0</v>
      </c>
      <c r="BI90" s="82">
        <v>-531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8"/>
        <v>0</v>
      </c>
      <c r="AI91" s="49">
        <f t="shared" si="39"/>
        <v>0</v>
      </c>
      <c r="AK91" s="99"/>
      <c r="AL91" s="90"/>
      <c r="AM91" s="90"/>
      <c r="AN91" s="205"/>
      <c r="BF91" s="82"/>
      <c r="BG91" s="82">
        <v>-25</v>
      </c>
      <c r="BH91" s="82">
        <v>0</v>
      </c>
      <c r="BI91" s="82">
        <v>-510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8"/>
        <v>0</v>
      </c>
      <c r="AI92" s="49">
        <f t="shared" si="39"/>
        <v>0</v>
      </c>
      <c r="AK92" s="104"/>
      <c r="AL92" s="105"/>
      <c r="AM92" s="105"/>
      <c r="AN92" s="106"/>
      <c r="BF92" s="82"/>
      <c r="BG92" s="82">
        <v>-23.5</v>
      </c>
      <c r="BH92" s="82">
        <v>0</v>
      </c>
      <c r="BI92" s="82">
        <v>-498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8"/>
        <v>0</v>
      </c>
      <c r="AI93" s="49">
        <f t="shared" si="39"/>
        <v>0</v>
      </c>
      <c r="BF93" s="82"/>
      <c r="BG93" s="82">
        <v>-40</v>
      </c>
      <c r="BH93" s="82">
        <v>0</v>
      </c>
      <c r="BI93" s="82">
        <v>-543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8"/>
        <v>0</v>
      </c>
      <c r="AI94" s="49">
        <f t="shared" si="39"/>
        <v>0</v>
      </c>
      <c r="BF94" s="82"/>
      <c r="BG94" s="82">
        <v>-40</v>
      </c>
      <c r="BH94" s="82">
        <v>0</v>
      </c>
      <c r="BI94" s="82">
        <v>-501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50">SUMIF(B84:B94,"&gt;0")</f>
        <v>0</v>
      </c>
      <c r="C95" s="71">
        <f t="shared" si="50"/>
        <v>0</v>
      </c>
      <c r="D95" s="71">
        <f t="shared" ref="D95:AA95" si="51">SUMIF(D84:D94,"&gt;0")</f>
        <v>20</v>
      </c>
      <c r="E95" s="71">
        <f t="shared" si="51"/>
        <v>0</v>
      </c>
      <c r="F95" s="71">
        <f t="shared" si="51"/>
        <v>0</v>
      </c>
      <c r="G95" s="71">
        <f t="shared" si="51"/>
        <v>0</v>
      </c>
      <c r="H95" s="71">
        <f t="shared" si="51"/>
        <v>0</v>
      </c>
      <c r="I95" s="71">
        <f t="shared" si="51"/>
        <v>0</v>
      </c>
      <c r="J95" s="71">
        <f t="shared" si="51"/>
        <v>0</v>
      </c>
      <c r="K95" s="71">
        <f t="shared" si="51"/>
        <v>0</v>
      </c>
      <c r="L95" s="71">
        <f t="shared" si="51"/>
        <v>0</v>
      </c>
      <c r="M95" s="71">
        <f t="shared" si="51"/>
        <v>0</v>
      </c>
      <c r="N95" s="71">
        <f t="shared" si="51"/>
        <v>0</v>
      </c>
      <c r="O95" s="71">
        <f t="shared" si="51"/>
        <v>0</v>
      </c>
      <c r="P95" s="71">
        <f t="shared" si="51"/>
        <v>0</v>
      </c>
      <c r="Q95" s="71">
        <f t="shared" si="51"/>
        <v>0</v>
      </c>
      <c r="R95" s="71">
        <f t="shared" si="51"/>
        <v>0</v>
      </c>
      <c r="S95" s="71">
        <f t="shared" si="51"/>
        <v>0</v>
      </c>
      <c r="T95" s="71">
        <f t="shared" si="51"/>
        <v>0</v>
      </c>
      <c r="U95" s="71">
        <f>SUMIF(U84:U94,"&gt;0")</f>
        <v>0</v>
      </c>
      <c r="V95" s="71">
        <f t="shared" si="51"/>
        <v>0</v>
      </c>
      <c r="W95" s="71">
        <f t="shared" si="51"/>
        <v>0</v>
      </c>
      <c r="X95" s="71">
        <f t="shared" si="51"/>
        <v>0</v>
      </c>
      <c r="Y95" s="71">
        <f t="shared" si="51"/>
        <v>0</v>
      </c>
      <c r="Z95" s="71">
        <f t="shared" si="51"/>
        <v>0</v>
      </c>
      <c r="AA95" s="71">
        <f t="shared" si="51"/>
        <v>0</v>
      </c>
      <c r="AB95" s="71">
        <f t="shared" ref="AB95:AD95" si="52">SUMIF(AB84:AB94,"&gt;0")</f>
        <v>0</v>
      </c>
      <c r="AC95" s="71">
        <f t="shared" si="52"/>
        <v>0</v>
      </c>
      <c r="AD95" s="71">
        <f t="shared" si="52"/>
        <v>0</v>
      </c>
      <c r="AE95" s="71">
        <f t="shared" ref="AE95:AF95" si="53">SUMIF(AE84:AE94,"&gt;0")</f>
        <v>0</v>
      </c>
      <c r="AF95" s="71">
        <f t="shared" si="53"/>
        <v>0</v>
      </c>
      <c r="AG95" s="101">
        <f>SUM(AG84:AG94)</f>
        <v>0</v>
      </c>
      <c r="AH95" s="48">
        <f t="shared" si="38"/>
        <v>20</v>
      </c>
      <c r="AI95" s="49">
        <f t="shared" si="39"/>
        <v>0</v>
      </c>
      <c r="BF95" s="82"/>
      <c r="BG95" s="82">
        <v>-28.8</v>
      </c>
      <c r="BH95" s="82">
        <v>0</v>
      </c>
      <c r="BI95" s="82">
        <v>-560.5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8"/>
        <v>0</v>
      </c>
      <c r="AI96" s="49">
        <f t="shared" si="39"/>
        <v>0</v>
      </c>
      <c r="BF96" s="82"/>
      <c r="BG96" s="82">
        <v>-41.4</v>
      </c>
      <c r="BH96" s="82">
        <v>0</v>
      </c>
      <c r="BI96" s="82">
        <v>-551.5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8"/>
        <v>0</v>
      </c>
      <c r="AI97" s="49">
        <f t="shared" si="39"/>
        <v>0</v>
      </c>
      <c r="BF97" s="82"/>
      <c r="BG97" s="82">
        <v>-34.6</v>
      </c>
      <c r="BH97" s="82">
        <v>0</v>
      </c>
      <c r="BI97" s="82">
        <v>-432.6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8"/>
        <v>0</v>
      </c>
      <c r="AI98" s="49">
        <f t="shared" si="39"/>
        <v>0</v>
      </c>
      <c r="BF98" s="82"/>
      <c r="BG98" s="82">
        <v>-43</v>
      </c>
      <c r="BH98" s="82">
        <v>0</v>
      </c>
      <c r="BI98" s="82">
        <v>-558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8"/>
        <v>0</v>
      </c>
      <c r="AI99" s="49">
        <f t="shared" si="39"/>
        <v>0</v>
      </c>
      <c r="BF99" s="81"/>
      <c r="BG99" s="82">
        <v>-57</v>
      </c>
      <c r="BH99" s="82">
        <v>0</v>
      </c>
      <c r="BI99" s="82">
        <v>-549.9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54">B61+B65+B83+B79+B95+B99</f>
        <v>2132.34</v>
      </c>
      <c r="C100" s="108">
        <f t="shared" si="54"/>
        <v>2111.84</v>
      </c>
      <c r="D100" s="108">
        <f t="shared" ref="D100:AG100" si="55">D61+D65+D83+D79+D95+D99</f>
        <v>2098.7399999999998</v>
      </c>
      <c r="E100" s="108">
        <f t="shared" si="55"/>
        <v>2091.14</v>
      </c>
      <c r="F100" s="108">
        <f t="shared" si="55"/>
        <v>2088.14</v>
      </c>
      <c r="G100" s="108">
        <f t="shared" si="55"/>
        <v>2105.34</v>
      </c>
      <c r="H100" s="108">
        <f t="shared" si="55"/>
        <v>2122.34</v>
      </c>
      <c r="I100" s="108">
        <f t="shared" si="55"/>
        <v>2132.34</v>
      </c>
      <c r="J100" s="108">
        <f t="shared" si="55"/>
        <v>2157.7399999999998</v>
      </c>
      <c r="K100" s="108">
        <f t="shared" si="55"/>
        <v>2187.54</v>
      </c>
      <c r="L100" s="108">
        <f t="shared" si="55"/>
        <v>2314.54</v>
      </c>
      <c r="M100" s="108">
        <f t="shared" si="55"/>
        <v>2314.54</v>
      </c>
      <c r="N100" s="108">
        <f t="shared" si="55"/>
        <v>2314.54</v>
      </c>
      <c r="O100" s="108">
        <f t="shared" si="55"/>
        <v>2279.84</v>
      </c>
      <c r="P100" s="108">
        <f t="shared" si="55"/>
        <v>2279.84</v>
      </c>
      <c r="Q100" s="108">
        <f t="shared" si="55"/>
        <v>2328.84</v>
      </c>
      <c r="R100" s="108">
        <f t="shared" si="55"/>
        <v>2279.84</v>
      </c>
      <c r="S100" s="108">
        <f t="shared" si="55"/>
        <v>2379.14</v>
      </c>
      <c r="T100" s="108">
        <f t="shared" si="55"/>
        <v>2366.44</v>
      </c>
      <c r="U100" s="108">
        <f t="shared" si="55"/>
        <v>2351.54</v>
      </c>
      <c r="V100" s="108">
        <f t="shared" si="55"/>
        <v>2327.94</v>
      </c>
      <c r="W100" s="108">
        <f t="shared" si="55"/>
        <v>2279.84</v>
      </c>
      <c r="X100" s="108">
        <f t="shared" si="55"/>
        <v>2271.54</v>
      </c>
      <c r="Y100" s="108">
        <f t="shared" si="55"/>
        <v>2268.6</v>
      </c>
      <c r="Z100" s="108">
        <f t="shared" si="55"/>
        <v>2243.4</v>
      </c>
      <c r="AA100" s="108">
        <f t="shared" si="55"/>
        <v>2284.1400000000003</v>
      </c>
      <c r="AB100" s="108">
        <f t="shared" ref="AB100:AD100" si="56">AB61+AB65+AB83+AB79+AB95+AB99</f>
        <v>2284.1400000000003</v>
      </c>
      <c r="AC100" s="108">
        <f t="shared" si="56"/>
        <v>2284.1400000000003</v>
      </c>
      <c r="AD100" s="108">
        <f t="shared" si="56"/>
        <v>2284.1400000000003</v>
      </c>
      <c r="AE100" s="108">
        <f t="shared" ref="AE100:AF100" si="57">AE61+AE65+AE83+AE79+AE95+AE99</f>
        <v>2327.1400000000003</v>
      </c>
      <c r="AF100" s="108">
        <f t="shared" si="57"/>
        <v>2245.84</v>
      </c>
      <c r="AG100" s="72">
        <f t="shared" si="55"/>
        <v>2655.44</v>
      </c>
      <c r="AH100" s="48">
        <f t="shared" si="38"/>
        <v>2379.14</v>
      </c>
      <c r="AI100" s="49">
        <f t="shared" si="39"/>
        <v>2088.14</v>
      </c>
      <c r="BF100" s="81"/>
      <c r="BG100" s="82">
        <v>-45.8</v>
      </c>
      <c r="BH100" s="82">
        <v>0</v>
      </c>
      <c r="BI100" s="82">
        <v>-573.1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>
        <v>40</v>
      </c>
      <c r="AA101" s="110">
        <v>40</v>
      </c>
      <c r="AB101" s="110">
        <v>0</v>
      </c>
      <c r="AC101" s="110">
        <v>0</v>
      </c>
      <c r="AD101" s="110">
        <v>0</v>
      </c>
      <c r="AE101" s="110">
        <v>0</v>
      </c>
      <c r="AF101" s="110">
        <v>1</v>
      </c>
      <c r="AG101" s="101"/>
      <c r="AH101" s="48">
        <f t="shared" si="38"/>
        <v>40</v>
      </c>
      <c r="AI101" s="49">
        <f t="shared" si="39"/>
        <v>0</v>
      </c>
      <c r="BF101" s="81"/>
      <c r="BG101" s="82">
        <v>-44.8</v>
      </c>
      <c r="BH101" s="82">
        <v>0</v>
      </c>
      <c r="BI101" s="82">
        <v>-448.9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58">B100+B101</f>
        <v>2132.34</v>
      </c>
      <c r="C102" s="108">
        <f t="shared" si="58"/>
        <v>2111.84</v>
      </c>
      <c r="D102" s="108">
        <f t="shared" ref="D102:AA102" si="59">D100+D101</f>
        <v>2098.7399999999998</v>
      </c>
      <c r="E102" s="108">
        <f t="shared" si="59"/>
        <v>2091.14</v>
      </c>
      <c r="F102" s="108">
        <f t="shared" si="59"/>
        <v>2088.14</v>
      </c>
      <c r="G102" s="108">
        <f t="shared" si="59"/>
        <v>2105.34</v>
      </c>
      <c r="H102" s="108">
        <f t="shared" si="59"/>
        <v>2122.34</v>
      </c>
      <c r="I102" s="108">
        <f t="shared" si="59"/>
        <v>2132.34</v>
      </c>
      <c r="J102" s="108">
        <f t="shared" si="59"/>
        <v>2157.7399999999998</v>
      </c>
      <c r="K102" s="108">
        <f t="shared" si="59"/>
        <v>2187.54</v>
      </c>
      <c r="L102" s="108">
        <f t="shared" si="59"/>
        <v>2314.54</v>
      </c>
      <c r="M102" s="108">
        <f t="shared" si="59"/>
        <v>2314.54</v>
      </c>
      <c r="N102" s="108">
        <f t="shared" si="59"/>
        <v>2314.54</v>
      </c>
      <c r="O102" s="108">
        <f t="shared" si="59"/>
        <v>2279.84</v>
      </c>
      <c r="P102" s="108">
        <f t="shared" si="59"/>
        <v>2279.84</v>
      </c>
      <c r="Q102" s="108">
        <f t="shared" si="59"/>
        <v>2328.84</v>
      </c>
      <c r="R102" s="108">
        <f t="shared" si="59"/>
        <v>2279.84</v>
      </c>
      <c r="S102" s="108">
        <f t="shared" si="59"/>
        <v>2379.14</v>
      </c>
      <c r="T102" s="108">
        <f t="shared" si="59"/>
        <v>2366.44</v>
      </c>
      <c r="U102" s="108">
        <f t="shared" si="59"/>
        <v>2351.54</v>
      </c>
      <c r="V102" s="108">
        <f t="shared" si="59"/>
        <v>2327.94</v>
      </c>
      <c r="W102" s="108">
        <f t="shared" si="59"/>
        <v>2279.84</v>
      </c>
      <c r="X102" s="108">
        <f t="shared" si="59"/>
        <v>2271.54</v>
      </c>
      <c r="Y102" s="108">
        <f t="shared" si="59"/>
        <v>2268.6</v>
      </c>
      <c r="Z102" s="108">
        <f t="shared" si="59"/>
        <v>2283.4</v>
      </c>
      <c r="AA102" s="108">
        <f t="shared" si="59"/>
        <v>2324.1400000000003</v>
      </c>
      <c r="AB102" s="108">
        <f t="shared" ref="AB102:AD102" si="60">AB100+AB101</f>
        <v>2284.1400000000003</v>
      </c>
      <c r="AC102" s="108">
        <f t="shared" si="60"/>
        <v>2284.1400000000003</v>
      </c>
      <c r="AD102" s="108">
        <f t="shared" si="60"/>
        <v>2284.1400000000003</v>
      </c>
      <c r="AE102" s="108">
        <f t="shared" ref="AE102:AF102" si="61">AE100+AE101</f>
        <v>2327.1400000000003</v>
      </c>
      <c r="AF102" s="108">
        <f t="shared" si="61"/>
        <v>2246.84</v>
      </c>
      <c r="AG102" s="101">
        <f>AG99+AG95+AG83+AG79+AG61+AG101</f>
        <v>2117.34</v>
      </c>
      <c r="AH102" s="48">
        <f t="shared" si="38"/>
        <v>2379.14</v>
      </c>
      <c r="AI102" s="49">
        <f t="shared" si="39"/>
        <v>2088.14</v>
      </c>
      <c r="BF102" s="81"/>
      <c r="BG102" s="82">
        <v>-30</v>
      </c>
      <c r="BH102" s="82">
        <v>0</v>
      </c>
      <c r="BI102" s="82">
        <v>-550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62">B102-(B110)</f>
        <v>1476.44</v>
      </c>
      <c r="C103" s="108">
        <f t="shared" si="62"/>
        <v>1449.8400000000001</v>
      </c>
      <c r="D103" s="108">
        <f t="shared" ref="D103:AA103" si="63">D102-(D110)</f>
        <v>1474.7399999999998</v>
      </c>
      <c r="E103" s="108">
        <f t="shared" si="63"/>
        <v>1357.1399999999999</v>
      </c>
      <c r="F103" s="108">
        <f t="shared" si="63"/>
        <v>1428.1399999999999</v>
      </c>
      <c r="G103" s="108">
        <f t="shared" si="63"/>
        <v>1410.94</v>
      </c>
      <c r="H103" s="108">
        <f t="shared" si="63"/>
        <v>1429.94</v>
      </c>
      <c r="I103" s="108">
        <f t="shared" si="63"/>
        <v>1453.94</v>
      </c>
      <c r="J103" s="108">
        <f t="shared" si="63"/>
        <v>1482.3399999999997</v>
      </c>
      <c r="K103" s="108">
        <f t="shared" si="63"/>
        <v>1518.54</v>
      </c>
      <c r="L103" s="108">
        <f t="shared" si="63"/>
        <v>1721.54</v>
      </c>
      <c r="M103" s="108">
        <f t="shared" si="63"/>
        <v>1654.54</v>
      </c>
      <c r="N103" s="108">
        <f t="shared" si="63"/>
        <v>1773.54</v>
      </c>
      <c r="O103" s="108">
        <f t="shared" si="63"/>
        <v>1744.8400000000001</v>
      </c>
      <c r="P103" s="108">
        <f t="shared" si="63"/>
        <v>1758.3400000000001</v>
      </c>
      <c r="Q103" s="108">
        <f t="shared" si="63"/>
        <v>1745.8400000000001</v>
      </c>
      <c r="R103" s="108">
        <f t="shared" si="63"/>
        <v>1738.8400000000001</v>
      </c>
      <c r="S103" s="108">
        <f t="shared" si="63"/>
        <v>1789.84</v>
      </c>
      <c r="T103" s="108">
        <f t="shared" si="63"/>
        <v>1773.54</v>
      </c>
      <c r="U103" s="108">
        <f t="shared" si="63"/>
        <v>1884.34</v>
      </c>
      <c r="V103" s="108">
        <f t="shared" si="63"/>
        <v>1726.94</v>
      </c>
      <c r="W103" s="108">
        <f t="shared" si="63"/>
        <v>1697.94</v>
      </c>
      <c r="X103" s="108">
        <f t="shared" si="63"/>
        <v>1664.6399999999999</v>
      </c>
      <c r="Y103" s="108">
        <f t="shared" si="63"/>
        <v>1606.3999999999999</v>
      </c>
      <c r="Z103" s="108">
        <f t="shared" si="63"/>
        <v>1664.5</v>
      </c>
      <c r="AA103" s="108">
        <f t="shared" si="63"/>
        <v>1786.6400000000003</v>
      </c>
      <c r="AB103" s="108">
        <f t="shared" ref="AB103:AD103" si="64">AB102-(AB110)</f>
        <v>1790.4400000000003</v>
      </c>
      <c r="AC103" s="108">
        <f t="shared" si="64"/>
        <v>1754.1400000000003</v>
      </c>
      <c r="AD103" s="108">
        <f t="shared" si="64"/>
        <v>1704.1400000000003</v>
      </c>
      <c r="AE103" s="108">
        <f t="shared" ref="AE103:AF103" si="65">AE102-(AE110)</f>
        <v>1730.1400000000003</v>
      </c>
      <c r="AF103" s="108">
        <f t="shared" si="65"/>
        <v>1718.8400000000001</v>
      </c>
      <c r="AG103" s="101"/>
      <c r="AH103" s="48">
        <f t="shared" si="38"/>
        <v>1884.34</v>
      </c>
      <c r="AI103" s="49">
        <f t="shared" si="39"/>
        <v>1357.1399999999999</v>
      </c>
      <c r="BF103" s="81"/>
      <c r="BG103" s="82">
        <v>-37</v>
      </c>
      <c r="BH103" s="82">
        <v>0</v>
      </c>
      <c r="BI103" s="82">
        <v>-560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66">IF(B84&lt;0,B84*-1,0)</f>
        <v>34.5</v>
      </c>
      <c r="C104" s="89">
        <f t="shared" si="66"/>
        <v>61</v>
      </c>
      <c r="D104" s="89">
        <f t="shared" ref="D104:AA109" si="67">IF(D84&lt;0,D84*-1,0)</f>
        <v>0</v>
      </c>
      <c r="E104" s="89">
        <f t="shared" si="67"/>
        <v>56</v>
      </c>
      <c r="F104" s="89">
        <f t="shared" si="67"/>
        <v>48</v>
      </c>
      <c r="G104" s="89">
        <f t="shared" si="67"/>
        <v>61</v>
      </c>
      <c r="H104" s="89">
        <f t="shared" si="67"/>
        <v>59</v>
      </c>
      <c r="I104" s="89">
        <f t="shared" si="67"/>
        <v>45</v>
      </c>
      <c r="J104" s="89">
        <f t="shared" si="67"/>
        <v>42</v>
      </c>
      <c r="K104" s="89">
        <f t="shared" si="67"/>
        <v>59</v>
      </c>
      <c r="L104" s="89">
        <f t="shared" si="67"/>
        <v>35</v>
      </c>
      <c r="M104" s="89">
        <f t="shared" si="67"/>
        <v>30</v>
      </c>
      <c r="N104" s="89">
        <f t="shared" si="67"/>
        <v>10</v>
      </c>
      <c r="O104" s="89">
        <f t="shared" si="67"/>
        <v>25</v>
      </c>
      <c r="P104" s="89">
        <f t="shared" si="67"/>
        <v>23.5</v>
      </c>
      <c r="Q104" s="89">
        <f t="shared" si="67"/>
        <v>40</v>
      </c>
      <c r="R104" s="89">
        <f t="shared" si="67"/>
        <v>40</v>
      </c>
      <c r="S104" s="89">
        <f t="shared" si="67"/>
        <v>28.8</v>
      </c>
      <c r="T104" s="89">
        <f t="shared" si="67"/>
        <v>41.4</v>
      </c>
      <c r="U104" s="89">
        <f t="shared" si="67"/>
        <v>34.6</v>
      </c>
      <c r="V104" s="89">
        <f t="shared" si="67"/>
        <v>43</v>
      </c>
      <c r="W104" s="89">
        <f t="shared" si="67"/>
        <v>11.8</v>
      </c>
      <c r="X104" s="89">
        <f t="shared" si="67"/>
        <v>57</v>
      </c>
      <c r="Y104" s="89">
        <f t="shared" si="67"/>
        <v>62.2</v>
      </c>
      <c r="Z104" s="89">
        <f t="shared" si="67"/>
        <v>45.8</v>
      </c>
      <c r="AA104" s="89">
        <f t="shared" si="67"/>
        <v>31.9</v>
      </c>
      <c r="AB104" s="89">
        <f t="shared" ref="AB104:AD104" si="68">IF(AB84&lt;0,AB84*-1,0)</f>
        <v>44.8</v>
      </c>
      <c r="AC104" s="89">
        <f t="shared" si="68"/>
        <v>40</v>
      </c>
      <c r="AD104" s="89">
        <f t="shared" si="68"/>
        <v>30</v>
      </c>
      <c r="AE104" s="89">
        <f t="shared" ref="AE104:AF104" si="69">IF(AE84&lt;0,AE84*-1,0)</f>
        <v>37</v>
      </c>
      <c r="AF104" s="89">
        <f t="shared" si="69"/>
        <v>38</v>
      </c>
      <c r="AG104" s="61"/>
      <c r="AH104" s="48">
        <f t="shared" si="38"/>
        <v>62.2</v>
      </c>
      <c r="AI104" s="49">
        <f t="shared" si="39"/>
        <v>0</v>
      </c>
      <c r="BG104" s="82">
        <v>-38</v>
      </c>
      <c r="BH104" s="82">
        <v>0</v>
      </c>
      <c r="BI104" s="82">
        <v>-490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66"/>
        <v>0</v>
      </c>
      <c r="C105" s="89">
        <f t="shared" si="66"/>
        <v>0</v>
      </c>
      <c r="D105" s="89">
        <f t="shared" si="67"/>
        <v>0</v>
      </c>
      <c r="E105" s="89">
        <f t="shared" si="67"/>
        <v>0</v>
      </c>
      <c r="F105" s="89">
        <f t="shared" si="67"/>
        <v>0</v>
      </c>
      <c r="G105" s="89">
        <f t="shared" si="67"/>
        <v>0</v>
      </c>
      <c r="H105" s="89">
        <f t="shared" si="67"/>
        <v>0</v>
      </c>
      <c r="I105" s="89">
        <f t="shared" si="67"/>
        <v>0</v>
      </c>
      <c r="J105" s="89">
        <f t="shared" si="67"/>
        <v>0</v>
      </c>
      <c r="K105" s="89">
        <f t="shared" si="67"/>
        <v>0</v>
      </c>
      <c r="L105" s="89">
        <f t="shared" si="67"/>
        <v>0</v>
      </c>
      <c r="M105" s="89">
        <f t="shared" si="67"/>
        <v>0</v>
      </c>
      <c r="N105" s="89">
        <f t="shared" si="67"/>
        <v>0</v>
      </c>
      <c r="O105" s="89">
        <f t="shared" si="67"/>
        <v>0</v>
      </c>
      <c r="P105" s="89">
        <f t="shared" si="67"/>
        <v>0</v>
      </c>
      <c r="Q105" s="89">
        <f t="shared" si="67"/>
        <v>0</v>
      </c>
      <c r="R105" s="89">
        <f t="shared" si="67"/>
        <v>0</v>
      </c>
      <c r="S105" s="89">
        <f t="shared" si="67"/>
        <v>0</v>
      </c>
      <c r="T105" s="89">
        <f t="shared" si="67"/>
        <v>0</v>
      </c>
      <c r="U105" s="89">
        <f t="shared" si="67"/>
        <v>0</v>
      </c>
      <c r="V105" s="89">
        <f t="shared" si="67"/>
        <v>0</v>
      </c>
      <c r="W105" s="89">
        <f t="shared" si="67"/>
        <v>0</v>
      </c>
      <c r="X105" s="89">
        <f t="shared" si="67"/>
        <v>0</v>
      </c>
      <c r="Y105" s="89">
        <f t="shared" si="67"/>
        <v>0</v>
      </c>
      <c r="Z105" s="89">
        <f t="shared" si="67"/>
        <v>0</v>
      </c>
      <c r="AA105" s="89">
        <f t="shared" si="67"/>
        <v>0</v>
      </c>
      <c r="AB105" s="89">
        <f t="shared" ref="AB105:AD105" si="70">IF(AB85&lt;0,AB85*-1,0)</f>
        <v>0</v>
      </c>
      <c r="AC105" s="89">
        <f t="shared" si="70"/>
        <v>0</v>
      </c>
      <c r="AD105" s="89">
        <f t="shared" si="70"/>
        <v>0</v>
      </c>
      <c r="AE105" s="89">
        <f t="shared" ref="AE105:AF105" si="71">IF(AE85&lt;0,AE85*-1,0)</f>
        <v>0</v>
      </c>
      <c r="AF105" s="89">
        <f t="shared" si="71"/>
        <v>0</v>
      </c>
      <c r="AG105" s="66"/>
      <c r="AH105" s="48">
        <f t="shared" si="38"/>
        <v>0</v>
      </c>
      <c r="AI105" s="49">
        <f t="shared" si="39"/>
        <v>0</v>
      </c>
      <c r="AK105" s="51"/>
      <c r="BG105" s="82">
        <v>-34.5</v>
      </c>
      <c r="BH105" s="82">
        <v>0</v>
      </c>
      <c r="BI105" s="82">
        <v>-621.4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66"/>
        <v>621.4</v>
      </c>
      <c r="C106" s="89">
        <f t="shared" si="66"/>
        <v>601</v>
      </c>
      <c r="D106" s="89">
        <f t="shared" si="67"/>
        <v>624</v>
      </c>
      <c r="E106" s="89">
        <f t="shared" si="67"/>
        <v>678</v>
      </c>
      <c r="F106" s="89">
        <f t="shared" si="67"/>
        <v>612</v>
      </c>
      <c r="G106" s="89">
        <f t="shared" si="67"/>
        <v>633.4</v>
      </c>
      <c r="H106" s="89">
        <f t="shared" si="67"/>
        <v>633.4</v>
      </c>
      <c r="I106" s="89">
        <f t="shared" si="67"/>
        <v>633.4</v>
      </c>
      <c r="J106" s="89">
        <f t="shared" si="67"/>
        <v>633.4</v>
      </c>
      <c r="K106" s="89">
        <f t="shared" si="67"/>
        <v>610</v>
      </c>
      <c r="L106" s="89">
        <f t="shared" si="67"/>
        <v>558</v>
      </c>
      <c r="M106" s="89">
        <f t="shared" si="67"/>
        <v>630</v>
      </c>
      <c r="N106" s="89">
        <f t="shared" si="67"/>
        <v>531</v>
      </c>
      <c r="O106" s="89">
        <f t="shared" si="67"/>
        <v>510</v>
      </c>
      <c r="P106" s="89">
        <f t="shared" si="67"/>
        <v>498</v>
      </c>
      <c r="Q106" s="89">
        <f t="shared" si="67"/>
        <v>543</v>
      </c>
      <c r="R106" s="89">
        <f t="shared" si="67"/>
        <v>501</v>
      </c>
      <c r="S106" s="89">
        <f t="shared" si="67"/>
        <v>560.5</v>
      </c>
      <c r="T106" s="89">
        <f t="shared" si="67"/>
        <v>551.5</v>
      </c>
      <c r="U106" s="89">
        <f t="shared" si="67"/>
        <v>432.6</v>
      </c>
      <c r="V106" s="89">
        <f t="shared" si="67"/>
        <v>558</v>
      </c>
      <c r="W106" s="89">
        <f t="shared" si="67"/>
        <v>570.1</v>
      </c>
      <c r="X106" s="89">
        <f t="shared" si="67"/>
        <v>549.9</v>
      </c>
      <c r="Y106" s="89">
        <f t="shared" si="67"/>
        <v>600</v>
      </c>
      <c r="Z106" s="89">
        <f t="shared" si="67"/>
        <v>573.1</v>
      </c>
      <c r="AA106" s="89">
        <f t="shared" si="67"/>
        <v>505.6</v>
      </c>
      <c r="AB106" s="89">
        <f t="shared" ref="AB106:AD106" si="72">IF(AB86&lt;0,AB86*-1,0)</f>
        <v>448.9</v>
      </c>
      <c r="AC106" s="89">
        <f t="shared" si="72"/>
        <v>490</v>
      </c>
      <c r="AD106" s="89">
        <f t="shared" si="72"/>
        <v>550</v>
      </c>
      <c r="AE106" s="89">
        <f t="shared" ref="AE106:AF106" si="73">IF(AE86&lt;0,AE86*-1,0)</f>
        <v>560</v>
      </c>
      <c r="AF106" s="89">
        <f t="shared" si="73"/>
        <v>490</v>
      </c>
      <c r="AG106" s="111"/>
      <c r="AH106" s="48">
        <f t="shared" si="38"/>
        <v>678</v>
      </c>
      <c r="AI106" s="49">
        <f t="shared" si="39"/>
        <v>432.6</v>
      </c>
    </row>
    <row r="107" spans="1:64" x14ac:dyDescent="0.25">
      <c r="A107" s="97" t="s">
        <v>107</v>
      </c>
      <c r="B107" s="89">
        <f t="shared" si="66"/>
        <v>0</v>
      </c>
      <c r="C107" s="89">
        <f t="shared" si="66"/>
        <v>0</v>
      </c>
      <c r="D107" s="89">
        <f t="shared" si="67"/>
        <v>0</v>
      </c>
      <c r="E107" s="89">
        <f t="shared" si="67"/>
        <v>0</v>
      </c>
      <c r="F107" s="89">
        <f t="shared" si="67"/>
        <v>0</v>
      </c>
      <c r="G107" s="89">
        <f t="shared" si="67"/>
        <v>0</v>
      </c>
      <c r="H107" s="89">
        <f t="shared" si="67"/>
        <v>0</v>
      </c>
      <c r="I107" s="89">
        <f t="shared" si="67"/>
        <v>0</v>
      </c>
      <c r="J107" s="89">
        <f t="shared" si="67"/>
        <v>0</v>
      </c>
      <c r="K107" s="89">
        <f t="shared" si="67"/>
        <v>0</v>
      </c>
      <c r="L107" s="89">
        <f t="shared" si="67"/>
        <v>0</v>
      </c>
      <c r="M107" s="89">
        <f t="shared" si="67"/>
        <v>0</v>
      </c>
      <c r="N107" s="89">
        <f t="shared" si="67"/>
        <v>0</v>
      </c>
      <c r="O107" s="89">
        <f t="shared" si="67"/>
        <v>0</v>
      </c>
      <c r="P107" s="89">
        <f t="shared" si="67"/>
        <v>0</v>
      </c>
      <c r="Q107" s="89">
        <f t="shared" si="67"/>
        <v>0</v>
      </c>
      <c r="R107" s="89">
        <f t="shared" si="67"/>
        <v>0</v>
      </c>
      <c r="S107" s="89">
        <f t="shared" si="67"/>
        <v>0</v>
      </c>
      <c r="T107" s="89">
        <f t="shared" si="67"/>
        <v>0</v>
      </c>
      <c r="U107" s="89">
        <f t="shared" si="67"/>
        <v>0</v>
      </c>
      <c r="V107" s="89">
        <f t="shared" si="67"/>
        <v>0</v>
      </c>
      <c r="W107" s="89">
        <f t="shared" si="67"/>
        <v>0</v>
      </c>
      <c r="X107" s="89">
        <f t="shared" si="67"/>
        <v>0</v>
      </c>
      <c r="Y107" s="89">
        <f t="shared" si="67"/>
        <v>0</v>
      </c>
      <c r="Z107" s="89">
        <f t="shared" si="67"/>
        <v>0</v>
      </c>
      <c r="AA107" s="89">
        <f t="shared" si="67"/>
        <v>0</v>
      </c>
      <c r="AB107" s="89">
        <f t="shared" ref="AB107:AD107" si="74">IF(AB87&lt;0,AB87*-1,0)</f>
        <v>0</v>
      </c>
      <c r="AC107" s="89">
        <f t="shared" si="74"/>
        <v>0</v>
      </c>
      <c r="AD107" s="89">
        <f t="shared" si="74"/>
        <v>0</v>
      </c>
      <c r="AE107" s="89">
        <f t="shared" ref="AE107:AF107" si="75">IF(AE87&lt;0,AE87*-1,0)</f>
        <v>0</v>
      </c>
      <c r="AF107" s="89">
        <f t="shared" si="75"/>
        <v>0</v>
      </c>
      <c r="AG107" s="111"/>
      <c r="AH107" s="48">
        <f t="shared" si="38"/>
        <v>0</v>
      </c>
      <c r="AI107" s="49">
        <f t="shared" si="39"/>
        <v>0</v>
      </c>
    </row>
    <row r="108" spans="1:64" x14ac:dyDescent="0.25">
      <c r="A108" s="97" t="s">
        <v>108</v>
      </c>
      <c r="B108" s="89">
        <f t="shared" si="66"/>
        <v>0</v>
      </c>
      <c r="C108" s="89">
        <f t="shared" si="66"/>
        <v>0</v>
      </c>
      <c r="D108" s="89">
        <f t="shared" si="67"/>
        <v>0</v>
      </c>
      <c r="E108" s="89">
        <f t="shared" si="67"/>
        <v>0</v>
      </c>
      <c r="F108" s="89">
        <f t="shared" si="67"/>
        <v>0</v>
      </c>
      <c r="G108" s="89">
        <f t="shared" si="67"/>
        <v>0</v>
      </c>
      <c r="H108" s="89">
        <f t="shared" si="67"/>
        <v>0</v>
      </c>
      <c r="I108" s="89">
        <f t="shared" si="67"/>
        <v>0</v>
      </c>
      <c r="J108" s="89">
        <f t="shared" si="67"/>
        <v>0</v>
      </c>
      <c r="K108" s="89">
        <f t="shared" si="67"/>
        <v>0</v>
      </c>
      <c r="L108" s="89">
        <f t="shared" si="67"/>
        <v>0</v>
      </c>
      <c r="M108" s="89">
        <f t="shared" si="67"/>
        <v>0</v>
      </c>
      <c r="N108" s="89">
        <f t="shared" si="67"/>
        <v>0</v>
      </c>
      <c r="O108" s="89">
        <f t="shared" si="67"/>
        <v>0</v>
      </c>
      <c r="P108" s="89">
        <f t="shared" si="67"/>
        <v>0</v>
      </c>
      <c r="Q108" s="89">
        <f t="shared" si="67"/>
        <v>0</v>
      </c>
      <c r="R108" s="89">
        <f t="shared" si="67"/>
        <v>0</v>
      </c>
      <c r="S108" s="89">
        <f t="shared" si="67"/>
        <v>0</v>
      </c>
      <c r="T108" s="89">
        <f t="shared" si="67"/>
        <v>0</v>
      </c>
      <c r="U108" s="89">
        <f t="shared" si="67"/>
        <v>0</v>
      </c>
      <c r="V108" s="89">
        <f t="shared" si="67"/>
        <v>0</v>
      </c>
      <c r="W108" s="89">
        <f t="shared" si="67"/>
        <v>0</v>
      </c>
      <c r="X108" s="89">
        <f t="shared" si="67"/>
        <v>0</v>
      </c>
      <c r="Y108" s="89">
        <f t="shared" si="67"/>
        <v>0</v>
      </c>
      <c r="Z108" s="89">
        <f t="shared" si="67"/>
        <v>0</v>
      </c>
      <c r="AA108" s="89">
        <f t="shared" si="67"/>
        <v>0</v>
      </c>
      <c r="AB108" s="89">
        <f t="shared" ref="AB108:AD108" si="76">IF(AB88&lt;0,AB88*-1,0)</f>
        <v>0</v>
      </c>
      <c r="AC108" s="89">
        <f t="shared" si="76"/>
        <v>0</v>
      </c>
      <c r="AD108" s="89">
        <f t="shared" si="76"/>
        <v>0</v>
      </c>
      <c r="AE108" s="89">
        <f t="shared" ref="AE108:AF108" si="77">IF(AE88&lt;0,AE88*-1,0)</f>
        <v>0</v>
      </c>
      <c r="AF108" s="89">
        <f t="shared" si="77"/>
        <v>0</v>
      </c>
      <c r="AG108" s="111"/>
      <c r="AH108" s="48">
        <f t="shared" si="38"/>
        <v>0</v>
      </c>
      <c r="AI108" s="49">
        <f t="shared" si="39"/>
        <v>0</v>
      </c>
    </row>
    <row r="109" spans="1:64" ht="15.75" thickBot="1" x14ac:dyDescent="0.3">
      <c r="A109" s="97" t="s">
        <v>117</v>
      </c>
      <c r="B109" s="89">
        <f t="shared" si="66"/>
        <v>0</v>
      </c>
      <c r="C109" s="89">
        <f t="shared" si="66"/>
        <v>0</v>
      </c>
      <c r="D109" s="89">
        <f t="shared" si="67"/>
        <v>0</v>
      </c>
      <c r="E109" s="89">
        <f t="shared" si="67"/>
        <v>0</v>
      </c>
      <c r="F109" s="89">
        <f t="shared" si="67"/>
        <v>0</v>
      </c>
      <c r="G109" s="89">
        <f t="shared" si="67"/>
        <v>0</v>
      </c>
      <c r="H109" s="89">
        <f t="shared" si="67"/>
        <v>0</v>
      </c>
      <c r="I109" s="89">
        <f t="shared" si="67"/>
        <v>0</v>
      </c>
      <c r="J109" s="89">
        <f t="shared" si="67"/>
        <v>0</v>
      </c>
      <c r="K109" s="89">
        <f t="shared" si="67"/>
        <v>0</v>
      </c>
      <c r="L109" s="89">
        <f t="shared" si="67"/>
        <v>0</v>
      </c>
      <c r="M109" s="89">
        <f t="shared" si="67"/>
        <v>0</v>
      </c>
      <c r="N109" s="89">
        <f t="shared" si="67"/>
        <v>0</v>
      </c>
      <c r="O109" s="89">
        <f t="shared" si="67"/>
        <v>0</v>
      </c>
      <c r="P109" s="89">
        <f t="shared" si="67"/>
        <v>0</v>
      </c>
      <c r="Q109" s="89">
        <f t="shared" si="67"/>
        <v>0</v>
      </c>
      <c r="R109" s="89">
        <f t="shared" si="67"/>
        <v>0</v>
      </c>
      <c r="S109" s="89">
        <f t="shared" si="67"/>
        <v>0</v>
      </c>
      <c r="T109" s="89">
        <f t="shared" si="67"/>
        <v>0</v>
      </c>
      <c r="U109" s="89">
        <f t="shared" si="67"/>
        <v>0</v>
      </c>
      <c r="V109" s="89">
        <f t="shared" si="67"/>
        <v>0</v>
      </c>
      <c r="W109" s="89">
        <f t="shared" si="67"/>
        <v>0</v>
      </c>
      <c r="X109" s="89">
        <f t="shared" si="67"/>
        <v>0</v>
      </c>
      <c r="Y109" s="89">
        <f t="shared" si="67"/>
        <v>0</v>
      </c>
      <c r="Z109" s="89">
        <f t="shared" si="67"/>
        <v>0</v>
      </c>
      <c r="AA109" s="89">
        <f t="shared" si="67"/>
        <v>0</v>
      </c>
      <c r="AB109" s="89">
        <f t="shared" ref="AB109:AD109" si="78">IF(AB89&lt;0,AB89*-1,0)</f>
        <v>0</v>
      </c>
      <c r="AC109" s="89">
        <f t="shared" si="78"/>
        <v>0</v>
      </c>
      <c r="AD109" s="89">
        <f t="shared" si="78"/>
        <v>0</v>
      </c>
      <c r="AE109" s="89">
        <f t="shared" ref="AE109:AF109" si="79">IF(AE89&lt;0,AE89*-1,0)</f>
        <v>0</v>
      </c>
      <c r="AF109" s="89">
        <f t="shared" si="79"/>
        <v>0</v>
      </c>
      <c r="AG109" s="98"/>
      <c r="AH109" s="48">
        <f t="shared" si="38"/>
        <v>0</v>
      </c>
      <c r="AI109" s="49">
        <f t="shared" si="39"/>
        <v>0</v>
      </c>
    </row>
    <row r="110" spans="1:64" ht="15.75" thickBot="1" x14ac:dyDescent="0.3">
      <c r="A110" s="112" t="s">
        <v>130</v>
      </c>
      <c r="B110" s="71">
        <f t="shared" ref="B110:C110" si="80">SUM(B104:B109)</f>
        <v>655.9</v>
      </c>
      <c r="C110" s="71">
        <f t="shared" si="80"/>
        <v>662</v>
      </c>
      <c r="D110" s="71">
        <f t="shared" ref="D110:AA110" si="81">SUM(D104:D109)</f>
        <v>624</v>
      </c>
      <c r="E110" s="71">
        <f t="shared" si="81"/>
        <v>734</v>
      </c>
      <c r="F110" s="71">
        <f t="shared" si="81"/>
        <v>660</v>
      </c>
      <c r="G110" s="71">
        <f t="shared" si="81"/>
        <v>694.4</v>
      </c>
      <c r="H110" s="71">
        <f t="shared" si="81"/>
        <v>692.4</v>
      </c>
      <c r="I110" s="71">
        <f t="shared" si="81"/>
        <v>678.4</v>
      </c>
      <c r="J110" s="71">
        <f t="shared" si="81"/>
        <v>675.4</v>
      </c>
      <c r="K110" s="71">
        <f t="shared" si="81"/>
        <v>669</v>
      </c>
      <c r="L110" s="71">
        <f t="shared" si="81"/>
        <v>593</v>
      </c>
      <c r="M110" s="71">
        <f t="shared" si="81"/>
        <v>660</v>
      </c>
      <c r="N110" s="71">
        <f t="shared" si="81"/>
        <v>541</v>
      </c>
      <c r="O110" s="71">
        <f t="shared" si="81"/>
        <v>535</v>
      </c>
      <c r="P110" s="71">
        <f t="shared" si="81"/>
        <v>521.5</v>
      </c>
      <c r="Q110" s="71">
        <f t="shared" si="81"/>
        <v>583</v>
      </c>
      <c r="R110" s="71">
        <f t="shared" si="81"/>
        <v>541</v>
      </c>
      <c r="S110" s="71">
        <f t="shared" si="81"/>
        <v>589.29999999999995</v>
      </c>
      <c r="T110" s="71">
        <f t="shared" si="81"/>
        <v>592.9</v>
      </c>
      <c r="U110" s="71">
        <f t="shared" si="81"/>
        <v>467.20000000000005</v>
      </c>
      <c r="V110" s="71">
        <f t="shared" si="81"/>
        <v>601</v>
      </c>
      <c r="W110" s="71">
        <f t="shared" si="81"/>
        <v>581.9</v>
      </c>
      <c r="X110" s="71">
        <f t="shared" si="81"/>
        <v>606.9</v>
      </c>
      <c r="Y110" s="71">
        <f t="shared" si="81"/>
        <v>662.2</v>
      </c>
      <c r="Z110" s="71">
        <f t="shared" si="81"/>
        <v>618.9</v>
      </c>
      <c r="AA110" s="71">
        <f t="shared" si="81"/>
        <v>537.5</v>
      </c>
      <c r="AB110" s="71">
        <f t="shared" ref="AB110:AD110" si="82">SUM(AB104:AB109)</f>
        <v>493.7</v>
      </c>
      <c r="AC110" s="71">
        <f t="shared" si="82"/>
        <v>530</v>
      </c>
      <c r="AD110" s="71">
        <f t="shared" si="82"/>
        <v>580</v>
      </c>
      <c r="AE110" s="71">
        <f t="shared" ref="AE110:AF110" si="83">SUM(AE104:AE109)</f>
        <v>597</v>
      </c>
      <c r="AF110" s="71">
        <f t="shared" si="83"/>
        <v>528</v>
      </c>
      <c r="AG110" s="101"/>
      <c r="AH110" s="48">
        <f t="shared" si="38"/>
        <v>734</v>
      </c>
      <c r="AI110" s="49">
        <f t="shared" si="39"/>
        <v>467.20000000000005</v>
      </c>
    </row>
    <row r="111" spans="1:64" ht="15.75" thickBot="1" x14ac:dyDescent="0.3">
      <c r="A111" s="87" t="s">
        <v>131</v>
      </c>
      <c r="B111" s="71">
        <f t="shared" ref="B111:C111" si="84">B95-B110</f>
        <v>-655.9</v>
      </c>
      <c r="C111" s="71">
        <f t="shared" si="84"/>
        <v>-662</v>
      </c>
      <c r="D111" s="71">
        <f t="shared" ref="D111:AA111" si="85">D95-D110</f>
        <v>-604</v>
      </c>
      <c r="E111" s="71">
        <f t="shared" si="85"/>
        <v>-734</v>
      </c>
      <c r="F111" s="71">
        <f t="shared" si="85"/>
        <v>-660</v>
      </c>
      <c r="G111" s="71">
        <f t="shared" si="85"/>
        <v>-694.4</v>
      </c>
      <c r="H111" s="71">
        <f t="shared" si="85"/>
        <v>-692.4</v>
      </c>
      <c r="I111" s="71">
        <f t="shared" si="85"/>
        <v>-678.4</v>
      </c>
      <c r="J111" s="71">
        <f t="shared" si="85"/>
        <v>-675.4</v>
      </c>
      <c r="K111" s="71">
        <f t="shared" si="85"/>
        <v>-669</v>
      </c>
      <c r="L111" s="71">
        <f t="shared" si="85"/>
        <v>-593</v>
      </c>
      <c r="M111" s="71">
        <f t="shared" si="85"/>
        <v>-660</v>
      </c>
      <c r="N111" s="71">
        <f t="shared" si="85"/>
        <v>-541</v>
      </c>
      <c r="O111" s="71">
        <f t="shared" si="85"/>
        <v>-535</v>
      </c>
      <c r="P111" s="71">
        <f t="shared" si="85"/>
        <v>-521.5</v>
      </c>
      <c r="Q111" s="71">
        <f t="shared" si="85"/>
        <v>-583</v>
      </c>
      <c r="R111" s="71">
        <f t="shared" si="85"/>
        <v>-541</v>
      </c>
      <c r="S111" s="71">
        <f t="shared" si="85"/>
        <v>-589.29999999999995</v>
      </c>
      <c r="T111" s="71">
        <f t="shared" si="85"/>
        <v>-592.9</v>
      </c>
      <c r="U111" s="71">
        <f t="shared" si="85"/>
        <v>-467.20000000000005</v>
      </c>
      <c r="V111" s="71">
        <f t="shared" si="85"/>
        <v>-601</v>
      </c>
      <c r="W111" s="71">
        <f t="shared" si="85"/>
        <v>-581.9</v>
      </c>
      <c r="X111" s="71">
        <f t="shared" si="85"/>
        <v>-606.9</v>
      </c>
      <c r="Y111" s="71">
        <f t="shared" si="85"/>
        <v>-662.2</v>
      </c>
      <c r="Z111" s="71">
        <f t="shared" si="85"/>
        <v>-618.9</v>
      </c>
      <c r="AA111" s="71">
        <f t="shared" si="85"/>
        <v>-537.5</v>
      </c>
      <c r="AB111" s="71">
        <f t="shared" ref="AB111:AD111" si="86">AB95-AB110</f>
        <v>-493.7</v>
      </c>
      <c r="AC111" s="71">
        <f t="shared" si="86"/>
        <v>-530</v>
      </c>
      <c r="AD111" s="71">
        <f t="shared" si="86"/>
        <v>-580</v>
      </c>
      <c r="AE111" s="71">
        <f t="shared" ref="AE111:AF111" si="87">AE95-AE110</f>
        <v>-597</v>
      </c>
      <c r="AF111" s="71">
        <f t="shared" si="87"/>
        <v>-528</v>
      </c>
      <c r="AG111" s="101"/>
      <c r="AH111" s="48">
        <f t="shared" si="38"/>
        <v>-467.20000000000005</v>
      </c>
      <c r="AI111" s="49">
        <f t="shared" si="39"/>
        <v>-734</v>
      </c>
    </row>
    <row r="112" spans="1:64" x14ac:dyDescent="0.25">
      <c r="A112" s="113" t="s">
        <v>132</v>
      </c>
      <c r="B112" s="114">
        <v>50.03</v>
      </c>
      <c r="C112" s="114">
        <v>50.02</v>
      </c>
      <c r="D112" s="114">
        <v>49.95</v>
      </c>
      <c r="E112" s="114">
        <v>50.018000000000001</v>
      </c>
      <c r="F112" s="114">
        <v>49.972000000000001</v>
      </c>
      <c r="G112" s="114">
        <v>49.948</v>
      </c>
      <c r="H112" s="114">
        <v>49.948</v>
      </c>
      <c r="I112" s="114">
        <v>49.96</v>
      </c>
      <c r="J112" s="114">
        <v>49.98</v>
      </c>
      <c r="K112" s="114">
        <v>49.92</v>
      </c>
      <c r="L112" s="114">
        <v>50.02</v>
      </c>
      <c r="M112" s="114">
        <v>50.081000000000003</v>
      </c>
      <c r="N112" s="114">
        <v>49.978999999999999</v>
      </c>
      <c r="O112" s="114">
        <v>50.021000000000001</v>
      </c>
      <c r="P112" s="114">
        <v>50.036999999999999</v>
      </c>
      <c r="Q112" s="114">
        <v>50.078000000000003</v>
      </c>
      <c r="R112" s="114">
        <v>50.097999999999999</v>
      </c>
      <c r="S112" s="114">
        <v>50.037999999999997</v>
      </c>
      <c r="T112" s="114">
        <v>49.89</v>
      </c>
      <c r="U112" s="114">
        <v>49.902000000000001</v>
      </c>
      <c r="V112" s="114">
        <v>49.97</v>
      </c>
      <c r="W112" s="114">
        <v>49.962000000000003</v>
      </c>
      <c r="X112" s="114">
        <v>49.91</v>
      </c>
      <c r="Y112" s="114">
        <v>50.034999999999997</v>
      </c>
      <c r="Z112" s="114">
        <v>50.052999999999997</v>
      </c>
      <c r="AA112" s="114">
        <v>49.890999999999998</v>
      </c>
      <c r="AB112" s="114">
        <v>50.07</v>
      </c>
      <c r="AC112" s="114">
        <v>49.93</v>
      </c>
      <c r="AD112" s="114">
        <v>49.91</v>
      </c>
      <c r="AE112" s="114">
        <v>49.96</v>
      </c>
      <c r="AF112" s="114">
        <v>49.98</v>
      </c>
      <c r="AG112" s="115"/>
      <c r="AH112" s="48">
        <f t="shared" si="38"/>
        <v>50.097999999999999</v>
      </c>
      <c r="AI112" s="49">
        <f t="shared" si="39"/>
        <v>49.89</v>
      </c>
    </row>
    <row r="113" spans="1:35" x14ac:dyDescent="0.25">
      <c r="A113" s="116" t="s">
        <v>133</v>
      </c>
      <c r="B113" s="76">
        <v>121.3</v>
      </c>
      <c r="C113" s="76">
        <v>118.1</v>
      </c>
      <c r="D113" s="76">
        <v>121.7</v>
      </c>
      <c r="E113" s="76">
        <v>122.7</v>
      </c>
      <c r="F113" s="76">
        <v>124.1</v>
      </c>
      <c r="G113" s="76">
        <v>122.4</v>
      </c>
      <c r="H113" s="76">
        <v>122.4</v>
      </c>
      <c r="I113" s="76">
        <v>122.4</v>
      </c>
      <c r="J113" s="76">
        <v>121</v>
      </c>
      <c r="K113" s="76">
        <v>119</v>
      </c>
      <c r="L113" s="76">
        <v>119</v>
      </c>
      <c r="M113" s="76">
        <v>120.2</v>
      </c>
      <c r="N113" s="76">
        <v>117.2</v>
      </c>
      <c r="O113" s="76">
        <v>116.4</v>
      </c>
      <c r="P113" s="76">
        <v>120.2</v>
      </c>
      <c r="Q113" s="76">
        <v>119.7</v>
      </c>
      <c r="R113" s="76">
        <v>119.9</v>
      </c>
      <c r="S113" s="76">
        <v>117.9</v>
      </c>
      <c r="T113" s="76">
        <v>118.8</v>
      </c>
      <c r="U113" s="76">
        <v>117.8</v>
      </c>
      <c r="V113" s="76">
        <v>122.2</v>
      </c>
      <c r="W113" s="76">
        <v>122.4</v>
      </c>
      <c r="X113" s="76">
        <v>123.1</v>
      </c>
      <c r="Y113" s="76">
        <v>124.7</v>
      </c>
      <c r="Z113" s="76">
        <v>124</v>
      </c>
      <c r="AA113" s="76">
        <v>121.3</v>
      </c>
      <c r="AB113" s="76">
        <v>122.7</v>
      </c>
      <c r="AC113" s="76">
        <v>122.7</v>
      </c>
      <c r="AD113" s="76">
        <v>122.7</v>
      </c>
      <c r="AE113" s="76">
        <v>122.7</v>
      </c>
      <c r="AF113" s="76">
        <v>122.7</v>
      </c>
      <c r="AG113" s="117"/>
      <c r="AH113" s="48">
        <f t="shared" si="38"/>
        <v>124.7</v>
      </c>
      <c r="AI113" s="49">
        <f t="shared" si="39"/>
        <v>116.4</v>
      </c>
    </row>
    <row r="114" spans="1:35" x14ac:dyDescent="0.25">
      <c r="A114" s="116" t="s">
        <v>134</v>
      </c>
      <c r="B114" s="76">
        <v>127.1</v>
      </c>
      <c r="C114" s="76">
        <v>123.2</v>
      </c>
      <c r="D114" s="76">
        <v>126.6</v>
      </c>
      <c r="E114" s="76">
        <v>127.6</v>
      </c>
      <c r="F114" s="76">
        <v>129.1</v>
      </c>
      <c r="G114" s="76">
        <v>127.5</v>
      </c>
      <c r="H114" s="76">
        <v>127.5</v>
      </c>
      <c r="I114" s="76">
        <v>127.5</v>
      </c>
      <c r="J114" s="76">
        <v>127.5</v>
      </c>
      <c r="K114" s="76">
        <v>127.5</v>
      </c>
      <c r="L114" s="76">
        <v>127.5</v>
      </c>
      <c r="M114" s="76">
        <v>124.6</v>
      </c>
      <c r="N114" s="76">
        <v>122.7</v>
      </c>
      <c r="O114" s="76">
        <v>121.3</v>
      </c>
      <c r="P114" s="76">
        <v>124.1</v>
      </c>
      <c r="Q114" s="76">
        <v>124.3</v>
      </c>
      <c r="R114" s="76">
        <v>125.1</v>
      </c>
      <c r="S114" s="76">
        <v>123.4</v>
      </c>
      <c r="T114" s="76">
        <v>122.5</v>
      </c>
      <c r="U114" s="76">
        <v>122.1</v>
      </c>
      <c r="V114" s="76">
        <v>125.3</v>
      </c>
      <c r="W114" s="76">
        <v>125.4</v>
      </c>
      <c r="X114" s="76">
        <v>126.5</v>
      </c>
      <c r="Y114" s="76">
        <v>127.2</v>
      </c>
      <c r="Z114" s="76">
        <v>126.7</v>
      </c>
      <c r="AA114" s="76">
        <v>124.5</v>
      </c>
      <c r="AB114" s="76">
        <v>126</v>
      </c>
      <c r="AC114" s="76">
        <v>126</v>
      </c>
      <c r="AD114" s="76">
        <v>126</v>
      </c>
      <c r="AE114" s="76">
        <v>126</v>
      </c>
      <c r="AF114" s="76">
        <v>126</v>
      </c>
      <c r="AG114" s="117"/>
      <c r="AH114" s="48">
        <f t="shared" si="38"/>
        <v>129.1</v>
      </c>
      <c r="AI114" s="49">
        <f t="shared" si="39"/>
        <v>121.3</v>
      </c>
    </row>
    <row r="115" spans="1:35" x14ac:dyDescent="0.25">
      <c r="A115" s="116" t="s">
        <v>135</v>
      </c>
      <c r="B115" s="76">
        <v>130.6</v>
      </c>
      <c r="C115" s="76">
        <v>129.9</v>
      </c>
      <c r="D115" s="76">
        <v>130.69999999999999</v>
      </c>
      <c r="E115" s="76">
        <v>131.69999999999999</v>
      </c>
      <c r="F115" s="76">
        <v>132</v>
      </c>
      <c r="G115" s="76">
        <v>130.6</v>
      </c>
      <c r="H115" s="76">
        <v>130.6</v>
      </c>
      <c r="I115" s="76">
        <v>130.6</v>
      </c>
      <c r="J115" s="76">
        <v>130.6</v>
      </c>
      <c r="K115" s="76">
        <v>130.6</v>
      </c>
      <c r="L115" s="76">
        <v>130.6</v>
      </c>
      <c r="M115" s="76">
        <v>129.9</v>
      </c>
      <c r="N115" s="76">
        <v>128</v>
      </c>
      <c r="O115" s="76">
        <v>126</v>
      </c>
      <c r="P115" s="76">
        <v>130</v>
      </c>
      <c r="Q115" s="76">
        <v>129.80000000000001</v>
      </c>
      <c r="R115" s="76">
        <v>129.5</v>
      </c>
      <c r="S115" s="76">
        <v>128.1</v>
      </c>
      <c r="T115" s="76">
        <v>128</v>
      </c>
      <c r="U115" s="76">
        <v>126.1</v>
      </c>
      <c r="V115" s="76">
        <v>130.30000000000001</v>
      </c>
      <c r="W115" s="76">
        <v>131.1</v>
      </c>
      <c r="X115" s="76">
        <v>131.5</v>
      </c>
      <c r="Y115" s="76">
        <v>131.4</v>
      </c>
      <c r="Z115" s="76">
        <v>132</v>
      </c>
      <c r="AA115" s="76">
        <v>129.30000000000001</v>
      </c>
      <c r="AB115" s="76">
        <v>130.5</v>
      </c>
      <c r="AC115" s="76">
        <v>130.5</v>
      </c>
      <c r="AD115" s="76">
        <v>130.5</v>
      </c>
      <c r="AE115" s="76">
        <v>130.5</v>
      </c>
      <c r="AF115" s="76">
        <v>130.5</v>
      </c>
      <c r="AG115" s="117"/>
      <c r="AH115" s="48">
        <f t="shared" si="38"/>
        <v>132</v>
      </c>
      <c r="AI115" s="49">
        <f t="shared" si="39"/>
        <v>126</v>
      </c>
    </row>
    <row r="116" spans="1:35" x14ac:dyDescent="0.25">
      <c r="A116" s="118" t="s">
        <v>136</v>
      </c>
      <c r="B116" s="76">
        <v>133.80000000000001</v>
      </c>
      <c r="C116" s="76">
        <v>131.6</v>
      </c>
      <c r="D116" s="76">
        <v>132.4</v>
      </c>
      <c r="E116" s="76">
        <v>132.9</v>
      </c>
      <c r="F116" s="76">
        <v>133.30000000000001</v>
      </c>
      <c r="G116" s="76">
        <v>131.9</v>
      </c>
      <c r="H116" s="76">
        <v>131.9</v>
      </c>
      <c r="I116" s="76">
        <v>131.9</v>
      </c>
      <c r="J116" s="76">
        <v>131.9</v>
      </c>
      <c r="K116" s="76">
        <v>131.9</v>
      </c>
      <c r="L116" s="76">
        <v>131.9</v>
      </c>
      <c r="M116" s="76">
        <v>128.19999999999999</v>
      </c>
      <c r="N116" s="76">
        <v>127</v>
      </c>
      <c r="O116" s="76">
        <v>0</v>
      </c>
      <c r="P116" s="76">
        <v>130</v>
      </c>
      <c r="Q116" s="76">
        <v>128</v>
      </c>
      <c r="R116" s="76">
        <v>127.5</v>
      </c>
      <c r="S116" s="76">
        <v>126.2</v>
      </c>
      <c r="T116" s="76">
        <v>124.8</v>
      </c>
      <c r="U116" s="76">
        <v>122.5</v>
      </c>
      <c r="V116" s="76">
        <v>131.19999999999999</v>
      </c>
      <c r="W116" s="76">
        <v>131.69999999999999</v>
      </c>
      <c r="X116" s="76">
        <v>132.69999999999999</v>
      </c>
      <c r="Y116" s="76">
        <v>131.9</v>
      </c>
      <c r="Z116" s="76">
        <v>132.19999999999999</v>
      </c>
      <c r="AA116" s="76">
        <v>130.1</v>
      </c>
      <c r="AB116" s="76">
        <v>131.80000000000001</v>
      </c>
      <c r="AC116" s="76">
        <v>131.80000000000001</v>
      </c>
      <c r="AD116" s="76">
        <v>131.80000000000001</v>
      </c>
      <c r="AE116" s="76">
        <v>131.80000000000001</v>
      </c>
      <c r="AF116" s="76">
        <v>131.80000000000001</v>
      </c>
      <c r="AG116" s="117"/>
      <c r="AH116" s="48">
        <f t="shared" si="38"/>
        <v>133.80000000000001</v>
      </c>
      <c r="AI116" s="49">
        <f t="shared" si="39"/>
        <v>0</v>
      </c>
    </row>
    <row r="117" spans="1:35" x14ac:dyDescent="0.25">
      <c r="A117" s="118" t="s">
        <v>137</v>
      </c>
      <c r="B117" s="119">
        <v>131.69999999999999</v>
      </c>
      <c r="C117" s="119">
        <v>129.30000000000001</v>
      </c>
      <c r="D117" s="119">
        <v>131.9</v>
      </c>
      <c r="E117" s="119">
        <v>132.80000000000001</v>
      </c>
      <c r="F117" s="119">
        <v>134</v>
      </c>
      <c r="G117" s="119">
        <v>134.30000000000001</v>
      </c>
      <c r="H117" s="119">
        <v>134.30000000000001</v>
      </c>
      <c r="I117" s="119">
        <v>134.30000000000001</v>
      </c>
      <c r="J117" s="119">
        <v>134.30000000000001</v>
      </c>
      <c r="K117" s="119">
        <v>134.30000000000001</v>
      </c>
      <c r="L117" s="119">
        <v>134.30000000000001</v>
      </c>
      <c r="M117" s="119">
        <v>137</v>
      </c>
      <c r="N117" s="119">
        <v>134.80000000000001</v>
      </c>
      <c r="O117" s="119">
        <v>131.80000000000001</v>
      </c>
      <c r="P117" s="119">
        <v>134.6</v>
      </c>
      <c r="Q117" s="119">
        <v>134</v>
      </c>
      <c r="R117" s="119">
        <v>134.19999999999999</v>
      </c>
      <c r="S117" s="119">
        <v>132.19999999999999</v>
      </c>
      <c r="T117" s="119">
        <v>130.80000000000001</v>
      </c>
      <c r="U117" s="119">
        <v>129.69999999999999</v>
      </c>
      <c r="V117" s="119">
        <v>133.4</v>
      </c>
      <c r="W117" s="119">
        <v>135.19999999999999</v>
      </c>
      <c r="X117" s="119">
        <v>133.69999999999999</v>
      </c>
      <c r="Y117" s="119">
        <v>133.4</v>
      </c>
      <c r="Z117" s="119">
        <v>135.69999999999999</v>
      </c>
      <c r="AA117" s="119">
        <v>134.4</v>
      </c>
      <c r="AB117" s="119">
        <v>130.80000000000001</v>
      </c>
      <c r="AC117" s="119">
        <v>130.80000000000001</v>
      </c>
      <c r="AD117" s="119">
        <v>130.80000000000001</v>
      </c>
      <c r="AE117" s="119">
        <v>130.80000000000001</v>
      </c>
      <c r="AF117" s="119">
        <v>130.80000000000001</v>
      </c>
      <c r="AG117" s="120"/>
      <c r="AH117" s="48">
        <f t="shared" si="38"/>
        <v>137</v>
      </c>
      <c r="AI117" s="49">
        <f t="shared" si="39"/>
        <v>129.30000000000001</v>
      </c>
    </row>
    <row r="118" spans="1:35" x14ac:dyDescent="0.25">
      <c r="A118" s="116" t="s">
        <v>138</v>
      </c>
      <c r="B118" s="76">
        <v>127</v>
      </c>
      <c r="C118" s="76">
        <v>124.1</v>
      </c>
      <c r="D118" s="76">
        <v>128</v>
      </c>
      <c r="E118" s="76">
        <v>125.3</v>
      </c>
      <c r="F118" s="76">
        <v>127.6</v>
      </c>
      <c r="G118" s="76">
        <v>125.5</v>
      </c>
      <c r="H118" s="76">
        <v>125.5</v>
      </c>
      <c r="I118" s="76">
        <v>125.5</v>
      </c>
      <c r="J118" s="76">
        <v>125.5</v>
      </c>
      <c r="K118" s="76">
        <v>125.5</v>
      </c>
      <c r="L118" s="76">
        <v>125.5</v>
      </c>
      <c r="M118" s="76">
        <v>126.4</v>
      </c>
      <c r="N118" s="76">
        <v>124.8</v>
      </c>
      <c r="O118" s="76">
        <v>125.7</v>
      </c>
      <c r="P118" s="76">
        <v>125.9</v>
      </c>
      <c r="Q118" s="76">
        <v>128.69999999999999</v>
      </c>
      <c r="R118" s="76">
        <v>130.30000000000001</v>
      </c>
      <c r="S118" s="76">
        <v>127.6</v>
      </c>
      <c r="T118" s="76">
        <v>126.2</v>
      </c>
      <c r="U118" s="76">
        <v>121.1</v>
      </c>
      <c r="V118" s="76">
        <v>125.6</v>
      </c>
      <c r="W118" s="76">
        <v>132</v>
      </c>
      <c r="X118" s="76">
        <v>125.1</v>
      </c>
      <c r="Y118" s="76">
        <v>129.5</v>
      </c>
      <c r="Z118" s="76">
        <v>132.69999999999999</v>
      </c>
      <c r="AA118" s="76">
        <v>131.6</v>
      </c>
      <c r="AB118" s="76">
        <v>130.80000000000001</v>
      </c>
      <c r="AC118" s="76">
        <v>130.80000000000001</v>
      </c>
      <c r="AD118" s="76">
        <v>130.80000000000001</v>
      </c>
      <c r="AE118" s="76">
        <v>130.80000000000001</v>
      </c>
      <c r="AF118" s="76">
        <v>130.80000000000001</v>
      </c>
      <c r="AG118" s="117"/>
      <c r="AH118" s="48">
        <f t="shared" si="38"/>
        <v>132.69999999999999</v>
      </c>
      <c r="AI118" s="49">
        <f t="shared" si="39"/>
        <v>121.1</v>
      </c>
    </row>
    <row r="119" spans="1:35" ht="15.75" thickBot="1" x14ac:dyDescent="0.3">
      <c r="A119" s="116" t="s">
        <v>139</v>
      </c>
      <c r="B119" s="105">
        <v>63.7</v>
      </c>
      <c r="C119" s="105">
        <v>62.5</v>
      </c>
      <c r="D119" s="105">
        <v>63.9</v>
      </c>
      <c r="E119" s="105">
        <v>64</v>
      </c>
      <c r="F119" s="105">
        <v>64.7</v>
      </c>
      <c r="G119" s="105">
        <v>64</v>
      </c>
      <c r="H119" s="105">
        <v>64</v>
      </c>
      <c r="I119" s="105">
        <v>64</v>
      </c>
      <c r="J119" s="105">
        <v>64</v>
      </c>
      <c r="K119" s="105">
        <v>64</v>
      </c>
      <c r="L119" s="105">
        <v>64</v>
      </c>
      <c r="M119" s="105">
        <v>62.7</v>
      </c>
      <c r="N119" s="105">
        <v>61.8</v>
      </c>
      <c r="O119" s="105">
        <v>60.8</v>
      </c>
      <c r="P119" s="105">
        <v>62.1</v>
      </c>
      <c r="Q119" s="105">
        <v>62.5</v>
      </c>
      <c r="R119" s="105">
        <v>62.6</v>
      </c>
      <c r="S119" s="105">
        <v>61.9</v>
      </c>
      <c r="T119" s="105">
        <v>61.6</v>
      </c>
      <c r="U119" s="105">
        <v>61.3</v>
      </c>
      <c r="V119" s="105">
        <v>62.9</v>
      </c>
      <c r="W119" s="105">
        <v>63.3</v>
      </c>
      <c r="X119" s="105">
        <v>63.7</v>
      </c>
      <c r="Y119" s="105">
        <v>63.7</v>
      </c>
      <c r="Z119" s="105">
        <v>63.6</v>
      </c>
      <c r="AA119" s="105">
        <v>62.3</v>
      </c>
      <c r="AB119" s="105">
        <v>63.3</v>
      </c>
      <c r="AC119" s="105">
        <v>63.3</v>
      </c>
      <c r="AD119" s="105">
        <v>63.3</v>
      </c>
      <c r="AE119" s="105">
        <v>63.3</v>
      </c>
      <c r="AF119" s="105">
        <v>63.3</v>
      </c>
      <c r="AG119" s="121"/>
      <c r="AH119" s="48">
        <f t="shared" si="38"/>
        <v>64.7</v>
      </c>
      <c r="AI119" s="49">
        <f t="shared" si="39"/>
        <v>60.8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8"/>
        <v>0</v>
      </c>
      <c r="AI120" s="49">
        <f t="shared" si="39"/>
        <v>0</v>
      </c>
    </row>
    <row r="121" spans="1:35" ht="15.75" thickBot="1" x14ac:dyDescent="0.3">
      <c r="A121" s="123" t="s">
        <v>141</v>
      </c>
      <c r="B121" s="124">
        <f t="shared" ref="B121:C121" si="88">SUM(B25,B31,B34:B35,B69,B71:B72,B74,B76,B122:B126,B158,B164,B170,B179,B181,B193,B200,B203:B204,B211,B213,B215,B219:B221,B223:B225,B230,B236:B237,B239:B241,B249,B254)</f>
        <v>59.340000000000018</v>
      </c>
      <c r="C121" s="124">
        <f t="shared" si="88"/>
        <v>37.339999999999989</v>
      </c>
      <c r="D121" s="124">
        <f t="shared" ref="D121:O121" si="89">SUM(D25,D31,D34:D35,D69,D71:D72,D74,D76,D122:D126,D158,D164,D170,D179,D181,D193,D200,D203:D204,D211,D213,D215,D219:D221,D223:D225,D230,D236:D237,D239:D241,D249,D254)</f>
        <v>38.840000000000003</v>
      </c>
      <c r="E121" s="124">
        <f t="shared" si="89"/>
        <v>26.739999999999984</v>
      </c>
      <c r="F121" s="124">
        <f t="shared" si="89"/>
        <v>105.03999999999999</v>
      </c>
      <c r="G121" s="124">
        <f t="shared" si="89"/>
        <v>140.13999999999999</v>
      </c>
      <c r="H121" s="124">
        <f t="shared" si="89"/>
        <v>140.13999999999999</v>
      </c>
      <c r="I121" s="124">
        <f t="shared" si="89"/>
        <v>152.54</v>
      </c>
      <c r="J121" s="124">
        <f t="shared" si="89"/>
        <v>147.94</v>
      </c>
      <c r="K121" s="124">
        <f t="shared" si="89"/>
        <v>156.63999999999999</v>
      </c>
      <c r="L121" s="124">
        <f t="shared" si="89"/>
        <v>179.94</v>
      </c>
      <c r="M121" s="124">
        <f t="shared" si="89"/>
        <v>165.73999999999998</v>
      </c>
      <c r="N121" s="124">
        <f t="shared" si="89"/>
        <v>200.64</v>
      </c>
      <c r="O121" s="124">
        <f t="shared" si="89"/>
        <v>156.83999999999997</v>
      </c>
      <c r="P121" s="124">
        <v>42</v>
      </c>
      <c r="Q121" s="124">
        <f t="shared" ref="Q121:X121" si="90">SUM(Q25,Q31,Q34:Q35,Q69,Q71:Q72,Q74,Q76,Q122:Q126,Q158,Q164,Q170,Q179,Q181,Q193,Q200,Q203:Q204,Q211,Q213,Q215,Q219:Q221,Q223:Q225,Q230,Q236:Q237,Q239:Q241,Q249,Q254)</f>
        <v>174.44000000000003</v>
      </c>
      <c r="R121" s="124">
        <f t="shared" si="90"/>
        <v>168.14</v>
      </c>
      <c r="S121" s="124">
        <f t="shared" si="90"/>
        <v>179.94</v>
      </c>
      <c r="T121" s="124">
        <f t="shared" si="90"/>
        <v>184.43999999999994</v>
      </c>
      <c r="U121" s="124">
        <f t="shared" si="90"/>
        <v>170.83999999999997</v>
      </c>
      <c r="V121" s="124">
        <f t="shared" si="90"/>
        <v>194.64</v>
      </c>
      <c r="W121" s="124">
        <f t="shared" si="90"/>
        <v>185.33999999999997</v>
      </c>
      <c r="X121" s="124">
        <f t="shared" si="90"/>
        <v>168.54000000000002</v>
      </c>
      <c r="Y121" s="124">
        <f>SUM(Y23,Y29,Y40:Y41,Y69,Y71:Y72,Y74,Y76,Y122:Y126,Y151,Y157,Y163,Y172,Y174,Y186,Y193,Y196:Y197,Y204,Y206,Y208,Y212:Y214,Y216:Y218,Y223,Y229:Y230,Y232:Y234,Y242,Y247)</f>
        <v>207.89999999999995</v>
      </c>
      <c r="Z121" s="124">
        <f>SUM(Z23,Z29,Z40:Z41,Z69,Z71:Z72,Z74,Z76,Z122:Z126,Z151,Z157,Z163,Z172,Z174,Z186,Z193,Z196:Z197,Z204,Z206,Z208,Z212:Z214,Z216:Z218,Z223,Z229:Z230,Z232:Z234,Z242,Z247)</f>
        <v>240.2</v>
      </c>
      <c r="AA121" s="124">
        <f t="shared" ref="AA121" si="91">SUM(AA25,AA31,AA34:AA35,AA69,AA71:AA72,AA74,AA76,AA122:AA126,AA158,AA164,AA170,AA179,AA181,AA193,AA200,AA203:AA204,AA211,AA213,AA215,AA219:AA221,AA223:AA225,AA230,AA236:AA237,AA239:AA241,AA249,AA254)</f>
        <v>238.03999999999996</v>
      </c>
      <c r="AB121" s="124">
        <f t="shared" ref="AB121:AD121" si="92">SUM(AB25,AB31,AB34:AB35,AB69,AB71:AB72,AB74,AB76,AB122:AB126,AB158,AB164,AB170,AB179,AB181,AB193,AB200,AB203:AB204,AB211,AB213,AB215,AB219:AB221,AB223:AB225,AB230,AB236:AB237,AB239:AB241,AB249,AB254)</f>
        <v>203.34000000000003</v>
      </c>
      <c r="AC121" s="124">
        <f t="shared" si="92"/>
        <v>206.94</v>
      </c>
      <c r="AD121" s="124">
        <f t="shared" si="92"/>
        <v>210.63999999999996</v>
      </c>
      <c r="AE121" s="124">
        <f t="shared" ref="AE121:AF121" si="93">SUM(AE25,AE31,AE34:AE35,AE69,AE71:AE72,AE74,AE76,AE122:AE126,AE158,AE164,AE170,AE179,AE181,AE193,AE200,AE203:AE204,AE211,AE213,AE215,AE219:AE221,AE223:AE225,AE230,AE236:AE237,AE239:AE241,AE249,AE254)</f>
        <v>127.23999999999995</v>
      </c>
      <c r="AF121" s="124">
        <f t="shared" si="93"/>
        <v>79.239999999999952</v>
      </c>
      <c r="AG121" s="125"/>
      <c r="AH121" s="48">
        <f t="shared" si="38"/>
        <v>240.2</v>
      </c>
      <c r="AI121" s="49">
        <f t="shared" si="39"/>
        <v>26.739999999999984</v>
      </c>
    </row>
    <row r="122" spans="1:35" x14ac:dyDescent="0.25">
      <c r="A122" s="126" t="s">
        <v>142</v>
      </c>
      <c r="B122" s="127">
        <v>60.9</v>
      </c>
      <c r="C122" s="127">
        <v>61.5</v>
      </c>
      <c r="D122" s="127">
        <v>50.7</v>
      </c>
      <c r="E122" s="127">
        <v>58.5</v>
      </c>
      <c r="F122" s="127">
        <v>42.6</v>
      </c>
      <c r="G122" s="127">
        <v>62.3</v>
      </c>
      <c r="H122" s="127">
        <v>62.3</v>
      </c>
      <c r="I122" s="127"/>
      <c r="J122" s="127"/>
      <c r="K122" s="127"/>
      <c r="L122" s="127">
        <v>54.1</v>
      </c>
      <c r="M122" s="127">
        <v>53.4</v>
      </c>
      <c r="N122" s="127">
        <v>58.5</v>
      </c>
      <c r="O122" s="127">
        <v>55.2</v>
      </c>
      <c r="P122" s="127">
        <v>52.7</v>
      </c>
      <c r="Q122" s="127">
        <v>39.799999999999997</v>
      </c>
      <c r="R122" s="127">
        <v>42.6</v>
      </c>
      <c r="S122" s="127">
        <v>41.3</v>
      </c>
      <c r="T122" s="127">
        <v>47.4</v>
      </c>
      <c r="U122" s="127">
        <v>45.6</v>
      </c>
      <c r="V122" s="127">
        <v>40</v>
      </c>
      <c r="W122" s="127">
        <v>62</v>
      </c>
      <c r="X122" s="127">
        <v>56.2</v>
      </c>
      <c r="Y122" s="127">
        <v>68.7</v>
      </c>
      <c r="Z122" s="127">
        <v>72.400000000000006</v>
      </c>
      <c r="AA122" s="127">
        <v>72.599999999999994</v>
      </c>
      <c r="AB122" s="127">
        <v>56.4</v>
      </c>
      <c r="AC122" s="127">
        <v>60</v>
      </c>
      <c r="AD122" s="127">
        <v>78</v>
      </c>
      <c r="AE122" s="127">
        <v>96</v>
      </c>
      <c r="AF122" s="127">
        <v>103</v>
      </c>
      <c r="AG122" s="128">
        <v>75</v>
      </c>
      <c r="AH122" s="48">
        <f t="shared" si="38"/>
        <v>103</v>
      </c>
      <c r="AI122" s="49">
        <f t="shared" si="39"/>
        <v>39.799999999999997</v>
      </c>
    </row>
    <row r="123" spans="1:35" x14ac:dyDescent="0.25">
      <c r="A123" s="129" t="s">
        <v>143</v>
      </c>
      <c r="B123" s="130">
        <v>91.8</v>
      </c>
      <c r="C123" s="130">
        <v>94.9</v>
      </c>
      <c r="D123" s="130">
        <v>75.7</v>
      </c>
      <c r="E123" s="130">
        <v>88.8</v>
      </c>
      <c r="F123" s="130">
        <v>64.3</v>
      </c>
      <c r="G123" s="130">
        <v>92.3</v>
      </c>
      <c r="H123" s="130">
        <v>92.3</v>
      </c>
      <c r="I123" s="130"/>
      <c r="J123" s="130"/>
      <c r="K123" s="130"/>
      <c r="L123" s="130">
        <v>80.3</v>
      </c>
      <c r="M123" s="130">
        <v>77.099999999999994</v>
      </c>
      <c r="N123" s="130">
        <v>85.5</v>
      </c>
      <c r="O123" s="130">
        <v>82.3</v>
      </c>
      <c r="P123" s="130">
        <v>80</v>
      </c>
      <c r="Q123" s="130">
        <v>61.9</v>
      </c>
      <c r="R123" s="130">
        <v>65.099999999999994</v>
      </c>
      <c r="S123" s="130">
        <v>65.8</v>
      </c>
      <c r="T123" s="130">
        <v>76.3</v>
      </c>
      <c r="U123" s="130">
        <v>72.099999999999994</v>
      </c>
      <c r="V123" s="130">
        <v>66.3</v>
      </c>
      <c r="W123" s="130">
        <v>93.1</v>
      </c>
      <c r="X123" s="130">
        <v>88.3</v>
      </c>
      <c r="Y123" s="130">
        <v>100.9</v>
      </c>
      <c r="Z123" s="130">
        <v>100.9</v>
      </c>
      <c r="AA123" s="130">
        <v>104.2</v>
      </c>
      <c r="AB123" s="130">
        <v>83.4</v>
      </c>
      <c r="AC123" s="130">
        <v>83.4</v>
      </c>
      <c r="AD123" s="130">
        <v>70</v>
      </c>
      <c r="AE123" s="130">
        <v>63</v>
      </c>
      <c r="AF123" s="130">
        <v>68</v>
      </c>
      <c r="AG123" s="128">
        <v>240</v>
      </c>
      <c r="AH123" s="48">
        <f t="shared" si="38"/>
        <v>104.2</v>
      </c>
      <c r="AI123" s="49">
        <f t="shared" si="39"/>
        <v>61.9</v>
      </c>
    </row>
    <row r="124" spans="1:35" x14ac:dyDescent="0.25">
      <c r="A124" s="129" t="s">
        <v>144</v>
      </c>
      <c r="B124" s="130">
        <f>-76.2-78.5</f>
        <v>-154.69999999999999</v>
      </c>
      <c r="C124" s="130">
        <f>-61.2-62.6</f>
        <v>-123.80000000000001</v>
      </c>
      <c r="D124" s="130">
        <f>-68.1-72</f>
        <v>-140.1</v>
      </c>
      <c r="E124" s="130">
        <f>-76-80</f>
        <v>-156</v>
      </c>
      <c r="F124" s="130">
        <f>-58.8-62.1</f>
        <v>-120.9</v>
      </c>
      <c r="G124" s="130">
        <f>-72-76</f>
        <v>-148</v>
      </c>
      <c r="H124" s="130">
        <f>-72-76</f>
        <v>-148</v>
      </c>
      <c r="I124" s="130"/>
      <c r="J124" s="130"/>
      <c r="K124" s="130"/>
      <c r="L124" s="130">
        <f>-64-69</f>
        <v>-133</v>
      </c>
      <c r="M124" s="130">
        <v>-120</v>
      </c>
      <c r="N124" s="130">
        <v>-128</v>
      </c>
      <c r="O124" s="130">
        <v>-134.30000000000001</v>
      </c>
      <c r="P124" s="130">
        <v>-120</v>
      </c>
      <c r="Q124" s="130">
        <v>-72</v>
      </c>
      <c r="R124" s="130">
        <v>-81</v>
      </c>
      <c r="S124" s="130">
        <v>-84.5</v>
      </c>
      <c r="T124" s="130">
        <v>-145</v>
      </c>
      <c r="U124" s="130">
        <v>-167</v>
      </c>
      <c r="V124" s="130">
        <v>-135</v>
      </c>
      <c r="W124" s="130">
        <f>-74-79.5</f>
        <v>-153.5</v>
      </c>
      <c r="X124" s="130">
        <v>-160</v>
      </c>
      <c r="Y124" s="130">
        <v>-142</v>
      </c>
      <c r="Z124" s="130">
        <v>-138</v>
      </c>
      <c r="AA124" s="130">
        <v>-134</v>
      </c>
      <c r="AB124" s="130">
        <v>-129.1</v>
      </c>
      <c r="AC124" s="130">
        <v>-129.1</v>
      </c>
      <c r="AD124" s="130">
        <v>-129.1</v>
      </c>
      <c r="AE124" s="130">
        <v>-130</v>
      </c>
      <c r="AF124" s="130">
        <v>-150</v>
      </c>
      <c r="AG124" s="128">
        <v>240</v>
      </c>
      <c r="AH124" s="48">
        <f t="shared" si="38"/>
        <v>-72</v>
      </c>
      <c r="AI124" s="49">
        <f t="shared" si="39"/>
        <v>-167</v>
      </c>
    </row>
    <row r="125" spans="1:35" ht="15.75" thickBot="1" x14ac:dyDescent="0.3">
      <c r="A125" s="129" t="s">
        <v>145</v>
      </c>
      <c r="B125" s="130">
        <v>-24.8</v>
      </c>
      <c r="C125" s="130">
        <v>-21.6</v>
      </c>
      <c r="D125" s="130">
        <v>-25.5</v>
      </c>
      <c r="E125" s="130">
        <v>-28.3</v>
      </c>
      <c r="F125" s="130">
        <v>-23.5</v>
      </c>
      <c r="G125" s="130">
        <v>-19</v>
      </c>
      <c r="H125" s="130">
        <v>-19</v>
      </c>
      <c r="I125" s="130"/>
      <c r="J125" s="130"/>
      <c r="K125" s="130"/>
      <c r="L125" s="130">
        <v>-12</v>
      </c>
      <c r="M125" s="130">
        <v>-3.1</v>
      </c>
      <c r="N125" s="130">
        <v>-4.7</v>
      </c>
      <c r="O125" s="130">
        <v>1.2</v>
      </c>
      <c r="P125" s="130">
        <v>1.3</v>
      </c>
      <c r="Q125" s="130">
        <v>-7.7</v>
      </c>
      <c r="R125" s="130">
        <v>-11</v>
      </c>
      <c r="S125" s="130">
        <v>-12.8</v>
      </c>
      <c r="T125" s="130">
        <v>-11.4</v>
      </c>
      <c r="U125" s="130">
        <v>-8.1</v>
      </c>
      <c r="V125" s="130">
        <v>-5.2</v>
      </c>
      <c r="W125" s="130">
        <v>-6.4</v>
      </c>
      <c r="X125" s="130">
        <v>-3.9</v>
      </c>
      <c r="Y125" s="130">
        <v>-5</v>
      </c>
      <c r="Z125" s="130">
        <v>-2</v>
      </c>
      <c r="AA125" s="130">
        <v>-2.5</v>
      </c>
      <c r="AB125" s="130">
        <v>-5.0999999999999996</v>
      </c>
      <c r="AC125" s="130">
        <v>-5.0999999999999996</v>
      </c>
      <c r="AD125" s="130">
        <v>-6</v>
      </c>
      <c r="AE125" s="130">
        <v>-12</v>
      </c>
      <c r="AF125" s="130">
        <v>-20</v>
      </c>
      <c r="AG125" s="128">
        <v>60</v>
      </c>
      <c r="AH125" s="48">
        <f t="shared" si="38"/>
        <v>1.3</v>
      </c>
      <c r="AI125" s="49">
        <f t="shared" si="39"/>
        <v>-28.3</v>
      </c>
    </row>
    <row r="126" spans="1:35" x14ac:dyDescent="0.25">
      <c r="A126" s="126" t="s">
        <v>146</v>
      </c>
      <c r="B126" s="131">
        <v>-66.900000000000006</v>
      </c>
      <c r="C126" s="131">
        <v>-66.2</v>
      </c>
      <c r="D126" s="131">
        <v>-74.5</v>
      </c>
      <c r="E126" s="131">
        <v>-78.8</v>
      </c>
      <c r="F126" s="131"/>
      <c r="G126" s="131"/>
      <c r="H126" s="131"/>
      <c r="I126" s="131"/>
      <c r="J126" s="131"/>
      <c r="K126" s="131"/>
      <c r="L126" s="131">
        <v>32.200000000000003</v>
      </c>
      <c r="M126" s="131"/>
      <c r="N126" s="131">
        <v>31</v>
      </c>
      <c r="O126" s="131"/>
      <c r="P126" s="131">
        <v>44</v>
      </c>
      <c r="Q126" s="131"/>
      <c r="R126" s="131"/>
      <c r="S126" s="131">
        <v>0</v>
      </c>
      <c r="T126" s="131">
        <v>46.3</v>
      </c>
      <c r="U126" s="131">
        <v>69.3</v>
      </c>
      <c r="V126" s="131">
        <v>63.8</v>
      </c>
      <c r="W126" s="131">
        <v>25.4</v>
      </c>
      <c r="X126" s="131">
        <v>26.4</v>
      </c>
      <c r="Y126" s="131">
        <v>5.0999999999999996</v>
      </c>
      <c r="Z126" s="131">
        <v>26.8</v>
      </c>
      <c r="AA126" s="131">
        <v>36.5</v>
      </c>
      <c r="AB126" s="131">
        <v>36.5</v>
      </c>
      <c r="AC126" s="131">
        <v>36.5</v>
      </c>
      <c r="AD126" s="131">
        <v>36.5</v>
      </c>
      <c r="AE126" s="131">
        <v>-51</v>
      </c>
      <c r="AF126" s="131">
        <v>-83</v>
      </c>
      <c r="AG126" s="132">
        <v>120</v>
      </c>
      <c r="AH126" s="48">
        <f t="shared" si="38"/>
        <v>69.3</v>
      </c>
      <c r="AI126" s="49">
        <f t="shared" si="39"/>
        <v>-83</v>
      </c>
    </row>
    <row r="127" spans="1:35" x14ac:dyDescent="0.25">
      <c r="A127" s="129" t="s">
        <v>147</v>
      </c>
      <c r="B127" s="131">
        <v>46.2</v>
      </c>
      <c r="C127" s="131">
        <v>43.1</v>
      </c>
      <c r="D127" s="131">
        <v>42.2</v>
      </c>
      <c r="E127" s="131">
        <v>40.299999999999997</v>
      </c>
      <c r="F127" s="131">
        <v>42.2</v>
      </c>
      <c r="G127" s="131">
        <v>39</v>
      </c>
      <c r="H127" s="131">
        <v>39</v>
      </c>
      <c r="I127" s="131"/>
      <c r="J127" s="131"/>
      <c r="K127" s="131"/>
      <c r="L127" s="131">
        <v>99.7</v>
      </c>
      <c r="M127" s="131">
        <v>102</v>
      </c>
      <c r="N127" s="131">
        <v>96</v>
      </c>
      <c r="O127" s="131">
        <v>105.1</v>
      </c>
      <c r="P127" s="131">
        <v>100</v>
      </c>
      <c r="Q127" s="131">
        <v>80</v>
      </c>
      <c r="R127" s="131">
        <v>80</v>
      </c>
      <c r="S127" s="131">
        <v>84.9</v>
      </c>
      <c r="T127" s="131">
        <v>111.2</v>
      </c>
      <c r="U127" s="131">
        <v>115.5</v>
      </c>
      <c r="V127" s="131">
        <v>112.4</v>
      </c>
      <c r="W127" s="131">
        <v>94.8</v>
      </c>
      <c r="X127" s="131">
        <v>96</v>
      </c>
      <c r="Y127" s="131">
        <v>4.9000000000000004</v>
      </c>
      <c r="Z127" s="131">
        <v>98.4</v>
      </c>
      <c r="AA127" s="131">
        <v>108.2</v>
      </c>
      <c r="AB127" s="131">
        <v>49.5</v>
      </c>
      <c r="AC127" s="131">
        <v>49.5</v>
      </c>
      <c r="AD127" s="131">
        <v>49.5</v>
      </c>
      <c r="AE127" s="131">
        <v>50</v>
      </c>
      <c r="AF127" s="131">
        <v>42</v>
      </c>
      <c r="AG127" s="132"/>
      <c r="AH127" s="48">
        <f t="shared" si="38"/>
        <v>115.5</v>
      </c>
      <c r="AI127" s="49">
        <f t="shared" si="39"/>
        <v>4.9000000000000004</v>
      </c>
    </row>
    <row r="128" spans="1:35" x14ac:dyDescent="0.25">
      <c r="A128" s="129" t="s">
        <v>148</v>
      </c>
      <c r="B128" s="131">
        <v>-4.0999999999999996</v>
      </c>
      <c r="C128" s="131">
        <v>-2.5</v>
      </c>
      <c r="D128" s="131">
        <v>-4.2</v>
      </c>
      <c r="E128" s="131">
        <v>-5</v>
      </c>
      <c r="F128" s="131">
        <v>-3.7</v>
      </c>
      <c r="G128" s="131">
        <v>-13.5</v>
      </c>
      <c r="H128" s="131">
        <v>38.299999999999997</v>
      </c>
      <c r="I128" s="131"/>
      <c r="J128" s="131"/>
      <c r="K128" s="131"/>
      <c r="L128" s="131">
        <v>24.7</v>
      </c>
      <c r="M128" s="131">
        <v>27</v>
      </c>
      <c r="N128" s="131">
        <v>18</v>
      </c>
      <c r="O128" s="131">
        <v>35.1</v>
      </c>
      <c r="P128" s="131">
        <v>30</v>
      </c>
      <c r="Q128" s="131">
        <v>7</v>
      </c>
      <c r="R128" s="131">
        <v>10</v>
      </c>
      <c r="S128" s="131">
        <v>13.7</v>
      </c>
      <c r="T128" s="131">
        <v>59.3</v>
      </c>
      <c r="U128" s="131">
        <v>63</v>
      </c>
      <c r="V128" s="131">
        <v>56.6</v>
      </c>
      <c r="W128" s="131">
        <v>30.4</v>
      </c>
      <c r="X128" s="131">
        <v>32.299999999999997</v>
      </c>
      <c r="Y128" s="131">
        <v>3.3</v>
      </c>
      <c r="Z128" s="131">
        <v>11.1</v>
      </c>
      <c r="AA128" s="131">
        <v>12.8</v>
      </c>
      <c r="AB128" s="131">
        <v>28.7</v>
      </c>
      <c r="AC128" s="131">
        <v>28.7</v>
      </c>
      <c r="AD128" s="131">
        <v>28.7</v>
      </c>
      <c r="AE128" s="131">
        <v>-15</v>
      </c>
      <c r="AF128" s="131">
        <v>-13</v>
      </c>
      <c r="AG128" s="132"/>
      <c r="AH128" s="48">
        <f t="shared" si="38"/>
        <v>63</v>
      </c>
      <c r="AI128" s="49">
        <f t="shared" si="39"/>
        <v>-15</v>
      </c>
    </row>
    <row r="129" spans="1:37" ht="15.75" thickBot="1" x14ac:dyDescent="0.3">
      <c r="A129" s="129" t="s">
        <v>149</v>
      </c>
      <c r="B129" s="131">
        <v>68.2</v>
      </c>
      <c r="C129" s="131">
        <v>77.8</v>
      </c>
      <c r="D129" s="131">
        <v>70.599999999999994</v>
      </c>
      <c r="E129" s="131">
        <v>62.3</v>
      </c>
      <c r="F129" s="131">
        <v>77</v>
      </c>
      <c r="G129" s="131">
        <v>54</v>
      </c>
      <c r="H129" s="131">
        <v>85.9</v>
      </c>
      <c r="I129" s="131"/>
      <c r="J129" s="131"/>
      <c r="K129" s="131"/>
      <c r="L129" s="131">
        <v>77</v>
      </c>
      <c r="M129" s="131">
        <v>63.9</v>
      </c>
      <c r="N129" s="131">
        <v>65</v>
      </c>
      <c r="O129" s="131">
        <v>75.099999999999994</v>
      </c>
      <c r="P129" s="131">
        <v>40</v>
      </c>
      <c r="Q129" s="131">
        <v>75</v>
      </c>
      <c r="R129" s="131">
        <v>60</v>
      </c>
      <c r="S129" s="131">
        <v>67.099999999999994</v>
      </c>
      <c r="T129" s="131">
        <v>57.4</v>
      </c>
      <c r="U129" s="131">
        <v>60.7</v>
      </c>
      <c r="V129" s="131">
        <v>53.9</v>
      </c>
      <c r="W129" s="131">
        <v>40</v>
      </c>
      <c r="X129" s="131">
        <v>42.7</v>
      </c>
      <c r="Y129" s="131">
        <v>4.2</v>
      </c>
      <c r="Z129" s="131">
        <v>28</v>
      </c>
      <c r="AA129" s="131">
        <v>48.5</v>
      </c>
      <c r="AB129" s="131">
        <v>58.3</v>
      </c>
      <c r="AC129" s="131">
        <v>58.3</v>
      </c>
      <c r="AD129" s="131">
        <v>58.3</v>
      </c>
      <c r="AE129" s="131">
        <v>51</v>
      </c>
      <c r="AF129" s="131">
        <v>57</v>
      </c>
      <c r="AG129" s="128"/>
      <c r="AH129" s="48">
        <f>MAX(B129:AF129)</f>
        <v>85.9</v>
      </c>
      <c r="AI129" s="49">
        <f>MIN(B129:AF129)</f>
        <v>4.2</v>
      </c>
    </row>
    <row r="130" spans="1:37" x14ac:dyDescent="0.25">
      <c r="A130" s="126" t="s">
        <v>150</v>
      </c>
      <c r="B130" s="131">
        <v>-384.5</v>
      </c>
      <c r="C130" s="131">
        <v>-383.2</v>
      </c>
      <c r="D130" s="131">
        <v>-385.6</v>
      </c>
      <c r="E130" s="131">
        <v>-386.7</v>
      </c>
      <c r="F130" s="131">
        <v>-380</v>
      </c>
      <c r="G130" s="131">
        <v>-382.3</v>
      </c>
      <c r="H130" s="131">
        <v>-354.8</v>
      </c>
      <c r="I130" s="131"/>
      <c r="J130" s="131"/>
      <c r="K130" s="131"/>
      <c r="L130" s="131">
        <v>-332.4</v>
      </c>
      <c r="M130" s="131">
        <v>-360</v>
      </c>
      <c r="N130" s="131">
        <v>-340</v>
      </c>
      <c r="O130" s="131">
        <v>-362</v>
      </c>
      <c r="P130" s="131">
        <v>-357</v>
      </c>
      <c r="Q130" s="131">
        <v>-373</v>
      </c>
      <c r="R130" s="131">
        <v>-337</v>
      </c>
      <c r="S130" s="131">
        <v>-375.4</v>
      </c>
      <c r="T130" s="131">
        <v>-353.5</v>
      </c>
      <c r="U130" s="131">
        <v>-352.2</v>
      </c>
      <c r="V130" s="131">
        <v>-355.3</v>
      </c>
      <c r="W130" s="131">
        <v>-340.4</v>
      </c>
      <c r="X130" s="131">
        <v>-331.1</v>
      </c>
      <c r="Y130" s="131">
        <v>-334.9</v>
      </c>
      <c r="Z130" s="131">
        <v>-334.5</v>
      </c>
      <c r="AA130" s="131">
        <v>-328.3</v>
      </c>
      <c r="AB130" s="131">
        <v>-321.8</v>
      </c>
      <c r="AC130" s="131">
        <v>-321.8</v>
      </c>
      <c r="AD130" s="131">
        <v>-321.8</v>
      </c>
      <c r="AE130" s="131">
        <v>-386</v>
      </c>
      <c r="AF130" s="131">
        <v>-386</v>
      </c>
      <c r="AG130" s="128"/>
      <c r="AH130" s="48">
        <f>MAX(B130:AF130)</f>
        <v>-321.8</v>
      </c>
      <c r="AI130" s="49">
        <f>MIN(B130:AF130)</f>
        <v>-386.7</v>
      </c>
    </row>
    <row r="131" spans="1:37" x14ac:dyDescent="0.25">
      <c r="A131" s="129" t="s">
        <v>151</v>
      </c>
      <c r="B131" s="119">
        <v>99.6</v>
      </c>
      <c r="C131" s="119">
        <v>113.9</v>
      </c>
      <c r="D131" s="119">
        <v>115.4</v>
      </c>
      <c r="E131" s="119">
        <v>117.5</v>
      </c>
      <c r="F131" s="119">
        <v>107.5</v>
      </c>
      <c r="G131" s="119">
        <v>114</v>
      </c>
      <c r="H131" s="119">
        <v>16.600000000000001</v>
      </c>
      <c r="I131" s="119"/>
      <c r="J131" s="119"/>
      <c r="K131" s="119"/>
      <c r="L131" s="119">
        <v>0.7</v>
      </c>
      <c r="M131" s="119">
        <v>-12</v>
      </c>
      <c r="N131" s="119">
        <v>-4.5</v>
      </c>
      <c r="O131" s="119">
        <v>0</v>
      </c>
      <c r="P131" s="119">
        <v>11</v>
      </c>
      <c r="Q131" s="119">
        <v>31</v>
      </c>
      <c r="R131" s="119">
        <v>29.5</v>
      </c>
      <c r="S131" s="119">
        <v>11.4</v>
      </c>
      <c r="T131" s="119">
        <v>26.9</v>
      </c>
      <c r="U131" s="119">
        <v>-67.2</v>
      </c>
      <c r="V131" s="119">
        <v>20.2</v>
      </c>
      <c r="W131" s="119">
        <v>20.5</v>
      </c>
      <c r="X131" s="119">
        <v>16.3</v>
      </c>
      <c r="Y131" s="119">
        <v>17.7</v>
      </c>
      <c r="Z131" s="119">
        <v>10.5</v>
      </c>
      <c r="AA131" s="119">
        <v>7.9</v>
      </c>
      <c r="AB131" s="119">
        <v>15.6</v>
      </c>
      <c r="AC131" s="119">
        <v>15.6</v>
      </c>
      <c r="AD131" s="119">
        <v>15.6</v>
      </c>
      <c r="AE131" s="119">
        <v>24</v>
      </c>
      <c r="AF131" s="119">
        <v>25</v>
      </c>
      <c r="AG131" s="128"/>
      <c r="AH131" s="48">
        <f>MAX(B131:AF131)</f>
        <v>117.5</v>
      </c>
      <c r="AI131" s="49">
        <f>MIN(B131:AF131)</f>
        <v>-67.2</v>
      </c>
    </row>
    <row r="132" spans="1:37" x14ac:dyDescent="0.25">
      <c r="A132" s="129" t="s">
        <v>152</v>
      </c>
      <c r="B132" s="119">
        <v>-20.5</v>
      </c>
      <c r="C132" s="119">
        <v>-21.8</v>
      </c>
      <c r="D132" s="119">
        <v>-21.6</v>
      </c>
      <c r="E132" s="119">
        <v>-22.7</v>
      </c>
      <c r="F132" s="119">
        <v>-19.8</v>
      </c>
      <c r="G132" s="119">
        <v>-21</v>
      </c>
      <c r="H132" s="119">
        <v>-15.2</v>
      </c>
      <c r="I132" s="119"/>
      <c r="J132" s="119"/>
      <c r="K132" s="119"/>
      <c r="L132" s="119">
        <v>-11.8</v>
      </c>
      <c r="M132" s="119">
        <v>64.8</v>
      </c>
      <c r="N132" s="119">
        <v>-8.6</v>
      </c>
      <c r="O132" s="119">
        <v>26.8</v>
      </c>
      <c r="P132" s="119">
        <v>24</v>
      </c>
      <c r="Q132" s="119">
        <v>-0.7</v>
      </c>
      <c r="R132" s="119">
        <v>-11.8</v>
      </c>
      <c r="S132" s="119">
        <v>-9.6999999999999993</v>
      </c>
      <c r="T132" s="119">
        <v>-12.6</v>
      </c>
      <c r="U132" s="119">
        <v>4.2</v>
      </c>
      <c r="V132" s="119">
        <v>-5.4</v>
      </c>
      <c r="W132" s="119">
        <v>-11.2</v>
      </c>
      <c r="X132" s="119">
        <v>-12.1</v>
      </c>
      <c r="Y132" s="119">
        <v>-13.7</v>
      </c>
      <c r="Z132" s="119">
        <v>-10.8</v>
      </c>
      <c r="AA132" s="119">
        <v>-8.8000000000000007</v>
      </c>
      <c r="AB132" s="119">
        <v>-8.3000000000000007</v>
      </c>
      <c r="AC132" s="119">
        <v>-8.3000000000000007</v>
      </c>
      <c r="AD132" s="119">
        <v>-8.3000000000000007</v>
      </c>
      <c r="AE132" s="119">
        <v>-4</v>
      </c>
      <c r="AF132" s="119">
        <v>0</v>
      </c>
      <c r="AG132" s="128"/>
      <c r="AH132" s="48">
        <f>MAX(B132:AF132)</f>
        <v>64.8</v>
      </c>
      <c r="AI132" s="49">
        <f>MIN(B132:AF132)</f>
        <v>-22.7</v>
      </c>
    </row>
    <row r="133" spans="1:37" ht="15.75" thickBot="1" x14ac:dyDescent="0.3">
      <c r="A133" s="129" t="s">
        <v>153</v>
      </c>
      <c r="B133" s="119">
        <v>43.6</v>
      </c>
      <c r="C133" s="119">
        <v>39.299999999999997</v>
      </c>
      <c r="D133" s="119">
        <v>40.9</v>
      </c>
      <c r="E133" s="119">
        <v>39.299999999999997</v>
      </c>
      <c r="F133" s="119">
        <v>41.9</v>
      </c>
      <c r="G133" s="119">
        <v>40.5</v>
      </c>
      <c r="H133" s="119">
        <v>52</v>
      </c>
      <c r="I133" s="119"/>
      <c r="J133" s="119"/>
      <c r="K133" s="119"/>
      <c r="L133" s="119">
        <v>54.6</v>
      </c>
      <c r="M133" s="119">
        <v>54</v>
      </c>
      <c r="N133" s="119">
        <v>57</v>
      </c>
      <c r="O133" s="119">
        <v>47.2</v>
      </c>
      <c r="P133" s="119">
        <v>43</v>
      </c>
      <c r="Q133" s="119">
        <v>44</v>
      </c>
      <c r="R133" s="119">
        <v>48</v>
      </c>
      <c r="S133" s="119">
        <v>52.8</v>
      </c>
      <c r="T133" s="119">
        <v>52.6</v>
      </c>
      <c r="U133" s="119">
        <v>62.8</v>
      </c>
      <c r="V133" s="119">
        <v>49.8</v>
      </c>
      <c r="W133" s="119">
        <v>49.6</v>
      </c>
      <c r="X133" s="119">
        <v>49.2</v>
      </c>
      <c r="Y133" s="119">
        <v>49.6</v>
      </c>
      <c r="Z133" s="119">
        <v>49.2</v>
      </c>
      <c r="AA133" s="119">
        <v>50.5</v>
      </c>
      <c r="AB133" s="119">
        <v>52.5</v>
      </c>
      <c r="AC133" s="119">
        <v>52.5</v>
      </c>
      <c r="AD133" s="119">
        <v>52.5</v>
      </c>
      <c r="AE133" s="119">
        <v>56</v>
      </c>
      <c r="AF133" s="119">
        <v>57</v>
      </c>
      <c r="AG133" s="128"/>
      <c r="AH133" s="48">
        <f>MAX(B133:AF133)</f>
        <v>62.8</v>
      </c>
      <c r="AI133" s="49">
        <f>MIN(B133:AF133)</f>
        <v>39.299999999999997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>
        <f>62.5+35.8+23.6+61.5+22.7+65.7</f>
        <v>271.8</v>
      </c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94">SUM(B142:B246)</f>
        <v>0</v>
      </c>
      <c r="C247" s="161">
        <f t="shared" si="94"/>
        <v>0</v>
      </c>
      <c r="D247" s="161">
        <f t="shared" si="94"/>
        <v>0</v>
      </c>
      <c r="E247" s="161">
        <f t="shared" si="94"/>
        <v>0</v>
      </c>
      <c r="F247" s="161">
        <f t="shared" si="94"/>
        <v>0</v>
      </c>
      <c r="G247" s="161">
        <f t="shared" si="94"/>
        <v>0</v>
      </c>
      <c r="H247" s="161">
        <f t="shared" si="94"/>
        <v>0</v>
      </c>
      <c r="I247" s="161">
        <f t="shared" si="94"/>
        <v>0</v>
      </c>
      <c r="J247" s="161">
        <f t="shared" si="94"/>
        <v>0</v>
      </c>
      <c r="K247" s="161">
        <f t="shared" si="94"/>
        <v>0</v>
      </c>
      <c r="L247" s="161">
        <f t="shared" si="94"/>
        <v>0</v>
      </c>
      <c r="M247" s="161">
        <f t="shared" si="94"/>
        <v>0</v>
      </c>
      <c r="N247" s="161">
        <f t="shared" si="94"/>
        <v>0</v>
      </c>
      <c r="O247" s="161">
        <f t="shared" si="94"/>
        <v>0</v>
      </c>
      <c r="P247" s="161">
        <f t="shared" si="94"/>
        <v>0</v>
      </c>
      <c r="Q247" s="161">
        <f t="shared" si="94"/>
        <v>0</v>
      </c>
      <c r="R247" s="161">
        <f t="shared" si="94"/>
        <v>0</v>
      </c>
      <c r="S247" s="161">
        <f t="shared" si="94"/>
        <v>0</v>
      </c>
      <c r="T247" s="161">
        <f t="shared" si="94"/>
        <v>0</v>
      </c>
      <c r="U247" s="161">
        <f t="shared" si="94"/>
        <v>0</v>
      </c>
      <c r="V247" s="161">
        <f t="shared" si="94"/>
        <v>0</v>
      </c>
      <c r="W247" s="161">
        <f t="shared" si="94"/>
        <v>0</v>
      </c>
      <c r="X247" s="161">
        <f t="shared" si="94"/>
        <v>0</v>
      </c>
      <c r="Y247" s="161">
        <f t="shared" si="94"/>
        <v>0</v>
      </c>
      <c r="Z247" s="161">
        <f t="shared" si="94"/>
        <v>0</v>
      </c>
      <c r="AA247" s="161">
        <f t="shared" si="94"/>
        <v>0</v>
      </c>
      <c r="AB247" s="161">
        <f t="shared" si="94"/>
        <v>0</v>
      </c>
      <c r="AC247" s="161">
        <f t="shared" si="94"/>
        <v>0</v>
      </c>
      <c r="AD247" s="161">
        <f t="shared" si="94"/>
        <v>0</v>
      </c>
      <c r="AE247" s="161">
        <f t="shared" si="94"/>
        <v>271.8</v>
      </c>
      <c r="AF247" s="162">
        <f t="shared" si="94"/>
        <v>0</v>
      </c>
      <c r="AG247" s="163">
        <f t="shared" si="9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95">AF249</f>
        <v>0.3</v>
      </c>
      <c r="C249" s="166">
        <v>0.3</v>
      </c>
      <c r="D249" s="166">
        <f t="shared" ref="D249:S254" si="96">C249</f>
        <v>0.3</v>
      </c>
      <c r="E249" s="166">
        <f t="shared" si="96"/>
        <v>0.3</v>
      </c>
      <c r="F249" s="166">
        <f t="shared" si="96"/>
        <v>0.3</v>
      </c>
      <c r="G249" s="166">
        <f t="shared" si="96"/>
        <v>0.3</v>
      </c>
      <c r="H249" s="166">
        <f t="shared" si="96"/>
        <v>0.3</v>
      </c>
      <c r="I249" s="166">
        <f t="shared" si="96"/>
        <v>0.3</v>
      </c>
      <c r="J249" s="166">
        <f t="shared" si="96"/>
        <v>0.3</v>
      </c>
      <c r="K249" s="166">
        <f t="shared" si="96"/>
        <v>0.3</v>
      </c>
      <c r="L249" s="166">
        <f t="shared" si="96"/>
        <v>0.3</v>
      </c>
      <c r="M249" s="166">
        <f t="shared" si="96"/>
        <v>0.3</v>
      </c>
      <c r="N249" s="166">
        <f t="shared" si="96"/>
        <v>0.3</v>
      </c>
      <c r="O249" s="166">
        <f t="shared" si="96"/>
        <v>0.3</v>
      </c>
      <c r="P249" s="166">
        <f t="shared" si="96"/>
        <v>0.3</v>
      </c>
      <c r="Q249" s="166">
        <f t="shared" si="96"/>
        <v>0.3</v>
      </c>
      <c r="R249" s="166">
        <f t="shared" si="96"/>
        <v>0.3</v>
      </c>
      <c r="S249" s="166">
        <f t="shared" si="96"/>
        <v>0.3</v>
      </c>
      <c r="T249" s="166">
        <f t="shared" ref="T249:AF254" si="97">S249</f>
        <v>0.3</v>
      </c>
      <c r="U249" s="166">
        <f t="shared" si="97"/>
        <v>0.3</v>
      </c>
      <c r="V249" s="166">
        <f t="shared" si="97"/>
        <v>0.3</v>
      </c>
      <c r="W249" s="166">
        <f t="shared" si="97"/>
        <v>0.3</v>
      </c>
      <c r="X249" s="166">
        <f t="shared" si="97"/>
        <v>0.3</v>
      </c>
      <c r="Y249" s="166">
        <f t="shared" si="97"/>
        <v>0.3</v>
      </c>
      <c r="Z249" s="166">
        <f t="shared" si="97"/>
        <v>0.3</v>
      </c>
      <c r="AA249" s="166">
        <f t="shared" si="97"/>
        <v>0.3</v>
      </c>
      <c r="AB249" s="166">
        <f t="shared" si="97"/>
        <v>0.3</v>
      </c>
      <c r="AC249" s="166">
        <f t="shared" si="97"/>
        <v>0.3</v>
      </c>
      <c r="AD249" s="166">
        <f t="shared" si="97"/>
        <v>0.3</v>
      </c>
      <c r="AE249" s="166">
        <f t="shared" si="97"/>
        <v>0.3</v>
      </c>
      <c r="AF249" s="166">
        <f t="shared" si="9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95"/>
        <v>0.4</v>
      </c>
      <c r="C250" s="152">
        <v>0.4</v>
      </c>
      <c r="D250" s="152">
        <f t="shared" si="96"/>
        <v>0.4</v>
      </c>
      <c r="E250" s="152">
        <f t="shared" si="96"/>
        <v>0.4</v>
      </c>
      <c r="F250" s="152">
        <f t="shared" si="96"/>
        <v>0.4</v>
      </c>
      <c r="G250" s="152">
        <f t="shared" si="96"/>
        <v>0.4</v>
      </c>
      <c r="H250" s="152">
        <f t="shared" si="96"/>
        <v>0.4</v>
      </c>
      <c r="I250" s="152">
        <f t="shared" si="96"/>
        <v>0.4</v>
      </c>
      <c r="J250" s="152">
        <f t="shared" si="96"/>
        <v>0.4</v>
      </c>
      <c r="K250" s="152">
        <f t="shared" si="96"/>
        <v>0.4</v>
      </c>
      <c r="L250" s="152">
        <f t="shared" si="96"/>
        <v>0.4</v>
      </c>
      <c r="M250" s="152">
        <f t="shared" si="96"/>
        <v>0.4</v>
      </c>
      <c r="N250" s="152">
        <f t="shared" si="96"/>
        <v>0.4</v>
      </c>
      <c r="O250" s="152">
        <f t="shared" si="96"/>
        <v>0.4</v>
      </c>
      <c r="P250" s="152">
        <f t="shared" si="96"/>
        <v>0.4</v>
      </c>
      <c r="Q250" s="152">
        <f t="shared" si="96"/>
        <v>0.4</v>
      </c>
      <c r="R250" s="152">
        <f t="shared" si="96"/>
        <v>0.4</v>
      </c>
      <c r="S250" s="152">
        <f t="shared" si="96"/>
        <v>0.4</v>
      </c>
      <c r="T250" s="152">
        <f t="shared" si="97"/>
        <v>0.4</v>
      </c>
      <c r="U250" s="152">
        <f t="shared" si="97"/>
        <v>0.4</v>
      </c>
      <c r="V250" s="152">
        <f t="shared" si="97"/>
        <v>0.4</v>
      </c>
      <c r="W250" s="152">
        <f t="shared" si="97"/>
        <v>0.4</v>
      </c>
      <c r="X250" s="152">
        <f t="shared" si="97"/>
        <v>0.4</v>
      </c>
      <c r="Y250" s="152">
        <f t="shared" si="97"/>
        <v>0.4</v>
      </c>
      <c r="Z250" s="152">
        <f t="shared" si="97"/>
        <v>0.4</v>
      </c>
      <c r="AA250" s="152">
        <f t="shared" si="97"/>
        <v>0.4</v>
      </c>
      <c r="AB250" s="152">
        <f t="shared" si="97"/>
        <v>0.4</v>
      </c>
      <c r="AC250" s="152">
        <f t="shared" si="97"/>
        <v>0.4</v>
      </c>
      <c r="AD250" s="152">
        <f t="shared" si="97"/>
        <v>0.4</v>
      </c>
      <c r="AE250" s="152">
        <f t="shared" si="97"/>
        <v>0.4</v>
      </c>
      <c r="AF250" s="152">
        <f t="shared" si="9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95"/>
        <v>1.5</v>
      </c>
      <c r="C251" s="152">
        <v>1.5</v>
      </c>
      <c r="D251" s="152">
        <f t="shared" si="96"/>
        <v>1.5</v>
      </c>
      <c r="E251" s="152">
        <f t="shared" si="96"/>
        <v>1.5</v>
      </c>
      <c r="F251" s="152">
        <f t="shared" si="96"/>
        <v>1.5</v>
      </c>
      <c r="G251" s="152">
        <f t="shared" si="96"/>
        <v>1.5</v>
      </c>
      <c r="H251" s="152">
        <f t="shared" si="96"/>
        <v>1.5</v>
      </c>
      <c r="I251" s="152">
        <f t="shared" si="96"/>
        <v>1.5</v>
      </c>
      <c r="J251" s="152">
        <f t="shared" si="96"/>
        <v>1.5</v>
      </c>
      <c r="K251" s="152">
        <f t="shared" si="96"/>
        <v>1.5</v>
      </c>
      <c r="L251" s="152">
        <f t="shared" si="96"/>
        <v>1.5</v>
      </c>
      <c r="M251" s="152">
        <f t="shared" si="96"/>
        <v>1.5</v>
      </c>
      <c r="N251" s="152">
        <f t="shared" si="96"/>
        <v>1.5</v>
      </c>
      <c r="O251" s="152">
        <f t="shared" si="96"/>
        <v>1.5</v>
      </c>
      <c r="P251" s="152">
        <f t="shared" si="96"/>
        <v>1.5</v>
      </c>
      <c r="Q251" s="152">
        <f t="shared" si="96"/>
        <v>1.5</v>
      </c>
      <c r="R251" s="152">
        <f t="shared" si="96"/>
        <v>1.5</v>
      </c>
      <c r="S251" s="152">
        <f t="shared" si="96"/>
        <v>1.5</v>
      </c>
      <c r="T251" s="152">
        <f t="shared" si="97"/>
        <v>1.5</v>
      </c>
      <c r="U251" s="152">
        <f t="shared" si="97"/>
        <v>1.5</v>
      </c>
      <c r="V251" s="152">
        <f t="shared" si="97"/>
        <v>1.5</v>
      </c>
      <c r="W251" s="152">
        <f t="shared" si="97"/>
        <v>1.5</v>
      </c>
      <c r="X251" s="152">
        <f t="shared" si="97"/>
        <v>1.5</v>
      </c>
      <c r="Y251" s="152">
        <f t="shared" si="97"/>
        <v>1.5</v>
      </c>
      <c r="Z251" s="152">
        <f t="shared" si="97"/>
        <v>1.5</v>
      </c>
      <c r="AA251" s="152">
        <f t="shared" si="97"/>
        <v>1.5</v>
      </c>
      <c r="AB251" s="152">
        <f t="shared" si="97"/>
        <v>1.5</v>
      </c>
      <c r="AC251" s="152">
        <f t="shared" si="97"/>
        <v>1.5</v>
      </c>
      <c r="AD251" s="152">
        <f t="shared" si="97"/>
        <v>1.5</v>
      </c>
      <c r="AE251" s="152">
        <f t="shared" si="97"/>
        <v>1.5</v>
      </c>
      <c r="AF251" s="152">
        <f t="shared" si="9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95"/>
        <v>0.3</v>
      </c>
      <c r="C252" s="152">
        <v>0.3</v>
      </c>
      <c r="D252" s="152">
        <f t="shared" si="96"/>
        <v>0.3</v>
      </c>
      <c r="E252" s="152">
        <f t="shared" si="96"/>
        <v>0.3</v>
      </c>
      <c r="F252" s="152">
        <f t="shared" si="96"/>
        <v>0.3</v>
      </c>
      <c r="G252" s="152">
        <f t="shared" si="96"/>
        <v>0.3</v>
      </c>
      <c r="H252" s="152">
        <f t="shared" si="96"/>
        <v>0.3</v>
      </c>
      <c r="I252" s="152">
        <f t="shared" si="96"/>
        <v>0.3</v>
      </c>
      <c r="J252" s="152">
        <f t="shared" si="96"/>
        <v>0.3</v>
      </c>
      <c r="K252" s="152">
        <f t="shared" si="96"/>
        <v>0.3</v>
      </c>
      <c r="L252" s="152">
        <f t="shared" si="96"/>
        <v>0.3</v>
      </c>
      <c r="M252" s="152">
        <f t="shared" si="96"/>
        <v>0.3</v>
      </c>
      <c r="N252" s="152">
        <f t="shared" si="96"/>
        <v>0.3</v>
      </c>
      <c r="O252" s="152">
        <f t="shared" si="96"/>
        <v>0.3</v>
      </c>
      <c r="P252" s="152">
        <f t="shared" si="96"/>
        <v>0.3</v>
      </c>
      <c r="Q252" s="152">
        <f t="shared" si="96"/>
        <v>0.3</v>
      </c>
      <c r="R252" s="152">
        <f t="shared" si="96"/>
        <v>0.3</v>
      </c>
      <c r="S252" s="152">
        <f t="shared" si="96"/>
        <v>0.3</v>
      </c>
      <c r="T252" s="152">
        <f t="shared" si="97"/>
        <v>0.3</v>
      </c>
      <c r="U252" s="152">
        <f t="shared" si="97"/>
        <v>0.3</v>
      </c>
      <c r="V252" s="152">
        <f t="shared" si="97"/>
        <v>0.3</v>
      </c>
      <c r="W252" s="152">
        <f t="shared" si="97"/>
        <v>0.3</v>
      </c>
      <c r="X252" s="152">
        <f t="shared" si="97"/>
        <v>0.3</v>
      </c>
      <c r="Y252" s="152">
        <f t="shared" si="97"/>
        <v>0.3</v>
      </c>
      <c r="Z252" s="152">
        <f t="shared" si="97"/>
        <v>0.3</v>
      </c>
      <c r="AA252" s="152">
        <f t="shared" si="97"/>
        <v>0.3</v>
      </c>
      <c r="AB252" s="152">
        <f t="shared" si="97"/>
        <v>0.3</v>
      </c>
      <c r="AC252" s="152">
        <f t="shared" si="97"/>
        <v>0.3</v>
      </c>
      <c r="AD252" s="152">
        <f t="shared" si="97"/>
        <v>0.3</v>
      </c>
      <c r="AE252" s="152">
        <f t="shared" si="97"/>
        <v>0.3</v>
      </c>
      <c r="AF252" s="152">
        <f t="shared" si="9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95"/>
        <v>0.4</v>
      </c>
      <c r="C253" s="152">
        <v>0.4</v>
      </c>
      <c r="D253" s="152">
        <f t="shared" si="96"/>
        <v>0.4</v>
      </c>
      <c r="E253" s="152">
        <f t="shared" si="96"/>
        <v>0.4</v>
      </c>
      <c r="F253" s="152">
        <f t="shared" si="96"/>
        <v>0.4</v>
      </c>
      <c r="G253" s="152">
        <f t="shared" si="96"/>
        <v>0.4</v>
      </c>
      <c r="H253" s="152">
        <f t="shared" si="96"/>
        <v>0.4</v>
      </c>
      <c r="I253" s="152">
        <f t="shared" si="96"/>
        <v>0.4</v>
      </c>
      <c r="J253" s="152">
        <f t="shared" si="96"/>
        <v>0.4</v>
      </c>
      <c r="K253" s="152">
        <f t="shared" si="96"/>
        <v>0.4</v>
      </c>
      <c r="L253" s="152">
        <f t="shared" si="96"/>
        <v>0.4</v>
      </c>
      <c r="M253" s="152">
        <f t="shared" si="96"/>
        <v>0.4</v>
      </c>
      <c r="N253" s="152">
        <f t="shared" si="96"/>
        <v>0.4</v>
      </c>
      <c r="O253" s="152">
        <f t="shared" si="96"/>
        <v>0.4</v>
      </c>
      <c r="P253" s="152">
        <f t="shared" si="96"/>
        <v>0.4</v>
      </c>
      <c r="Q253" s="152">
        <f t="shared" si="96"/>
        <v>0.4</v>
      </c>
      <c r="R253" s="152">
        <f t="shared" si="96"/>
        <v>0.4</v>
      </c>
      <c r="S253" s="152">
        <f t="shared" si="96"/>
        <v>0.4</v>
      </c>
      <c r="T253" s="152">
        <f t="shared" si="97"/>
        <v>0.4</v>
      </c>
      <c r="U253" s="152">
        <f t="shared" si="97"/>
        <v>0.4</v>
      </c>
      <c r="V253" s="152">
        <f t="shared" si="97"/>
        <v>0.4</v>
      </c>
      <c r="W253" s="152">
        <f t="shared" si="97"/>
        <v>0.4</v>
      </c>
      <c r="X253" s="152">
        <f t="shared" si="97"/>
        <v>0.4</v>
      </c>
      <c r="Y253" s="152">
        <f t="shared" si="97"/>
        <v>0.4</v>
      </c>
      <c r="Z253" s="152">
        <f t="shared" si="97"/>
        <v>0.4</v>
      </c>
      <c r="AA253" s="152">
        <f t="shared" si="97"/>
        <v>0.4</v>
      </c>
      <c r="AB253" s="152">
        <f t="shared" si="97"/>
        <v>0.4</v>
      </c>
      <c r="AC253" s="152">
        <f t="shared" si="97"/>
        <v>0.4</v>
      </c>
      <c r="AD253" s="152">
        <f t="shared" si="97"/>
        <v>0.4</v>
      </c>
      <c r="AE253" s="152">
        <f t="shared" si="97"/>
        <v>0.4</v>
      </c>
      <c r="AF253" s="152">
        <f t="shared" si="9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95"/>
        <v>0.64</v>
      </c>
      <c r="C254" s="157">
        <v>0.64</v>
      </c>
      <c r="D254" s="157">
        <f t="shared" si="96"/>
        <v>0.64</v>
      </c>
      <c r="E254" s="157">
        <f t="shared" si="96"/>
        <v>0.64</v>
      </c>
      <c r="F254" s="157">
        <f t="shared" si="96"/>
        <v>0.64</v>
      </c>
      <c r="G254" s="157">
        <f t="shared" si="96"/>
        <v>0.64</v>
      </c>
      <c r="H254" s="157">
        <f t="shared" si="96"/>
        <v>0.64</v>
      </c>
      <c r="I254" s="157">
        <f t="shared" si="96"/>
        <v>0.64</v>
      </c>
      <c r="J254" s="157">
        <f t="shared" si="96"/>
        <v>0.64</v>
      </c>
      <c r="K254" s="157">
        <f t="shared" si="96"/>
        <v>0.64</v>
      </c>
      <c r="L254" s="157">
        <f t="shared" si="96"/>
        <v>0.64</v>
      </c>
      <c r="M254" s="157">
        <f t="shared" si="96"/>
        <v>0.64</v>
      </c>
      <c r="N254" s="157">
        <f t="shared" si="96"/>
        <v>0.64</v>
      </c>
      <c r="O254" s="157">
        <f t="shared" si="96"/>
        <v>0.64</v>
      </c>
      <c r="P254" s="157">
        <f t="shared" si="96"/>
        <v>0.64</v>
      </c>
      <c r="Q254" s="157">
        <f t="shared" si="96"/>
        <v>0.64</v>
      </c>
      <c r="R254" s="157">
        <f t="shared" si="96"/>
        <v>0.64</v>
      </c>
      <c r="S254" s="157">
        <f t="shared" si="96"/>
        <v>0.64</v>
      </c>
      <c r="T254" s="157">
        <f t="shared" si="97"/>
        <v>0.64</v>
      </c>
      <c r="U254" s="157">
        <f t="shared" si="97"/>
        <v>0.64</v>
      </c>
      <c r="V254" s="157">
        <f t="shared" si="97"/>
        <v>0.64</v>
      </c>
      <c r="W254" s="157">
        <f t="shared" si="97"/>
        <v>0.64</v>
      </c>
      <c r="X254" s="157">
        <f t="shared" si="97"/>
        <v>0.64</v>
      </c>
      <c r="Y254" s="157">
        <f t="shared" si="97"/>
        <v>0.64</v>
      </c>
      <c r="Z254" s="157">
        <f t="shared" si="97"/>
        <v>0.64</v>
      </c>
      <c r="AA254" s="157">
        <f t="shared" si="97"/>
        <v>0.64</v>
      </c>
      <c r="AB254" s="157">
        <f t="shared" si="97"/>
        <v>0.64</v>
      </c>
      <c r="AC254" s="157">
        <f t="shared" si="97"/>
        <v>0.64</v>
      </c>
      <c r="AD254" s="157">
        <f t="shared" si="97"/>
        <v>0.64</v>
      </c>
      <c r="AE254" s="157">
        <f t="shared" si="97"/>
        <v>0.64</v>
      </c>
      <c r="AF254" s="157">
        <f t="shared" si="9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8">SUM(B249:B254)</f>
        <v>3.54</v>
      </c>
      <c r="C255" s="161">
        <f t="shared" si="98"/>
        <v>3.54</v>
      </c>
      <c r="D255" s="161">
        <f t="shared" si="98"/>
        <v>3.54</v>
      </c>
      <c r="E255" s="161">
        <f t="shared" si="98"/>
        <v>3.54</v>
      </c>
      <c r="F255" s="161">
        <f t="shared" si="98"/>
        <v>3.54</v>
      </c>
      <c r="G255" s="161">
        <f t="shared" si="98"/>
        <v>3.54</v>
      </c>
      <c r="H255" s="161">
        <f t="shared" si="98"/>
        <v>3.54</v>
      </c>
      <c r="I255" s="161">
        <f t="shared" si="98"/>
        <v>3.54</v>
      </c>
      <c r="J255" s="161">
        <f t="shared" si="98"/>
        <v>3.54</v>
      </c>
      <c r="K255" s="161">
        <f t="shared" si="98"/>
        <v>3.54</v>
      </c>
      <c r="L255" s="161">
        <f t="shared" si="98"/>
        <v>3.54</v>
      </c>
      <c r="M255" s="161">
        <f t="shared" si="98"/>
        <v>3.54</v>
      </c>
      <c r="N255" s="161">
        <f t="shared" si="98"/>
        <v>3.54</v>
      </c>
      <c r="O255" s="161">
        <f t="shared" si="98"/>
        <v>3.54</v>
      </c>
      <c r="P255" s="161">
        <f t="shared" si="98"/>
        <v>3.54</v>
      </c>
      <c r="Q255" s="161">
        <f t="shared" si="98"/>
        <v>3.54</v>
      </c>
      <c r="R255" s="161">
        <f t="shared" si="98"/>
        <v>3.54</v>
      </c>
      <c r="S255" s="161">
        <f t="shared" si="98"/>
        <v>3.54</v>
      </c>
      <c r="T255" s="161">
        <f t="shared" si="98"/>
        <v>3.54</v>
      </c>
      <c r="U255" s="161">
        <f t="shared" si="98"/>
        <v>3.54</v>
      </c>
      <c r="V255" s="161">
        <f t="shared" si="98"/>
        <v>3.54</v>
      </c>
      <c r="W255" s="161">
        <f t="shared" si="98"/>
        <v>3.54</v>
      </c>
      <c r="X255" s="161">
        <f t="shared" si="98"/>
        <v>3.54</v>
      </c>
      <c r="Y255" s="161">
        <f t="shared" si="98"/>
        <v>3.54</v>
      </c>
      <c r="Z255" s="161">
        <f t="shared" si="98"/>
        <v>3.54</v>
      </c>
      <c r="AA255" s="161">
        <f t="shared" si="98"/>
        <v>3.54</v>
      </c>
      <c r="AB255" s="161">
        <f t="shared" si="98"/>
        <v>3.54</v>
      </c>
      <c r="AC255" s="161">
        <f t="shared" si="98"/>
        <v>3.54</v>
      </c>
      <c r="AD255" s="161">
        <f t="shared" si="98"/>
        <v>3.54</v>
      </c>
      <c r="AE255" s="161">
        <f t="shared" si="98"/>
        <v>3.54</v>
      </c>
      <c r="AF255" s="161">
        <f t="shared" si="98"/>
        <v>3.54</v>
      </c>
      <c r="AG255" s="171">
        <f t="shared" si="9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2314.54</v>
      </c>
      <c r="C259" s="174">
        <f>INDEX(G9:N9,1,MATCH(MAX(G102:N102),G102:N102,0))</f>
        <v>0.3125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2080/10/20)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1871" priority="140">
      <formula>$AH11=0</formula>
    </cfRule>
  </conditionalFormatting>
  <conditionalFormatting sqref="A89">
    <cfRule type="expression" dxfId="1870" priority="198">
      <formula>$AH94=0</formula>
    </cfRule>
  </conditionalFormatting>
  <conditionalFormatting sqref="A90:A94">
    <cfRule type="expression" dxfId="1869" priority="141">
      <formula>$AH89=0</formula>
    </cfRule>
  </conditionalFormatting>
  <conditionalFormatting sqref="B8">
    <cfRule type="expression" dxfId="1868" priority="194">
      <formula>AND(C$9&gt;=14/24,C$9&lt;20/24)</formula>
    </cfRule>
    <cfRule type="expression" dxfId="1867" priority="195">
      <formula>AND(C$9&gt;=8/24,C$9&lt;14/24)</formula>
    </cfRule>
    <cfRule type="expression" dxfId="1866" priority="196">
      <formula>C$9&lt;8/24</formula>
    </cfRule>
    <cfRule type="expression" dxfId="1865" priority="197">
      <formula>C$9&gt;=20/24</formula>
    </cfRule>
  </conditionalFormatting>
  <conditionalFormatting sqref="B11:D14 E12:N14">
    <cfRule type="expression" dxfId="1864" priority="11">
      <formula>B$9&gt;=20/24</formula>
    </cfRule>
    <cfRule type="expression" dxfId="1863" priority="12">
      <formula>AND(B$9&gt;=14/24,B$9&lt;20/24)</formula>
    </cfRule>
    <cfRule type="expression" dxfId="1862" priority="13">
      <formula>AND(B$9&gt;=8/24,B$9&lt;14/24)</formula>
    </cfRule>
    <cfRule type="expression" dxfId="1861" priority="14">
      <formula>B$9&lt;8/24</formula>
    </cfRule>
  </conditionalFormatting>
  <conditionalFormatting sqref="B66:R71 S70:AF71">
    <cfRule type="expression" dxfId="1860" priority="23">
      <formula>B$9&gt;=20/24</formula>
    </cfRule>
    <cfRule type="expression" dxfId="1859" priority="24">
      <formula>AND(B$9&gt;=14/24,B$9&lt;20/24)</formula>
    </cfRule>
    <cfRule type="expression" dxfId="1858" priority="25">
      <formula>AND(B$9&gt;=8/24,B$9&lt;14/24)</formula>
    </cfRule>
    <cfRule type="expression" dxfId="1857" priority="26">
      <formula>B$9&lt;8/24</formula>
    </cfRule>
  </conditionalFormatting>
  <conditionalFormatting sqref="B9:AF10 E11:G11 P72:AF77 B247:AF247 B249:B255">
    <cfRule type="expression" dxfId="1856" priority="102">
      <formula>AND(B$9&gt;=14/24,B$9&lt;20/24)</formula>
    </cfRule>
    <cfRule type="expression" dxfId="1855" priority="103">
      <formula>AND(B$9&gt;=8/24,B$9&lt;14/24)</formula>
    </cfRule>
    <cfRule type="expression" dxfId="1854" priority="104">
      <formula>B$9&lt;8/24</formula>
    </cfRule>
  </conditionalFormatting>
  <conditionalFormatting sqref="B15:AF57 B66:R77 S70:AF77 B80:AF102 B104:AF120 B122:AF140">
    <cfRule type="expression" dxfId="1853" priority="5">
      <formula>B$9&gt;=20/24</formula>
    </cfRule>
    <cfRule type="expression" dxfId="1852" priority="6">
      <formula>AND(B$9&gt;=14/24,B$9&lt;20/24)</formula>
    </cfRule>
    <cfRule type="expression" dxfId="1851" priority="7">
      <formula>AND(B$9&gt;=8/24,B$9&lt;14/24)</formula>
    </cfRule>
  </conditionalFormatting>
  <conditionalFormatting sqref="B15:AF60 B66:R77 S70:AF77 B80:AF102 B104:AF120 B122:AF140">
    <cfRule type="expression" dxfId="1850" priority="8">
      <formula>B$9&lt;8/24</formula>
    </cfRule>
  </conditionalFormatting>
  <conditionalFormatting sqref="B58:AF60">
    <cfRule type="expression" dxfId="1849" priority="1">
      <formula>B$9&gt;=20/24</formula>
    </cfRule>
    <cfRule type="expression" dxfId="1848" priority="2">
      <formula>AND(B$9&gt;=14/24,B$9&lt;20/24)</formula>
    </cfRule>
    <cfRule type="expression" dxfId="1847" priority="3">
      <formula>AND(B$9&gt;=8/24,B$9&lt;14/24)</formula>
    </cfRule>
  </conditionalFormatting>
  <conditionalFormatting sqref="D249:AF255">
    <cfRule type="expression" dxfId="1846" priority="179">
      <formula>D$9&gt;=20/24</formula>
    </cfRule>
    <cfRule type="expression" dxfId="1845" priority="180">
      <formula>AND(D$9&gt;=14/24,D$9&lt;20/24)</formula>
    </cfRule>
    <cfRule type="expression" dxfId="1844" priority="181">
      <formula>AND(D$9&gt;=8/24,D$9&lt;14/24)</formula>
    </cfRule>
    <cfRule type="expression" dxfId="1843" priority="182">
      <formula>D$9&lt;8/24</formula>
    </cfRule>
  </conditionalFormatting>
  <conditionalFormatting sqref="E11:G11 P72:AF77 B9:AF10 B247:AF247 B249:B255">
    <cfRule type="expression" dxfId="1842" priority="101">
      <formula>B$9&gt;=20/24</formula>
    </cfRule>
  </conditionalFormatting>
  <conditionalFormatting sqref="E11:G11 AG61 E65:AG65 AG83">
    <cfRule type="expression" dxfId="1841" priority="100">
      <formula>E11&gt;$AG11</formula>
    </cfRule>
  </conditionalFormatting>
  <conditionalFormatting sqref="E11:N11 O11:AF14">
    <cfRule type="expression" dxfId="1840" priority="115">
      <formula>E$9&gt;=20/24</formula>
    </cfRule>
    <cfRule type="expression" dxfId="1839" priority="116">
      <formula>AND(E$9&gt;=14/24,E$9&lt;20/24)</formula>
    </cfRule>
    <cfRule type="expression" dxfId="1838" priority="117">
      <formula>AND(E$9&gt;=8/24,E$9&lt;14/24)</formula>
    </cfRule>
    <cfRule type="expression" dxfId="1837" priority="118">
      <formula>E$9&lt;8/24</formula>
    </cfRule>
  </conditionalFormatting>
  <conditionalFormatting sqref="E11:N11">
    <cfRule type="expression" dxfId="1836" priority="114">
      <formula>E11&gt;$AG11</formula>
    </cfRule>
  </conditionalFormatting>
  <conditionalFormatting sqref="E62:AF64 B62:D65">
    <cfRule type="expression" dxfId="1835" priority="15">
      <formula>B$9&gt;=20/24</formula>
    </cfRule>
    <cfRule type="expression" dxfId="1834" priority="16">
      <formula>AND(B$9&gt;=14/24,B$9&lt;20/24)</formula>
    </cfRule>
    <cfRule type="expression" dxfId="1833" priority="17">
      <formula>AND(B$9&gt;=8/24,B$9&lt;14/24)</formula>
    </cfRule>
    <cfRule type="expression" dxfId="1832" priority="18">
      <formula>B$9&lt;8/24</formula>
    </cfRule>
  </conditionalFormatting>
  <conditionalFormatting sqref="E65:AG65">
    <cfRule type="expression" dxfId="1831" priority="120">
      <formula>E$9&gt;=20/24</formula>
    </cfRule>
    <cfRule type="expression" dxfId="1830" priority="121">
      <formula>AND(E$9&gt;=14/24,E$9&lt;20/24)</formula>
    </cfRule>
    <cfRule type="expression" dxfId="1829" priority="122">
      <formula>AND(E$9&gt;=8/24,E$9&lt;14/24)</formula>
    </cfRule>
    <cfRule type="expression" dxfId="1828" priority="123">
      <formula>E$9&lt;8/24</formula>
    </cfRule>
  </conditionalFormatting>
  <conditionalFormatting sqref="M8 S8 AB8">
    <cfRule type="expression" dxfId="1827" priority="186">
      <formula>AND(N$9&gt;=14/24,N$9&lt;20/24)</formula>
    </cfRule>
    <cfRule type="expression" dxfId="1826" priority="187">
      <formula>AND(N$9&gt;=8/24,N$9&lt;14/24)</formula>
    </cfRule>
    <cfRule type="expression" dxfId="1825" priority="188">
      <formula>N$9&lt;8/24</formula>
    </cfRule>
  </conditionalFormatting>
  <conditionalFormatting sqref="O3:P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O11:AF58 B11:D83 E12:N58 E59:AF64 E66:AF83">
    <cfRule type="expression" dxfId="1824" priority="4">
      <formula>B11&gt;$AG11</formula>
    </cfRule>
  </conditionalFormatting>
  <conditionalFormatting sqref="P66:AF71">
    <cfRule type="expression" dxfId="1823" priority="128">
      <formula>P$9&gt;=20/24</formula>
    </cfRule>
    <cfRule type="expression" dxfId="1822" priority="129">
      <formula>AND(P$9&gt;=14/24,P$9&lt;20/24)</formula>
    </cfRule>
    <cfRule type="expression" dxfId="1821" priority="130">
      <formula>AND(P$9&gt;=8/24,P$9&lt;14/24)</formula>
    </cfRule>
    <cfRule type="expression" dxfId="1820" priority="131">
      <formula>P$9&lt;8/24</formula>
    </cfRule>
  </conditionalFormatting>
  <conditionalFormatting sqref="S8 AB8 M8">
    <cfRule type="expression" dxfId="1819" priority="185">
      <formula>N$9&gt;=20/24</formula>
    </cfRule>
  </conditionalFormatting>
  <conditionalFormatting sqref="S8">
    <cfRule type="expression" dxfId="1818" priority="172">
      <formula>U$9&gt;=20/24</formula>
    </cfRule>
    <cfRule type="expression" dxfId="1817" priority="173">
      <formula>AND(U$9&gt;=14/24,U$9&lt;20/24)</formula>
    </cfRule>
    <cfRule type="expression" dxfId="1816" priority="174">
      <formula>AND(U$9&gt;=8/24,U$9&lt;14/24)</formula>
    </cfRule>
    <cfRule type="expression" dxfId="1815" priority="175">
      <formula>U$9&lt;8/24</formula>
    </cfRule>
  </conditionalFormatting>
  <conditionalFormatting sqref="T66:AF71">
    <cfRule type="expression" dxfId="1814" priority="124">
      <formula>T$9&gt;=20/24</formula>
    </cfRule>
    <cfRule type="expression" dxfId="1813" priority="125">
      <formula>AND(T$9&gt;=14/24,T$9&lt;20/24)</formula>
    </cfRule>
    <cfRule type="expression" dxfId="1812" priority="126">
      <formula>AND(T$9&gt;=8/24,T$9&lt;14/24)</formula>
    </cfRule>
    <cfRule type="expression" dxfId="1811" priority="127">
      <formula>T$9&lt;8/24</formula>
    </cfRule>
  </conditionalFormatting>
  <conditionalFormatting sqref="V3 AB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810" priority="168">
      <formula>AD$9&gt;=20/24</formula>
    </cfRule>
    <cfRule type="expression" dxfId="1809" priority="169">
      <formula>AND(AD$9&gt;=14/24,AD$9&lt;20/24)</formula>
    </cfRule>
    <cfRule type="expression" dxfId="1808" priority="170">
      <formula>AND(AD$9&gt;=8/24,AD$9&lt;14/24)</formula>
    </cfRule>
    <cfRule type="expression" dxfId="1807" priority="171">
      <formula>AD$9&lt;8/24</formula>
    </cfRule>
  </conditionalFormatting>
  <conditionalFormatting sqref="AG78:AG79">
    <cfRule type="expression" dxfId="1806" priority="142">
      <formula>AG78&gt;$AG78</formula>
    </cfRule>
  </conditionalFormatting>
  <conditionalFormatting sqref="AG83">
    <cfRule type="expression" dxfId="1805" priority="143">
      <formula>AG$9&gt;=20/24</formula>
    </cfRule>
    <cfRule type="expression" dxfId="1804" priority="144">
      <formula>AND(AG$9&gt;=14/24,AG$9&lt;20/24)</formula>
    </cfRule>
    <cfRule type="expression" dxfId="1803" priority="145">
      <formula>AND(AG$9&gt;=8/24,AG$9&lt;14/24)</formula>
    </cfRule>
    <cfRule type="expression" dxfId="1802" priority="146">
      <formula>AG$9&lt;8/24</formula>
    </cfRule>
  </conditionalFormatting>
  <conditionalFormatting sqref="AG100">
    <cfRule type="expression" dxfId="1801" priority="164">
      <formula>AG$9&gt;=20/24</formula>
    </cfRule>
    <cfRule type="expression" dxfId="1800" priority="165">
      <formula>AND(AG$9&gt;=14/24,AG$9&lt;20/24)</formula>
    </cfRule>
    <cfRule type="expression" dxfId="1799" priority="166">
      <formula>AND(AG$9&gt;=8/24,AG$9&lt;14/24)</formula>
    </cfRule>
    <cfRule type="expression" dxfId="1798" priority="167">
      <formula>AG$9&lt;8/24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797" priority="189">
      <formula>AJ$9&gt;=20/24</formula>
    </cfRule>
    <cfRule type="expression" dxfId="1796" priority="190">
      <formula>AND(AJ$9&gt;=14/24,AJ$9&lt;20/24)</formula>
    </cfRule>
    <cfRule type="expression" dxfId="1795" priority="191">
      <formula>AND(AJ$9&gt;=8/24,AJ$9&lt;14/24)</formula>
    </cfRule>
    <cfRule type="expression" dxfId="1794" priority="192">
      <formula>AJ$9&lt;8/24</formula>
    </cfRule>
  </conditionalFormatting>
  <conditionalFormatting sqref="AL86:AN86 AL92:AN92">
    <cfRule type="expression" dxfId="1793" priority="157">
      <formula>AL$9&gt;=20/24</formula>
    </cfRule>
    <cfRule type="expression" dxfId="1792" priority="158">
      <formula>AND(AL$9&gt;=14/24,AL$9&lt;20/24)</formula>
    </cfRule>
    <cfRule type="expression" dxfId="1791" priority="159">
      <formula>AND(AL$9&gt;=8/24,AL$9&lt;14/24)</formula>
    </cfRule>
    <cfRule type="expression" dxfId="1790" priority="160">
      <formula>AL$9&lt;8/24</formula>
    </cfRule>
  </conditionalFormatting>
  <conditionalFormatting sqref="AM15:AM21 AN16:AR21">
    <cfRule type="expression" dxfId="1789" priority="73">
      <formula>AX$9&gt;=20/24</formula>
    </cfRule>
    <cfRule type="expression" dxfId="1788" priority="74">
      <formula>AND(AX$9&gt;=14/24,AX$9&lt;20/24)</formula>
    </cfRule>
    <cfRule type="expression" dxfId="1787" priority="75">
      <formula>AND(AX$9&gt;=8/24,AX$9&lt;14/24)</formula>
    </cfRule>
    <cfRule type="expression" dxfId="1786" priority="76">
      <formula>AX$9&lt;8/24</formula>
    </cfRule>
  </conditionalFormatting>
  <conditionalFormatting sqref="AN87:AN90">
    <cfRule type="expression" dxfId="1785" priority="153">
      <formula>AN$9&gt;=20/24</formula>
    </cfRule>
    <cfRule type="expression" dxfId="1784" priority="154">
      <formula>AND(AN$9&gt;=14/24,AN$9&lt;20/24)</formula>
    </cfRule>
    <cfRule type="expression" dxfId="1783" priority="155">
      <formula>AND(AN$9&gt;=8/24,AN$9&lt;14/24)</formula>
    </cfRule>
    <cfRule type="expression" dxfId="1782" priority="156">
      <formula>AN$9&lt;8/24</formula>
    </cfRule>
  </conditionalFormatting>
  <conditionalFormatting sqref="AN15:AR15">
    <cfRule type="expression" dxfId="1781" priority="61">
      <formula>U$9&gt;=20/24</formula>
    </cfRule>
    <cfRule type="expression" dxfId="1780" priority="62">
      <formula>AND(U$9&gt;=14/24,U$9&lt;20/24)</formula>
    </cfRule>
    <cfRule type="expression" dxfId="1779" priority="63">
      <formula>AND(U$9&gt;=8/24,U$9&lt;14/24)</formula>
    </cfRule>
    <cfRule type="expression" dxfId="1778" priority="64">
      <formula>U$9&lt;8/24</formula>
    </cfRule>
  </conditionalFormatting>
  <conditionalFormatting sqref="AS15">
    <cfRule type="expression" dxfId="1777" priority="69">
      <formula>AA$9&gt;=20/24</formula>
    </cfRule>
    <cfRule type="expression" dxfId="1776" priority="70">
      <formula>AND(AA$9&gt;=14/24,AA$9&lt;20/24)</formula>
    </cfRule>
    <cfRule type="expression" dxfId="1775" priority="71">
      <formula>AND(AA$9&gt;=8/24,AA$9&lt;14/24)</formula>
    </cfRule>
    <cfRule type="expression" dxfId="1774" priority="72">
      <formula>AA$9&lt;8/24</formula>
    </cfRule>
  </conditionalFormatting>
  <conditionalFormatting sqref="AS16:AS21">
    <cfRule type="expression" dxfId="1773" priority="77">
      <formula>BE$9&gt;=20/24</formula>
    </cfRule>
    <cfRule type="expression" dxfId="1772" priority="78">
      <formula>AND(BE$9&gt;=14/24,BE$9&lt;20/24)</formula>
    </cfRule>
    <cfRule type="expression" dxfId="1771" priority="79">
      <formula>AND(BE$9&gt;=8/24,BE$9&lt;14/24)</formula>
    </cfRule>
    <cfRule type="expression" dxfId="1770" priority="80">
      <formula>BE$9&lt;8/24</formula>
    </cfRule>
  </conditionalFormatting>
  <conditionalFormatting sqref="AT15 AX15:BJ15">
    <cfRule type="expression" dxfId="1769" priority="81">
      <formula>AC$9&gt;=20/24</formula>
    </cfRule>
    <cfRule type="expression" dxfId="1768" priority="82">
      <formula>AND(AC$9&gt;=14/24,AC$9&lt;20/24)</formula>
    </cfRule>
    <cfRule type="expression" dxfId="1767" priority="83">
      <formula>AND(AC$9&gt;=8/24,AC$9&lt;14/24)</formula>
    </cfRule>
    <cfRule type="expression" dxfId="1766" priority="84">
      <formula>AC$9&lt;8/24</formula>
    </cfRule>
  </conditionalFormatting>
  <conditionalFormatting sqref="AT16:AT21">
    <cfRule type="expression" dxfId="1765" priority="85">
      <formula>BG$9&gt;=20/24</formula>
    </cfRule>
    <cfRule type="expression" dxfId="1764" priority="86">
      <formula>AND(BG$9&gt;=14/24,BG$9&lt;20/24)</formula>
    </cfRule>
    <cfRule type="expression" dxfId="1763" priority="87">
      <formula>AND(BG$9&gt;=8/24,BG$9&lt;14/24)</formula>
    </cfRule>
    <cfRule type="expression" dxfId="1762" priority="88">
      <formula>BG$9&lt;8/24</formula>
    </cfRule>
  </conditionalFormatting>
  <conditionalFormatting sqref="AU15:AV15">
    <cfRule type="expression" dxfId="1761" priority="89">
      <formula>AE$9&gt;=20/24</formula>
    </cfRule>
    <cfRule type="expression" dxfId="1760" priority="90">
      <formula>AND(AE$9&gt;=14/24,AE$9&lt;20/24)</formula>
    </cfRule>
    <cfRule type="expression" dxfId="1759" priority="91">
      <formula>AND(AE$9&gt;=8/24,AE$9&lt;14/24)</formula>
    </cfRule>
    <cfRule type="expression" dxfId="1758" priority="92">
      <formula>AE$9&lt;8/24</formula>
    </cfRule>
  </conditionalFormatting>
  <conditionalFormatting sqref="AU16:BJ21">
    <cfRule type="expression" dxfId="1757" priority="93">
      <formula>BI$9&gt;=20/24</formula>
    </cfRule>
    <cfRule type="expression" dxfId="1756" priority="94">
      <formula>AND(BI$9&gt;=14/24,BI$9&lt;20/24)</formula>
    </cfRule>
    <cfRule type="expression" dxfId="1755" priority="95">
      <formula>AND(BI$9&gt;=8/24,BI$9&lt;14/24)</formula>
    </cfRule>
    <cfRule type="expression" dxfId="1754" priority="96">
      <formula>BI$9&lt;8/24</formula>
    </cfRule>
  </conditionalFormatting>
  <conditionalFormatting sqref="AW15">
    <cfRule type="expression" dxfId="1753" priority="65">
      <formula>B$9&gt;=20/24</formula>
    </cfRule>
    <cfRule type="expression" dxfId="1752" priority="66">
      <formula>AND(B$9&gt;=14/24,B$9&lt;20/24)</formula>
    </cfRule>
    <cfRule type="expression" dxfId="1751" priority="67">
      <formula>AND(B$9&gt;=8/24,B$9&lt;14/24)</formula>
    </cfRule>
    <cfRule type="expression" dxfId="1750" priority="6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638D-B8C9-4EBE-9451-DB189DAD4C4C}">
  <dimension ref="A1:CJ297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59" sqref="B59:AF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8554687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2080/10/21</v>
      </c>
      <c r="C4" s="189"/>
      <c r="D4" s="189"/>
      <c r="E4" s="190" t="str">
        <f ca="1">"2080/"&amp;"10/"&amp;INT(MID(CELL("filename",G6),FIND("]",CELL("filename",G6))+1,200))</f>
        <v>2080/10/21</v>
      </c>
      <c r="F4" s="190"/>
      <c r="G4" s="190"/>
      <c r="H4" s="190" t="str">
        <f ca="1">TEXT(E4,"dddd")</f>
        <v>Monday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2301MW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Load=304</v>
      </c>
      <c r="B7" s="35">
        <f t="shared" ref="B7:AF7" si="1">B103</f>
        <v>1679.8400000000001</v>
      </c>
      <c r="C7" s="35">
        <f t="shared" si="1"/>
        <v>1650.54</v>
      </c>
      <c r="D7" s="35">
        <f t="shared" si="1"/>
        <v>1595.54</v>
      </c>
      <c r="E7" s="35">
        <f t="shared" si="1"/>
        <v>1623.8400000000001</v>
      </c>
      <c r="F7" s="35">
        <f t="shared" si="1"/>
        <v>1555.6800000000003</v>
      </c>
      <c r="G7" s="35">
        <f t="shared" si="1"/>
        <v>1548.3400000000001</v>
      </c>
      <c r="H7" s="35">
        <f t="shared" si="1"/>
        <v>1548.3400000000001</v>
      </c>
      <c r="I7" s="35">
        <f t="shared" si="1"/>
        <v>1617.8400000000001</v>
      </c>
      <c r="J7" s="35">
        <f t="shared" si="1"/>
        <v>1630.7399999999998</v>
      </c>
      <c r="K7" s="35">
        <f t="shared" si="1"/>
        <v>1573.94</v>
      </c>
      <c r="L7" s="35">
        <f t="shared" si="1"/>
        <v>1565.94</v>
      </c>
      <c r="M7" s="35">
        <f t="shared" si="1"/>
        <v>1696.2400000000002</v>
      </c>
      <c r="N7" s="35">
        <f t="shared" si="1"/>
        <v>1712.2400000000002</v>
      </c>
      <c r="O7" s="35">
        <f t="shared" si="1"/>
        <v>1660.8400000000004</v>
      </c>
      <c r="P7" s="35">
        <f t="shared" si="1"/>
        <v>1640.3400000000001</v>
      </c>
      <c r="Q7" s="35">
        <f t="shared" si="1"/>
        <v>303.54000000000002</v>
      </c>
      <c r="R7" s="35">
        <f t="shared" si="1"/>
        <v>1512.6399999999999</v>
      </c>
      <c r="S7" s="35">
        <f t="shared" si="1"/>
        <v>1561.3399999999997</v>
      </c>
      <c r="T7" s="35">
        <f t="shared" si="1"/>
        <v>1468.8400000000001</v>
      </c>
      <c r="U7" s="35">
        <f t="shared" si="1"/>
        <v>1437.1399999999999</v>
      </c>
      <c r="V7" s="35">
        <f t="shared" si="1"/>
        <v>1401.94</v>
      </c>
      <c r="W7" s="35">
        <f t="shared" si="1"/>
        <v>1525.7399999999998</v>
      </c>
      <c r="X7" s="35">
        <f t="shared" si="1"/>
        <v>1479.1399999999999</v>
      </c>
      <c r="Y7" s="35">
        <f t="shared" si="1"/>
        <v>1479.54</v>
      </c>
      <c r="Z7" s="35">
        <f t="shared" si="1"/>
        <v>1531.3400000000001</v>
      </c>
      <c r="AA7" s="35">
        <f t="shared" si="1"/>
        <v>1576.7400000000002</v>
      </c>
      <c r="AB7" s="35">
        <f t="shared" si="1"/>
        <v>1608.8400000000004</v>
      </c>
      <c r="AC7" s="35">
        <f t="shared" si="1"/>
        <v>1664.2400000000002</v>
      </c>
      <c r="AD7" s="35">
        <f t="shared" si="1"/>
        <v>1586.6399999999999</v>
      </c>
      <c r="AE7" s="35">
        <f t="shared" si="1"/>
        <v>1470.7400000000002</v>
      </c>
      <c r="AF7" s="35">
        <f t="shared" si="1"/>
        <v>1480.7400000000002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2300.74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1712.24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87</v>
      </c>
      <c r="C11" s="46">
        <v>87</v>
      </c>
      <c r="D11" s="46">
        <v>87</v>
      </c>
      <c r="E11" s="46">
        <v>87</v>
      </c>
      <c r="F11" s="46">
        <v>87</v>
      </c>
      <c r="G11" s="46">
        <v>87</v>
      </c>
      <c r="H11" s="46">
        <v>87</v>
      </c>
      <c r="I11" s="46">
        <v>87</v>
      </c>
      <c r="J11" s="46">
        <v>87</v>
      </c>
      <c r="K11" s="46">
        <v>87</v>
      </c>
      <c r="L11" s="46">
        <v>87</v>
      </c>
      <c r="M11" s="46">
        <v>86.9</v>
      </c>
      <c r="N11" s="46">
        <v>86.9</v>
      </c>
      <c r="O11" s="46">
        <v>86.8</v>
      </c>
      <c r="P11" s="46">
        <v>86.8</v>
      </c>
      <c r="Q11" s="46" t="s">
        <v>304</v>
      </c>
      <c r="R11" s="46">
        <v>86.8</v>
      </c>
      <c r="S11" s="46">
        <v>86.8</v>
      </c>
      <c r="T11" s="46">
        <v>86.8</v>
      </c>
      <c r="U11" s="46">
        <v>86.8</v>
      </c>
      <c r="V11" s="46">
        <v>86.8</v>
      </c>
      <c r="W11" s="46">
        <v>86.8</v>
      </c>
      <c r="X11" s="46">
        <v>86.8</v>
      </c>
      <c r="Y11" s="46">
        <v>86.8</v>
      </c>
      <c r="Z11" s="46">
        <v>86.8</v>
      </c>
      <c r="AA11" s="46">
        <v>86.8</v>
      </c>
      <c r="AB11" s="46">
        <v>87</v>
      </c>
      <c r="AC11" s="46">
        <v>87</v>
      </c>
      <c r="AD11" s="46">
        <v>87</v>
      </c>
      <c r="AE11" s="46">
        <v>87</v>
      </c>
      <c r="AF11" s="46">
        <v>87</v>
      </c>
      <c r="AG11" s="47">
        <v>86</v>
      </c>
      <c r="AH11" s="48">
        <f t="shared" ref="AH11:AH74" si="2">MAX(B11:AF11)</f>
        <v>87</v>
      </c>
      <c r="AI11" s="49">
        <f t="shared" ref="AI11:AI74" si="3">MIN(B11:AF11)</f>
        <v>86.8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50</v>
      </c>
      <c r="C12" s="46">
        <v>56</v>
      </c>
      <c r="D12" s="46">
        <v>56</v>
      </c>
      <c r="E12" s="46">
        <v>56</v>
      </c>
      <c r="F12" s="46">
        <v>56</v>
      </c>
      <c r="G12" s="46">
        <v>56</v>
      </c>
      <c r="H12" s="46">
        <v>56</v>
      </c>
      <c r="I12" s="46">
        <v>56</v>
      </c>
      <c r="J12" s="46">
        <v>56</v>
      </c>
      <c r="K12" s="46">
        <v>66.099999999999994</v>
      </c>
      <c r="L12" s="46">
        <v>66.099999999999994</v>
      </c>
      <c r="M12" s="46">
        <v>66.099999999999994</v>
      </c>
      <c r="N12" s="46">
        <v>51.2</v>
      </c>
      <c r="O12" s="46">
        <v>51.2</v>
      </c>
      <c r="P12" s="46">
        <v>61</v>
      </c>
      <c r="Q12" s="46" t="s">
        <v>310</v>
      </c>
      <c r="R12" s="46">
        <v>61</v>
      </c>
      <c r="S12" s="46">
        <v>61</v>
      </c>
      <c r="T12" s="46">
        <v>54.1</v>
      </c>
      <c r="U12" s="46">
        <v>54.1</v>
      </c>
      <c r="V12" s="46">
        <v>54.1</v>
      </c>
      <c r="W12" s="46">
        <v>54.1</v>
      </c>
      <c r="X12" s="46">
        <v>55.3</v>
      </c>
      <c r="Y12" s="46">
        <v>55.3</v>
      </c>
      <c r="Z12" s="46">
        <v>55.3</v>
      </c>
      <c r="AA12" s="46">
        <v>55.3</v>
      </c>
      <c r="AB12" s="46">
        <v>56.3</v>
      </c>
      <c r="AC12" s="46">
        <v>56.3</v>
      </c>
      <c r="AD12" s="46">
        <v>56.3</v>
      </c>
      <c r="AE12" s="46">
        <v>56.3</v>
      </c>
      <c r="AF12" s="46">
        <v>0</v>
      </c>
      <c r="AG12" s="50">
        <v>77</v>
      </c>
      <c r="AH12" s="48">
        <f t="shared" si="2"/>
        <v>66.099999999999994</v>
      </c>
      <c r="AI12" s="49">
        <f t="shared" si="3"/>
        <v>0</v>
      </c>
      <c r="AK12" s="51"/>
      <c r="AL12" s="52" t="str">
        <f ca="1">MID(CELL("filename",C7),FIND("]",CELL("filename",C7))+1,600)</f>
        <v>21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52.74</v>
      </c>
      <c r="G13" s="46">
        <v>39.1</v>
      </c>
      <c r="H13" s="46">
        <v>39.1</v>
      </c>
      <c r="I13" s="46">
        <v>39.1</v>
      </c>
      <c r="J13" s="46">
        <v>39.1</v>
      </c>
      <c r="K13" s="46">
        <v>32.6</v>
      </c>
      <c r="L13" s="46">
        <v>32.6</v>
      </c>
      <c r="M13" s="46">
        <v>32.6</v>
      </c>
      <c r="N13" s="46">
        <v>41</v>
      </c>
      <c r="O13" s="46">
        <v>41</v>
      </c>
      <c r="P13" s="46">
        <v>41</v>
      </c>
      <c r="Q13" s="46" t="s">
        <v>304</v>
      </c>
      <c r="R13" s="46">
        <v>34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16</v>
      </c>
      <c r="Z13" s="46">
        <v>16</v>
      </c>
      <c r="AA13" s="46">
        <v>12.4</v>
      </c>
      <c r="AB13" s="46">
        <v>32.9</v>
      </c>
      <c r="AC13" s="46">
        <v>35.200000000000003</v>
      </c>
      <c r="AD13" s="46">
        <v>35.200000000000003</v>
      </c>
      <c r="AE13" s="46">
        <v>35.200000000000003</v>
      </c>
      <c r="AF13" s="46">
        <v>46</v>
      </c>
      <c r="AG13" s="50">
        <v>73</v>
      </c>
      <c r="AH13" s="48">
        <f t="shared" si="2"/>
        <v>52.74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40</v>
      </c>
      <c r="C14" s="46">
        <v>40</v>
      </c>
      <c r="D14" s="46">
        <v>40</v>
      </c>
      <c r="E14" s="46">
        <v>40</v>
      </c>
      <c r="F14" s="46">
        <v>40</v>
      </c>
      <c r="G14" s="46">
        <v>40</v>
      </c>
      <c r="H14" s="46">
        <v>40</v>
      </c>
      <c r="I14" s="46">
        <v>40</v>
      </c>
      <c r="J14" s="46">
        <v>40</v>
      </c>
      <c r="K14" s="46">
        <v>40</v>
      </c>
      <c r="L14" s="46">
        <v>40</v>
      </c>
      <c r="M14" s="46">
        <v>40</v>
      </c>
      <c r="N14" s="46">
        <v>40</v>
      </c>
      <c r="O14" s="46">
        <v>40</v>
      </c>
      <c r="P14" s="46">
        <v>40</v>
      </c>
      <c r="Q14" s="46" t="s">
        <v>308</v>
      </c>
      <c r="R14" s="46">
        <v>21</v>
      </c>
      <c r="S14" s="46">
        <v>21</v>
      </c>
      <c r="T14" s="46">
        <v>21</v>
      </c>
      <c r="U14" s="46">
        <v>21</v>
      </c>
      <c r="V14" s="46">
        <v>21</v>
      </c>
      <c r="W14" s="46">
        <v>21</v>
      </c>
      <c r="X14" s="46">
        <v>10.9</v>
      </c>
      <c r="Y14" s="46">
        <v>20.2</v>
      </c>
      <c r="Z14" s="46">
        <v>20.2</v>
      </c>
      <c r="AA14" s="46">
        <v>20.3</v>
      </c>
      <c r="AB14" s="46">
        <v>40</v>
      </c>
      <c r="AC14" s="46">
        <v>20</v>
      </c>
      <c r="AD14" s="46">
        <v>20</v>
      </c>
      <c r="AE14" s="46">
        <v>30</v>
      </c>
      <c r="AF14" s="46">
        <v>20</v>
      </c>
      <c r="AG14" s="50">
        <v>71</v>
      </c>
      <c r="AH14" s="48">
        <f t="shared" si="2"/>
        <v>40</v>
      </c>
      <c r="AI14" s="49">
        <f t="shared" si="3"/>
        <v>10.9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36</v>
      </c>
      <c r="C15" s="46">
        <v>36</v>
      </c>
      <c r="D15" s="46">
        <v>36</v>
      </c>
      <c r="E15" s="46">
        <v>36</v>
      </c>
      <c r="F15" s="46">
        <v>36</v>
      </c>
      <c r="G15" s="46">
        <v>36</v>
      </c>
      <c r="H15" s="46">
        <v>36</v>
      </c>
      <c r="I15" s="46">
        <v>36</v>
      </c>
      <c r="J15" s="46">
        <v>36</v>
      </c>
      <c r="K15" s="46">
        <v>51.4</v>
      </c>
      <c r="L15" s="46">
        <v>51.4</v>
      </c>
      <c r="M15" s="46">
        <v>51.4</v>
      </c>
      <c r="N15" s="46">
        <v>51.4</v>
      </c>
      <c r="O15" s="46">
        <v>51.4</v>
      </c>
      <c r="P15" s="46">
        <v>51.4</v>
      </c>
      <c r="Q15" s="46" t="s">
        <v>311</v>
      </c>
      <c r="R15" s="46">
        <v>31</v>
      </c>
      <c r="S15" s="46">
        <v>31</v>
      </c>
      <c r="T15" s="46">
        <v>31</v>
      </c>
      <c r="U15" s="46">
        <v>34.6</v>
      </c>
      <c r="V15" s="46">
        <v>34.6</v>
      </c>
      <c r="W15" s="46">
        <v>34.6</v>
      </c>
      <c r="X15" s="46">
        <v>35</v>
      </c>
      <c r="Y15" s="46">
        <v>35</v>
      </c>
      <c r="Z15" s="46">
        <v>35</v>
      </c>
      <c r="AA15" s="46">
        <v>35</v>
      </c>
      <c r="AB15" s="46">
        <v>35</v>
      </c>
      <c r="AC15" s="46">
        <v>35</v>
      </c>
      <c r="AD15" s="46">
        <v>35</v>
      </c>
      <c r="AE15" s="46">
        <v>35</v>
      </c>
      <c r="AF15" s="46">
        <v>11</v>
      </c>
      <c r="AG15" s="50">
        <v>54</v>
      </c>
      <c r="AH15" s="48">
        <f t="shared" si="2"/>
        <v>51.4</v>
      </c>
      <c r="AI15" s="49">
        <f t="shared" si="3"/>
        <v>11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27.1</v>
      </c>
      <c r="F16" s="46">
        <v>27.1</v>
      </c>
      <c r="G16" s="46">
        <v>27.1</v>
      </c>
      <c r="H16" s="46">
        <v>27.1</v>
      </c>
      <c r="I16" s="46">
        <v>27.1</v>
      </c>
      <c r="J16" s="46">
        <v>27.1</v>
      </c>
      <c r="K16" s="46">
        <v>27.1</v>
      </c>
      <c r="L16" s="46">
        <v>27.1</v>
      </c>
      <c r="M16" s="46">
        <v>27.1</v>
      </c>
      <c r="N16" s="46">
        <v>27.1</v>
      </c>
      <c r="O16" s="46">
        <v>27.1</v>
      </c>
      <c r="P16" s="46">
        <v>27.1</v>
      </c>
      <c r="Q16" s="46" t="s">
        <v>305</v>
      </c>
      <c r="R16" s="46">
        <v>27.1</v>
      </c>
      <c r="S16" s="46">
        <v>27.1</v>
      </c>
      <c r="T16" s="46">
        <v>27.1</v>
      </c>
      <c r="U16" s="46">
        <v>18.600000000000001</v>
      </c>
      <c r="V16" s="46">
        <v>18.600000000000001</v>
      </c>
      <c r="W16" s="46">
        <v>18.600000000000001</v>
      </c>
      <c r="X16" s="46">
        <v>0</v>
      </c>
      <c r="Y16" s="46">
        <v>9.4</v>
      </c>
      <c r="Z16" s="46">
        <v>9.4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18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1247.5999999999999</v>
      </c>
      <c r="AN16" s="59">
        <f t="shared" si="4"/>
        <v>1263.9000000000001</v>
      </c>
      <c r="AO16" s="59">
        <f t="shared" si="4"/>
        <v>1283.9000000000001</v>
      </c>
      <c r="AP16" s="59">
        <f t="shared" si="4"/>
        <v>1283.9000000000001</v>
      </c>
      <c r="AQ16" s="59">
        <f t="shared" si="4"/>
        <v>1336.6400000000003</v>
      </c>
      <c r="AR16" s="59">
        <f t="shared" si="4"/>
        <v>1323</v>
      </c>
      <c r="AS16" s="59">
        <f>I61</f>
        <v>1323</v>
      </c>
      <c r="AT16" s="59">
        <f>K61</f>
        <v>1351.4</v>
      </c>
      <c r="AU16" s="59">
        <f t="shared" ref="AU16:BD16" si="5">M61</f>
        <v>1351.3000000000002</v>
      </c>
      <c r="AV16" s="59">
        <f t="shared" si="5"/>
        <v>1339.8000000000002</v>
      </c>
      <c r="AW16" s="59">
        <f t="shared" si="5"/>
        <v>1339.7</v>
      </c>
      <c r="AX16" s="59">
        <f t="shared" si="5"/>
        <v>1311.8</v>
      </c>
      <c r="AY16" s="59">
        <f t="shared" si="5"/>
        <v>300</v>
      </c>
      <c r="AZ16" s="59">
        <f t="shared" si="5"/>
        <v>1161.8</v>
      </c>
      <c r="BA16" s="59">
        <f t="shared" si="5"/>
        <v>1161.8</v>
      </c>
      <c r="BB16" s="59">
        <f t="shared" si="5"/>
        <v>1161.8</v>
      </c>
      <c r="BC16" s="59">
        <f t="shared" si="5"/>
        <v>1161.8</v>
      </c>
      <c r="BD16" s="59">
        <f t="shared" si="5"/>
        <v>1161.8</v>
      </c>
      <c r="BE16" s="60">
        <f>X61</f>
        <v>1179.5</v>
      </c>
      <c r="BF16" s="60">
        <f>Z61</f>
        <v>1214.2</v>
      </c>
      <c r="BG16" s="60">
        <f>AB61</f>
        <v>1290.7000000000003</v>
      </c>
      <c r="BH16" s="60">
        <f>AD61</f>
        <v>1206.4000000000001</v>
      </c>
      <c r="BI16" s="60">
        <f>AE61</f>
        <v>1216.4000000000001</v>
      </c>
      <c r="BJ16" s="60">
        <f>AF61</f>
        <v>1145.9000000000001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55.6</v>
      </c>
      <c r="C17" s="46">
        <v>55.6</v>
      </c>
      <c r="D17" s="46">
        <v>55.6</v>
      </c>
      <c r="E17" s="46">
        <v>55.6</v>
      </c>
      <c r="F17" s="46">
        <v>55.6</v>
      </c>
      <c r="G17" s="46">
        <v>55.6</v>
      </c>
      <c r="H17" s="46">
        <v>55.6</v>
      </c>
      <c r="I17" s="46">
        <v>55.6</v>
      </c>
      <c r="J17" s="46">
        <v>55.6</v>
      </c>
      <c r="K17" s="46">
        <v>55.6</v>
      </c>
      <c r="L17" s="46">
        <v>55.6</v>
      </c>
      <c r="M17" s="46">
        <v>55.6</v>
      </c>
      <c r="N17" s="46">
        <v>53.7</v>
      </c>
      <c r="O17" s="46">
        <v>53.7</v>
      </c>
      <c r="P17" s="46">
        <v>53.7</v>
      </c>
      <c r="Q17" s="46"/>
      <c r="R17" s="46">
        <v>53.1</v>
      </c>
      <c r="S17" s="46">
        <v>53.1</v>
      </c>
      <c r="T17" s="46">
        <v>53.1</v>
      </c>
      <c r="U17" s="46">
        <v>53.3</v>
      </c>
      <c r="V17" s="46">
        <v>53.3</v>
      </c>
      <c r="W17" s="46">
        <v>53.3</v>
      </c>
      <c r="X17" s="46">
        <v>53.3</v>
      </c>
      <c r="Y17" s="46">
        <v>53.3</v>
      </c>
      <c r="Z17" s="46">
        <v>53.3</v>
      </c>
      <c r="AA17" s="46">
        <v>53.3</v>
      </c>
      <c r="AB17" s="46">
        <v>53.6</v>
      </c>
      <c r="AC17" s="46">
        <v>53.6</v>
      </c>
      <c r="AD17" s="46">
        <v>53.6</v>
      </c>
      <c r="AE17" s="46">
        <v>53.6</v>
      </c>
      <c r="AF17" s="46">
        <v>53.6</v>
      </c>
      <c r="AG17" s="47">
        <v>52.4</v>
      </c>
      <c r="AH17" s="48">
        <f t="shared" si="2"/>
        <v>55.6</v>
      </c>
      <c r="AI17" s="49">
        <f t="shared" si="3"/>
        <v>53.1</v>
      </c>
      <c r="AK17" s="51"/>
      <c r="AL17" s="54" t="s">
        <v>27</v>
      </c>
      <c r="AM17" s="59">
        <f t="shared" ref="AM17:AR17" si="6">B65</f>
        <v>542.40000000000009</v>
      </c>
      <c r="AN17" s="59">
        <f t="shared" si="6"/>
        <v>542.40000000000009</v>
      </c>
      <c r="AO17" s="59">
        <f t="shared" si="6"/>
        <v>542.40000000000009</v>
      </c>
      <c r="AP17" s="59">
        <f t="shared" si="6"/>
        <v>542.40000000000009</v>
      </c>
      <c r="AQ17" s="59">
        <f t="shared" si="6"/>
        <v>542.40000000000009</v>
      </c>
      <c r="AR17" s="59">
        <f t="shared" si="6"/>
        <v>542.40000000000009</v>
      </c>
      <c r="AS17" s="59">
        <f>I65</f>
        <v>542.40000000000009</v>
      </c>
      <c r="AT17" s="59">
        <f>K65</f>
        <v>542.40000000000009</v>
      </c>
      <c r="AU17" s="59">
        <f t="shared" ref="AU17:BD17" si="7">M65</f>
        <v>542.40000000000009</v>
      </c>
      <c r="AV17" s="59">
        <f t="shared" si="7"/>
        <v>542.40000000000009</v>
      </c>
      <c r="AW17" s="59">
        <f t="shared" si="7"/>
        <v>542.40000000000009</v>
      </c>
      <c r="AX17" s="59">
        <f t="shared" si="7"/>
        <v>542.40000000000009</v>
      </c>
      <c r="AY17" s="59">
        <f t="shared" si="7"/>
        <v>0</v>
      </c>
      <c r="AZ17" s="59">
        <f t="shared" si="7"/>
        <v>542.40000000000009</v>
      </c>
      <c r="BA17" s="59">
        <f t="shared" si="7"/>
        <v>542.40000000000009</v>
      </c>
      <c r="BB17" s="59">
        <f t="shared" si="7"/>
        <v>542.40000000000009</v>
      </c>
      <c r="BC17" s="59">
        <f t="shared" si="7"/>
        <v>542.40000000000009</v>
      </c>
      <c r="BD17" s="59">
        <f t="shared" si="7"/>
        <v>542.40000000000009</v>
      </c>
      <c r="BE17" s="60">
        <f>X65</f>
        <v>542.6</v>
      </c>
      <c r="BF17" s="60">
        <f>Z65</f>
        <v>542.6</v>
      </c>
      <c r="BG17" s="60">
        <f>AB65</f>
        <v>542.6</v>
      </c>
      <c r="BH17" s="60">
        <f>AD65</f>
        <v>542.6</v>
      </c>
      <c r="BI17" s="60">
        <f>AE65</f>
        <v>543.50000000000011</v>
      </c>
      <c r="BJ17" s="60">
        <f>AF65</f>
        <v>543.50000000000011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25.2</v>
      </c>
      <c r="C18" s="46">
        <v>25.2</v>
      </c>
      <c r="D18" s="46">
        <v>25.2</v>
      </c>
      <c r="E18" s="46">
        <v>25.2</v>
      </c>
      <c r="F18" s="46">
        <v>25.2</v>
      </c>
      <c r="G18" s="46">
        <v>25.2</v>
      </c>
      <c r="H18" s="46">
        <v>25.2</v>
      </c>
      <c r="I18" s="46">
        <v>25.2</v>
      </c>
      <c r="J18" s="46">
        <v>25.2</v>
      </c>
      <c r="K18" s="46">
        <v>25.2</v>
      </c>
      <c r="L18" s="46">
        <v>25.2</v>
      </c>
      <c r="M18" s="46">
        <v>25.2</v>
      </c>
      <c r="N18" s="46">
        <v>25.2</v>
      </c>
      <c r="O18" s="46">
        <v>25.2</v>
      </c>
      <c r="P18" s="46">
        <v>25.2</v>
      </c>
      <c r="Q18" s="46"/>
      <c r="R18" s="46">
        <v>25.2</v>
      </c>
      <c r="S18" s="46">
        <v>25.2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46">
        <v>25.1</v>
      </c>
      <c r="AB18" s="53">
        <v>50.7</v>
      </c>
      <c r="AC18" s="53">
        <v>50.7</v>
      </c>
      <c r="AD18" s="53">
        <v>50.7</v>
      </c>
      <c r="AE18" s="53">
        <v>50.7</v>
      </c>
      <c r="AF18" s="53">
        <v>50.7</v>
      </c>
      <c r="AG18" s="50">
        <v>50</v>
      </c>
      <c r="AH18" s="48">
        <f t="shared" si="2"/>
        <v>50.7</v>
      </c>
      <c r="AI18" s="49">
        <f t="shared" si="3"/>
        <v>25.1</v>
      </c>
      <c r="AK18" s="51"/>
      <c r="AL18" s="54" t="s">
        <v>29</v>
      </c>
      <c r="AM18" s="59">
        <f t="shared" ref="AM18:AR18" si="8">B79</f>
        <v>402.84000000000003</v>
      </c>
      <c r="AN18" s="59">
        <f t="shared" si="8"/>
        <v>376.24</v>
      </c>
      <c r="AO18" s="59">
        <f t="shared" si="8"/>
        <v>376.24</v>
      </c>
      <c r="AP18" s="59">
        <f t="shared" si="8"/>
        <v>327.04000000000002</v>
      </c>
      <c r="AQ18" s="59">
        <f t="shared" si="8"/>
        <v>327.04000000000002</v>
      </c>
      <c r="AR18" s="59">
        <f t="shared" si="8"/>
        <v>327.04000000000002</v>
      </c>
      <c r="AS18" s="59">
        <f>I79</f>
        <v>327.04000000000002</v>
      </c>
      <c r="AT18" s="59">
        <f>K79</f>
        <v>330.54</v>
      </c>
      <c r="AU18" s="59">
        <f t="shared" ref="AU18:BD18" si="9">M79</f>
        <v>391.54</v>
      </c>
      <c r="AV18" s="59">
        <f t="shared" si="9"/>
        <v>393.04</v>
      </c>
      <c r="AW18" s="59">
        <f t="shared" si="9"/>
        <v>393.74</v>
      </c>
      <c r="AX18" s="59">
        <f t="shared" si="9"/>
        <v>390.84</v>
      </c>
      <c r="AY18" s="59">
        <f t="shared" si="9"/>
        <v>3.54</v>
      </c>
      <c r="AZ18" s="59">
        <f t="shared" si="9"/>
        <v>413.94</v>
      </c>
      <c r="BA18" s="59">
        <f t="shared" si="9"/>
        <v>406.03999999999996</v>
      </c>
      <c r="BB18" s="59">
        <f t="shared" si="9"/>
        <v>408.54</v>
      </c>
      <c r="BC18" s="59">
        <f t="shared" si="9"/>
        <v>407.34000000000003</v>
      </c>
      <c r="BD18" s="59">
        <f t="shared" si="9"/>
        <v>407.34000000000003</v>
      </c>
      <c r="BE18" s="60">
        <f>X79</f>
        <v>403.03999999999996</v>
      </c>
      <c r="BF18" s="60">
        <f>Z79</f>
        <v>401.84</v>
      </c>
      <c r="BG18" s="60">
        <f>AB79</f>
        <v>406.34</v>
      </c>
      <c r="BH18" s="60">
        <f>AD79</f>
        <v>406.34</v>
      </c>
      <c r="BI18" s="60">
        <f>AE79</f>
        <v>336.44</v>
      </c>
      <c r="BJ18" s="60">
        <f>AF79</f>
        <v>396.74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36</v>
      </c>
      <c r="C19" s="46">
        <v>36</v>
      </c>
      <c r="D19" s="46">
        <v>36</v>
      </c>
      <c r="E19" s="46">
        <v>36</v>
      </c>
      <c r="F19" s="46">
        <v>36</v>
      </c>
      <c r="G19" s="46">
        <v>36</v>
      </c>
      <c r="H19" s="46">
        <v>36</v>
      </c>
      <c r="I19" s="46">
        <v>36</v>
      </c>
      <c r="J19" s="46">
        <v>36</v>
      </c>
      <c r="K19" s="46">
        <v>36</v>
      </c>
      <c r="L19" s="46">
        <v>36</v>
      </c>
      <c r="M19" s="46">
        <v>36</v>
      </c>
      <c r="N19" s="46">
        <v>42.9</v>
      </c>
      <c r="O19" s="46">
        <v>42.9</v>
      </c>
      <c r="P19" s="46">
        <v>42.9</v>
      </c>
      <c r="Q19" s="46" t="s">
        <v>307</v>
      </c>
      <c r="R19" s="46">
        <v>42.8</v>
      </c>
      <c r="S19" s="46">
        <v>42.8</v>
      </c>
      <c r="T19" s="46">
        <v>42.8</v>
      </c>
      <c r="U19" s="46">
        <v>42.8</v>
      </c>
      <c r="V19" s="46">
        <v>42.8</v>
      </c>
      <c r="W19" s="46">
        <v>42.8</v>
      </c>
      <c r="X19" s="46">
        <v>42.8</v>
      </c>
      <c r="Y19" s="46">
        <v>42.8</v>
      </c>
      <c r="Z19" s="46">
        <v>42.8</v>
      </c>
      <c r="AA19" s="46">
        <v>42.8</v>
      </c>
      <c r="AB19" s="46">
        <v>42.5</v>
      </c>
      <c r="AC19" s="46">
        <v>42.5</v>
      </c>
      <c r="AD19" s="46">
        <v>0</v>
      </c>
      <c r="AE19" s="46">
        <v>0</v>
      </c>
      <c r="AF19" s="46">
        <v>0</v>
      </c>
      <c r="AG19" s="50">
        <v>45</v>
      </c>
      <c r="AH19" s="48">
        <f t="shared" si="2"/>
        <v>42.9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 t="s">
        <v>313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15.5</v>
      </c>
      <c r="AV20" s="59">
        <f t="shared" si="13"/>
        <v>16.100000000000001</v>
      </c>
      <c r="AW20" s="59">
        <f t="shared" si="13"/>
        <v>15.3</v>
      </c>
      <c r="AX20" s="59">
        <f t="shared" si="13"/>
        <v>15.3</v>
      </c>
      <c r="AY20" s="59">
        <f t="shared" si="13"/>
        <v>0</v>
      </c>
      <c r="AZ20" s="59">
        <f t="shared" si="13"/>
        <v>15.5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6.8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 t="s">
        <v>304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10</v>
      </c>
      <c r="D22" s="46">
        <v>30</v>
      </c>
      <c r="E22" s="46">
        <v>30</v>
      </c>
      <c r="F22" s="46">
        <v>30</v>
      </c>
      <c r="G22" s="46">
        <v>30</v>
      </c>
      <c r="H22" s="46">
        <v>30</v>
      </c>
      <c r="I22" s="46">
        <v>30</v>
      </c>
      <c r="J22" s="46">
        <v>30</v>
      </c>
      <c r="K22" s="46">
        <v>30</v>
      </c>
      <c r="L22" s="46">
        <v>30</v>
      </c>
      <c r="M22" s="46">
        <v>30</v>
      </c>
      <c r="N22" s="46">
        <v>30</v>
      </c>
      <c r="O22" s="46">
        <v>30</v>
      </c>
      <c r="P22" s="46">
        <v>30</v>
      </c>
      <c r="Q22" s="46" t="s">
        <v>308</v>
      </c>
      <c r="R22" s="46">
        <v>27.6</v>
      </c>
      <c r="S22" s="46">
        <v>39.299999999999997</v>
      </c>
      <c r="T22" s="46">
        <v>39.299999999999997</v>
      </c>
      <c r="U22" s="46">
        <v>39.299999999999997</v>
      </c>
      <c r="V22" s="46">
        <v>39.299999999999997</v>
      </c>
      <c r="W22" s="46">
        <v>39.299999999999997</v>
      </c>
      <c r="X22" s="46">
        <v>39.299999999999997</v>
      </c>
      <c r="Y22" s="46">
        <v>39.299999999999997</v>
      </c>
      <c r="Z22" s="46">
        <v>39.299999999999997</v>
      </c>
      <c r="AA22" s="46">
        <v>39.799999999999997</v>
      </c>
      <c r="AB22" s="46">
        <v>39.799999999999997</v>
      </c>
      <c r="AC22" s="46">
        <v>39.799999999999997</v>
      </c>
      <c r="AD22" s="46">
        <v>39.799999999999997</v>
      </c>
      <c r="AE22" s="46">
        <v>39.799999999999997</v>
      </c>
      <c r="AF22" s="46">
        <v>40</v>
      </c>
      <c r="AG22" s="50">
        <v>38.46</v>
      </c>
      <c r="AH22" s="48">
        <f t="shared" si="2"/>
        <v>40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2192.84</v>
      </c>
      <c r="AN22" s="63">
        <f t="shared" si="16"/>
        <v>2182.54</v>
      </c>
      <c r="AO22" s="63">
        <f t="shared" si="16"/>
        <v>2202.54</v>
      </c>
      <c r="AP22" s="63">
        <f t="shared" si="16"/>
        <v>2153.34</v>
      </c>
      <c r="AQ22" s="63">
        <f t="shared" si="16"/>
        <v>2206.0800000000004</v>
      </c>
      <c r="AR22" s="63">
        <f t="shared" si="16"/>
        <v>2192.44</v>
      </c>
      <c r="AS22" s="63">
        <f t="shared" si="16"/>
        <v>2192.44</v>
      </c>
      <c r="AT22" s="63">
        <f t="shared" si="16"/>
        <v>2224.34</v>
      </c>
      <c r="AU22" s="63">
        <f t="shared" si="16"/>
        <v>2300.7400000000002</v>
      </c>
      <c r="AV22" s="63">
        <f t="shared" si="16"/>
        <v>2291.34</v>
      </c>
      <c r="AW22" s="63">
        <f t="shared" si="16"/>
        <v>2291.1400000000003</v>
      </c>
      <c r="AX22" s="63">
        <f t="shared" si="16"/>
        <v>2260.34</v>
      </c>
      <c r="AY22" s="63">
        <f t="shared" si="16"/>
        <v>303.54000000000002</v>
      </c>
      <c r="AZ22" s="63">
        <f t="shared" si="16"/>
        <v>2133.64</v>
      </c>
      <c r="BA22" s="63">
        <f t="shared" si="16"/>
        <v>2110.2399999999998</v>
      </c>
      <c r="BB22" s="63">
        <f t="shared" si="16"/>
        <v>2112.7400000000002</v>
      </c>
      <c r="BC22" s="63">
        <f t="shared" si="16"/>
        <v>2111.54</v>
      </c>
      <c r="BD22" s="63">
        <f t="shared" si="16"/>
        <v>2111.54</v>
      </c>
      <c r="BE22" s="63">
        <f t="shared" si="16"/>
        <v>2125.14</v>
      </c>
      <c r="BF22" s="63">
        <f t="shared" si="16"/>
        <v>2158.6400000000003</v>
      </c>
      <c r="BG22" s="63">
        <f t="shared" si="16"/>
        <v>2239.6400000000003</v>
      </c>
      <c r="BH22" s="63">
        <f t="shared" si="16"/>
        <v>2162.1400000000003</v>
      </c>
      <c r="BI22" s="63">
        <f t="shared" si="16"/>
        <v>2096.34</v>
      </c>
      <c r="BJ22" s="63">
        <f t="shared" si="16"/>
        <v>2086.1400000000003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>
        <v>38</v>
      </c>
      <c r="D23" s="46">
        <v>38</v>
      </c>
      <c r="E23" s="46">
        <v>38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38</v>
      </c>
      <c r="O23" s="46">
        <v>38</v>
      </c>
      <c r="P23" s="46">
        <v>38</v>
      </c>
      <c r="Q23" s="46" t="s">
        <v>306</v>
      </c>
      <c r="R23" s="46">
        <v>38</v>
      </c>
      <c r="S23" s="46">
        <v>38</v>
      </c>
      <c r="T23" s="46">
        <v>38</v>
      </c>
      <c r="U23" s="46">
        <v>38</v>
      </c>
      <c r="V23" s="46">
        <v>38</v>
      </c>
      <c r="W23" s="46">
        <v>38</v>
      </c>
      <c r="X23" s="46">
        <v>38</v>
      </c>
      <c r="Y23" s="46">
        <v>38</v>
      </c>
      <c r="Z23" s="46">
        <v>38</v>
      </c>
      <c r="AA23" s="46">
        <v>38</v>
      </c>
      <c r="AB23" s="46">
        <v>38</v>
      </c>
      <c r="AC23" s="46">
        <v>38</v>
      </c>
      <c r="AD23" s="46">
        <v>38</v>
      </c>
      <c r="AE23" s="46">
        <v>38</v>
      </c>
      <c r="AF23" s="46">
        <v>38</v>
      </c>
      <c r="AG23" s="50">
        <v>38.46</v>
      </c>
      <c r="AH23" s="48">
        <f t="shared" si="2"/>
        <v>38</v>
      </c>
      <c r="AI23" s="49">
        <f t="shared" si="3"/>
        <v>38</v>
      </c>
      <c r="AK23" s="51"/>
      <c r="AL23" s="62" t="s">
        <v>39</v>
      </c>
      <c r="AM23" s="63">
        <f t="shared" ref="AM23:AR23" si="17">B110*-1</f>
        <v>-513</v>
      </c>
      <c r="AN23" s="63">
        <f t="shared" si="17"/>
        <v>-532</v>
      </c>
      <c r="AO23" s="63">
        <f t="shared" si="17"/>
        <v>-607</v>
      </c>
      <c r="AP23" s="63">
        <f t="shared" si="17"/>
        <v>-529.5</v>
      </c>
      <c r="AQ23" s="63">
        <f t="shared" si="17"/>
        <v>-650.4</v>
      </c>
      <c r="AR23" s="63">
        <f t="shared" si="17"/>
        <v>-644.1</v>
      </c>
      <c r="AS23" s="63">
        <f>I110*-1</f>
        <v>-574.6</v>
      </c>
      <c r="AT23" s="63">
        <f>K110*-1</f>
        <v>-650.40000000000009</v>
      </c>
      <c r="AU23" s="63">
        <f t="shared" ref="AU23:BD23" si="18">M110*-1</f>
        <v>-604.5</v>
      </c>
      <c r="AV23" s="63">
        <f t="shared" si="18"/>
        <v>-579.1</v>
      </c>
      <c r="AW23" s="63">
        <f t="shared" si="18"/>
        <v>-630.29999999999995</v>
      </c>
      <c r="AX23" s="63">
        <f t="shared" si="18"/>
        <v>-620</v>
      </c>
      <c r="AY23" s="63">
        <f t="shared" si="18"/>
        <v>0</v>
      </c>
      <c r="AZ23" s="63">
        <f t="shared" si="18"/>
        <v>-621</v>
      </c>
      <c r="BA23" s="63">
        <f t="shared" si="18"/>
        <v>-548.9</v>
      </c>
      <c r="BB23" s="63">
        <f t="shared" si="18"/>
        <v>-643.9</v>
      </c>
      <c r="BC23" s="63">
        <f t="shared" si="18"/>
        <v>-674.4</v>
      </c>
      <c r="BD23" s="63">
        <f t="shared" si="18"/>
        <v>-709.6</v>
      </c>
      <c r="BE23" s="63">
        <f>X110*-1</f>
        <v>-646</v>
      </c>
      <c r="BF23" s="63">
        <f>Z110*-1</f>
        <v>-627.30000000000007</v>
      </c>
      <c r="BG23" s="63">
        <f>AB110*-1</f>
        <v>-630.79999999999995</v>
      </c>
      <c r="BH23" s="63">
        <f>AD110*-1</f>
        <v>-575.5</v>
      </c>
      <c r="BI23" s="63">
        <f>AE110*-1</f>
        <v>-625.59999999999991</v>
      </c>
      <c r="BJ23" s="63">
        <f>AF110*-1</f>
        <v>-605.4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 t="s">
        <v>312</v>
      </c>
      <c r="R24" s="46">
        <v>36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1679.8400000000001</v>
      </c>
      <c r="AN24" s="63">
        <f t="shared" si="19"/>
        <v>1650.54</v>
      </c>
      <c r="AO24" s="63">
        <f t="shared" si="19"/>
        <v>1595.54</v>
      </c>
      <c r="AP24" s="63">
        <f t="shared" si="19"/>
        <v>1623.8400000000001</v>
      </c>
      <c r="AQ24" s="63">
        <f t="shared" si="19"/>
        <v>1555.6800000000003</v>
      </c>
      <c r="AR24" s="63">
        <f t="shared" si="19"/>
        <v>1548.3400000000001</v>
      </c>
      <c r="AS24" s="63">
        <f t="shared" si="19"/>
        <v>1617.8400000000001</v>
      </c>
      <c r="AT24" s="63">
        <f t="shared" si="19"/>
        <v>1573.94</v>
      </c>
      <c r="AU24" s="63">
        <f t="shared" si="19"/>
        <v>1696.2400000000002</v>
      </c>
      <c r="AV24" s="63">
        <f t="shared" si="19"/>
        <v>1712.2400000000002</v>
      </c>
      <c r="AW24" s="63">
        <f t="shared" si="19"/>
        <v>1660.8400000000004</v>
      </c>
      <c r="AX24" s="63">
        <f t="shared" si="19"/>
        <v>1640.3400000000001</v>
      </c>
      <c r="AY24" s="63">
        <f t="shared" si="19"/>
        <v>303.54000000000002</v>
      </c>
      <c r="AZ24" s="63">
        <f t="shared" si="19"/>
        <v>1512.6399999999999</v>
      </c>
      <c r="BA24" s="63">
        <f t="shared" si="19"/>
        <v>1561.3399999999997</v>
      </c>
      <c r="BB24" s="63">
        <f t="shared" si="19"/>
        <v>1468.8400000000001</v>
      </c>
      <c r="BC24" s="63">
        <f t="shared" si="19"/>
        <v>1437.1399999999999</v>
      </c>
      <c r="BD24" s="63">
        <f t="shared" si="19"/>
        <v>1401.94</v>
      </c>
      <c r="BE24" s="63">
        <f t="shared" si="19"/>
        <v>1479.1399999999999</v>
      </c>
      <c r="BF24" s="63">
        <f t="shared" si="19"/>
        <v>1531.3400000000001</v>
      </c>
      <c r="BG24" s="63">
        <f t="shared" si="19"/>
        <v>1608.8400000000004</v>
      </c>
      <c r="BH24" s="63">
        <f t="shared" si="19"/>
        <v>1586.6400000000003</v>
      </c>
      <c r="BI24" s="63">
        <f t="shared" si="19"/>
        <v>1470.7400000000002</v>
      </c>
      <c r="BJ24" s="63">
        <f t="shared" si="19"/>
        <v>1480.7400000000002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30.2</v>
      </c>
      <c r="C25" s="46">
        <v>30.2</v>
      </c>
      <c r="D25" s="46">
        <v>30.2</v>
      </c>
      <c r="E25" s="46">
        <v>30.2</v>
      </c>
      <c r="F25" s="46">
        <v>30.2</v>
      </c>
      <c r="G25" s="46">
        <v>30.2</v>
      </c>
      <c r="H25" s="46">
        <v>30.2</v>
      </c>
      <c r="I25" s="46">
        <v>30.2</v>
      </c>
      <c r="J25" s="46">
        <v>30.2</v>
      </c>
      <c r="K25" s="46">
        <v>30.2</v>
      </c>
      <c r="L25" s="46">
        <v>30.2</v>
      </c>
      <c r="M25" s="46">
        <v>30.2</v>
      </c>
      <c r="N25" s="46">
        <v>30.2</v>
      </c>
      <c r="O25" s="46">
        <v>30.2</v>
      </c>
      <c r="P25" s="46">
        <v>18</v>
      </c>
      <c r="Q25" s="46" t="s">
        <v>309</v>
      </c>
      <c r="R25" s="46">
        <v>10</v>
      </c>
      <c r="S25" s="46">
        <v>10</v>
      </c>
      <c r="T25" s="46">
        <v>10</v>
      </c>
      <c r="U25" s="46">
        <v>10.5</v>
      </c>
      <c r="V25" s="46">
        <v>10.5</v>
      </c>
      <c r="W25" s="46">
        <v>10.5</v>
      </c>
      <c r="X25" s="46">
        <v>5.4</v>
      </c>
      <c r="Y25" s="46">
        <v>5.4</v>
      </c>
      <c r="Z25" s="46">
        <v>5.4</v>
      </c>
      <c r="AA25" s="46">
        <v>30.1</v>
      </c>
      <c r="AB25" s="46">
        <v>30.1</v>
      </c>
      <c r="AC25" s="46">
        <v>15</v>
      </c>
      <c r="AD25" s="46">
        <v>15</v>
      </c>
      <c r="AE25" s="46">
        <v>15</v>
      </c>
      <c r="AF25" s="46">
        <v>15</v>
      </c>
      <c r="AG25" s="61">
        <v>30</v>
      </c>
      <c r="AH25" s="48">
        <f t="shared" si="2"/>
        <v>30.2</v>
      </c>
      <c r="AI25" s="49">
        <f t="shared" si="3"/>
        <v>5.4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23.6</v>
      </c>
      <c r="C26" s="46">
        <v>23.6</v>
      </c>
      <c r="D26" s="46">
        <v>23.6</v>
      </c>
      <c r="E26" s="46">
        <v>23.6</v>
      </c>
      <c r="F26" s="46">
        <v>23.6</v>
      </c>
      <c r="G26" s="46">
        <v>23.6</v>
      </c>
      <c r="H26" s="46">
        <v>23.6</v>
      </c>
      <c r="I26" s="46">
        <v>23.6</v>
      </c>
      <c r="J26" s="46">
        <v>23.6</v>
      </c>
      <c r="K26" s="46">
        <v>33</v>
      </c>
      <c r="L26" s="46">
        <v>33</v>
      </c>
      <c r="M26" s="46">
        <v>33</v>
      </c>
      <c r="N26" s="46">
        <v>33</v>
      </c>
      <c r="O26" s="46">
        <v>33</v>
      </c>
      <c r="P26" s="46">
        <v>33</v>
      </c>
      <c r="Q26" s="46"/>
      <c r="R26" s="46">
        <v>33</v>
      </c>
      <c r="S26" s="46">
        <v>33</v>
      </c>
      <c r="T26" s="46">
        <v>33</v>
      </c>
      <c r="U26" s="46">
        <v>25.7</v>
      </c>
      <c r="V26" s="46">
        <v>25.7</v>
      </c>
      <c r="W26" s="46">
        <v>25.7</v>
      </c>
      <c r="X26" s="46">
        <v>25.7</v>
      </c>
      <c r="Y26" s="46">
        <v>25.7</v>
      </c>
      <c r="Z26" s="46">
        <v>25.7</v>
      </c>
      <c r="AA26" s="46">
        <v>25.7</v>
      </c>
      <c r="AB26" s="46">
        <v>25.7</v>
      </c>
      <c r="AC26" s="46">
        <v>25.7</v>
      </c>
      <c r="AD26" s="46">
        <v>25.7</v>
      </c>
      <c r="AE26" s="46">
        <v>25.7</v>
      </c>
      <c r="AF26" s="46">
        <v>25.7</v>
      </c>
      <c r="AG26" s="50">
        <v>24.2</v>
      </c>
      <c r="AH26" s="48">
        <f t="shared" si="2"/>
        <v>33</v>
      </c>
      <c r="AI26" s="49">
        <f t="shared" si="3"/>
        <v>23.6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23.4</v>
      </c>
      <c r="C27" s="46">
        <v>23.7</v>
      </c>
      <c r="D27" s="46">
        <v>23.7</v>
      </c>
      <c r="E27" s="46">
        <v>23.7</v>
      </c>
      <c r="F27" s="46">
        <v>23.7</v>
      </c>
      <c r="G27" s="46">
        <v>23.7</v>
      </c>
      <c r="H27" s="46">
        <v>23.7</v>
      </c>
      <c r="I27" s="46">
        <v>23.7</v>
      </c>
      <c r="J27" s="46">
        <v>23.7</v>
      </c>
      <c r="K27" s="46">
        <v>23.7</v>
      </c>
      <c r="L27" s="46">
        <v>23.7</v>
      </c>
      <c r="M27" s="46">
        <v>23.7</v>
      </c>
      <c r="N27" s="46">
        <v>23.7</v>
      </c>
      <c r="O27" s="46">
        <v>23.7</v>
      </c>
      <c r="P27" s="46">
        <v>23.7</v>
      </c>
      <c r="Q27" s="46"/>
      <c r="R27" s="46">
        <v>28.6</v>
      </c>
      <c r="S27" s="46">
        <v>28.6</v>
      </c>
      <c r="T27" s="46">
        <v>28.6</v>
      </c>
      <c r="U27" s="46">
        <v>28.6</v>
      </c>
      <c r="V27" s="46">
        <v>28.6</v>
      </c>
      <c r="W27" s="46">
        <v>28.6</v>
      </c>
      <c r="X27" s="46">
        <v>28.6</v>
      </c>
      <c r="Y27" s="46">
        <v>28.6</v>
      </c>
      <c r="Z27" s="46">
        <v>28.6</v>
      </c>
      <c r="AA27" s="46">
        <v>28.6</v>
      </c>
      <c r="AB27" s="46">
        <v>28.6</v>
      </c>
      <c r="AC27" s="46">
        <v>28.6</v>
      </c>
      <c r="AD27" s="46">
        <v>28.6</v>
      </c>
      <c r="AE27" s="46">
        <v>28.6</v>
      </c>
      <c r="AF27" s="46">
        <v>28.6</v>
      </c>
      <c r="AG27" s="50">
        <v>28</v>
      </c>
      <c r="AH27" s="48">
        <f t="shared" si="2"/>
        <v>28.6</v>
      </c>
      <c r="AI27" s="49">
        <f t="shared" si="3"/>
        <v>23.4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26.9</v>
      </c>
      <c r="C28" s="46">
        <v>26.9</v>
      </c>
      <c r="D28" s="46">
        <v>26.9</v>
      </c>
      <c r="E28" s="46">
        <v>26.9</v>
      </c>
      <c r="F28" s="46">
        <v>26.9</v>
      </c>
      <c r="G28" s="46">
        <v>26.9</v>
      </c>
      <c r="H28" s="46">
        <v>26.9</v>
      </c>
      <c r="I28" s="46">
        <v>26.9</v>
      </c>
      <c r="J28" s="46">
        <v>26.9</v>
      </c>
      <c r="K28" s="46">
        <v>26.9</v>
      </c>
      <c r="L28" s="46">
        <v>26.9</v>
      </c>
      <c r="M28" s="46">
        <v>26.9</v>
      </c>
      <c r="N28" s="46">
        <v>26.9</v>
      </c>
      <c r="O28" s="46">
        <v>26.9</v>
      </c>
      <c r="P28" s="46">
        <v>17</v>
      </c>
      <c r="Q28" s="46"/>
      <c r="R28" s="46">
        <v>7.2</v>
      </c>
      <c r="S28" s="46">
        <v>7.2</v>
      </c>
      <c r="T28" s="46">
        <v>7.2</v>
      </c>
      <c r="U28" s="46">
        <v>9.6999999999999993</v>
      </c>
      <c r="V28" s="46">
        <v>9.6999999999999993</v>
      </c>
      <c r="W28" s="46">
        <v>9.6999999999999993</v>
      </c>
      <c r="X28" s="46">
        <v>0</v>
      </c>
      <c r="Y28" s="46">
        <v>0</v>
      </c>
      <c r="Z28" s="46">
        <v>0</v>
      </c>
      <c r="AA28" s="46">
        <v>15.1</v>
      </c>
      <c r="AB28" s="46">
        <v>15.1</v>
      </c>
      <c r="AC28" s="46">
        <v>15.1</v>
      </c>
      <c r="AD28" s="46">
        <v>15.1</v>
      </c>
      <c r="AE28" s="46">
        <v>15.1</v>
      </c>
      <c r="AF28" s="46">
        <v>15.1</v>
      </c>
      <c r="AG28" s="61">
        <v>30</v>
      </c>
      <c r="AH28" s="48">
        <f t="shared" si="2"/>
        <v>26.9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>
        <v>26</v>
      </c>
      <c r="D29" s="46">
        <v>26</v>
      </c>
      <c r="E29" s="46">
        <v>26</v>
      </c>
      <c r="F29" s="46">
        <v>26</v>
      </c>
      <c r="G29" s="46">
        <v>26</v>
      </c>
      <c r="H29" s="46">
        <v>26</v>
      </c>
      <c r="I29" s="46">
        <v>26</v>
      </c>
      <c r="J29" s="46">
        <v>26</v>
      </c>
      <c r="K29" s="46">
        <v>26</v>
      </c>
      <c r="L29" s="46">
        <v>26</v>
      </c>
      <c r="M29" s="46">
        <v>26</v>
      </c>
      <c r="N29" s="46">
        <v>26</v>
      </c>
      <c r="O29" s="46">
        <v>26</v>
      </c>
      <c r="P29" s="46">
        <v>26</v>
      </c>
      <c r="Q29" s="46"/>
      <c r="R29" s="46">
        <v>26</v>
      </c>
      <c r="S29" s="46">
        <v>26</v>
      </c>
      <c r="T29" s="46">
        <v>26</v>
      </c>
      <c r="U29" s="46">
        <v>26</v>
      </c>
      <c r="V29" s="46">
        <v>26</v>
      </c>
      <c r="W29" s="46">
        <v>26</v>
      </c>
      <c r="X29" s="46">
        <v>26</v>
      </c>
      <c r="Y29" s="46">
        <v>26</v>
      </c>
      <c r="Z29" s="46">
        <v>26</v>
      </c>
      <c r="AA29" s="46">
        <v>26</v>
      </c>
      <c r="AB29" s="46">
        <v>26</v>
      </c>
      <c r="AC29" s="46">
        <v>26</v>
      </c>
      <c r="AD29" s="46">
        <v>26</v>
      </c>
      <c r="AE29" s="46">
        <v>26</v>
      </c>
      <c r="AF29" s="46">
        <v>26</v>
      </c>
      <c r="AG29" s="50">
        <v>25</v>
      </c>
      <c r="AH29" s="48">
        <f t="shared" si="2"/>
        <v>26</v>
      </c>
      <c r="AI29" s="49">
        <f t="shared" si="3"/>
        <v>26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10</v>
      </c>
      <c r="C30" s="46">
        <v>10</v>
      </c>
      <c r="D30" s="46">
        <v>10</v>
      </c>
      <c r="E30" s="46">
        <v>10</v>
      </c>
      <c r="F30" s="46">
        <v>10</v>
      </c>
      <c r="G30" s="46">
        <v>10</v>
      </c>
      <c r="H30" s="46">
        <v>10</v>
      </c>
      <c r="I30" s="46">
        <v>10</v>
      </c>
      <c r="J30" s="46">
        <v>10</v>
      </c>
      <c r="K30" s="46">
        <v>10</v>
      </c>
      <c r="L30" s="46">
        <v>10</v>
      </c>
      <c r="M30" s="46">
        <v>10</v>
      </c>
      <c r="N30" s="46">
        <v>0</v>
      </c>
      <c r="O30" s="46">
        <v>0</v>
      </c>
      <c r="P30" s="46">
        <v>0</v>
      </c>
      <c r="Q30" s="46"/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10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22</v>
      </c>
      <c r="C31" s="46">
        <v>22</v>
      </c>
      <c r="D31" s="46">
        <v>22</v>
      </c>
      <c r="E31" s="46">
        <v>22</v>
      </c>
      <c r="F31" s="46">
        <v>22</v>
      </c>
      <c r="G31" s="46">
        <v>22</v>
      </c>
      <c r="H31" s="46">
        <v>22</v>
      </c>
      <c r="I31" s="46">
        <v>22</v>
      </c>
      <c r="J31" s="46">
        <v>22</v>
      </c>
      <c r="K31" s="46">
        <v>22</v>
      </c>
      <c r="L31" s="46">
        <v>22</v>
      </c>
      <c r="M31" s="46">
        <v>22</v>
      </c>
      <c r="N31" s="46">
        <v>22</v>
      </c>
      <c r="O31" s="46">
        <v>22</v>
      </c>
      <c r="P31" s="46">
        <v>22</v>
      </c>
      <c r="Q31" s="46"/>
      <c r="R31" s="46">
        <v>22</v>
      </c>
      <c r="S31" s="46">
        <v>22</v>
      </c>
      <c r="T31" s="46">
        <v>22</v>
      </c>
      <c r="U31" s="46">
        <v>22</v>
      </c>
      <c r="V31" s="46">
        <v>22</v>
      </c>
      <c r="W31" s="46">
        <v>22</v>
      </c>
      <c r="X31" s="46">
        <v>22</v>
      </c>
      <c r="Y31" s="46">
        <v>22</v>
      </c>
      <c r="Z31" s="46">
        <v>22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25</v>
      </c>
      <c r="AG31" s="50">
        <v>25</v>
      </c>
      <c r="AH31" s="48">
        <f t="shared" si="2"/>
        <v>25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25.6</v>
      </c>
      <c r="C32" s="46">
        <v>25.6</v>
      </c>
      <c r="D32" s="46">
        <v>25.6</v>
      </c>
      <c r="E32" s="46">
        <v>25.6</v>
      </c>
      <c r="F32" s="46">
        <v>25.6</v>
      </c>
      <c r="G32" s="46">
        <v>25.6</v>
      </c>
      <c r="H32" s="46">
        <v>25.6</v>
      </c>
      <c r="I32" s="46">
        <v>25.6</v>
      </c>
      <c r="J32" s="46">
        <v>25.6</v>
      </c>
      <c r="K32" s="46">
        <v>25.6</v>
      </c>
      <c r="L32" s="46">
        <v>25.6</v>
      </c>
      <c r="M32" s="46">
        <v>25.6</v>
      </c>
      <c r="N32" s="46">
        <v>25.6</v>
      </c>
      <c r="O32" s="46">
        <v>25.6</v>
      </c>
      <c r="P32" s="46">
        <v>15</v>
      </c>
      <c r="Q32" s="46"/>
      <c r="R32" s="46">
        <v>15</v>
      </c>
      <c r="S32" s="46">
        <v>15</v>
      </c>
      <c r="T32" s="46">
        <v>15</v>
      </c>
      <c r="U32" s="46">
        <v>8.6999999999999993</v>
      </c>
      <c r="V32" s="46">
        <v>8.6999999999999993</v>
      </c>
      <c r="W32" s="46">
        <v>8.6999999999999993</v>
      </c>
      <c r="X32" s="46">
        <v>0</v>
      </c>
      <c r="Y32" s="46">
        <v>0</v>
      </c>
      <c r="Z32" s="46">
        <v>0</v>
      </c>
      <c r="AA32" s="46">
        <v>24.5</v>
      </c>
      <c r="AB32" s="46">
        <v>24.5</v>
      </c>
      <c r="AC32" s="46">
        <v>15.5</v>
      </c>
      <c r="AD32" s="46">
        <v>15.5</v>
      </c>
      <c r="AE32" s="46">
        <v>15.5</v>
      </c>
      <c r="AF32" s="46">
        <v>15.5</v>
      </c>
      <c r="AG32" s="50">
        <v>25</v>
      </c>
      <c r="AH32" s="48">
        <f t="shared" si="2"/>
        <v>25.6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22.4</v>
      </c>
      <c r="C33" s="46">
        <v>22.4</v>
      </c>
      <c r="D33" s="46">
        <v>22.4</v>
      </c>
      <c r="E33" s="46">
        <v>22.4</v>
      </c>
      <c r="F33" s="46">
        <v>22.4</v>
      </c>
      <c r="G33" s="46">
        <v>22.4</v>
      </c>
      <c r="H33" s="46">
        <v>22.4</v>
      </c>
      <c r="I33" s="46">
        <v>22.4</v>
      </c>
      <c r="J33" s="46">
        <v>22.4</v>
      </c>
      <c r="K33" s="46">
        <v>22.4</v>
      </c>
      <c r="L33" s="46">
        <v>22.4</v>
      </c>
      <c r="M33" s="46">
        <v>22.4</v>
      </c>
      <c r="N33" s="46">
        <v>22.4</v>
      </c>
      <c r="O33" s="46">
        <v>22.4</v>
      </c>
      <c r="P33" s="46">
        <v>22.4</v>
      </c>
      <c r="Q33" s="46"/>
      <c r="R33" s="46">
        <v>22.4</v>
      </c>
      <c r="S33" s="46">
        <v>22.4</v>
      </c>
      <c r="T33" s="46">
        <v>22.4</v>
      </c>
      <c r="U33" s="46">
        <v>22.4</v>
      </c>
      <c r="V33" s="46">
        <v>22.4</v>
      </c>
      <c r="W33" s="46">
        <v>22.4</v>
      </c>
      <c r="X33" s="46">
        <v>22.4</v>
      </c>
      <c r="Y33" s="46">
        <v>22.4</v>
      </c>
      <c r="Z33" s="46">
        <v>22.4</v>
      </c>
      <c r="AA33" s="46">
        <v>24.2</v>
      </c>
      <c r="AB33" s="46">
        <v>24.2</v>
      </c>
      <c r="AC33" s="46">
        <v>24.2</v>
      </c>
      <c r="AD33" s="46">
        <v>24.2</v>
      </c>
      <c r="AE33" s="46">
        <v>24.2</v>
      </c>
      <c r="AF33" s="46">
        <v>24.2</v>
      </c>
      <c r="AG33" s="50">
        <v>23.5</v>
      </c>
      <c r="AH33" s="48">
        <f t="shared" si="2"/>
        <v>24.2</v>
      </c>
      <c r="AI33" s="49">
        <f t="shared" si="3"/>
        <v>22.4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/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11</v>
      </c>
      <c r="C35" s="46">
        <v>11</v>
      </c>
      <c r="D35" s="46">
        <v>11</v>
      </c>
      <c r="E35" s="46">
        <v>11</v>
      </c>
      <c r="F35" s="46">
        <v>11</v>
      </c>
      <c r="G35" s="46">
        <v>11</v>
      </c>
      <c r="H35" s="46">
        <v>11</v>
      </c>
      <c r="I35" s="46">
        <v>11</v>
      </c>
      <c r="J35" s="46">
        <v>11</v>
      </c>
      <c r="K35" s="46">
        <v>11</v>
      </c>
      <c r="L35" s="46">
        <v>11</v>
      </c>
      <c r="M35" s="46">
        <v>11</v>
      </c>
      <c r="N35" s="46">
        <v>11</v>
      </c>
      <c r="O35" s="46">
        <v>11</v>
      </c>
      <c r="P35" s="46">
        <v>11</v>
      </c>
      <c r="Q35" s="46"/>
      <c r="R35" s="46">
        <v>11</v>
      </c>
      <c r="S35" s="46">
        <v>11</v>
      </c>
      <c r="T35" s="46">
        <v>11</v>
      </c>
      <c r="U35" s="46">
        <v>11</v>
      </c>
      <c r="V35" s="46">
        <v>11</v>
      </c>
      <c r="W35" s="46">
        <v>11</v>
      </c>
      <c r="X35" s="46">
        <v>11</v>
      </c>
      <c r="Y35" s="46">
        <v>11</v>
      </c>
      <c r="Z35" s="46">
        <v>11</v>
      </c>
      <c r="AA35" s="46">
        <v>11</v>
      </c>
      <c r="AB35" s="46">
        <v>11</v>
      </c>
      <c r="AC35" s="46">
        <v>11</v>
      </c>
      <c r="AD35" s="46">
        <v>11</v>
      </c>
      <c r="AE35" s="46">
        <v>11</v>
      </c>
      <c r="AF35" s="46">
        <v>11</v>
      </c>
      <c r="AG35" s="50">
        <v>22.1</v>
      </c>
      <c r="AH35" s="48">
        <f t="shared" si="2"/>
        <v>11</v>
      </c>
      <c r="AI35" s="49">
        <f t="shared" si="3"/>
        <v>11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/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22</v>
      </c>
      <c r="F37" s="46">
        <v>22</v>
      </c>
      <c r="G37" s="46">
        <v>22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>
        <v>22</v>
      </c>
      <c r="O37" s="46">
        <v>22</v>
      </c>
      <c r="P37" s="46">
        <v>22</v>
      </c>
      <c r="Q37" s="46"/>
      <c r="R37" s="46">
        <v>22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22</v>
      </c>
      <c r="AI37" s="49">
        <f t="shared" si="3"/>
        <v>22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/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/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/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18</v>
      </c>
      <c r="AH40" s="48">
        <f t="shared" si="2"/>
        <v>0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15</v>
      </c>
      <c r="C41" s="46">
        <v>15</v>
      </c>
      <c r="D41" s="46">
        <v>15</v>
      </c>
      <c r="E41" s="46">
        <v>15</v>
      </c>
      <c r="F41" s="46">
        <v>15</v>
      </c>
      <c r="G41" s="46">
        <v>15</v>
      </c>
      <c r="H41" s="46">
        <v>15</v>
      </c>
      <c r="I41" s="46">
        <v>15</v>
      </c>
      <c r="J41" s="46">
        <v>15</v>
      </c>
      <c r="K41" s="46">
        <v>15</v>
      </c>
      <c r="L41" s="46">
        <v>15</v>
      </c>
      <c r="M41" s="46">
        <v>15</v>
      </c>
      <c r="N41" s="46">
        <v>15</v>
      </c>
      <c r="O41" s="46">
        <v>15</v>
      </c>
      <c r="P41" s="46">
        <v>15</v>
      </c>
      <c r="Q41" s="46"/>
      <c r="R41" s="46">
        <v>15</v>
      </c>
      <c r="S41" s="46">
        <v>15</v>
      </c>
      <c r="T41" s="46">
        <v>15</v>
      </c>
      <c r="U41" s="46">
        <v>15</v>
      </c>
      <c r="V41" s="46">
        <v>15</v>
      </c>
      <c r="W41" s="46">
        <v>15</v>
      </c>
      <c r="X41" s="46">
        <v>15</v>
      </c>
      <c r="Y41" s="46">
        <v>15</v>
      </c>
      <c r="Z41" s="46">
        <v>15</v>
      </c>
      <c r="AA41" s="46">
        <v>15</v>
      </c>
      <c r="AB41" s="46">
        <v>15</v>
      </c>
      <c r="AC41" s="46">
        <v>15</v>
      </c>
      <c r="AD41" s="46">
        <v>15</v>
      </c>
      <c r="AE41" s="46">
        <v>15</v>
      </c>
      <c r="AF41" s="46">
        <v>15</v>
      </c>
      <c r="AG41" s="50">
        <v>15.33</v>
      </c>
      <c r="AH41" s="48">
        <f t="shared" si="2"/>
        <v>15</v>
      </c>
      <c r="AI41" s="49">
        <f t="shared" si="3"/>
        <v>15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/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15.5</v>
      </c>
      <c r="C43" s="46">
        <v>15.5</v>
      </c>
      <c r="D43" s="46">
        <v>15.5</v>
      </c>
      <c r="E43" s="46">
        <v>15.5</v>
      </c>
      <c r="F43" s="46">
        <v>15.5</v>
      </c>
      <c r="G43" s="46">
        <v>15.5</v>
      </c>
      <c r="H43" s="46">
        <v>15.5</v>
      </c>
      <c r="I43" s="46">
        <v>15.5</v>
      </c>
      <c r="J43" s="46">
        <v>15.5</v>
      </c>
      <c r="K43" s="46">
        <v>15.5</v>
      </c>
      <c r="L43" s="46">
        <v>15.5</v>
      </c>
      <c r="M43" s="46">
        <v>15.5</v>
      </c>
      <c r="N43" s="46">
        <v>15.5</v>
      </c>
      <c r="O43" s="46">
        <v>15.5</v>
      </c>
      <c r="P43" s="46">
        <v>15.5</v>
      </c>
      <c r="Q43" s="46"/>
      <c r="R43" s="46">
        <v>15.5</v>
      </c>
      <c r="S43" s="46">
        <v>15.5</v>
      </c>
      <c r="T43" s="46">
        <v>15.5</v>
      </c>
      <c r="U43" s="46">
        <v>15.5</v>
      </c>
      <c r="V43" s="46">
        <v>15.5</v>
      </c>
      <c r="W43" s="46">
        <v>15.5</v>
      </c>
      <c r="X43" s="46">
        <v>15.5</v>
      </c>
      <c r="Y43" s="46">
        <v>15.5</v>
      </c>
      <c r="Z43" s="46">
        <v>15.5</v>
      </c>
      <c r="AA43" s="46">
        <v>15.5</v>
      </c>
      <c r="AB43" s="46">
        <v>15.5</v>
      </c>
      <c r="AC43" s="46">
        <v>15.5</v>
      </c>
      <c r="AD43" s="46">
        <v>15.5</v>
      </c>
      <c r="AE43" s="46">
        <v>15.5</v>
      </c>
      <c r="AF43" s="46">
        <v>15.5</v>
      </c>
      <c r="AG43" s="50">
        <v>14.9</v>
      </c>
      <c r="AH43" s="48">
        <f t="shared" si="2"/>
        <v>15.5</v>
      </c>
      <c r="AI43" s="49">
        <f t="shared" si="3"/>
        <v>15.5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/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/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7.1</v>
      </c>
      <c r="C46" s="46">
        <v>7.1</v>
      </c>
      <c r="D46" s="46">
        <v>7.1</v>
      </c>
      <c r="E46" s="46">
        <v>7.1</v>
      </c>
      <c r="F46" s="46">
        <v>7.1</v>
      </c>
      <c r="G46" s="46">
        <v>7.1</v>
      </c>
      <c r="H46" s="46">
        <v>7.1</v>
      </c>
      <c r="I46" s="46">
        <v>7.1</v>
      </c>
      <c r="J46" s="46">
        <v>7.1</v>
      </c>
      <c r="K46" s="46">
        <v>7.1</v>
      </c>
      <c r="L46" s="46">
        <v>7.1</v>
      </c>
      <c r="M46" s="46">
        <v>7.1</v>
      </c>
      <c r="N46" s="46">
        <v>7.1</v>
      </c>
      <c r="O46" s="46">
        <v>7.1</v>
      </c>
      <c r="P46" s="46">
        <v>7.1</v>
      </c>
      <c r="Q46" s="46"/>
      <c r="R46" s="46">
        <v>7.1</v>
      </c>
      <c r="S46" s="46">
        <v>7.1</v>
      </c>
      <c r="T46" s="46">
        <v>7.1</v>
      </c>
      <c r="U46" s="46">
        <v>7.1</v>
      </c>
      <c r="V46" s="46">
        <v>7.1</v>
      </c>
      <c r="W46" s="46">
        <v>7.1</v>
      </c>
      <c r="X46" s="46">
        <v>7.1</v>
      </c>
      <c r="Y46" s="46">
        <v>7.1</v>
      </c>
      <c r="Z46" s="46">
        <v>7.1</v>
      </c>
      <c r="AA46" s="46">
        <v>7.1</v>
      </c>
      <c r="AB46" s="46">
        <v>14</v>
      </c>
      <c r="AC46" s="46">
        <v>14</v>
      </c>
      <c r="AD46" s="46">
        <v>14</v>
      </c>
      <c r="AE46" s="46">
        <v>14</v>
      </c>
      <c r="AF46" s="46">
        <v>7</v>
      </c>
      <c r="AG46" s="50">
        <v>14</v>
      </c>
      <c r="AH46" s="48">
        <f t="shared" si="2"/>
        <v>14</v>
      </c>
      <c r="AI46" s="49">
        <f t="shared" si="3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/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/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12</v>
      </c>
      <c r="C49" s="46">
        <v>12</v>
      </c>
      <c r="D49" s="46">
        <v>12</v>
      </c>
      <c r="E49" s="46">
        <v>12</v>
      </c>
      <c r="F49" s="46">
        <v>12</v>
      </c>
      <c r="G49" s="46">
        <v>12</v>
      </c>
      <c r="H49" s="46">
        <v>12</v>
      </c>
      <c r="I49" s="46">
        <v>12</v>
      </c>
      <c r="J49" s="46">
        <v>12</v>
      </c>
      <c r="K49" s="46">
        <v>12</v>
      </c>
      <c r="L49" s="46">
        <v>12</v>
      </c>
      <c r="M49" s="46">
        <v>12</v>
      </c>
      <c r="N49" s="46">
        <v>12</v>
      </c>
      <c r="O49" s="46">
        <v>12</v>
      </c>
      <c r="P49" s="46">
        <v>7</v>
      </c>
      <c r="Q49" s="46"/>
      <c r="R49" s="46">
        <v>7</v>
      </c>
      <c r="S49" s="46">
        <v>7</v>
      </c>
      <c r="T49" s="46">
        <v>7</v>
      </c>
      <c r="U49" s="46">
        <v>7</v>
      </c>
      <c r="V49" s="46">
        <v>7</v>
      </c>
      <c r="W49" s="46">
        <v>7</v>
      </c>
      <c r="X49" s="46">
        <v>7</v>
      </c>
      <c r="Y49" s="46">
        <v>7</v>
      </c>
      <c r="Z49" s="46">
        <v>7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7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/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/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/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/>
      <c r="R53" s="46">
        <v>12</v>
      </c>
      <c r="S53" s="46">
        <v>12</v>
      </c>
      <c r="T53" s="46">
        <v>12</v>
      </c>
      <c r="U53" s="46">
        <v>12</v>
      </c>
      <c r="V53" s="46">
        <v>12</v>
      </c>
      <c r="W53" s="46">
        <v>12</v>
      </c>
      <c r="X53" s="46">
        <v>12</v>
      </c>
      <c r="Y53" s="46">
        <v>12</v>
      </c>
      <c r="Z53" s="46">
        <v>12</v>
      </c>
      <c r="AA53" s="46">
        <v>12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12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/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10</v>
      </c>
      <c r="C55" s="46">
        <v>10</v>
      </c>
      <c r="D55" s="46">
        <v>10</v>
      </c>
      <c r="E55" s="46">
        <v>10</v>
      </c>
      <c r="F55" s="46">
        <v>10</v>
      </c>
      <c r="G55" s="46">
        <v>10</v>
      </c>
      <c r="H55" s="46">
        <v>10</v>
      </c>
      <c r="I55" s="46">
        <v>10</v>
      </c>
      <c r="J55" s="46">
        <v>10</v>
      </c>
      <c r="K55" s="46">
        <v>10</v>
      </c>
      <c r="L55" s="46">
        <v>10</v>
      </c>
      <c r="M55" s="46">
        <v>10</v>
      </c>
      <c r="N55" s="46">
        <v>10</v>
      </c>
      <c r="O55" s="46">
        <v>10</v>
      </c>
      <c r="P55" s="46">
        <v>10</v>
      </c>
      <c r="Q55" s="46"/>
      <c r="R55" s="46">
        <v>10</v>
      </c>
      <c r="S55" s="46">
        <v>10</v>
      </c>
      <c r="T55" s="46">
        <v>10</v>
      </c>
      <c r="U55" s="46">
        <v>10</v>
      </c>
      <c r="V55" s="46">
        <v>10</v>
      </c>
      <c r="W55" s="46">
        <v>10</v>
      </c>
      <c r="X55" s="46">
        <v>10</v>
      </c>
      <c r="Y55" s="46">
        <v>10</v>
      </c>
      <c r="Z55" s="46">
        <v>10</v>
      </c>
      <c r="AA55" s="46">
        <v>10</v>
      </c>
      <c r="AB55" s="46">
        <v>10</v>
      </c>
      <c r="AC55" s="46">
        <v>10</v>
      </c>
      <c r="AD55" s="46">
        <v>10</v>
      </c>
      <c r="AE55" s="46">
        <v>10</v>
      </c>
      <c r="AF55" s="46">
        <v>10</v>
      </c>
      <c r="AG55" s="66">
        <v>11</v>
      </c>
      <c r="AH55" s="48">
        <f t="shared" si="2"/>
        <v>10</v>
      </c>
      <c r="AI55" s="49">
        <f t="shared" si="3"/>
        <v>10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/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/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/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99</v>
      </c>
      <c r="C60" s="68">
        <v>99</v>
      </c>
      <c r="D60" s="68">
        <v>99</v>
      </c>
      <c r="E60" s="68">
        <v>100</v>
      </c>
      <c r="F60" s="68">
        <v>100</v>
      </c>
      <c r="G60" s="68">
        <v>100</v>
      </c>
      <c r="H60" s="68">
        <v>100</v>
      </c>
      <c r="I60" s="68">
        <v>100</v>
      </c>
      <c r="J60" s="68">
        <v>100</v>
      </c>
      <c r="K60" s="68">
        <v>100</v>
      </c>
      <c r="L60" s="68">
        <v>100</v>
      </c>
      <c r="M60" s="68">
        <f>101</f>
        <v>101</v>
      </c>
      <c r="N60" s="53">
        <v>89</v>
      </c>
      <c r="O60" s="53">
        <f>97.8+50.3</f>
        <v>148.1</v>
      </c>
      <c r="P60" s="53">
        <f>96.6+66.5</f>
        <v>163.1</v>
      </c>
      <c r="Q60" s="53"/>
      <c r="R60" s="53">
        <f>94.6+59.5</f>
        <v>154.1</v>
      </c>
      <c r="S60" s="53">
        <v>157.1</v>
      </c>
      <c r="T60" s="53">
        <v>157.1</v>
      </c>
      <c r="U60" s="53">
        <v>155.80000000000001</v>
      </c>
      <c r="V60" s="53">
        <v>155.80000000000001</v>
      </c>
      <c r="W60" s="53">
        <v>153.5</v>
      </c>
      <c r="X60" s="53">
        <f>70.2+83.2</f>
        <v>153.4</v>
      </c>
      <c r="Y60" s="53">
        <v>176.8</v>
      </c>
      <c r="Z60" s="53">
        <v>176.8</v>
      </c>
      <c r="AA60" s="53">
        <v>176.8</v>
      </c>
      <c r="AB60" s="53">
        <v>177</v>
      </c>
      <c r="AC60" s="53">
        <v>177</v>
      </c>
      <c r="AD60" s="53">
        <v>177</v>
      </c>
      <c r="AE60" s="53">
        <v>177</v>
      </c>
      <c r="AF60" s="53">
        <v>179</v>
      </c>
      <c r="AG60" s="66">
        <v>240</v>
      </c>
      <c r="AH60" s="48">
        <f t="shared" si="2"/>
        <v>179</v>
      </c>
      <c r="AI60" s="49">
        <f t="shared" si="3"/>
        <v>89</v>
      </c>
      <c r="AK60" s="51"/>
    </row>
    <row r="61" spans="1:88" ht="15.75" thickBot="1" x14ac:dyDescent="0.3">
      <c r="A61" s="70" t="s">
        <v>75</v>
      </c>
      <c r="B61" s="71">
        <f t="shared" ref="B61:C61" si="20">SUM(B11:B59)</f>
        <v>1247.5999999999999</v>
      </c>
      <c r="C61" s="71">
        <f t="shared" si="20"/>
        <v>1263.9000000000001</v>
      </c>
      <c r="D61" s="71">
        <f t="shared" ref="D61:E61" si="21">SUM(D11:D59)</f>
        <v>1283.9000000000001</v>
      </c>
      <c r="E61" s="71">
        <f t="shared" si="21"/>
        <v>1283.9000000000001</v>
      </c>
      <c r="F61" s="71">
        <f t="shared" ref="F61:G61" si="22">SUM(F11:F59)</f>
        <v>1336.6400000000003</v>
      </c>
      <c r="G61" s="71">
        <f t="shared" si="22"/>
        <v>1323</v>
      </c>
      <c r="H61" s="71">
        <f t="shared" ref="H61:I61" si="23">SUM(H11:H59)</f>
        <v>1323</v>
      </c>
      <c r="I61" s="71">
        <f t="shared" si="23"/>
        <v>1323</v>
      </c>
      <c r="J61" s="71">
        <f t="shared" ref="J61:K61" si="24">SUM(J11:J59)</f>
        <v>1323</v>
      </c>
      <c r="K61" s="71">
        <f t="shared" si="24"/>
        <v>1351.4</v>
      </c>
      <c r="L61" s="71">
        <f t="shared" ref="L61:M61" si="25">SUM(L11:L59)</f>
        <v>1351.4</v>
      </c>
      <c r="M61" s="71">
        <f t="shared" si="25"/>
        <v>1351.3000000000002</v>
      </c>
      <c r="N61" s="71">
        <f t="shared" ref="N61:AG61" si="26">SUM(N11:N59)</f>
        <v>1339.8000000000002</v>
      </c>
      <c r="O61" s="71">
        <f t="shared" si="26"/>
        <v>1339.7</v>
      </c>
      <c r="P61" s="71">
        <f t="shared" si="26"/>
        <v>1311.8</v>
      </c>
      <c r="Q61" s="71">
        <f t="shared" si="26"/>
        <v>300</v>
      </c>
      <c r="R61" s="71">
        <v>1161.8</v>
      </c>
      <c r="S61" s="71">
        <v>1161.8</v>
      </c>
      <c r="T61" s="71">
        <v>1161.8</v>
      </c>
      <c r="U61" s="71">
        <v>1161.8</v>
      </c>
      <c r="V61" s="71">
        <v>1161.8</v>
      </c>
      <c r="W61" s="71">
        <v>1161.8</v>
      </c>
      <c r="X61" s="71">
        <f t="shared" si="26"/>
        <v>1179.5</v>
      </c>
      <c r="Y61" s="71">
        <f t="shared" ref="Y61:Z61" si="27">SUM(Y11:Y59)</f>
        <v>1214.2</v>
      </c>
      <c r="Z61" s="71">
        <f t="shared" si="27"/>
        <v>1214.2</v>
      </c>
      <c r="AA61" s="71">
        <f t="shared" ref="AA61" si="28">SUM(AA11:AA59)</f>
        <v>1216.8000000000002</v>
      </c>
      <c r="AB61" s="71">
        <f t="shared" si="26"/>
        <v>1290.7000000000003</v>
      </c>
      <c r="AC61" s="71">
        <f t="shared" si="26"/>
        <v>1248.9000000000001</v>
      </c>
      <c r="AD61" s="71">
        <f t="shared" si="26"/>
        <v>1206.4000000000001</v>
      </c>
      <c r="AE61" s="71">
        <f t="shared" si="26"/>
        <v>1216.4000000000001</v>
      </c>
      <c r="AF61" s="71">
        <f t="shared" si="26"/>
        <v>1145.9000000000001</v>
      </c>
      <c r="AG61" s="71">
        <f t="shared" si="26"/>
        <v>1466.0300000000002</v>
      </c>
      <c r="AH61" s="48">
        <f t="shared" si="2"/>
        <v>1351.4</v>
      </c>
      <c r="AI61" s="49">
        <f t="shared" si="3"/>
        <v>300</v>
      </c>
      <c r="AK61" s="51"/>
    </row>
    <row r="62" spans="1:88" x14ac:dyDescent="0.25">
      <c r="A62" s="73" t="s">
        <v>76</v>
      </c>
      <c r="B62" s="46">
        <v>459.1</v>
      </c>
      <c r="C62" s="46">
        <v>459.1</v>
      </c>
      <c r="D62" s="46">
        <v>459.1</v>
      </c>
      <c r="E62" s="46">
        <v>459.1</v>
      </c>
      <c r="F62" s="46">
        <v>459.1</v>
      </c>
      <c r="G62" s="46">
        <v>459.1</v>
      </c>
      <c r="H62" s="46">
        <v>459.1</v>
      </c>
      <c r="I62" s="46">
        <v>459.1</v>
      </c>
      <c r="J62" s="46">
        <v>459.1</v>
      </c>
      <c r="K62" s="46">
        <v>459.1</v>
      </c>
      <c r="L62" s="46">
        <v>459.1</v>
      </c>
      <c r="M62" s="46">
        <v>459.1</v>
      </c>
      <c r="N62" s="46">
        <v>459.1</v>
      </c>
      <c r="O62" s="46">
        <v>459.1</v>
      </c>
      <c r="P62" s="46">
        <v>459.1</v>
      </c>
      <c r="Q62" s="74"/>
      <c r="R62" s="74">
        <v>459.1</v>
      </c>
      <c r="S62" s="74">
        <v>459.1</v>
      </c>
      <c r="T62" s="74">
        <v>459.1</v>
      </c>
      <c r="U62" s="74">
        <v>459.1</v>
      </c>
      <c r="V62" s="74">
        <v>459.1</v>
      </c>
      <c r="W62" s="74">
        <v>459.1</v>
      </c>
      <c r="X62" s="46">
        <v>459.2</v>
      </c>
      <c r="Y62" s="46">
        <v>459.2</v>
      </c>
      <c r="Z62" s="46">
        <v>459.2</v>
      </c>
      <c r="AA62" s="46">
        <v>459.2</v>
      </c>
      <c r="AB62" s="46">
        <v>459.2</v>
      </c>
      <c r="AC62" s="46">
        <v>459.2</v>
      </c>
      <c r="AD62" s="46">
        <v>459.2</v>
      </c>
      <c r="AE62" s="46">
        <v>460.1</v>
      </c>
      <c r="AF62" s="46">
        <v>460.1</v>
      </c>
      <c r="AG62" s="61">
        <v>456</v>
      </c>
      <c r="AH62" s="48">
        <f t="shared" si="2"/>
        <v>460.1</v>
      </c>
      <c r="AI62" s="49">
        <f t="shared" si="3"/>
        <v>459.1</v>
      </c>
      <c r="AK62" s="51"/>
    </row>
    <row r="63" spans="1:88" x14ac:dyDescent="0.25">
      <c r="A63" s="75" t="s">
        <v>77</v>
      </c>
      <c r="B63" s="76">
        <v>60.6</v>
      </c>
      <c r="C63" s="76">
        <v>60.6</v>
      </c>
      <c r="D63" s="76">
        <v>60.6</v>
      </c>
      <c r="E63" s="76">
        <v>60.6</v>
      </c>
      <c r="F63" s="76">
        <v>60.6</v>
      </c>
      <c r="G63" s="76">
        <v>60.6</v>
      </c>
      <c r="H63" s="76">
        <v>60.6</v>
      </c>
      <c r="I63" s="76">
        <v>60.6</v>
      </c>
      <c r="J63" s="76">
        <v>60.6</v>
      </c>
      <c r="K63" s="76">
        <v>60.6</v>
      </c>
      <c r="L63" s="76">
        <v>60.6</v>
      </c>
      <c r="M63" s="76">
        <v>60.6</v>
      </c>
      <c r="N63" s="76">
        <v>60.6</v>
      </c>
      <c r="O63" s="76">
        <v>60.6</v>
      </c>
      <c r="P63" s="76">
        <v>60.6</v>
      </c>
      <c r="Q63" s="76"/>
      <c r="R63" s="76">
        <v>60.6</v>
      </c>
      <c r="S63" s="76">
        <v>60.6</v>
      </c>
      <c r="T63" s="76">
        <v>60.6</v>
      </c>
      <c r="U63" s="76">
        <v>60.6</v>
      </c>
      <c r="V63" s="76">
        <v>60.6</v>
      </c>
      <c r="W63" s="76">
        <v>60.6</v>
      </c>
      <c r="X63" s="76">
        <v>60.7</v>
      </c>
      <c r="Y63" s="76">
        <v>60.7</v>
      </c>
      <c r="Z63" s="76">
        <v>60.7</v>
      </c>
      <c r="AA63" s="76">
        <v>60.7</v>
      </c>
      <c r="AB63" s="76">
        <v>60.7</v>
      </c>
      <c r="AC63" s="76">
        <v>60.7</v>
      </c>
      <c r="AD63" s="76">
        <v>60.7</v>
      </c>
      <c r="AE63" s="76">
        <v>60.7</v>
      </c>
      <c r="AF63" s="76">
        <v>60.7</v>
      </c>
      <c r="AG63" s="66">
        <v>60</v>
      </c>
      <c r="AH63" s="48">
        <f t="shared" si="2"/>
        <v>60.7</v>
      </c>
      <c r="AI63" s="49">
        <f t="shared" si="3"/>
        <v>60.6</v>
      </c>
      <c r="AK63" s="51"/>
    </row>
    <row r="64" spans="1:88" ht="15.75" thickBot="1" x14ac:dyDescent="0.3">
      <c r="A64" s="77" t="s">
        <v>78</v>
      </c>
      <c r="B64" s="78">
        <v>22.7</v>
      </c>
      <c r="C64" s="78">
        <v>22.7</v>
      </c>
      <c r="D64" s="78">
        <v>22.7</v>
      </c>
      <c r="E64" s="78">
        <v>22.7</v>
      </c>
      <c r="F64" s="78">
        <v>22.7</v>
      </c>
      <c r="G64" s="78">
        <v>22.7</v>
      </c>
      <c r="H64" s="78">
        <v>22.7</v>
      </c>
      <c r="I64" s="78">
        <v>22.7</v>
      </c>
      <c r="J64" s="78">
        <v>22.7</v>
      </c>
      <c r="K64" s="78">
        <v>22.7</v>
      </c>
      <c r="L64" s="78">
        <v>22.7</v>
      </c>
      <c r="M64" s="78">
        <v>22.7</v>
      </c>
      <c r="N64" s="78">
        <v>22.7</v>
      </c>
      <c r="O64" s="78">
        <v>22.7</v>
      </c>
      <c r="P64" s="78">
        <v>22.7</v>
      </c>
      <c r="Q64" s="78"/>
      <c r="R64" s="78">
        <v>22.7</v>
      </c>
      <c r="S64" s="78">
        <v>22.7</v>
      </c>
      <c r="T64" s="78">
        <v>22.7</v>
      </c>
      <c r="U64" s="78">
        <v>22.7</v>
      </c>
      <c r="V64" s="78">
        <v>22.7</v>
      </c>
      <c r="W64" s="78">
        <v>22.7</v>
      </c>
      <c r="X64" s="78">
        <v>22.7</v>
      </c>
      <c r="Y64" s="78">
        <v>22.7</v>
      </c>
      <c r="Z64" s="78">
        <v>22.7</v>
      </c>
      <c r="AA64" s="78">
        <v>22.7</v>
      </c>
      <c r="AB64" s="78">
        <v>22.7</v>
      </c>
      <c r="AC64" s="78">
        <v>22.7</v>
      </c>
      <c r="AD64" s="78">
        <v>22.7</v>
      </c>
      <c r="AE64" s="78">
        <v>22.7</v>
      </c>
      <c r="AF64" s="78">
        <v>22.7</v>
      </c>
      <c r="AG64" s="79">
        <v>22.1</v>
      </c>
      <c r="AH64" s="48">
        <f t="shared" si="2"/>
        <v>22.7</v>
      </c>
      <c r="AI64" s="49">
        <f t="shared" si="3"/>
        <v>22.7</v>
      </c>
      <c r="AK64" s="51"/>
    </row>
    <row r="65" spans="1:75" ht="15.75" thickBot="1" x14ac:dyDescent="0.3">
      <c r="A65" s="80" t="s">
        <v>79</v>
      </c>
      <c r="B65" s="71">
        <f t="shared" ref="B65:C65" si="29">SUM(B62:B64)</f>
        <v>542.40000000000009</v>
      </c>
      <c r="C65" s="71">
        <f t="shared" si="29"/>
        <v>542.40000000000009</v>
      </c>
      <c r="D65" s="71">
        <f t="shared" ref="D65:E65" si="30">SUM(D62:D64)</f>
        <v>542.40000000000009</v>
      </c>
      <c r="E65" s="71">
        <f t="shared" si="30"/>
        <v>542.40000000000009</v>
      </c>
      <c r="F65" s="71">
        <f t="shared" ref="F65:G65" si="31">SUM(F62:F64)</f>
        <v>542.40000000000009</v>
      </c>
      <c r="G65" s="71">
        <f t="shared" si="31"/>
        <v>542.40000000000009</v>
      </c>
      <c r="H65" s="71">
        <f t="shared" ref="H65:I65" si="32">SUM(H62:H64)</f>
        <v>542.40000000000009</v>
      </c>
      <c r="I65" s="71">
        <f t="shared" si="32"/>
        <v>542.40000000000009</v>
      </c>
      <c r="J65" s="71">
        <f t="shared" ref="J65:K65" si="33">SUM(J62:J64)</f>
        <v>542.40000000000009</v>
      </c>
      <c r="K65" s="71">
        <f t="shared" si="33"/>
        <v>542.40000000000009</v>
      </c>
      <c r="L65" s="71">
        <f t="shared" ref="L65:M65" si="34">SUM(L62:L64)</f>
        <v>542.40000000000009</v>
      </c>
      <c r="M65" s="71">
        <f t="shared" si="34"/>
        <v>542.40000000000009</v>
      </c>
      <c r="N65" s="71">
        <f t="shared" ref="N65:AG65" si="35">SUM(N62:N64)</f>
        <v>542.40000000000009</v>
      </c>
      <c r="O65" s="71">
        <f t="shared" si="35"/>
        <v>542.40000000000009</v>
      </c>
      <c r="P65" s="71">
        <f t="shared" si="35"/>
        <v>542.40000000000009</v>
      </c>
      <c r="Q65" s="71">
        <f t="shared" si="35"/>
        <v>0</v>
      </c>
      <c r="R65" s="71">
        <f t="shared" si="35"/>
        <v>542.40000000000009</v>
      </c>
      <c r="S65" s="71">
        <f t="shared" ref="S65:T65" si="36">SUM(S62:S64)</f>
        <v>542.40000000000009</v>
      </c>
      <c r="T65" s="71">
        <f t="shared" si="36"/>
        <v>542.40000000000009</v>
      </c>
      <c r="U65" s="71">
        <f t="shared" ref="U65:V65" si="37">SUM(U62:U64)</f>
        <v>542.40000000000009</v>
      </c>
      <c r="V65" s="71">
        <f t="shared" si="37"/>
        <v>542.40000000000009</v>
      </c>
      <c r="W65" s="71">
        <f t="shared" ref="W65" si="38">SUM(W62:W64)</f>
        <v>542.40000000000009</v>
      </c>
      <c r="X65" s="71">
        <f t="shared" si="35"/>
        <v>542.6</v>
      </c>
      <c r="Y65" s="71">
        <f t="shared" ref="Y65:Z65" si="39">SUM(Y62:Y64)</f>
        <v>542.6</v>
      </c>
      <c r="Z65" s="71">
        <f t="shared" si="39"/>
        <v>542.6</v>
      </c>
      <c r="AA65" s="71">
        <f t="shared" ref="AA65" si="40">SUM(AA62:AA64)</f>
        <v>542.6</v>
      </c>
      <c r="AB65" s="71">
        <f t="shared" si="35"/>
        <v>542.6</v>
      </c>
      <c r="AC65" s="71">
        <f t="shared" si="35"/>
        <v>542.6</v>
      </c>
      <c r="AD65" s="71">
        <f t="shared" si="35"/>
        <v>542.6</v>
      </c>
      <c r="AE65" s="71">
        <f t="shared" si="35"/>
        <v>543.50000000000011</v>
      </c>
      <c r="AF65" s="71">
        <f t="shared" si="35"/>
        <v>543.50000000000011</v>
      </c>
      <c r="AG65" s="72">
        <f t="shared" si="35"/>
        <v>538.1</v>
      </c>
      <c r="AH65" s="48">
        <f t="shared" si="2"/>
        <v>543.50000000000011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138.19999999999999</v>
      </c>
      <c r="C66" s="46">
        <v>138.19999999999999</v>
      </c>
      <c r="D66" s="46">
        <v>138.19999999999999</v>
      </c>
      <c r="E66" s="46">
        <v>141.4</v>
      </c>
      <c r="F66" s="46">
        <v>141.4</v>
      </c>
      <c r="G66" s="46">
        <v>141.4</v>
      </c>
      <c r="H66" s="46">
        <v>141.4</v>
      </c>
      <c r="I66" s="46">
        <v>141.4</v>
      </c>
      <c r="J66" s="46">
        <v>141.4</v>
      </c>
      <c r="K66" s="46">
        <v>141.4</v>
      </c>
      <c r="L66" s="46">
        <v>141.4</v>
      </c>
      <c r="M66" s="46">
        <v>141.4</v>
      </c>
      <c r="N66" s="46">
        <v>141.4</v>
      </c>
      <c r="O66" s="46">
        <v>141.4</v>
      </c>
      <c r="P66" s="46">
        <v>141.4</v>
      </c>
      <c r="Q66" s="46"/>
      <c r="R66" s="46">
        <v>141.4</v>
      </c>
      <c r="S66" s="46">
        <v>141.4</v>
      </c>
      <c r="T66" s="46">
        <v>141.4</v>
      </c>
      <c r="U66" s="46">
        <v>141.4</v>
      </c>
      <c r="V66" s="46">
        <v>141.4</v>
      </c>
      <c r="W66" s="46">
        <v>141.4</v>
      </c>
      <c r="X66" s="46">
        <v>134.5</v>
      </c>
      <c r="Y66" s="46">
        <v>134.5</v>
      </c>
      <c r="Z66" s="46">
        <v>134.5</v>
      </c>
      <c r="AA66" s="46">
        <v>134.5</v>
      </c>
      <c r="AB66" s="46">
        <v>137</v>
      </c>
      <c r="AC66" s="46">
        <v>137</v>
      </c>
      <c r="AD66" s="46">
        <v>137</v>
      </c>
      <c r="AE66" s="46">
        <v>137</v>
      </c>
      <c r="AF66" s="46">
        <v>137</v>
      </c>
      <c r="AG66" s="61">
        <v>144</v>
      </c>
      <c r="AH66" s="48">
        <f t="shared" si="2"/>
        <v>141.4</v>
      </c>
      <c r="AI66" s="49">
        <f t="shared" si="3"/>
        <v>134.5</v>
      </c>
      <c r="AK66" s="51"/>
      <c r="AY66" s="1" t="s">
        <v>86</v>
      </c>
      <c r="AZ66" s="82">
        <f>ROUND(C84,0)</f>
        <v>-22</v>
      </c>
      <c r="BA66" s="81">
        <f t="shared" ref="BA66:BD70" si="41">D84</f>
        <v>-44</v>
      </c>
      <c r="BB66" s="81">
        <f t="shared" si="41"/>
        <v>-46.6</v>
      </c>
      <c r="BC66" s="81">
        <f t="shared" si="41"/>
        <v>-49</v>
      </c>
      <c r="BD66" s="81">
        <f t="shared" si="41"/>
        <v>-52</v>
      </c>
      <c r="BE66" s="82">
        <f>I84</f>
        <v>-32.5</v>
      </c>
      <c r="BF66" s="82">
        <f>K84</f>
        <v>-39.200000000000003</v>
      </c>
      <c r="BG66" s="82">
        <f t="shared" ref="BG66:BP70" si="42">M84</f>
        <v>-40.5</v>
      </c>
      <c r="BH66" s="82">
        <f t="shared" si="42"/>
        <v>-32.1</v>
      </c>
      <c r="BI66" s="82">
        <f t="shared" si="42"/>
        <v>-28.3</v>
      </c>
      <c r="BJ66" s="82">
        <f t="shared" si="42"/>
        <v>-20</v>
      </c>
      <c r="BK66" s="82">
        <f t="shared" si="42"/>
        <v>0</v>
      </c>
      <c r="BL66" s="82">
        <f t="shared" si="42"/>
        <v>-46</v>
      </c>
      <c r="BM66" s="82">
        <f t="shared" si="42"/>
        <v>-56.5</v>
      </c>
      <c r="BN66" s="82">
        <f t="shared" si="42"/>
        <v>-42.8</v>
      </c>
      <c r="BO66" s="82">
        <f t="shared" si="42"/>
        <v>-52.3</v>
      </c>
      <c r="BP66" s="82">
        <f t="shared" si="42"/>
        <v>-55.5</v>
      </c>
      <c r="BQ66" s="82">
        <f>X84</f>
        <v>-51</v>
      </c>
      <c r="BR66" s="82">
        <f>Z84</f>
        <v>-65.7</v>
      </c>
      <c r="BS66" s="81">
        <f>AB84</f>
        <v>-36.799999999999997</v>
      </c>
      <c r="BT66" s="81">
        <f t="shared" ref="BT66:BV70" si="43">AD84</f>
        <v>-29</v>
      </c>
      <c r="BU66" s="81">
        <f t="shared" si="43"/>
        <v>-38.799999999999997</v>
      </c>
      <c r="BV66" s="81">
        <f t="shared" si="43"/>
        <v>-38.299999999999997</v>
      </c>
      <c r="BW66" s="81">
        <f>B84</f>
        <v>-33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/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"/>
        <v>70</v>
      </c>
      <c r="AI67" s="49">
        <f t="shared" si="3"/>
        <v>70</v>
      </c>
      <c r="AK67" s="51"/>
      <c r="AY67" s="1" t="s">
        <v>88</v>
      </c>
      <c r="AZ67" s="82">
        <f>ROUND(C85,0)</f>
        <v>0</v>
      </c>
      <c r="BA67" s="81">
        <f t="shared" si="41"/>
        <v>0</v>
      </c>
      <c r="BB67" s="81">
        <f t="shared" si="41"/>
        <v>0</v>
      </c>
      <c r="BC67" s="81">
        <f t="shared" si="41"/>
        <v>0</v>
      </c>
      <c r="BD67" s="81">
        <f t="shared" si="41"/>
        <v>0</v>
      </c>
      <c r="BE67" s="82">
        <f>I85</f>
        <v>0</v>
      </c>
      <c r="BF67" s="82">
        <f>K85</f>
        <v>0</v>
      </c>
      <c r="BG67" s="82">
        <f t="shared" si="42"/>
        <v>0</v>
      </c>
      <c r="BH67" s="82">
        <f t="shared" si="42"/>
        <v>0</v>
      </c>
      <c r="BI67" s="82">
        <f t="shared" si="42"/>
        <v>0</v>
      </c>
      <c r="BJ67" s="82">
        <f t="shared" si="42"/>
        <v>0</v>
      </c>
      <c r="BK67" s="82">
        <f t="shared" si="42"/>
        <v>0</v>
      </c>
      <c r="BL67" s="82">
        <f t="shared" si="42"/>
        <v>0</v>
      </c>
      <c r="BM67" s="82">
        <f t="shared" si="42"/>
        <v>0</v>
      </c>
      <c r="BN67" s="82">
        <f t="shared" si="42"/>
        <v>0</v>
      </c>
      <c r="BO67" s="82">
        <f t="shared" si="42"/>
        <v>0</v>
      </c>
      <c r="BP67" s="82">
        <f t="shared" si="42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3"/>
        <v>0</v>
      </c>
      <c r="BU67" s="81">
        <f t="shared" si="43"/>
        <v>0</v>
      </c>
      <c r="BV67" s="81">
        <f t="shared" si="43"/>
        <v>0</v>
      </c>
      <c r="BW67" s="81">
        <f>B85</f>
        <v>0</v>
      </c>
    </row>
    <row r="68" spans="1:75" x14ac:dyDescent="0.25">
      <c r="A68" s="65" t="s">
        <v>82</v>
      </c>
      <c r="B68" s="76">
        <v>64.900000000000006</v>
      </c>
      <c r="C68" s="76">
        <v>64.900000000000006</v>
      </c>
      <c r="D68" s="76">
        <v>64.900000000000006</v>
      </c>
      <c r="E68" s="76">
        <v>64.900000000000006</v>
      </c>
      <c r="F68" s="76">
        <v>64.900000000000006</v>
      </c>
      <c r="G68" s="76">
        <v>64.900000000000006</v>
      </c>
      <c r="H68" s="76">
        <v>64.900000000000006</v>
      </c>
      <c r="I68" s="76">
        <v>64.900000000000006</v>
      </c>
      <c r="J68" s="76">
        <v>64.900000000000006</v>
      </c>
      <c r="K68" s="76">
        <v>64.900000000000006</v>
      </c>
      <c r="L68" s="76">
        <v>64.900000000000006</v>
      </c>
      <c r="M68" s="76">
        <v>64.900000000000006</v>
      </c>
      <c r="N68" s="76">
        <v>64.900000000000006</v>
      </c>
      <c r="O68" s="76">
        <v>64.900000000000006</v>
      </c>
      <c r="P68" s="76">
        <v>64.900000000000006</v>
      </c>
      <c r="Q68" s="76"/>
      <c r="R68" s="76">
        <v>64.900000000000006</v>
      </c>
      <c r="S68" s="76">
        <v>64.900000000000006</v>
      </c>
      <c r="T68" s="76">
        <v>64.900000000000006</v>
      </c>
      <c r="U68" s="76">
        <v>64.900000000000006</v>
      </c>
      <c r="V68" s="76">
        <v>64.900000000000006</v>
      </c>
      <c r="W68" s="76">
        <v>64.900000000000006</v>
      </c>
      <c r="X68" s="76">
        <v>64.900000000000006</v>
      </c>
      <c r="Y68" s="76">
        <v>64.900000000000006</v>
      </c>
      <c r="Z68" s="76">
        <v>64.900000000000006</v>
      </c>
      <c r="AA68" s="76">
        <v>64.900000000000006</v>
      </c>
      <c r="AB68" s="76">
        <v>64.900000000000006</v>
      </c>
      <c r="AC68" s="76">
        <v>64.900000000000006</v>
      </c>
      <c r="AD68" s="76">
        <v>64.900000000000006</v>
      </c>
      <c r="AE68" s="76">
        <v>64.900000000000006</v>
      </c>
      <c r="AF68" s="76">
        <v>64.900000000000006</v>
      </c>
      <c r="AG68" s="66">
        <v>69</v>
      </c>
      <c r="AH68" s="48">
        <f t="shared" si="2"/>
        <v>64.900000000000006</v>
      </c>
      <c r="AI68" s="49">
        <f t="shared" si="3"/>
        <v>64.900000000000006</v>
      </c>
      <c r="AK68" s="51"/>
      <c r="AL68" s="83"/>
      <c r="AO68" s="83"/>
      <c r="AY68" s="1" t="s">
        <v>90</v>
      </c>
      <c r="AZ68" s="82">
        <f>ROUND(C86,0)</f>
        <v>-510</v>
      </c>
      <c r="BA68" s="81">
        <f t="shared" si="41"/>
        <v>-563</v>
      </c>
      <c r="BB68" s="81">
        <f t="shared" si="41"/>
        <v>-482.9</v>
      </c>
      <c r="BC68" s="81">
        <f t="shared" si="41"/>
        <v>-601.4</v>
      </c>
      <c r="BD68" s="81">
        <f t="shared" si="41"/>
        <v>-592.1</v>
      </c>
      <c r="BE68" s="82">
        <f>I86</f>
        <v>-542.1</v>
      </c>
      <c r="BF68" s="82">
        <f>K86</f>
        <v>-611.20000000000005</v>
      </c>
      <c r="BG68" s="82">
        <f t="shared" si="42"/>
        <v>-564</v>
      </c>
      <c r="BH68" s="82">
        <f t="shared" si="42"/>
        <v>-547</v>
      </c>
      <c r="BI68" s="82">
        <f t="shared" si="42"/>
        <v>-602</v>
      </c>
      <c r="BJ68" s="82">
        <f t="shared" si="42"/>
        <v>-600</v>
      </c>
      <c r="BK68" s="82">
        <f t="shared" si="42"/>
        <v>0</v>
      </c>
      <c r="BL68" s="82">
        <f t="shared" si="42"/>
        <v>-575</v>
      </c>
      <c r="BM68" s="82">
        <f t="shared" si="42"/>
        <v>-492.4</v>
      </c>
      <c r="BN68" s="82">
        <f t="shared" si="42"/>
        <v>-601.1</v>
      </c>
      <c r="BO68" s="82">
        <f t="shared" si="42"/>
        <v>-622.1</v>
      </c>
      <c r="BP68" s="82">
        <f t="shared" si="42"/>
        <v>-654.1</v>
      </c>
      <c r="BQ68" s="82">
        <f>X86</f>
        <v>-595</v>
      </c>
      <c r="BR68" s="82">
        <f>Z86</f>
        <v>-561.6</v>
      </c>
      <c r="BS68" s="81">
        <f>AB86</f>
        <v>-594</v>
      </c>
      <c r="BT68" s="81">
        <f t="shared" si="43"/>
        <v>-546.5</v>
      </c>
      <c r="BU68" s="81">
        <f t="shared" si="43"/>
        <v>-586.79999999999995</v>
      </c>
      <c r="BV68" s="81">
        <f t="shared" si="43"/>
        <v>-567.1</v>
      </c>
      <c r="BW68" s="81">
        <f>B86</f>
        <v>-480</v>
      </c>
    </row>
    <row r="69" spans="1:75" s="83" customFormat="1" x14ac:dyDescent="0.25">
      <c r="A69" s="65" t="s">
        <v>83</v>
      </c>
      <c r="B69" s="76">
        <v>52.4</v>
      </c>
      <c r="C69" s="76">
        <v>52.4</v>
      </c>
      <c r="D69" s="76">
        <v>52.4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61</v>
      </c>
      <c r="N69" s="76">
        <v>61</v>
      </c>
      <c r="O69" s="76">
        <v>60</v>
      </c>
      <c r="P69" s="76">
        <v>60</v>
      </c>
      <c r="Q69" s="76"/>
      <c r="R69" s="76">
        <v>61</v>
      </c>
      <c r="S69" s="76">
        <v>61</v>
      </c>
      <c r="T69" s="76">
        <v>61</v>
      </c>
      <c r="U69" s="76">
        <v>61</v>
      </c>
      <c r="V69" s="76">
        <v>61</v>
      </c>
      <c r="W69" s="76">
        <v>61</v>
      </c>
      <c r="X69" s="76">
        <v>61</v>
      </c>
      <c r="Y69" s="76">
        <v>61</v>
      </c>
      <c r="Z69" s="76">
        <v>61</v>
      </c>
      <c r="AA69" s="76">
        <v>61</v>
      </c>
      <c r="AB69" s="76">
        <v>61</v>
      </c>
      <c r="AC69" s="76">
        <v>61</v>
      </c>
      <c r="AD69" s="76">
        <v>61</v>
      </c>
      <c r="AE69" s="76">
        <v>0</v>
      </c>
      <c r="AF69" s="76">
        <v>60</v>
      </c>
      <c r="AG69" s="66">
        <v>60</v>
      </c>
      <c r="AH69" s="48">
        <f t="shared" si="2"/>
        <v>61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41"/>
        <v>0</v>
      </c>
      <c r="BB69" s="81">
        <f t="shared" si="41"/>
        <v>0</v>
      </c>
      <c r="BC69" s="81">
        <f t="shared" si="41"/>
        <v>0</v>
      </c>
      <c r="BD69" s="81">
        <f t="shared" si="41"/>
        <v>0</v>
      </c>
      <c r="BE69" s="82">
        <f>I87</f>
        <v>0</v>
      </c>
      <c r="BF69" s="82">
        <f>K87</f>
        <v>0</v>
      </c>
      <c r="BG69" s="82">
        <f t="shared" si="42"/>
        <v>0</v>
      </c>
      <c r="BH69" s="82">
        <f t="shared" si="42"/>
        <v>0</v>
      </c>
      <c r="BI69" s="82">
        <f t="shared" si="42"/>
        <v>0</v>
      </c>
      <c r="BJ69" s="82">
        <f t="shared" si="42"/>
        <v>0</v>
      </c>
      <c r="BK69" s="82">
        <f t="shared" si="42"/>
        <v>0</v>
      </c>
      <c r="BL69" s="82">
        <f t="shared" si="42"/>
        <v>0</v>
      </c>
      <c r="BM69" s="82">
        <f t="shared" si="42"/>
        <v>0</v>
      </c>
      <c r="BN69" s="82">
        <f t="shared" si="42"/>
        <v>0</v>
      </c>
      <c r="BO69" s="82">
        <f t="shared" si="42"/>
        <v>0</v>
      </c>
      <c r="BP69" s="82">
        <f t="shared" si="42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3"/>
        <v>0</v>
      </c>
      <c r="BU69" s="81">
        <f t="shared" si="43"/>
        <v>0</v>
      </c>
      <c r="BV69" s="81">
        <f t="shared" si="43"/>
        <v>0</v>
      </c>
      <c r="BW69" s="81">
        <f>B87</f>
        <v>0</v>
      </c>
    </row>
    <row r="70" spans="1:75" x14ac:dyDescent="0.25">
      <c r="A70" s="65" t="s">
        <v>84</v>
      </c>
      <c r="B70" s="46">
        <v>26.6</v>
      </c>
      <c r="C70" s="46">
        <v>0</v>
      </c>
      <c r="D70" s="46">
        <v>0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46">
        <v>0</v>
      </c>
      <c r="Q70" s="76"/>
      <c r="R70" s="46">
        <v>24</v>
      </c>
      <c r="S70" s="46">
        <v>24</v>
      </c>
      <c r="T70" s="46">
        <v>27.1</v>
      </c>
      <c r="U70" s="46">
        <v>27.1</v>
      </c>
      <c r="V70" s="46">
        <v>27.1</v>
      </c>
      <c r="W70" s="46">
        <v>27.1</v>
      </c>
      <c r="X70" s="46">
        <v>27.1</v>
      </c>
      <c r="Y70" s="46">
        <v>27.1</v>
      </c>
      <c r="Z70" s="46">
        <v>27.1</v>
      </c>
      <c r="AA70" s="46">
        <v>27.1</v>
      </c>
      <c r="AB70" s="46">
        <v>27.1</v>
      </c>
      <c r="AC70" s="46">
        <v>27.1</v>
      </c>
      <c r="AD70" s="46">
        <v>27.1</v>
      </c>
      <c r="AE70" s="46">
        <v>27.1</v>
      </c>
      <c r="AF70" s="46">
        <v>26.6</v>
      </c>
      <c r="AG70" s="66">
        <v>30</v>
      </c>
      <c r="AH70" s="48">
        <f t="shared" si="2"/>
        <v>27.1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41"/>
        <v>0</v>
      </c>
      <c r="BB70" s="81">
        <f t="shared" si="41"/>
        <v>0</v>
      </c>
      <c r="BC70" s="81">
        <f t="shared" si="41"/>
        <v>0</v>
      </c>
      <c r="BD70" s="81">
        <f t="shared" si="41"/>
        <v>0</v>
      </c>
      <c r="BE70" s="82">
        <f>I88</f>
        <v>0</v>
      </c>
      <c r="BF70" s="82">
        <f>K88</f>
        <v>0</v>
      </c>
      <c r="BG70" s="82">
        <f t="shared" si="42"/>
        <v>0</v>
      </c>
      <c r="BH70" s="82">
        <f t="shared" si="42"/>
        <v>0</v>
      </c>
      <c r="BI70" s="82">
        <f t="shared" si="42"/>
        <v>0</v>
      </c>
      <c r="BJ70" s="82">
        <f t="shared" si="42"/>
        <v>0</v>
      </c>
      <c r="BK70" s="82">
        <f t="shared" si="42"/>
        <v>0</v>
      </c>
      <c r="BL70" s="82">
        <f t="shared" si="42"/>
        <v>0</v>
      </c>
      <c r="BM70" s="82">
        <f t="shared" si="42"/>
        <v>0</v>
      </c>
      <c r="BN70" s="82">
        <f t="shared" si="42"/>
        <v>0</v>
      </c>
      <c r="BO70" s="82">
        <f t="shared" si="42"/>
        <v>0</v>
      </c>
      <c r="BP70" s="82">
        <f t="shared" si="42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3"/>
        <v>0</v>
      </c>
      <c r="BU70" s="81">
        <f t="shared" si="43"/>
        <v>0</v>
      </c>
      <c r="BV70" s="81">
        <f t="shared" si="43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3.6</v>
      </c>
      <c r="K71" s="46">
        <v>3.5</v>
      </c>
      <c r="L71" s="46">
        <v>3.5</v>
      </c>
      <c r="M71" s="46">
        <v>3.5</v>
      </c>
      <c r="N71" s="46">
        <v>5</v>
      </c>
      <c r="O71" s="46">
        <v>6.7</v>
      </c>
      <c r="P71" s="46">
        <v>8.9</v>
      </c>
      <c r="Q71" s="76"/>
      <c r="R71" s="46">
        <v>10.3</v>
      </c>
      <c r="S71" s="46">
        <v>2.4</v>
      </c>
      <c r="T71" s="46">
        <v>1.8</v>
      </c>
      <c r="U71" s="46">
        <v>0.6</v>
      </c>
      <c r="V71" s="46">
        <v>0.6</v>
      </c>
      <c r="W71" s="46">
        <v>1.2</v>
      </c>
      <c r="X71" s="46">
        <v>1.2</v>
      </c>
      <c r="Y71" s="46">
        <v>0.3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10.3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4">M94</f>
        <v>0</v>
      </c>
      <c r="BH71" s="82">
        <f t="shared" si="44"/>
        <v>0</v>
      </c>
      <c r="BI71" s="82">
        <f t="shared" si="44"/>
        <v>0</v>
      </c>
      <c r="BJ71" s="82">
        <f t="shared" si="44"/>
        <v>0</v>
      </c>
      <c r="BK71" s="82">
        <f t="shared" si="44"/>
        <v>0</v>
      </c>
      <c r="BL71" s="82">
        <f t="shared" si="44"/>
        <v>0</v>
      </c>
      <c r="BM71" s="82">
        <f t="shared" si="44"/>
        <v>0</v>
      </c>
      <c r="BN71" s="82">
        <f t="shared" si="44"/>
        <v>0</v>
      </c>
      <c r="BO71" s="82">
        <f t="shared" si="44"/>
        <v>0</v>
      </c>
      <c r="BP71" s="82">
        <f t="shared" si="44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10.7</v>
      </c>
      <c r="C72" s="76">
        <v>10.7</v>
      </c>
      <c r="D72" s="76">
        <v>10.7</v>
      </c>
      <c r="E72" s="76">
        <v>10.7</v>
      </c>
      <c r="F72" s="76">
        <v>10.7</v>
      </c>
      <c r="G72" s="76">
        <v>10.7</v>
      </c>
      <c r="H72" s="76">
        <v>10.7</v>
      </c>
      <c r="I72" s="76">
        <v>10.7</v>
      </c>
      <c r="J72" s="76">
        <v>10.7</v>
      </c>
      <c r="K72" s="76">
        <v>10.7</v>
      </c>
      <c r="L72" s="76">
        <v>10.7</v>
      </c>
      <c r="M72" s="76">
        <v>10.7</v>
      </c>
      <c r="N72" s="76">
        <v>10.7</v>
      </c>
      <c r="O72" s="76">
        <v>10.7</v>
      </c>
      <c r="P72" s="76">
        <v>10.7</v>
      </c>
      <c r="Q72" s="76"/>
      <c r="R72" s="76">
        <v>11.9</v>
      </c>
      <c r="S72" s="76">
        <v>11.9</v>
      </c>
      <c r="T72" s="76">
        <v>11.9</v>
      </c>
      <c r="U72" s="76">
        <v>11.9</v>
      </c>
      <c r="V72" s="76">
        <v>11.9</v>
      </c>
      <c r="W72" s="76">
        <v>11.9</v>
      </c>
      <c r="X72" s="76">
        <v>11.9</v>
      </c>
      <c r="Y72" s="76">
        <v>11.9</v>
      </c>
      <c r="Z72" s="76">
        <v>11.9</v>
      </c>
      <c r="AA72" s="76">
        <v>11.9</v>
      </c>
      <c r="AB72" s="76">
        <v>11.9</v>
      </c>
      <c r="AC72" s="76">
        <v>11.9</v>
      </c>
      <c r="AD72" s="76">
        <v>11.9</v>
      </c>
      <c r="AE72" s="76">
        <v>11.9</v>
      </c>
      <c r="AF72" s="76">
        <v>12.7</v>
      </c>
      <c r="AG72" s="66">
        <v>24</v>
      </c>
      <c r="AH72" s="48">
        <f t="shared" si="2"/>
        <v>12.7</v>
      </c>
      <c r="AI72" s="49">
        <f t="shared" si="3"/>
        <v>10.7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4.4000000000000004</v>
      </c>
      <c r="C73" s="76">
        <v>4.4000000000000004</v>
      </c>
      <c r="D73" s="76">
        <v>4.4000000000000004</v>
      </c>
      <c r="E73" s="76">
        <v>4.4000000000000004</v>
      </c>
      <c r="F73" s="76">
        <v>4.4000000000000004</v>
      </c>
      <c r="G73" s="76">
        <v>4.4000000000000004</v>
      </c>
      <c r="H73" s="76">
        <v>4.4000000000000004</v>
      </c>
      <c r="I73" s="76">
        <v>4.4000000000000004</v>
      </c>
      <c r="J73" s="76">
        <v>4.4000000000000004</v>
      </c>
      <c r="K73" s="76">
        <v>4.4000000000000004</v>
      </c>
      <c r="L73" s="76">
        <v>4.4000000000000004</v>
      </c>
      <c r="M73" s="76">
        <v>4.4000000000000004</v>
      </c>
      <c r="N73" s="76">
        <v>4.4000000000000004</v>
      </c>
      <c r="O73" s="76">
        <v>4.4000000000000004</v>
      </c>
      <c r="P73" s="76">
        <v>4.4000000000000004</v>
      </c>
      <c r="Q73" s="76"/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2</v>
      </c>
      <c r="Y73" s="76">
        <v>2</v>
      </c>
      <c r="Z73" s="76">
        <v>2</v>
      </c>
      <c r="AA73" s="76">
        <v>2</v>
      </c>
      <c r="AB73" s="76">
        <v>4</v>
      </c>
      <c r="AC73" s="76">
        <v>4</v>
      </c>
      <c r="AD73" s="76">
        <v>4</v>
      </c>
      <c r="AE73" s="76">
        <v>4</v>
      </c>
      <c r="AF73" s="76">
        <v>4</v>
      </c>
      <c r="AG73" s="66">
        <v>15</v>
      </c>
      <c r="AH73" s="48">
        <f t="shared" si="2"/>
        <v>4.4000000000000004</v>
      </c>
      <c r="AI73" s="49">
        <f t="shared" si="3"/>
        <v>0</v>
      </c>
      <c r="AK73" s="51"/>
      <c r="AZ73" s="82">
        <f t="shared" ref="AZ73:BW78" si="45">VALUE(AZ66)</f>
        <v>-22</v>
      </c>
      <c r="BA73" s="82">
        <f t="shared" si="45"/>
        <v>-44</v>
      </c>
      <c r="BB73" s="82">
        <f t="shared" si="45"/>
        <v>-46.6</v>
      </c>
      <c r="BC73" s="82">
        <f t="shared" si="45"/>
        <v>-49</v>
      </c>
      <c r="BD73" s="82">
        <f t="shared" si="45"/>
        <v>-52</v>
      </c>
      <c r="BE73" s="82">
        <f t="shared" si="45"/>
        <v>-32.5</v>
      </c>
      <c r="BF73" s="82">
        <f t="shared" si="45"/>
        <v>-39.200000000000003</v>
      </c>
      <c r="BG73" s="82">
        <f t="shared" si="45"/>
        <v>-40.5</v>
      </c>
      <c r="BH73" s="82">
        <f t="shared" si="45"/>
        <v>-32.1</v>
      </c>
      <c r="BI73" s="82">
        <f t="shared" si="45"/>
        <v>-28.3</v>
      </c>
      <c r="BJ73" s="82">
        <f t="shared" si="45"/>
        <v>-20</v>
      </c>
      <c r="BK73" s="82">
        <f t="shared" si="45"/>
        <v>0</v>
      </c>
      <c r="BL73" s="82">
        <f t="shared" si="45"/>
        <v>-46</v>
      </c>
      <c r="BM73" s="82">
        <f t="shared" si="45"/>
        <v>-56.5</v>
      </c>
      <c r="BN73" s="82">
        <f t="shared" si="45"/>
        <v>-42.8</v>
      </c>
      <c r="BO73" s="82">
        <f t="shared" si="45"/>
        <v>-52.3</v>
      </c>
      <c r="BP73" s="82">
        <f t="shared" si="45"/>
        <v>-55.5</v>
      </c>
      <c r="BQ73" s="82">
        <f t="shared" si="45"/>
        <v>-51</v>
      </c>
      <c r="BR73" s="82">
        <f t="shared" si="45"/>
        <v>-65.7</v>
      </c>
      <c r="BS73" s="82">
        <f t="shared" si="45"/>
        <v>-36.799999999999997</v>
      </c>
      <c r="BT73" s="82">
        <f t="shared" si="45"/>
        <v>-29</v>
      </c>
      <c r="BU73" s="82">
        <f t="shared" si="45"/>
        <v>-38.799999999999997</v>
      </c>
      <c r="BV73" s="82">
        <f t="shared" si="45"/>
        <v>-38.299999999999997</v>
      </c>
      <c r="BW73" s="82">
        <f t="shared" si="45"/>
        <v>-33</v>
      </c>
    </row>
    <row r="74" spans="1:75" x14ac:dyDescent="0.25">
      <c r="A74" s="65" t="s">
        <v>91</v>
      </c>
      <c r="B74" s="76">
        <v>5</v>
      </c>
      <c r="C74" s="76">
        <v>5</v>
      </c>
      <c r="D74" s="76">
        <v>5</v>
      </c>
      <c r="E74" s="76">
        <v>5</v>
      </c>
      <c r="F74" s="76">
        <v>5</v>
      </c>
      <c r="G74" s="76">
        <v>5</v>
      </c>
      <c r="H74" s="76">
        <v>5</v>
      </c>
      <c r="I74" s="76">
        <v>5</v>
      </c>
      <c r="J74" s="76">
        <v>5</v>
      </c>
      <c r="K74" s="76">
        <v>5</v>
      </c>
      <c r="L74" s="76">
        <v>5</v>
      </c>
      <c r="M74" s="76">
        <v>5</v>
      </c>
      <c r="N74" s="76">
        <v>5</v>
      </c>
      <c r="O74" s="76">
        <v>5</v>
      </c>
      <c r="P74" s="76">
        <v>5</v>
      </c>
      <c r="Q74" s="76"/>
      <c r="R74" s="76">
        <v>5</v>
      </c>
      <c r="S74" s="76">
        <v>5</v>
      </c>
      <c r="T74" s="76">
        <v>5</v>
      </c>
      <c r="U74" s="76">
        <v>5</v>
      </c>
      <c r="V74" s="76">
        <v>5</v>
      </c>
      <c r="W74" s="76">
        <v>5</v>
      </c>
      <c r="X74" s="76">
        <v>5</v>
      </c>
      <c r="Y74" s="76">
        <v>5</v>
      </c>
      <c r="Z74" s="76">
        <v>5</v>
      </c>
      <c r="AA74" s="76">
        <v>5</v>
      </c>
      <c r="AB74" s="76">
        <v>5</v>
      </c>
      <c r="AC74" s="76">
        <v>5</v>
      </c>
      <c r="AD74" s="76">
        <v>5</v>
      </c>
      <c r="AE74" s="76">
        <v>5</v>
      </c>
      <c r="AF74" s="76">
        <v>5</v>
      </c>
      <c r="AG74" s="66">
        <v>14.1</v>
      </c>
      <c r="AH74" s="48">
        <f t="shared" si="2"/>
        <v>5</v>
      </c>
      <c r="AI74" s="49">
        <f t="shared" si="3"/>
        <v>5</v>
      </c>
      <c r="AK74" s="51"/>
      <c r="AZ74" s="82">
        <f t="shared" si="45"/>
        <v>0</v>
      </c>
      <c r="BA74" s="82">
        <f t="shared" si="45"/>
        <v>0</v>
      </c>
      <c r="BB74" s="82">
        <f t="shared" si="45"/>
        <v>0</v>
      </c>
      <c r="BC74" s="82">
        <f t="shared" si="45"/>
        <v>0</v>
      </c>
      <c r="BD74" s="82">
        <f t="shared" si="45"/>
        <v>0</v>
      </c>
      <c r="BE74" s="82">
        <f t="shared" si="45"/>
        <v>0</v>
      </c>
      <c r="BF74" s="82">
        <f t="shared" si="45"/>
        <v>0</v>
      </c>
      <c r="BG74" s="82">
        <f t="shared" si="45"/>
        <v>0</v>
      </c>
      <c r="BH74" s="82">
        <f t="shared" si="45"/>
        <v>0</v>
      </c>
      <c r="BI74" s="82">
        <f t="shared" si="45"/>
        <v>0</v>
      </c>
      <c r="BJ74" s="82">
        <f t="shared" si="45"/>
        <v>0</v>
      </c>
      <c r="BK74" s="82">
        <f t="shared" si="45"/>
        <v>0</v>
      </c>
      <c r="BL74" s="82">
        <f t="shared" si="45"/>
        <v>0</v>
      </c>
      <c r="BM74" s="82">
        <f t="shared" si="45"/>
        <v>0</v>
      </c>
      <c r="BN74" s="82">
        <f t="shared" si="45"/>
        <v>0</v>
      </c>
      <c r="BO74" s="82">
        <f t="shared" si="45"/>
        <v>0</v>
      </c>
      <c r="BP74" s="82">
        <f t="shared" si="45"/>
        <v>0</v>
      </c>
      <c r="BQ74" s="82">
        <f t="shared" si="45"/>
        <v>0</v>
      </c>
      <c r="BR74" s="82">
        <f t="shared" si="45"/>
        <v>0</v>
      </c>
      <c r="BS74" s="82">
        <f t="shared" si="45"/>
        <v>0</v>
      </c>
      <c r="BT74" s="82">
        <f t="shared" si="45"/>
        <v>0</v>
      </c>
      <c r="BU74" s="82">
        <f t="shared" si="45"/>
        <v>0</v>
      </c>
      <c r="BV74" s="82">
        <f t="shared" si="45"/>
        <v>0</v>
      </c>
      <c r="BW74" s="82">
        <f t="shared" si="45"/>
        <v>0</v>
      </c>
    </row>
    <row r="75" spans="1:75" x14ac:dyDescent="0.25">
      <c r="A75" s="84" t="s">
        <v>93</v>
      </c>
      <c r="B75" s="76">
        <v>12.1</v>
      </c>
      <c r="C75" s="76">
        <v>12.1</v>
      </c>
      <c r="D75" s="76">
        <v>12.1</v>
      </c>
      <c r="E75" s="76">
        <v>12.1</v>
      </c>
      <c r="F75" s="76">
        <v>12.1</v>
      </c>
      <c r="G75" s="76">
        <v>12.1</v>
      </c>
      <c r="H75" s="76">
        <v>12.1</v>
      </c>
      <c r="I75" s="76">
        <v>12.1</v>
      </c>
      <c r="J75" s="76">
        <v>12.1</v>
      </c>
      <c r="K75" s="76">
        <v>12.1</v>
      </c>
      <c r="L75" s="76">
        <v>12.1</v>
      </c>
      <c r="M75" s="76">
        <v>12.1</v>
      </c>
      <c r="N75" s="76">
        <v>12.1</v>
      </c>
      <c r="O75" s="76">
        <v>12.1</v>
      </c>
      <c r="P75" s="76">
        <v>7</v>
      </c>
      <c r="Q75" s="76"/>
      <c r="R75" s="76">
        <v>6.9</v>
      </c>
      <c r="S75" s="76">
        <v>6.9</v>
      </c>
      <c r="T75" s="76">
        <v>6.9</v>
      </c>
      <c r="U75" s="76">
        <v>6.9</v>
      </c>
      <c r="V75" s="76">
        <v>6.9</v>
      </c>
      <c r="W75" s="76">
        <v>6.9</v>
      </c>
      <c r="X75" s="76">
        <v>6.9</v>
      </c>
      <c r="Y75" s="76">
        <v>6.9</v>
      </c>
      <c r="Z75" s="76">
        <v>6.9</v>
      </c>
      <c r="AA75" s="76">
        <v>6.9</v>
      </c>
      <c r="AB75" s="76">
        <v>6.9</v>
      </c>
      <c r="AC75" s="76">
        <v>6.9</v>
      </c>
      <c r="AD75" s="76">
        <v>6.9</v>
      </c>
      <c r="AE75" s="76">
        <v>7</v>
      </c>
      <c r="AF75" s="76">
        <v>7</v>
      </c>
      <c r="AG75" s="66">
        <v>14</v>
      </c>
      <c r="AH75" s="48">
        <f t="shared" ref="AH75:AH126" si="46">MAX(B75:AF75)</f>
        <v>12.1</v>
      </c>
      <c r="AI75" s="49">
        <f t="shared" ref="AI75:AI126" si="47">MIN(B75:AF75)</f>
        <v>6.9</v>
      </c>
      <c r="AK75" s="51"/>
      <c r="AZ75" s="82">
        <f t="shared" si="45"/>
        <v>-510</v>
      </c>
      <c r="BA75" s="82">
        <f t="shared" si="45"/>
        <v>-563</v>
      </c>
      <c r="BB75" s="82">
        <f t="shared" si="45"/>
        <v>-482.9</v>
      </c>
      <c r="BC75" s="82">
        <f t="shared" si="45"/>
        <v>-601.4</v>
      </c>
      <c r="BD75" s="82">
        <f t="shared" si="45"/>
        <v>-592.1</v>
      </c>
      <c r="BE75" s="82">
        <f t="shared" si="45"/>
        <v>-542.1</v>
      </c>
      <c r="BF75" s="82">
        <f t="shared" si="45"/>
        <v>-611.20000000000005</v>
      </c>
      <c r="BG75" s="82">
        <f t="shared" si="45"/>
        <v>-564</v>
      </c>
      <c r="BH75" s="82">
        <f t="shared" si="45"/>
        <v>-547</v>
      </c>
      <c r="BI75" s="82">
        <f t="shared" si="45"/>
        <v>-602</v>
      </c>
      <c r="BJ75" s="82">
        <f t="shared" si="45"/>
        <v>-600</v>
      </c>
      <c r="BK75" s="82">
        <f t="shared" si="45"/>
        <v>0</v>
      </c>
      <c r="BL75" s="82">
        <f t="shared" si="45"/>
        <v>-575</v>
      </c>
      <c r="BM75" s="82">
        <f t="shared" si="45"/>
        <v>-492.4</v>
      </c>
      <c r="BN75" s="82">
        <f t="shared" si="45"/>
        <v>-601.1</v>
      </c>
      <c r="BO75" s="82">
        <f t="shared" si="45"/>
        <v>-622.1</v>
      </c>
      <c r="BP75" s="82">
        <f t="shared" si="45"/>
        <v>-654.1</v>
      </c>
      <c r="BQ75" s="82">
        <f t="shared" si="45"/>
        <v>-595</v>
      </c>
      <c r="BR75" s="82">
        <f t="shared" si="45"/>
        <v>-561.6</v>
      </c>
      <c r="BS75" s="82">
        <f t="shared" si="45"/>
        <v>-594</v>
      </c>
      <c r="BT75" s="82">
        <f t="shared" si="45"/>
        <v>-546.5</v>
      </c>
      <c r="BU75" s="82">
        <f t="shared" si="45"/>
        <v>-586.79999999999995</v>
      </c>
      <c r="BV75" s="82">
        <f t="shared" si="45"/>
        <v>-567.1</v>
      </c>
      <c r="BW75" s="82">
        <f t="shared" si="45"/>
        <v>-480</v>
      </c>
    </row>
    <row r="76" spans="1:75" x14ac:dyDescent="0.25">
      <c r="A76" s="65" t="s">
        <v>95</v>
      </c>
      <c r="B76" s="76">
        <v>9</v>
      </c>
      <c r="C76" s="76">
        <v>9</v>
      </c>
      <c r="D76" s="76">
        <v>9</v>
      </c>
      <c r="E76" s="76">
        <v>9</v>
      </c>
      <c r="F76" s="76">
        <v>9</v>
      </c>
      <c r="G76" s="76">
        <v>9</v>
      </c>
      <c r="H76" s="76">
        <v>9</v>
      </c>
      <c r="I76" s="76">
        <v>9</v>
      </c>
      <c r="J76" s="76">
        <v>9</v>
      </c>
      <c r="K76" s="76">
        <v>9</v>
      </c>
      <c r="L76" s="76">
        <v>9</v>
      </c>
      <c r="M76" s="76">
        <v>9</v>
      </c>
      <c r="N76" s="76">
        <v>9</v>
      </c>
      <c r="O76" s="76">
        <v>9</v>
      </c>
      <c r="P76" s="76">
        <v>9</v>
      </c>
      <c r="Q76" s="76"/>
      <c r="R76" s="76">
        <v>9</v>
      </c>
      <c r="S76" s="76">
        <v>9</v>
      </c>
      <c r="T76" s="76">
        <v>9</v>
      </c>
      <c r="U76" s="76">
        <v>9</v>
      </c>
      <c r="V76" s="76">
        <v>9</v>
      </c>
      <c r="W76" s="76">
        <v>9</v>
      </c>
      <c r="X76" s="76">
        <v>9</v>
      </c>
      <c r="Y76" s="76">
        <v>9</v>
      </c>
      <c r="Z76" s="76">
        <v>9</v>
      </c>
      <c r="AA76" s="76">
        <v>9</v>
      </c>
      <c r="AB76" s="76">
        <v>9</v>
      </c>
      <c r="AC76" s="76">
        <v>9</v>
      </c>
      <c r="AD76" s="76">
        <v>9</v>
      </c>
      <c r="AE76" s="76">
        <v>0</v>
      </c>
      <c r="AF76" s="76">
        <v>0</v>
      </c>
      <c r="AG76" s="66">
        <v>10.050000000000001</v>
      </c>
      <c r="AH76" s="48">
        <f t="shared" si="46"/>
        <v>9</v>
      </c>
      <c r="AI76" s="49">
        <f t="shared" si="47"/>
        <v>0</v>
      </c>
      <c r="AK76" s="51"/>
      <c r="AZ76" s="82">
        <f t="shared" si="45"/>
        <v>0</v>
      </c>
      <c r="BA76" s="82">
        <f t="shared" si="45"/>
        <v>0</v>
      </c>
      <c r="BB76" s="82">
        <f t="shared" si="45"/>
        <v>0</v>
      </c>
      <c r="BC76" s="82">
        <f t="shared" si="45"/>
        <v>0</v>
      </c>
      <c r="BD76" s="82">
        <f t="shared" si="45"/>
        <v>0</v>
      </c>
      <c r="BE76" s="82">
        <f t="shared" si="45"/>
        <v>0</v>
      </c>
      <c r="BF76" s="82">
        <f t="shared" si="45"/>
        <v>0</v>
      </c>
      <c r="BG76" s="82">
        <f t="shared" si="45"/>
        <v>0</v>
      </c>
      <c r="BH76" s="82">
        <f t="shared" si="45"/>
        <v>0</v>
      </c>
      <c r="BI76" s="82">
        <f t="shared" si="45"/>
        <v>0</v>
      </c>
      <c r="BJ76" s="82">
        <f t="shared" si="45"/>
        <v>0</v>
      </c>
      <c r="BK76" s="82">
        <f t="shared" si="45"/>
        <v>0</v>
      </c>
      <c r="BL76" s="82">
        <f t="shared" si="45"/>
        <v>0</v>
      </c>
      <c r="BM76" s="82">
        <f t="shared" si="45"/>
        <v>0</v>
      </c>
      <c r="BN76" s="82">
        <f t="shared" si="45"/>
        <v>0</v>
      </c>
      <c r="BO76" s="82">
        <f t="shared" si="45"/>
        <v>0</v>
      </c>
      <c r="BP76" s="82">
        <f t="shared" si="45"/>
        <v>0</v>
      </c>
      <c r="BQ76" s="82">
        <f t="shared" si="45"/>
        <v>0</v>
      </c>
      <c r="BR76" s="82">
        <f t="shared" si="45"/>
        <v>0</v>
      </c>
      <c r="BS76" s="82">
        <f t="shared" si="45"/>
        <v>0</v>
      </c>
      <c r="BT76" s="82">
        <f t="shared" si="45"/>
        <v>0</v>
      </c>
      <c r="BU76" s="82">
        <f t="shared" si="45"/>
        <v>0</v>
      </c>
      <c r="BV76" s="82">
        <f t="shared" si="45"/>
        <v>0</v>
      </c>
      <c r="BW76" s="82">
        <f t="shared" si="45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/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6"/>
        <v>6</v>
      </c>
      <c r="AI77" s="49">
        <f t="shared" si="47"/>
        <v>6</v>
      </c>
      <c r="AK77" s="51"/>
      <c r="AZ77" s="82">
        <f t="shared" si="45"/>
        <v>0</v>
      </c>
      <c r="BA77" s="82">
        <f t="shared" si="45"/>
        <v>0</v>
      </c>
      <c r="BB77" s="82">
        <f t="shared" si="45"/>
        <v>0</v>
      </c>
      <c r="BC77" s="82">
        <f t="shared" si="45"/>
        <v>0</v>
      </c>
      <c r="BD77" s="82">
        <f t="shared" si="45"/>
        <v>0</v>
      </c>
      <c r="BE77" s="82">
        <f t="shared" si="45"/>
        <v>0</v>
      </c>
      <c r="BF77" s="82">
        <f t="shared" si="45"/>
        <v>0</v>
      </c>
      <c r="BG77" s="82">
        <f t="shared" si="45"/>
        <v>0</v>
      </c>
      <c r="BH77" s="82">
        <f t="shared" si="45"/>
        <v>0</v>
      </c>
      <c r="BI77" s="82">
        <f t="shared" si="45"/>
        <v>0</v>
      </c>
      <c r="BJ77" s="82">
        <f t="shared" si="45"/>
        <v>0</v>
      </c>
      <c r="BK77" s="82">
        <f t="shared" si="45"/>
        <v>0</v>
      </c>
      <c r="BL77" s="82">
        <f t="shared" si="45"/>
        <v>0</v>
      </c>
      <c r="BM77" s="82">
        <f t="shared" si="45"/>
        <v>0</v>
      </c>
      <c r="BN77" s="82">
        <f t="shared" si="45"/>
        <v>0</v>
      </c>
      <c r="BO77" s="82">
        <f t="shared" si="45"/>
        <v>0</v>
      </c>
      <c r="BP77" s="82">
        <f t="shared" si="45"/>
        <v>0</v>
      </c>
      <c r="BQ77" s="82">
        <f t="shared" si="45"/>
        <v>0</v>
      </c>
      <c r="BR77" s="82">
        <f t="shared" si="45"/>
        <v>0</v>
      </c>
      <c r="BS77" s="82">
        <f t="shared" si="45"/>
        <v>0</v>
      </c>
      <c r="BT77" s="82">
        <f t="shared" si="45"/>
        <v>0</v>
      </c>
      <c r="BU77" s="82">
        <f t="shared" si="45"/>
        <v>0</v>
      </c>
      <c r="BV77" s="82">
        <f t="shared" si="45"/>
        <v>0</v>
      </c>
      <c r="BW77" s="82">
        <f t="shared" si="45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6"/>
        <v>3.54</v>
      </c>
      <c r="AI78" s="49">
        <f t="shared" si="47"/>
        <v>3.54</v>
      </c>
      <c r="AK78" s="51"/>
      <c r="AZ78" s="82">
        <f t="shared" si="45"/>
        <v>0</v>
      </c>
      <c r="BA78" s="82">
        <f t="shared" si="45"/>
        <v>0</v>
      </c>
      <c r="BB78" s="82">
        <f t="shared" si="45"/>
        <v>0</v>
      </c>
      <c r="BC78" s="82">
        <f t="shared" si="45"/>
        <v>0</v>
      </c>
      <c r="BD78" s="82">
        <f t="shared" si="45"/>
        <v>0</v>
      </c>
      <c r="BE78" s="82">
        <f t="shared" si="45"/>
        <v>0</v>
      </c>
      <c r="BF78" s="82">
        <f t="shared" si="45"/>
        <v>0</v>
      </c>
      <c r="BG78" s="82">
        <f t="shared" si="45"/>
        <v>0</v>
      </c>
      <c r="BH78" s="82">
        <f t="shared" si="45"/>
        <v>0</v>
      </c>
      <c r="BI78" s="82">
        <f t="shared" si="45"/>
        <v>0</v>
      </c>
      <c r="BJ78" s="82">
        <f t="shared" si="45"/>
        <v>0</v>
      </c>
      <c r="BK78" s="82">
        <f t="shared" si="45"/>
        <v>0</v>
      </c>
      <c r="BL78" s="82">
        <f t="shared" si="45"/>
        <v>0</v>
      </c>
      <c r="BM78" s="82">
        <f t="shared" si="45"/>
        <v>0</v>
      </c>
      <c r="BN78" s="82">
        <f t="shared" si="45"/>
        <v>0</v>
      </c>
      <c r="BO78" s="82">
        <f t="shared" si="45"/>
        <v>0</v>
      </c>
      <c r="BP78" s="82">
        <f t="shared" si="45"/>
        <v>0</v>
      </c>
      <c r="BQ78" s="82">
        <f t="shared" si="45"/>
        <v>0</v>
      </c>
      <c r="BR78" s="82">
        <f t="shared" si="45"/>
        <v>0</v>
      </c>
      <c r="BS78" s="82">
        <f t="shared" si="45"/>
        <v>0</v>
      </c>
      <c r="BT78" s="82">
        <f t="shared" si="45"/>
        <v>0</v>
      </c>
      <c r="BU78" s="82">
        <f t="shared" si="45"/>
        <v>0</v>
      </c>
      <c r="BV78" s="82">
        <f t="shared" si="45"/>
        <v>0</v>
      </c>
      <c r="BW78" s="82">
        <f t="shared" si="45"/>
        <v>0</v>
      </c>
    </row>
    <row r="79" spans="1:75" ht="15.75" thickBot="1" x14ac:dyDescent="0.3">
      <c r="A79" s="87" t="s">
        <v>99</v>
      </c>
      <c r="B79" s="71">
        <f t="shared" ref="B79:C79" si="48">SUM(B66:B78)</f>
        <v>402.84000000000003</v>
      </c>
      <c r="C79" s="71">
        <f t="shared" si="48"/>
        <v>376.24</v>
      </c>
      <c r="D79" s="71">
        <f t="shared" ref="D79:E79" si="49">SUM(D66:D78)</f>
        <v>376.24</v>
      </c>
      <c r="E79" s="71">
        <f t="shared" si="49"/>
        <v>327.04000000000002</v>
      </c>
      <c r="F79" s="71">
        <f t="shared" ref="F79:G79" si="50">SUM(F66:F78)</f>
        <v>327.04000000000002</v>
      </c>
      <c r="G79" s="71">
        <f t="shared" si="50"/>
        <v>327.04000000000002</v>
      </c>
      <c r="H79" s="71">
        <f t="shared" ref="H79:I79" si="51">SUM(H66:H78)</f>
        <v>327.04000000000002</v>
      </c>
      <c r="I79" s="71">
        <f t="shared" si="51"/>
        <v>327.04000000000002</v>
      </c>
      <c r="J79" s="71">
        <f t="shared" ref="J79:K79" si="52">SUM(J66:J78)</f>
        <v>330.64000000000004</v>
      </c>
      <c r="K79" s="71">
        <f t="shared" si="52"/>
        <v>330.54</v>
      </c>
      <c r="L79" s="71">
        <f t="shared" ref="L79:M79" si="53">SUM(L66:L78)</f>
        <v>330.54</v>
      </c>
      <c r="M79" s="71">
        <f t="shared" si="53"/>
        <v>391.54</v>
      </c>
      <c r="N79" s="71">
        <f t="shared" ref="N79:AG79" si="54">SUM(N66:N78)</f>
        <v>393.04</v>
      </c>
      <c r="O79" s="71">
        <f t="shared" si="54"/>
        <v>393.74</v>
      </c>
      <c r="P79" s="71">
        <f t="shared" si="54"/>
        <v>390.84</v>
      </c>
      <c r="Q79" s="71">
        <f t="shared" si="54"/>
        <v>3.54</v>
      </c>
      <c r="R79" s="71">
        <f t="shared" si="54"/>
        <v>413.94</v>
      </c>
      <c r="S79" s="71">
        <f t="shared" ref="S79:T79" si="55">SUM(S66:S78)</f>
        <v>406.03999999999996</v>
      </c>
      <c r="T79" s="71">
        <f t="shared" si="55"/>
        <v>408.54</v>
      </c>
      <c r="U79" s="71">
        <f t="shared" ref="U79:V79" si="56">SUM(U66:U78)</f>
        <v>407.34000000000003</v>
      </c>
      <c r="V79" s="71">
        <f t="shared" si="56"/>
        <v>407.34000000000003</v>
      </c>
      <c r="W79" s="71">
        <f t="shared" ref="W79" si="57">SUM(W66:W78)</f>
        <v>407.94</v>
      </c>
      <c r="X79" s="71">
        <f t="shared" si="54"/>
        <v>403.03999999999996</v>
      </c>
      <c r="Y79" s="71">
        <f t="shared" ref="Y79:Z79" si="58">SUM(Y66:Y78)</f>
        <v>402.14</v>
      </c>
      <c r="Z79" s="71">
        <f t="shared" si="58"/>
        <v>401.84</v>
      </c>
      <c r="AA79" s="71">
        <f t="shared" ref="AA79" si="59">SUM(AA66:AA78)</f>
        <v>401.84</v>
      </c>
      <c r="AB79" s="71">
        <f t="shared" si="54"/>
        <v>406.34</v>
      </c>
      <c r="AC79" s="71">
        <f t="shared" si="54"/>
        <v>406.34</v>
      </c>
      <c r="AD79" s="71">
        <f t="shared" si="54"/>
        <v>406.34</v>
      </c>
      <c r="AE79" s="71">
        <f t="shared" si="54"/>
        <v>336.44</v>
      </c>
      <c r="AF79" s="71">
        <f t="shared" si="54"/>
        <v>396.74</v>
      </c>
      <c r="AG79" s="72">
        <f t="shared" si="54"/>
        <v>489.91</v>
      </c>
      <c r="AH79" s="48">
        <f t="shared" si="46"/>
        <v>413.94</v>
      </c>
      <c r="AI79" s="49">
        <f t="shared" si="47"/>
        <v>3.54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10</v>
      </c>
      <c r="N80" s="46">
        <v>10.6</v>
      </c>
      <c r="O80" s="46">
        <v>10.4</v>
      </c>
      <c r="P80" s="46">
        <v>10.4</v>
      </c>
      <c r="Q80" s="46"/>
      <c r="R80" s="46">
        <v>10.5</v>
      </c>
      <c r="S80" s="46">
        <v>0</v>
      </c>
      <c r="T80" s="46">
        <v>0</v>
      </c>
      <c r="U80" s="46">
        <v>0</v>
      </c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0</v>
      </c>
      <c r="AB80" s="46">
        <v>0</v>
      </c>
      <c r="AC80" s="46">
        <v>0</v>
      </c>
      <c r="AD80" s="46">
        <v>0</v>
      </c>
      <c r="AE80" s="46">
        <v>0</v>
      </c>
      <c r="AF80" s="46">
        <v>0</v>
      </c>
      <c r="AG80" s="61">
        <v>60</v>
      </c>
      <c r="AH80" s="48">
        <f t="shared" si="46"/>
        <v>10.6</v>
      </c>
      <c r="AI80" s="49">
        <f t="shared" si="47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4</v>
      </c>
      <c r="N81" s="76">
        <v>4</v>
      </c>
      <c r="O81" s="76">
        <v>3.6</v>
      </c>
      <c r="P81" s="76">
        <v>3.6</v>
      </c>
      <c r="Q81" s="76"/>
      <c r="R81" s="76">
        <v>3.7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5</v>
      </c>
      <c r="AE81" s="76">
        <v>0</v>
      </c>
      <c r="AF81" s="76">
        <v>0</v>
      </c>
      <c r="AG81" s="66">
        <v>32</v>
      </c>
      <c r="AH81" s="48">
        <f t="shared" si="46"/>
        <v>5</v>
      </c>
      <c r="AI81" s="49">
        <f t="shared" si="47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1.5</v>
      </c>
      <c r="N82" s="78">
        <v>1.5</v>
      </c>
      <c r="O82" s="78">
        <v>1.3</v>
      </c>
      <c r="P82" s="78">
        <v>1.3</v>
      </c>
      <c r="Q82" s="78"/>
      <c r="R82" s="78">
        <v>1.3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1.8</v>
      </c>
      <c r="AE82" s="78">
        <v>0</v>
      </c>
      <c r="AF82" s="78">
        <v>0</v>
      </c>
      <c r="AG82" s="79">
        <v>14</v>
      </c>
      <c r="AH82" s="48">
        <f t="shared" si="46"/>
        <v>1.8</v>
      </c>
      <c r="AI82" s="49">
        <f t="shared" si="47"/>
        <v>0</v>
      </c>
      <c r="AK82" s="51"/>
      <c r="AY82" s="82"/>
      <c r="BF82" s="81"/>
      <c r="BG82" s="82">
        <f t="array" ref="BG82:BL105">TRANSPOSE(AZ66:BW71)</f>
        <v>-22</v>
      </c>
      <c r="BH82" s="82">
        <v>0</v>
      </c>
      <c r="BI82" s="82">
        <v>-510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60">B80+B81+B82</f>
        <v>0</v>
      </c>
      <c r="C83" s="71">
        <f t="shared" si="60"/>
        <v>0</v>
      </c>
      <c r="D83" s="71">
        <f t="shared" ref="D83:E83" si="61">D80+D81+D82</f>
        <v>0</v>
      </c>
      <c r="E83" s="71">
        <f t="shared" si="61"/>
        <v>0</v>
      </c>
      <c r="F83" s="71">
        <f t="shared" ref="F83:G83" si="62">F80+F81+F82</f>
        <v>0</v>
      </c>
      <c r="G83" s="71">
        <f t="shared" si="62"/>
        <v>0</v>
      </c>
      <c r="H83" s="71">
        <f t="shared" ref="H83:I83" si="63">H80+H81+H82</f>
        <v>0</v>
      </c>
      <c r="I83" s="71">
        <f t="shared" si="63"/>
        <v>0</v>
      </c>
      <c r="J83" s="71">
        <f t="shared" ref="J83:K83" si="64">J80+J81+J82</f>
        <v>0</v>
      </c>
      <c r="K83" s="71">
        <f t="shared" si="64"/>
        <v>0</v>
      </c>
      <c r="L83" s="71">
        <f t="shared" ref="L83" si="65">L80+L81+L82</f>
        <v>0</v>
      </c>
      <c r="M83" s="71">
        <f t="shared" ref="M83:AF83" si="66">M80+M81+M82</f>
        <v>15.5</v>
      </c>
      <c r="N83" s="71">
        <f t="shared" si="66"/>
        <v>16.100000000000001</v>
      </c>
      <c r="O83" s="71">
        <f t="shared" si="66"/>
        <v>15.3</v>
      </c>
      <c r="P83" s="71">
        <f t="shared" si="66"/>
        <v>15.3</v>
      </c>
      <c r="Q83" s="71">
        <f t="shared" si="66"/>
        <v>0</v>
      </c>
      <c r="R83" s="71">
        <f t="shared" si="66"/>
        <v>15.5</v>
      </c>
      <c r="S83" s="71">
        <f t="shared" ref="S83:T83" si="67">S80+S81+S82</f>
        <v>0</v>
      </c>
      <c r="T83" s="71">
        <f t="shared" si="67"/>
        <v>0</v>
      </c>
      <c r="U83" s="71">
        <f t="shared" ref="U83:V83" si="68">U80+U81+U82</f>
        <v>0</v>
      </c>
      <c r="V83" s="71">
        <f t="shared" si="68"/>
        <v>0</v>
      </c>
      <c r="W83" s="71">
        <f t="shared" ref="W83" si="69">W80+W81+W82</f>
        <v>0</v>
      </c>
      <c r="X83" s="71">
        <f t="shared" si="66"/>
        <v>0</v>
      </c>
      <c r="Y83" s="71">
        <f t="shared" ref="Y83:Z83" si="70">Y80+Y81+Y82</f>
        <v>0</v>
      </c>
      <c r="Z83" s="71">
        <f t="shared" si="70"/>
        <v>0</v>
      </c>
      <c r="AA83" s="71">
        <f t="shared" ref="AA83" si="71">AA80+AA81+AA82</f>
        <v>0</v>
      </c>
      <c r="AB83" s="71">
        <f t="shared" si="66"/>
        <v>0</v>
      </c>
      <c r="AC83" s="71">
        <f t="shared" si="66"/>
        <v>0</v>
      </c>
      <c r="AD83" s="71">
        <f t="shared" si="66"/>
        <v>6.8</v>
      </c>
      <c r="AE83" s="71">
        <f t="shared" si="66"/>
        <v>0</v>
      </c>
      <c r="AF83" s="71">
        <f t="shared" si="66"/>
        <v>0</v>
      </c>
      <c r="AG83" s="72">
        <f>SUM(AG80:AG82)</f>
        <v>106</v>
      </c>
      <c r="AH83" s="48">
        <f t="shared" si="46"/>
        <v>16.100000000000001</v>
      </c>
      <c r="AI83" s="49">
        <f t="shared" si="47"/>
        <v>0</v>
      </c>
      <c r="AK83" s="51"/>
      <c r="AY83" s="82"/>
      <c r="BF83" s="81"/>
      <c r="BG83" s="82">
        <v>-44</v>
      </c>
      <c r="BH83" s="82">
        <v>0</v>
      </c>
      <c r="BI83" s="82">
        <v>-563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-33</v>
      </c>
      <c r="C84" s="46">
        <v>-22</v>
      </c>
      <c r="D84" s="46">
        <v>-44</v>
      </c>
      <c r="E84" s="46">
        <v>-46.6</v>
      </c>
      <c r="F84" s="46">
        <v>-49</v>
      </c>
      <c r="G84" s="46">
        <v>-52</v>
      </c>
      <c r="H84" s="46">
        <v>-52</v>
      </c>
      <c r="I84" s="46">
        <v>-32.5</v>
      </c>
      <c r="J84" s="46">
        <v>-33.200000000000003</v>
      </c>
      <c r="K84" s="46">
        <v>-39.200000000000003</v>
      </c>
      <c r="L84" s="46">
        <v>-40.5</v>
      </c>
      <c r="M84" s="46">
        <v>-40.5</v>
      </c>
      <c r="N84" s="46">
        <v>-32.1</v>
      </c>
      <c r="O84" s="46">
        <v>-28.3</v>
      </c>
      <c r="P84" s="46">
        <v>-20</v>
      </c>
      <c r="Q84" s="46"/>
      <c r="R84" s="46">
        <v>-46</v>
      </c>
      <c r="S84" s="46">
        <v>-56.5</v>
      </c>
      <c r="T84" s="46">
        <v>-42.8</v>
      </c>
      <c r="U84" s="46">
        <v>-52.3</v>
      </c>
      <c r="V84" s="46">
        <v>-55.5</v>
      </c>
      <c r="W84" s="46">
        <v>-45.8</v>
      </c>
      <c r="X84" s="46">
        <v>-51</v>
      </c>
      <c r="Y84" s="46">
        <v>-52.1</v>
      </c>
      <c r="Z84" s="46">
        <v>-65.7</v>
      </c>
      <c r="AA84" s="46">
        <v>-14.7</v>
      </c>
      <c r="AB84" s="46">
        <v>-36.799999999999997</v>
      </c>
      <c r="AC84" s="46">
        <v>-30.7</v>
      </c>
      <c r="AD84" s="46">
        <v>-29</v>
      </c>
      <c r="AE84" s="46">
        <v>-38.799999999999997</v>
      </c>
      <c r="AF84" s="46">
        <v>-38.299999999999997</v>
      </c>
      <c r="AG84" s="61"/>
      <c r="AH84" s="48">
        <f t="shared" si="46"/>
        <v>-14.7</v>
      </c>
      <c r="AI84" s="49">
        <f t="shared" si="47"/>
        <v>-65.7</v>
      </c>
      <c r="AK84" s="51"/>
      <c r="AY84" s="82"/>
      <c r="BF84" s="81"/>
      <c r="BG84" s="82">
        <v>-46.6</v>
      </c>
      <c r="BH84" s="82">
        <v>0</v>
      </c>
      <c r="BI84" s="82">
        <v>-482.9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6"/>
        <v>0</v>
      </c>
      <c r="AI85" s="49">
        <f t="shared" si="47"/>
        <v>0</v>
      </c>
      <c r="AK85" s="51"/>
      <c r="AL85" s="91" t="s">
        <v>111</v>
      </c>
      <c r="AM85" s="91"/>
      <c r="AY85" s="82"/>
      <c r="BF85" s="82"/>
      <c r="BG85" s="82">
        <v>-49</v>
      </c>
      <c r="BH85" s="82">
        <v>0</v>
      </c>
      <c r="BI85" s="82">
        <v>-601.4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-480</v>
      </c>
      <c r="C86" s="76">
        <v>-510</v>
      </c>
      <c r="D86" s="76">
        <v>-563</v>
      </c>
      <c r="E86" s="76">
        <v>-482.9</v>
      </c>
      <c r="F86" s="76">
        <v>-601.4</v>
      </c>
      <c r="G86" s="76">
        <v>-592.1</v>
      </c>
      <c r="H86" s="76">
        <v>-592.1</v>
      </c>
      <c r="I86" s="76">
        <v>-542.1</v>
      </c>
      <c r="J86" s="76">
        <v>-562.1</v>
      </c>
      <c r="K86" s="76">
        <v>-611.20000000000005</v>
      </c>
      <c r="L86" s="76">
        <v>-617.9</v>
      </c>
      <c r="M86" s="76">
        <v>-564</v>
      </c>
      <c r="N86" s="76">
        <v>-547</v>
      </c>
      <c r="O86" s="76">
        <v>-602</v>
      </c>
      <c r="P86" s="76">
        <v>-600</v>
      </c>
      <c r="Q86" s="76"/>
      <c r="R86" s="76">
        <v>-575</v>
      </c>
      <c r="S86" s="76">
        <v>-492.4</v>
      </c>
      <c r="T86" s="76">
        <v>-601.1</v>
      </c>
      <c r="U86" s="76">
        <v>-622.1</v>
      </c>
      <c r="V86" s="76">
        <v>-654.1</v>
      </c>
      <c r="W86" s="76">
        <v>-540.6</v>
      </c>
      <c r="X86" s="76">
        <v>-595</v>
      </c>
      <c r="Y86" s="76">
        <v>-627.29999999999995</v>
      </c>
      <c r="Z86" s="76">
        <v>-561.6</v>
      </c>
      <c r="AA86" s="76">
        <v>-569.79999999999995</v>
      </c>
      <c r="AB86" s="76">
        <v>-594</v>
      </c>
      <c r="AC86" s="76">
        <v>-502.9</v>
      </c>
      <c r="AD86" s="76">
        <v>-546.5</v>
      </c>
      <c r="AE86" s="76">
        <v>-586.79999999999995</v>
      </c>
      <c r="AF86" s="76">
        <v>-567.1</v>
      </c>
      <c r="AG86" s="88"/>
      <c r="AH86" s="48">
        <f t="shared" si="46"/>
        <v>-480</v>
      </c>
      <c r="AI86" s="49">
        <f t="shared" si="47"/>
        <v>-654.1</v>
      </c>
      <c r="AK86" s="92"/>
      <c r="AL86" s="93"/>
      <c r="AM86" s="93"/>
      <c r="AN86" s="94"/>
      <c r="AY86" s="82"/>
      <c r="BF86" s="82"/>
      <c r="BG86" s="82">
        <v>-52</v>
      </c>
      <c r="BH86" s="82">
        <v>0</v>
      </c>
      <c r="BI86" s="82">
        <v>-592.1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6"/>
        <v>0</v>
      </c>
      <c r="AI87" s="49">
        <f t="shared" si="47"/>
        <v>0</v>
      </c>
      <c r="AK87" s="95" t="s">
        <v>114</v>
      </c>
      <c r="AL87" s="76"/>
      <c r="AM87" s="89"/>
      <c r="AN87" s="96"/>
      <c r="AY87" s="82"/>
      <c r="BF87" s="82"/>
      <c r="BG87" s="82">
        <v>-32.5</v>
      </c>
      <c r="BH87" s="82">
        <v>0</v>
      </c>
      <c r="BI87" s="82">
        <v>-542.1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6"/>
        <v>0</v>
      </c>
      <c r="AI88" s="49">
        <f t="shared" si="47"/>
        <v>0</v>
      </c>
      <c r="AK88" s="95" t="s">
        <v>116</v>
      </c>
      <c r="AL88" s="89"/>
      <c r="AM88" s="89"/>
      <c r="AN88" s="96"/>
      <c r="AY88" s="82"/>
      <c r="BF88" s="82"/>
      <c r="BG88" s="82">
        <v>-39.200000000000003</v>
      </c>
      <c r="BH88" s="82">
        <v>0</v>
      </c>
      <c r="BI88" s="82">
        <v>-611.20000000000005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7"/>
        <v>0</v>
      </c>
      <c r="AK89" s="99"/>
      <c r="AL89" s="46"/>
      <c r="AM89" s="46"/>
      <c r="AN89" s="100"/>
      <c r="AY89" s="82"/>
      <c r="BF89" s="82"/>
      <c r="BG89" s="82">
        <v>-40.5</v>
      </c>
      <c r="BH89" s="82">
        <v>0</v>
      </c>
      <c r="BI89" s="82">
        <v>-564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6"/>
        <v>0</v>
      </c>
      <c r="AI90" s="49">
        <f t="shared" si="47"/>
        <v>0</v>
      </c>
      <c r="AK90" s="99"/>
      <c r="AL90" s="90"/>
      <c r="AM90" s="102"/>
      <c r="AN90" s="204"/>
      <c r="AY90" s="82"/>
      <c r="BF90" s="82"/>
      <c r="BG90" s="82">
        <v>-32.1</v>
      </c>
      <c r="BH90" s="82">
        <v>0</v>
      </c>
      <c r="BI90" s="82">
        <v>-547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6"/>
        <v>0</v>
      </c>
      <c r="AI91" s="49">
        <f t="shared" si="47"/>
        <v>0</v>
      </c>
      <c r="AK91" s="99"/>
      <c r="AL91" s="90"/>
      <c r="AM91" s="90"/>
      <c r="AN91" s="205"/>
      <c r="BF91" s="82"/>
      <c r="BG91" s="82">
        <v>-28.3</v>
      </c>
      <c r="BH91" s="82">
        <v>0</v>
      </c>
      <c r="BI91" s="82">
        <v>-602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6"/>
        <v>0</v>
      </c>
      <c r="AI92" s="49">
        <f t="shared" si="47"/>
        <v>0</v>
      </c>
      <c r="AK92" s="104"/>
      <c r="AL92" s="105"/>
      <c r="AM92" s="105"/>
      <c r="AN92" s="106"/>
      <c r="BF92" s="82"/>
      <c r="BG92" s="82">
        <v>-20</v>
      </c>
      <c r="BH92" s="82">
        <v>0</v>
      </c>
      <c r="BI92" s="82">
        <v>-600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6"/>
        <v>0</v>
      </c>
      <c r="AI93" s="49">
        <f t="shared" si="47"/>
        <v>0</v>
      </c>
      <c r="BF93" s="82"/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6"/>
        <v>0</v>
      </c>
      <c r="AI94" s="49">
        <f t="shared" si="47"/>
        <v>0</v>
      </c>
      <c r="BF94" s="82"/>
      <c r="BG94" s="82">
        <v>-46</v>
      </c>
      <c r="BH94" s="82">
        <v>0</v>
      </c>
      <c r="BI94" s="82">
        <v>-575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72">SUMIF(B84:B94,"&gt;0")</f>
        <v>0</v>
      </c>
      <c r="C95" s="71">
        <f t="shared" si="72"/>
        <v>0</v>
      </c>
      <c r="D95" s="71">
        <f t="shared" ref="D95:E95" si="73">SUMIF(D84:D94,"&gt;0")</f>
        <v>0</v>
      </c>
      <c r="E95" s="71">
        <f t="shared" si="73"/>
        <v>0</v>
      </c>
      <c r="F95" s="71">
        <f t="shared" ref="F95:G95" si="74">SUMIF(F84:F94,"&gt;0")</f>
        <v>0</v>
      </c>
      <c r="G95" s="71">
        <f t="shared" si="74"/>
        <v>0</v>
      </c>
      <c r="H95" s="71">
        <f t="shared" ref="H95:I95" si="75">SUMIF(H84:H94,"&gt;0")</f>
        <v>0</v>
      </c>
      <c r="I95" s="71">
        <f t="shared" si="75"/>
        <v>0</v>
      </c>
      <c r="J95" s="71">
        <f t="shared" ref="J95:K95" si="76">SUMIF(J84:J94,"&gt;0")</f>
        <v>0</v>
      </c>
      <c r="K95" s="71">
        <f t="shared" si="76"/>
        <v>0</v>
      </c>
      <c r="L95" s="71">
        <f t="shared" ref="L95" si="77">SUMIF(L84:L94,"&gt;0")</f>
        <v>0</v>
      </c>
      <c r="M95" s="71">
        <f t="shared" ref="M95:AF95" si="78">SUMIF(M84:M94,"&gt;0")</f>
        <v>0</v>
      </c>
      <c r="N95" s="71">
        <f t="shared" si="78"/>
        <v>0</v>
      </c>
      <c r="O95" s="71">
        <f t="shared" si="78"/>
        <v>0</v>
      </c>
      <c r="P95" s="71">
        <f t="shared" si="78"/>
        <v>0</v>
      </c>
      <c r="Q95" s="71">
        <f t="shared" si="78"/>
        <v>0</v>
      </c>
      <c r="R95" s="71">
        <f t="shared" si="78"/>
        <v>0</v>
      </c>
      <c r="S95" s="71">
        <f t="shared" ref="S95:T95" si="79">SUMIF(S84:S94,"&gt;0")</f>
        <v>0</v>
      </c>
      <c r="T95" s="71">
        <f t="shared" si="79"/>
        <v>0</v>
      </c>
      <c r="U95" s="71">
        <f t="shared" ref="U95:V95" si="80">SUMIF(U84:U94,"&gt;0")</f>
        <v>0</v>
      </c>
      <c r="V95" s="71">
        <f t="shared" si="80"/>
        <v>0</v>
      </c>
      <c r="W95" s="71">
        <f t="shared" ref="W95" si="81">SUMIF(W84:W94,"&gt;0")</f>
        <v>0</v>
      </c>
      <c r="X95" s="71">
        <f t="shared" si="78"/>
        <v>0</v>
      </c>
      <c r="Y95" s="71">
        <f t="shared" ref="Y95:Z95" si="82">SUMIF(Y84:Y94,"&gt;0")</f>
        <v>0</v>
      </c>
      <c r="Z95" s="71">
        <f t="shared" si="82"/>
        <v>0</v>
      </c>
      <c r="AA95" s="71">
        <f t="shared" ref="AA95" si="83">SUMIF(AA84:AA94,"&gt;0")</f>
        <v>0</v>
      </c>
      <c r="AB95" s="71">
        <f t="shared" si="78"/>
        <v>0</v>
      </c>
      <c r="AC95" s="71">
        <f t="shared" si="78"/>
        <v>0</v>
      </c>
      <c r="AD95" s="71">
        <f t="shared" si="78"/>
        <v>0</v>
      </c>
      <c r="AE95" s="71">
        <f t="shared" si="78"/>
        <v>0</v>
      </c>
      <c r="AF95" s="71">
        <f t="shared" si="78"/>
        <v>0</v>
      </c>
      <c r="AG95" s="101">
        <f>SUM(AG84:AG94)</f>
        <v>0</v>
      </c>
      <c r="AH95" s="48">
        <f t="shared" si="46"/>
        <v>0</v>
      </c>
      <c r="AI95" s="49">
        <f t="shared" si="47"/>
        <v>0</v>
      </c>
      <c r="BF95" s="82"/>
      <c r="BG95" s="82">
        <v>-56.5</v>
      </c>
      <c r="BH95" s="82">
        <v>0</v>
      </c>
      <c r="BI95" s="82">
        <v>-492.4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6"/>
        <v>0</v>
      </c>
      <c r="AI96" s="49">
        <f t="shared" si="47"/>
        <v>0</v>
      </c>
      <c r="BF96" s="82"/>
      <c r="BG96" s="82">
        <v>-42.8</v>
      </c>
      <c r="BH96" s="82">
        <v>0</v>
      </c>
      <c r="BI96" s="82">
        <v>-601.1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6"/>
        <v>0</v>
      </c>
      <c r="AI97" s="49">
        <f t="shared" si="47"/>
        <v>0</v>
      </c>
      <c r="BF97" s="82"/>
      <c r="BG97" s="82">
        <v>-52.3</v>
      </c>
      <c r="BH97" s="82">
        <v>0</v>
      </c>
      <c r="BI97" s="82">
        <v>-622.1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6"/>
        <v>0</v>
      </c>
      <c r="AI98" s="49">
        <f t="shared" si="47"/>
        <v>0</v>
      </c>
      <c r="BF98" s="82"/>
      <c r="BG98" s="82">
        <v>-55.5</v>
      </c>
      <c r="BH98" s="82">
        <v>0</v>
      </c>
      <c r="BI98" s="82">
        <v>-654.1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>
        <v>0</v>
      </c>
      <c r="Z99" s="71">
        <v>0</v>
      </c>
      <c r="AA99" s="71">
        <v>0</v>
      </c>
      <c r="AB99" s="71"/>
      <c r="AC99" s="71"/>
      <c r="AD99" s="71"/>
      <c r="AE99" s="71"/>
      <c r="AF99" s="71"/>
      <c r="AG99" s="101">
        <f>SUM(AG96:AG98)</f>
        <v>55.4</v>
      </c>
      <c r="AH99" s="48">
        <f t="shared" si="46"/>
        <v>0</v>
      </c>
      <c r="AI99" s="49">
        <f t="shared" si="47"/>
        <v>0</v>
      </c>
      <c r="BF99" s="81"/>
      <c r="BG99" s="82">
        <v>-51</v>
      </c>
      <c r="BH99" s="82">
        <v>0</v>
      </c>
      <c r="BI99" s="82">
        <v>-595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84">B61+B65+B83+B79+B95+B99</f>
        <v>2192.84</v>
      </c>
      <c r="C100" s="108">
        <f t="shared" si="84"/>
        <v>2182.54</v>
      </c>
      <c r="D100" s="108">
        <f t="shared" ref="D100:E100" si="85">D61+D65+D83+D79+D95+D99</f>
        <v>2202.54</v>
      </c>
      <c r="E100" s="108">
        <f t="shared" si="85"/>
        <v>2153.34</v>
      </c>
      <c r="F100" s="108">
        <f t="shared" ref="F100:G100" si="86">F61+F65+F83+F79+F95+F99</f>
        <v>2206.0800000000004</v>
      </c>
      <c r="G100" s="108">
        <f t="shared" si="86"/>
        <v>2192.44</v>
      </c>
      <c r="H100" s="108">
        <f t="shared" ref="H100:I100" si="87">H61+H65+H83+H79+H95+H99</f>
        <v>2192.44</v>
      </c>
      <c r="I100" s="108">
        <f t="shared" si="87"/>
        <v>2192.44</v>
      </c>
      <c r="J100" s="108">
        <f t="shared" ref="J100:K100" si="88">J61+J65+J83+J79+J95+J99</f>
        <v>2196.04</v>
      </c>
      <c r="K100" s="108">
        <f t="shared" si="88"/>
        <v>2224.34</v>
      </c>
      <c r="L100" s="108">
        <f t="shared" ref="L100" si="89">L61+L65+L83+L79+L95+L99</f>
        <v>2224.34</v>
      </c>
      <c r="M100" s="108">
        <f t="shared" ref="M100:AG100" si="90">M61+M65+M83+M79+M95+M99</f>
        <v>2300.7400000000002</v>
      </c>
      <c r="N100" s="108">
        <f t="shared" si="90"/>
        <v>2291.34</v>
      </c>
      <c r="O100" s="108">
        <f t="shared" si="90"/>
        <v>2291.1400000000003</v>
      </c>
      <c r="P100" s="108">
        <f t="shared" si="90"/>
        <v>2260.34</v>
      </c>
      <c r="Q100" s="108">
        <f t="shared" si="90"/>
        <v>303.54000000000002</v>
      </c>
      <c r="R100" s="108">
        <f t="shared" si="90"/>
        <v>2133.64</v>
      </c>
      <c r="S100" s="108">
        <f t="shared" ref="S100:T100" si="91">S61+S65+S83+S79+S95+S99</f>
        <v>2110.2399999999998</v>
      </c>
      <c r="T100" s="108">
        <f t="shared" si="91"/>
        <v>2112.7400000000002</v>
      </c>
      <c r="U100" s="108">
        <f t="shared" ref="U100:V100" si="92">U61+U65+U83+U79+U95+U99</f>
        <v>2111.54</v>
      </c>
      <c r="V100" s="108">
        <f t="shared" si="92"/>
        <v>2111.54</v>
      </c>
      <c r="W100" s="108">
        <f t="shared" ref="W100" si="93">W61+W65+W83+W79+W95+W99</f>
        <v>2112.14</v>
      </c>
      <c r="X100" s="108">
        <f t="shared" si="90"/>
        <v>2125.14</v>
      </c>
      <c r="Y100" s="108">
        <f t="shared" ref="Y100:Z100" si="94">Y61+Y65+Y83+Y79+Y95+Y99</f>
        <v>2158.94</v>
      </c>
      <c r="Z100" s="108">
        <f t="shared" si="94"/>
        <v>2158.6400000000003</v>
      </c>
      <c r="AA100" s="108">
        <f t="shared" ref="AA100" si="95">AA61+AA65+AA83+AA79+AA95+AA99</f>
        <v>2161.2400000000002</v>
      </c>
      <c r="AB100" s="108">
        <f t="shared" si="90"/>
        <v>2239.6400000000003</v>
      </c>
      <c r="AC100" s="108">
        <f t="shared" si="90"/>
        <v>2197.84</v>
      </c>
      <c r="AD100" s="108">
        <f t="shared" si="90"/>
        <v>2162.14</v>
      </c>
      <c r="AE100" s="108">
        <f t="shared" si="90"/>
        <v>2096.34</v>
      </c>
      <c r="AF100" s="108">
        <f t="shared" si="90"/>
        <v>2086.1400000000003</v>
      </c>
      <c r="AG100" s="72">
        <f t="shared" si="90"/>
        <v>2655.44</v>
      </c>
      <c r="AH100" s="48">
        <f t="shared" si="46"/>
        <v>2300.7400000000002</v>
      </c>
      <c r="AI100" s="49">
        <f t="shared" si="47"/>
        <v>303.54000000000002</v>
      </c>
      <c r="BF100" s="81"/>
      <c r="BG100" s="82">
        <v>-65.7</v>
      </c>
      <c r="BH100" s="82">
        <v>0</v>
      </c>
      <c r="BI100" s="82">
        <v>-561.6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0</v>
      </c>
      <c r="C101" s="110">
        <v>0</v>
      </c>
      <c r="D101" s="110">
        <v>0</v>
      </c>
      <c r="E101" s="110">
        <v>0</v>
      </c>
      <c r="F101" s="110">
        <v>0</v>
      </c>
      <c r="G101" s="110">
        <v>0</v>
      </c>
      <c r="H101" s="110">
        <v>0</v>
      </c>
      <c r="I101" s="110">
        <v>0</v>
      </c>
      <c r="J101" s="110">
        <v>30</v>
      </c>
      <c r="K101" s="110">
        <v>0</v>
      </c>
      <c r="L101" s="110">
        <v>0</v>
      </c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6"/>
        <v>30</v>
      </c>
      <c r="AI101" s="49">
        <f t="shared" si="47"/>
        <v>0</v>
      </c>
      <c r="BF101" s="81"/>
      <c r="BG101" s="82">
        <v>-36.799999999999997</v>
      </c>
      <c r="BH101" s="82">
        <v>0</v>
      </c>
      <c r="BI101" s="82">
        <v>-594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96">B100+B101</f>
        <v>2192.84</v>
      </c>
      <c r="C102" s="108">
        <f t="shared" si="96"/>
        <v>2182.54</v>
      </c>
      <c r="D102" s="108">
        <f t="shared" ref="D102:E102" si="97">D100+D101</f>
        <v>2202.54</v>
      </c>
      <c r="E102" s="108">
        <f t="shared" si="97"/>
        <v>2153.34</v>
      </c>
      <c r="F102" s="108">
        <f t="shared" ref="F102:G102" si="98">F100+F101</f>
        <v>2206.0800000000004</v>
      </c>
      <c r="G102" s="108">
        <f t="shared" si="98"/>
        <v>2192.44</v>
      </c>
      <c r="H102" s="108">
        <f t="shared" ref="H102:I102" si="99">H100+H101</f>
        <v>2192.44</v>
      </c>
      <c r="I102" s="108">
        <f t="shared" si="99"/>
        <v>2192.44</v>
      </c>
      <c r="J102" s="108">
        <f t="shared" ref="J102:K102" si="100">J100+J101</f>
        <v>2226.04</v>
      </c>
      <c r="K102" s="108">
        <f t="shared" si="100"/>
        <v>2224.34</v>
      </c>
      <c r="L102" s="108">
        <f t="shared" ref="L102" si="101">L100+L101</f>
        <v>2224.34</v>
      </c>
      <c r="M102" s="108">
        <f t="shared" ref="M102:AF102" si="102">M100+M101</f>
        <v>2300.7400000000002</v>
      </c>
      <c r="N102" s="108">
        <f t="shared" si="102"/>
        <v>2291.34</v>
      </c>
      <c r="O102" s="108">
        <f t="shared" si="102"/>
        <v>2291.1400000000003</v>
      </c>
      <c r="P102" s="108">
        <f t="shared" si="102"/>
        <v>2260.34</v>
      </c>
      <c r="Q102" s="108">
        <f t="shared" si="102"/>
        <v>303.54000000000002</v>
      </c>
      <c r="R102" s="108">
        <f t="shared" si="102"/>
        <v>2133.64</v>
      </c>
      <c r="S102" s="108">
        <f t="shared" ref="S102:T102" si="103">S100+S101</f>
        <v>2110.2399999999998</v>
      </c>
      <c r="T102" s="108">
        <f t="shared" si="103"/>
        <v>2112.7400000000002</v>
      </c>
      <c r="U102" s="108">
        <f t="shared" ref="U102:V102" si="104">U100+U101</f>
        <v>2111.54</v>
      </c>
      <c r="V102" s="108">
        <f t="shared" si="104"/>
        <v>2111.54</v>
      </c>
      <c r="W102" s="108">
        <f t="shared" ref="W102" si="105">W100+W101</f>
        <v>2112.14</v>
      </c>
      <c r="X102" s="108">
        <f t="shared" si="102"/>
        <v>2125.14</v>
      </c>
      <c r="Y102" s="108">
        <f t="shared" ref="Y102:Z102" si="106">Y100+Y101</f>
        <v>2158.94</v>
      </c>
      <c r="Z102" s="108">
        <f t="shared" si="106"/>
        <v>2158.6400000000003</v>
      </c>
      <c r="AA102" s="108">
        <f t="shared" ref="AA102" si="107">AA100+AA101</f>
        <v>2161.2400000000002</v>
      </c>
      <c r="AB102" s="108">
        <f t="shared" si="102"/>
        <v>2239.6400000000003</v>
      </c>
      <c r="AC102" s="108">
        <f t="shared" si="102"/>
        <v>2197.84</v>
      </c>
      <c r="AD102" s="108">
        <f t="shared" si="102"/>
        <v>2162.14</v>
      </c>
      <c r="AE102" s="108">
        <f t="shared" si="102"/>
        <v>2096.34</v>
      </c>
      <c r="AF102" s="108">
        <f t="shared" si="102"/>
        <v>2086.1400000000003</v>
      </c>
      <c r="AG102" s="101">
        <f>AG99+AG95+AG83+AG79+AG61+AG101</f>
        <v>2117.34</v>
      </c>
      <c r="AH102" s="48">
        <f t="shared" si="46"/>
        <v>2300.7400000000002</v>
      </c>
      <c r="AI102" s="49">
        <f t="shared" si="47"/>
        <v>303.54000000000002</v>
      </c>
      <c r="BF102" s="81"/>
      <c r="BG102" s="82">
        <v>-29</v>
      </c>
      <c r="BH102" s="82">
        <v>0</v>
      </c>
      <c r="BI102" s="82">
        <v>-546.5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108">B102-(B110)</f>
        <v>1679.8400000000001</v>
      </c>
      <c r="C103" s="108">
        <f t="shared" si="108"/>
        <v>1650.54</v>
      </c>
      <c r="D103" s="108">
        <f t="shared" ref="D103:E103" si="109">D102-(D110)</f>
        <v>1595.54</v>
      </c>
      <c r="E103" s="108">
        <f t="shared" si="109"/>
        <v>1623.8400000000001</v>
      </c>
      <c r="F103" s="108">
        <f t="shared" ref="F103:G103" si="110">F102-(F110)</f>
        <v>1555.6800000000003</v>
      </c>
      <c r="G103" s="108">
        <f t="shared" si="110"/>
        <v>1548.3400000000001</v>
      </c>
      <c r="H103" s="108">
        <f t="shared" ref="H103:I103" si="111">H102-(H110)</f>
        <v>1548.3400000000001</v>
      </c>
      <c r="I103" s="108">
        <f t="shared" si="111"/>
        <v>1617.8400000000001</v>
      </c>
      <c r="J103" s="108">
        <f t="shared" ref="J103:K103" si="112">J102-(J110)</f>
        <v>1630.7399999999998</v>
      </c>
      <c r="K103" s="108">
        <f t="shared" si="112"/>
        <v>1573.94</v>
      </c>
      <c r="L103" s="108">
        <f t="shared" ref="L103" si="113">L102-(L110)</f>
        <v>1565.94</v>
      </c>
      <c r="M103" s="108">
        <f t="shared" ref="M103:AF103" si="114">M102-(M110)</f>
        <v>1696.2400000000002</v>
      </c>
      <c r="N103" s="108">
        <f t="shared" si="114"/>
        <v>1712.2400000000002</v>
      </c>
      <c r="O103" s="108">
        <f t="shared" si="114"/>
        <v>1660.8400000000004</v>
      </c>
      <c r="P103" s="108">
        <f t="shared" si="114"/>
        <v>1640.3400000000001</v>
      </c>
      <c r="Q103" s="108">
        <f t="shared" si="114"/>
        <v>303.54000000000002</v>
      </c>
      <c r="R103" s="108">
        <f t="shared" si="114"/>
        <v>1512.6399999999999</v>
      </c>
      <c r="S103" s="108">
        <f t="shared" ref="S103:T103" si="115">S102-(S110)</f>
        <v>1561.3399999999997</v>
      </c>
      <c r="T103" s="108">
        <f t="shared" si="115"/>
        <v>1468.8400000000001</v>
      </c>
      <c r="U103" s="108">
        <f t="shared" ref="U103:V103" si="116">U102-(U110)</f>
        <v>1437.1399999999999</v>
      </c>
      <c r="V103" s="108">
        <f t="shared" si="116"/>
        <v>1401.94</v>
      </c>
      <c r="W103" s="108">
        <f t="shared" ref="W103" si="117">W102-(W110)</f>
        <v>1525.7399999999998</v>
      </c>
      <c r="X103" s="108">
        <f t="shared" si="114"/>
        <v>1479.1399999999999</v>
      </c>
      <c r="Y103" s="108">
        <f t="shared" ref="Y103:Z103" si="118">Y102-(Y110)</f>
        <v>1479.54</v>
      </c>
      <c r="Z103" s="108">
        <f t="shared" si="118"/>
        <v>1531.3400000000001</v>
      </c>
      <c r="AA103" s="108">
        <f t="shared" ref="AA103" si="119">AA102-(AA110)</f>
        <v>1576.7400000000002</v>
      </c>
      <c r="AB103" s="108">
        <f t="shared" si="114"/>
        <v>1608.8400000000004</v>
      </c>
      <c r="AC103" s="108">
        <f t="shared" si="114"/>
        <v>1664.2400000000002</v>
      </c>
      <c r="AD103" s="108">
        <f t="shared" si="114"/>
        <v>1586.6399999999999</v>
      </c>
      <c r="AE103" s="108">
        <f t="shared" si="114"/>
        <v>1470.7400000000002</v>
      </c>
      <c r="AF103" s="108">
        <f t="shared" si="114"/>
        <v>1480.7400000000002</v>
      </c>
      <c r="AG103" s="101"/>
      <c r="AH103" s="48">
        <f t="shared" si="46"/>
        <v>1712.2400000000002</v>
      </c>
      <c r="AI103" s="49">
        <f t="shared" si="47"/>
        <v>303.54000000000002</v>
      </c>
      <c r="BF103" s="81"/>
      <c r="BG103" s="82">
        <v>-38.799999999999997</v>
      </c>
      <c r="BH103" s="82">
        <v>0</v>
      </c>
      <c r="BI103" s="82">
        <v>-586.79999999999995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120">IF(B84&lt;0,B84*-1,0)</f>
        <v>33</v>
      </c>
      <c r="C104" s="89">
        <f t="shared" si="120"/>
        <v>22</v>
      </c>
      <c r="D104" s="89">
        <f t="shared" ref="D104:E104" si="121">IF(D84&lt;0,D84*-1,0)</f>
        <v>44</v>
      </c>
      <c r="E104" s="89">
        <f t="shared" si="121"/>
        <v>46.6</v>
      </c>
      <c r="F104" s="89">
        <f t="shared" ref="F104:G104" si="122">IF(F84&lt;0,F84*-1,0)</f>
        <v>49</v>
      </c>
      <c r="G104" s="89">
        <f t="shared" si="122"/>
        <v>52</v>
      </c>
      <c r="H104" s="89">
        <f t="shared" ref="H104:I104" si="123">IF(H84&lt;0,H84*-1,0)</f>
        <v>52</v>
      </c>
      <c r="I104" s="89">
        <f t="shared" si="123"/>
        <v>32.5</v>
      </c>
      <c r="J104" s="89">
        <f t="shared" ref="J104:K104" si="124">IF(J84&lt;0,J84*-1,0)</f>
        <v>33.200000000000003</v>
      </c>
      <c r="K104" s="89">
        <f t="shared" si="124"/>
        <v>39.200000000000003</v>
      </c>
      <c r="L104" s="89">
        <f t="shared" ref="L104" si="125">IF(L84&lt;0,L84*-1,0)</f>
        <v>40.5</v>
      </c>
      <c r="M104" s="89">
        <f t="shared" ref="M104:AF109" si="126">IF(M84&lt;0,M84*-1,0)</f>
        <v>40.5</v>
      </c>
      <c r="N104" s="89">
        <f t="shared" si="126"/>
        <v>32.1</v>
      </c>
      <c r="O104" s="89">
        <f t="shared" si="126"/>
        <v>28.3</v>
      </c>
      <c r="P104" s="89">
        <f t="shared" si="126"/>
        <v>20</v>
      </c>
      <c r="Q104" s="89">
        <f t="shared" si="126"/>
        <v>0</v>
      </c>
      <c r="R104" s="89">
        <f t="shared" si="126"/>
        <v>46</v>
      </c>
      <c r="S104" s="89">
        <f t="shared" ref="S104:T104" si="127">IF(S84&lt;0,S84*-1,0)</f>
        <v>56.5</v>
      </c>
      <c r="T104" s="89">
        <f t="shared" si="127"/>
        <v>42.8</v>
      </c>
      <c r="U104" s="89">
        <f t="shared" ref="U104:V104" si="128">IF(U84&lt;0,U84*-1,0)</f>
        <v>52.3</v>
      </c>
      <c r="V104" s="89">
        <f t="shared" si="128"/>
        <v>55.5</v>
      </c>
      <c r="W104" s="89">
        <f t="shared" ref="W104" si="129">IF(W84&lt;0,W84*-1,0)</f>
        <v>45.8</v>
      </c>
      <c r="X104" s="89">
        <f t="shared" si="126"/>
        <v>51</v>
      </c>
      <c r="Y104" s="89">
        <f t="shared" ref="Y104:Z104" si="130">IF(Y84&lt;0,Y84*-1,0)</f>
        <v>52.1</v>
      </c>
      <c r="Z104" s="89">
        <f t="shared" si="130"/>
        <v>65.7</v>
      </c>
      <c r="AA104" s="89">
        <f t="shared" ref="AA104" si="131">IF(AA84&lt;0,AA84*-1,0)</f>
        <v>14.7</v>
      </c>
      <c r="AB104" s="89">
        <f t="shared" si="126"/>
        <v>36.799999999999997</v>
      </c>
      <c r="AC104" s="89">
        <f t="shared" si="126"/>
        <v>30.7</v>
      </c>
      <c r="AD104" s="89">
        <f t="shared" si="126"/>
        <v>29</v>
      </c>
      <c r="AE104" s="89">
        <f t="shared" si="126"/>
        <v>38.799999999999997</v>
      </c>
      <c r="AF104" s="89">
        <f t="shared" si="126"/>
        <v>38.299999999999997</v>
      </c>
      <c r="AG104" s="61"/>
      <c r="AH104" s="48">
        <f t="shared" si="46"/>
        <v>65.7</v>
      </c>
      <c r="AI104" s="49">
        <f t="shared" si="47"/>
        <v>0</v>
      </c>
      <c r="BG104" s="82">
        <v>-38.299999999999997</v>
      </c>
      <c r="BH104" s="82">
        <v>0</v>
      </c>
      <c r="BI104" s="82">
        <v>-567.1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120"/>
        <v>0</v>
      </c>
      <c r="C105" s="89">
        <f t="shared" si="120"/>
        <v>0</v>
      </c>
      <c r="D105" s="89">
        <f t="shared" ref="D105:E105" si="132">IF(D85&lt;0,D85*-1,0)</f>
        <v>0</v>
      </c>
      <c r="E105" s="89">
        <f t="shared" si="132"/>
        <v>0</v>
      </c>
      <c r="F105" s="89">
        <f t="shared" ref="F105:G105" si="133">IF(F85&lt;0,F85*-1,0)</f>
        <v>0</v>
      </c>
      <c r="G105" s="89">
        <f t="shared" si="133"/>
        <v>0</v>
      </c>
      <c r="H105" s="89">
        <f t="shared" ref="H105:I105" si="134">IF(H85&lt;0,H85*-1,0)</f>
        <v>0</v>
      </c>
      <c r="I105" s="89">
        <f t="shared" si="134"/>
        <v>0</v>
      </c>
      <c r="J105" s="89">
        <f t="shared" ref="J105:K105" si="135">IF(J85&lt;0,J85*-1,0)</f>
        <v>0</v>
      </c>
      <c r="K105" s="89">
        <f t="shared" si="135"/>
        <v>0</v>
      </c>
      <c r="L105" s="89">
        <f t="shared" ref="L105" si="136">IF(L85&lt;0,L85*-1,0)</f>
        <v>0</v>
      </c>
      <c r="M105" s="89">
        <f t="shared" si="126"/>
        <v>0</v>
      </c>
      <c r="N105" s="89">
        <f t="shared" si="126"/>
        <v>0</v>
      </c>
      <c r="O105" s="89">
        <f t="shared" si="126"/>
        <v>0</v>
      </c>
      <c r="P105" s="89">
        <f t="shared" si="126"/>
        <v>0</v>
      </c>
      <c r="Q105" s="89">
        <f t="shared" si="126"/>
        <v>0</v>
      </c>
      <c r="R105" s="89">
        <f t="shared" si="126"/>
        <v>0</v>
      </c>
      <c r="S105" s="89">
        <f t="shared" ref="S105:T105" si="137">IF(S85&lt;0,S85*-1,0)</f>
        <v>0</v>
      </c>
      <c r="T105" s="89">
        <f t="shared" si="137"/>
        <v>0</v>
      </c>
      <c r="U105" s="89">
        <f t="shared" ref="U105:V105" si="138">IF(U85&lt;0,U85*-1,0)</f>
        <v>0</v>
      </c>
      <c r="V105" s="89">
        <f t="shared" si="138"/>
        <v>0</v>
      </c>
      <c r="W105" s="89">
        <f t="shared" ref="W105" si="139">IF(W85&lt;0,W85*-1,0)</f>
        <v>0</v>
      </c>
      <c r="X105" s="89">
        <f t="shared" si="126"/>
        <v>0</v>
      </c>
      <c r="Y105" s="89">
        <f t="shared" ref="Y105:Z105" si="140">IF(Y85&lt;0,Y85*-1,0)</f>
        <v>0</v>
      </c>
      <c r="Z105" s="89">
        <f t="shared" si="140"/>
        <v>0</v>
      </c>
      <c r="AA105" s="89">
        <f t="shared" ref="AA105" si="141">IF(AA85&lt;0,AA85*-1,0)</f>
        <v>0</v>
      </c>
      <c r="AB105" s="89">
        <f t="shared" si="126"/>
        <v>0</v>
      </c>
      <c r="AC105" s="89">
        <f t="shared" si="126"/>
        <v>0</v>
      </c>
      <c r="AD105" s="89">
        <f t="shared" si="126"/>
        <v>0</v>
      </c>
      <c r="AE105" s="89">
        <f t="shared" si="126"/>
        <v>0</v>
      </c>
      <c r="AF105" s="89">
        <f t="shared" si="126"/>
        <v>0</v>
      </c>
      <c r="AG105" s="66"/>
      <c r="AH105" s="48">
        <f t="shared" si="46"/>
        <v>0</v>
      </c>
      <c r="AI105" s="49">
        <f t="shared" si="47"/>
        <v>0</v>
      </c>
      <c r="AK105" s="51"/>
      <c r="BG105" s="82">
        <v>-33</v>
      </c>
      <c r="BH105" s="82">
        <v>0</v>
      </c>
      <c r="BI105" s="82">
        <v>-480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120"/>
        <v>480</v>
      </c>
      <c r="C106" s="89">
        <f t="shared" si="120"/>
        <v>510</v>
      </c>
      <c r="D106" s="89">
        <f t="shared" ref="D106:E106" si="142">IF(D86&lt;0,D86*-1,0)</f>
        <v>563</v>
      </c>
      <c r="E106" s="89">
        <f t="shared" si="142"/>
        <v>482.9</v>
      </c>
      <c r="F106" s="89">
        <f t="shared" ref="F106:G106" si="143">IF(F86&lt;0,F86*-1,0)</f>
        <v>601.4</v>
      </c>
      <c r="G106" s="89">
        <f t="shared" si="143"/>
        <v>592.1</v>
      </c>
      <c r="H106" s="89">
        <f t="shared" ref="H106:I106" si="144">IF(H86&lt;0,H86*-1,0)</f>
        <v>592.1</v>
      </c>
      <c r="I106" s="89">
        <f t="shared" si="144"/>
        <v>542.1</v>
      </c>
      <c r="J106" s="89">
        <f t="shared" ref="J106:K106" si="145">IF(J86&lt;0,J86*-1,0)</f>
        <v>562.1</v>
      </c>
      <c r="K106" s="89">
        <f t="shared" si="145"/>
        <v>611.20000000000005</v>
      </c>
      <c r="L106" s="89">
        <f t="shared" ref="L106" si="146">IF(L86&lt;0,L86*-1,0)</f>
        <v>617.9</v>
      </c>
      <c r="M106" s="89">
        <f t="shared" si="126"/>
        <v>564</v>
      </c>
      <c r="N106" s="89">
        <f t="shared" si="126"/>
        <v>547</v>
      </c>
      <c r="O106" s="89">
        <f t="shared" si="126"/>
        <v>602</v>
      </c>
      <c r="P106" s="89">
        <f t="shared" si="126"/>
        <v>600</v>
      </c>
      <c r="Q106" s="89">
        <f t="shared" si="126"/>
        <v>0</v>
      </c>
      <c r="R106" s="89">
        <f t="shared" si="126"/>
        <v>575</v>
      </c>
      <c r="S106" s="89">
        <f t="shared" ref="S106:T106" si="147">IF(S86&lt;0,S86*-1,0)</f>
        <v>492.4</v>
      </c>
      <c r="T106" s="89">
        <f t="shared" si="147"/>
        <v>601.1</v>
      </c>
      <c r="U106" s="89">
        <f t="shared" ref="U106:V106" si="148">IF(U86&lt;0,U86*-1,0)</f>
        <v>622.1</v>
      </c>
      <c r="V106" s="89">
        <f t="shared" si="148"/>
        <v>654.1</v>
      </c>
      <c r="W106" s="89">
        <f t="shared" ref="W106" si="149">IF(W86&lt;0,W86*-1,0)</f>
        <v>540.6</v>
      </c>
      <c r="X106" s="89">
        <f t="shared" si="126"/>
        <v>595</v>
      </c>
      <c r="Y106" s="89">
        <f t="shared" ref="Y106:Z106" si="150">IF(Y86&lt;0,Y86*-1,0)</f>
        <v>627.29999999999995</v>
      </c>
      <c r="Z106" s="89">
        <f t="shared" si="150"/>
        <v>561.6</v>
      </c>
      <c r="AA106" s="89">
        <f t="shared" ref="AA106" si="151">IF(AA86&lt;0,AA86*-1,0)</f>
        <v>569.79999999999995</v>
      </c>
      <c r="AB106" s="89">
        <f t="shared" si="126"/>
        <v>594</v>
      </c>
      <c r="AC106" s="89">
        <f t="shared" si="126"/>
        <v>502.9</v>
      </c>
      <c r="AD106" s="89">
        <f t="shared" si="126"/>
        <v>546.5</v>
      </c>
      <c r="AE106" s="89">
        <f t="shared" si="126"/>
        <v>586.79999999999995</v>
      </c>
      <c r="AF106" s="89">
        <f t="shared" si="126"/>
        <v>567.1</v>
      </c>
      <c r="AG106" s="111"/>
      <c r="AH106" s="48">
        <f t="shared" si="46"/>
        <v>654.1</v>
      </c>
      <c r="AI106" s="49">
        <f t="shared" si="47"/>
        <v>0</v>
      </c>
    </row>
    <row r="107" spans="1:64" x14ac:dyDescent="0.25">
      <c r="A107" s="97" t="s">
        <v>107</v>
      </c>
      <c r="B107" s="89">
        <f t="shared" si="120"/>
        <v>0</v>
      </c>
      <c r="C107" s="89">
        <f t="shared" si="120"/>
        <v>0</v>
      </c>
      <c r="D107" s="89">
        <f t="shared" ref="D107:E107" si="152">IF(D87&lt;0,D87*-1,0)</f>
        <v>0</v>
      </c>
      <c r="E107" s="89">
        <f t="shared" si="152"/>
        <v>0</v>
      </c>
      <c r="F107" s="89">
        <f t="shared" ref="F107:G107" si="153">IF(F87&lt;0,F87*-1,0)</f>
        <v>0</v>
      </c>
      <c r="G107" s="89">
        <f t="shared" si="153"/>
        <v>0</v>
      </c>
      <c r="H107" s="89">
        <f t="shared" ref="H107:I107" si="154">IF(H87&lt;0,H87*-1,0)</f>
        <v>0</v>
      </c>
      <c r="I107" s="89">
        <f t="shared" si="154"/>
        <v>0</v>
      </c>
      <c r="J107" s="89">
        <f t="shared" ref="J107:K107" si="155">IF(J87&lt;0,J87*-1,0)</f>
        <v>0</v>
      </c>
      <c r="K107" s="89">
        <f t="shared" si="155"/>
        <v>0</v>
      </c>
      <c r="L107" s="89">
        <f t="shared" ref="L107" si="156">IF(L87&lt;0,L87*-1,0)</f>
        <v>0</v>
      </c>
      <c r="M107" s="89">
        <f t="shared" si="126"/>
        <v>0</v>
      </c>
      <c r="N107" s="89">
        <f t="shared" si="126"/>
        <v>0</v>
      </c>
      <c r="O107" s="89">
        <f t="shared" si="126"/>
        <v>0</v>
      </c>
      <c r="P107" s="89">
        <f t="shared" si="126"/>
        <v>0</v>
      </c>
      <c r="Q107" s="89">
        <f t="shared" si="126"/>
        <v>0</v>
      </c>
      <c r="R107" s="89">
        <f t="shared" si="126"/>
        <v>0</v>
      </c>
      <c r="S107" s="89">
        <f t="shared" ref="S107:T107" si="157">IF(S87&lt;0,S87*-1,0)</f>
        <v>0</v>
      </c>
      <c r="T107" s="89">
        <f t="shared" si="157"/>
        <v>0</v>
      </c>
      <c r="U107" s="89">
        <f t="shared" ref="U107:V107" si="158">IF(U87&lt;0,U87*-1,0)</f>
        <v>0</v>
      </c>
      <c r="V107" s="89">
        <f t="shared" si="158"/>
        <v>0</v>
      </c>
      <c r="W107" s="89">
        <f t="shared" ref="W107" si="159">IF(W87&lt;0,W87*-1,0)</f>
        <v>0</v>
      </c>
      <c r="X107" s="89">
        <f t="shared" si="126"/>
        <v>0</v>
      </c>
      <c r="Y107" s="89">
        <f t="shared" ref="Y107:Z107" si="160">IF(Y87&lt;0,Y87*-1,0)</f>
        <v>0</v>
      </c>
      <c r="Z107" s="89">
        <f t="shared" si="160"/>
        <v>0</v>
      </c>
      <c r="AA107" s="89">
        <f t="shared" ref="AA107" si="161">IF(AA87&lt;0,AA87*-1,0)</f>
        <v>0</v>
      </c>
      <c r="AB107" s="89">
        <f t="shared" si="126"/>
        <v>0</v>
      </c>
      <c r="AC107" s="89">
        <f t="shared" si="126"/>
        <v>0</v>
      </c>
      <c r="AD107" s="89">
        <f t="shared" si="126"/>
        <v>0</v>
      </c>
      <c r="AE107" s="89">
        <f t="shared" si="126"/>
        <v>0</v>
      </c>
      <c r="AF107" s="89">
        <f t="shared" si="126"/>
        <v>0</v>
      </c>
      <c r="AG107" s="111"/>
      <c r="AH107" s="48">
        <f t="shared" si="46"/>
        <v>0</v>
      </c>
      <c r="AI107" s="49">
        <f t="shared" si="47"/>
        <v>0</v>
      </c>
    </row>
    <row r="108" spans="1:64" x14ac:dyDescent="0.25">
      <c r="A108" s="97" t="s">
        <v>108</v>
      </c>
      <c r="B108" s="89">
        <f t="shared" si="120"/>
        <v>0</v>
      </c>
      <c r="C108" s="89">
        <f t="shared" si="120"/>
        <v>0</v>
      </c>
      <c r="D108" s="89">
        <f t="shared" ref="D108:E108" si="162">IF(D88&lt;0,D88*-1,0)</f>
        <v>0</v>
      </c>
      <c r="E108" s="89">
        <f t="shared" si="162"/>
        <v>0</v>
      </c>
      <c r="F108" s="89">
        <f t="shared" ref="F108:G108" si="163">IF(F88&lt;0,F88*-1,0)</f>
        <v>0</v>
      </c>
      <c r="G108" s="89">
        <f t="shared" si="163"/>
        <v>0</v>
      </c>
      <c r="H108" s="89">
        <f t="shared" ref="H108:I108" si="164">IF(H88&lt;0,H88*-1,0)</f>
        <v>0</v>
      </c>
      <c r="I108" s="89">
        <f t="shared" si="164"/>
        <v>0</v>
      </c>
      <c r="J108" s="89">
        <f t="shared" ref="J108:K108" si="165">IF(J88&lt;0,J88*-1,0)</f>
        <v>0</v>
      </c>
      <c r="K108" s="89">
        <f t="shared" si="165"/>
        <v>0</v>
      </c>
      <c r="L108" s="89">
        <f t="shared" ref="L108" si="166">IF(L88&lt;0,L88*-1,0)</f>
        <v>0</v>
      </c>
      <c r="M108" s="89">
        <f t="shared" si="126"/>
        <v>0</v>
      </c>
      <c r="N108" s="89">
        <f t="shared" si="126"/>
        <v>0</v>
      </c>
      <c r="O108" s="89">
        <f t="shared" si="126"/>
        <v>0</v>
      </c>
      <c r="P108" s="89">
        <f t="shared" si="126"/>
        <v>0</v>
      </c>
      <c r="Q108" s="89">
        <f t="shared" si="126"/>
        <v>0</v>
      </c>
      <c r="R108" s="89">
        <f t="shared" si="126"/>
        <v>0</v>
      </c>
      <c r="S108" s="89">
        <f t="shared" ref="S108:T108" si="167">IF(S88&lt;0,S88*-1,0)</f>
        <v>0</v>
      </c>
      <c r="T108" s="89">
        <f t="shared" si="167"/>
        <v>0</v>
      </c>
      <c r="U108" s="89">
        <f t="shared" ref="U108:V108" si="168">IF(U88&lt;0,U88*-1,0)</f>
        <v>0</v>
      </c>
      <c r="V108" s="89">
        <f t="shared" si="168"/>
        <v>0</v>
      </c>
      <c r="W108" s="89">
        <f t="shared" ref="W108" si="169">IF(W88&lt;0,W88*-1,0)</f>
        <v>0</v>
      </c>
      <c r="X108" s="89">
        <f t="shared" si="126"/>
        <v>0</v>
      </c>
      <c r="Y108" s="89">
        <f t="shared" ref="Y108:Z108" si="170">IF(Y88&lt;0,Y88*-1,0)</f>
        <v>0</v>
      </c>
      <c r="Z108" s="89">
        <f t="shared" si="170"/>
        <v>0</v>
      </c>
      <c r="AA108" s="89">
        <f t="shared" ref="AA108" si="171">IF(AA88&lt;0,AA88*-1,0)</f>
        <v>0</v>
      </c>
      <c r="AB108" s="89">
        <f t="shared" si="126"/>
        <v>0</v>
      </c>
      <c r="AC108" s="89">
        <f t="shared" si="126"/>
        <v>0</v>
      </c>
      <c r="AD108" s="89">
        <f t="shared" si="126"/>
        <v>0</v>
      </c>
      <c r="AE108" s="89">
        <f t="shared" si="126"/>
        <v>0</v>
      </c>
      <c r="AF108" s="89">
        <f t="shared" si="126"/>
        <v>0</v>
      </c>
      <c r="AG108" s="111"/>
      <c r="AH108" s="48">
        <f t="shared" si="46"/>
        <v>0</v>
      </c>
      <c r="AI108" s="49">
        <f t="shared" si="47"/>
        <v>0</v>
      </c>
    </row>
    <row r="109" spans="1:64" ht="15.75" thickBot="1" x14ac:dyDescent="0.3">
      <c r="A109" s="97" t="s">
        <v>117</v>
      </c>
      <c r="B109" s="89">
        <f t="shared" si="120"/>
        <v>0</v>
      </c>
      <c r="C109" s="89">
        <f t="shared" si="120"/>
        <v>0</v>
      </c>
      <c r="D109" s="89">
        <f t="shared" ref="D109:E109" si="172">IF(D89&lt;0,D89*-1,0)</f>
        <v>0</v>
      </c>
      <c r="E109" s="89">
        <f t="shared" si="172"/>
        <v>0</v>
      </c>
      <c r="F109" s="89">
        <f t="shared" ref="F109:G109" si="173">IF(F89&lt;0,F89*-1,0)</f>
        <v>0</v>
      </c>
      <c r="G109" s="89">
        <f t="shared" si="173"/>
        <v>0</v>
      </c>
      <c r="H109" s="89">
        <f t="shared" ref="H109:I109" si="174">IF(H89&lt;0,H89*-1,0)</f>
        <v>0</v>
      </c>
      <c r="I109" s="89">
        <f t="shared" si="174"/>
        <v>0</v>
      </c>
      <c r="J109" s="89">
        <f t="shared" ref="J109:K109" si="175">IF(J89&lt;0,J89*-1,0)</f>
        <v>0</v>
      </c>
      <c r="K109" s="89">
        <f t="shared" si="175"/>
        <v>0</v>
      </c>
      <c r="L109" s="89">
        <f t="shared" ref="L109" si="176">IF(L89&lt;0,L89*-1,0)</f>
        <v>0</v>
      </c>
      <c r="M109" s="89">
        <f t="shared" si="126"/>
        <v>0</v>
      </c>
      <c r="N109" s="89">
        <f t="shared" si="126"/>
        <v>0</v>
      </c>
      <c r="O109" s="89">
        <f t="shared" si="126"/>
        <v>0</v>
      </c>
      <c r="P109" s="89">
        <f t="shared" si="126"/>
        <v>0</v>
      </c>
      <c r="Q109" s="89">
        <f t="shared" si="126"/>
        <v>0</v>
      </c>
      <c r="R109" s="89">
        <f t="shared" si="126"/>
        <v>0</v>
      </c>
      <c r="S109" s="89">
        <f t="shared" ref="S109:T109" si="177">IF(S89&lt;0,S89*-1,0)</f>
        <v>0</v>
      </c>
      <c r="T109" s="89">
        <f t="shared" si="177"/>
        <v>0</v>
      </c>
      <c r="U109" s="89">
        <f t="shared" ref="U109:V109" si="178">IF(U89&lt;0,U89*-1,0)</f>
        <v>0</v>
      </c>
      <c r="V109" s="89">
        <f t="shared" si="178"/>
        <v>0</v>
      </c>
      <c r="W109" s="89">
        <f t="shared" ref="W109" si="179">IF(W89&lt;0,W89*-1,0)</f>
        <v>0</v>
      </c>
      <c r="X109" s="89">
        <f t="shared" si="126"/>
        <v>0</v>
      </c>
      <c r="Y109" s="89">
        <f t="shared" ref="Y109:Z109" si="180">IF(Y89&lt;0,Y89*-1,0)</f>
        <v>0</v>
      </c>
      <c r="Z109" s="89">
        <f t="shared" si="180"/>
        <v>0</v>
      </c>
      <c r="AA109" s="89">
        <f t="shared" ref="AA109" si="181">IF(AA89&lt;0,AA89*-1,0)</f>
        <v>0</v>
      </c>
      <c r="AB109" s="89">
        <f t="shared" si="126"/>
        <v>0</v>
      </c>
      <c r="AC109" s="89">
        <f t="shared" si="126"/>
        <v>0</v>
      </c>
      <c r="AD109" s="89">
        <f t="shared" si="126"/>
        <v>0</v>
      </c>
      <c r="AE109" s="89">
        <f t="shared" si="126"/>
        <v>0</v>
      </c>
      <c r="AF109" s="89">
        <f t="shared" si="126"/>
        <v>0</v>
      </c>
      <c r="AG109" s="98"/>
      <c r="AH109" s="48">
        <f t="shared" si="46"/>
        <v>0</v>
      </c>
      <c r="AI109" s="49">
        <f t="shared" si="47"/>
        <v>0</v>
      </c>
    </row>
    <row r="110" spans="1:64" ht="15.75" thickBot="1" x14ac:dyDescent="0.3">
      <c r="A110" s="112" t="s">
        <v>130</v>
      </c>
      <c r="B110" s="71">
        <f t="shared" ref="B110:C110" si="182">SUM(B104:B109)</f>
        <v>513</v>
      </c>
      <c r="C110" s="71">
        <f t="shared" si="182"/>
        <v>532</v>
      </c>
      <c r="D110" s="71">
        <f t="shared" ref="D110:E110" si="183">SUM(D104:D109)</f>
        <v>607</v>
      </c>
      <c r="E110" s="71">
        <f t="shared" si="183"/>
        <v>529.5</v>
      </c>
      <c r="F110" s="71">
        <f t="shared" ref="F110:G110" si="184">SUM(F104:F109)</f>
        <v>650.4</v>
      </c>
      <c r="G110" s="71">
        <f t="shared" si="184"/>
        <v>644.1</v>
      </c>
      <c r="H110" s="71">
        <f t="shared" ref="H110:I110" si="185">SUM(H104:H109)</f>
        <v>644.1</v>
      </c>
      <c r="I110" s="71">
        <f t="shared" si="185"/>
        <v>574.6</v>
      </c>
      <c r="J110" s="71">
        <f t="shared" ref="J110:K110" si="186">SUM(J104:J109)</f>
        <v>595.30000000000007</v>
      </c>
      <c r="K110" s="71">
        <f t="shared" si="186"/>
        <v>650.40000000000009</v>
      </c>
      <c r="L110" s="71">
        <f t="shared" ref="L110" si="187">SUM(L104:L109)</f>
        <v>658.4</v>
      </c>
      <c r="M110" s="71">
        <f t="shared" ref="M110:AF110" si="188">SUM(M104:M109)</f>
        <v>604.5</v>
      </c>
      <c r="N110" s="71">
        <f t="shared" si="188"/>
        <v>579.1</v>
      </c>
      <c r="O110" s="71">
        <f t="shared" si="188"/>
        <v>630.29999999999995</v>
      </c>
      <c r="P110" s="71">
        <f t="shared" si="188"/>
        <v>620</v>
      </c>
      <c r="Q110" s="71">
        <f t="shared" si="188"/>
        <v>0</v>
      </c>
      <c r="R110" s="71">
        <f t="shared" si="188"/>
        <v>621</v>
      </c>
      <c r="S110" s="71">
        <f t="shared" ref="S110:T110" si="189">SUM(S104:S109)</f>
        <v>548.9</v>
      </c>
      <c r="T110" s="71">
        <f t="shared" si="189"/>
        <v>643.9</v>
      </c>
      <c r="U110" s="71">
        <f t="shared" ref="U110:V110" si="190">SUM(U104:U109)</f>
        <v>674.4</v>
      </c>
      <c r="V110" s="71">
        <f t="shared" si="190"/>
        <v>709.6</v>
      </c>
      <c r="W110" s="71">
        <f t="shared" ref="W110" si="191">SUM(W104:W109)</f>
        <v>586.4</v>
      </c>
      <c r="X110" s="71">
        <f t="shared" si="188"/>
        <v>646</v>
      </c>
      <c r="Y110" s="71">
        <f t="shared" ref="Y110:Z110" si="192">SUM(Y104:Y109)</f>
        <v>679.4</v>
      </c>
      <c r="Z110" s="71">
        <f t="shared" si="192"/>
        <v>627.30000000000007</v>
      </c>
      <c r="AA110" s="71">
        <f t="shared" ref="AA110" si="193">SUM(AA104:AA109)</f>
        <v>584.5</v>
      </c>
      <c r="AB110" s="71">
        <f t="shared" si="188"/>
        <v>630.79999999999995</v>
      </c>
      <c r="AC110" s="71">
        <f t="shared" si="188"/>
        <v>533.6</v>
      </c>
      <c r="AD110" s="71">
        <f t="shared" si="188"/>
        <v>575.5</v>
      </c>
      <c r="AE110" s="71">
        <f t="shared" si="188"/>
        <v>625.59999999999991</v>
      </c>
      <c r="AF110" s="71">
        <f t="shared" si="188"/>
        <v>605.4</v>
      </c>
      <c r="AG110" s="101"/>
      <c r="AH110" s="48">
        <f t="shared" si="46"/>
        <v>709.6</v>
      </c>
      <c r="AI110" s="49">
        <f t="shared" si="47"/>
        <v>0</v>
      </c>
    </row>
    <row r="111" spans="1:64" ht="15.75" thickBot="1" x14ac:dyDescent="0.3">
      <c r="A111" s="87" t="s">
        <v>131</v>
      </c>
      <c r="B111" s="71">
        <f t="shared" ref="B111:C111" si="194">B95-B110</f>
        <v>-513</v>
      </c>
      <c r="C111" s="71">
        <f t="shared" si="194"/>
        <v>-532</v>
      </c>
      <c r="D111" s="71">
        <f t="shared" ref="D111:E111" si="195">D95-D110</f>
        <v>-607</v>
      </c>
      <c r="E111" s="71">
        <f t="shared" si="195"/>
        <v>-529.5</v>
      </c>
      <c r="F111" s="71">
        <f t="shared" ref="F111:G111" si="196">F95-F110</f>
        <v>-650.4</v>
      </c>
      <c r="G111" s="71">
        <f t="shared" si="196"/>
        <v>-644.1</v>
      </c>
      <c r="H111" s="71">
        <f t="shared" ref="H111:I111" si="197">H95-H110</f>
        <v>-644.1</v>
      </c>
      <c r="I111" s="71">
        <f t="shared" si="197"/>
        <v>-574.6</v>
      </c>
      <c r="J111" s="71">
        <f t="shared" ref="J111:K111" si="198">J95-J110</f>
        <v>-595.30000000000007</v>
      </c>
      <c r="K111" s="71">
        <f t="shared" si="198"/>
        <v>-650.40000000000009</v>
      </c>
      <c r="L111" s="71">
        <f t="shared" ref="L111" si="199">L95-L110</f>
        <v>-658.4</v>
      </c>
      <c r="M111" s="71">
        <f t="shared" ref="M111:AF111" si="200">M95-M110</f>
        <v>-604.5</v>
      </c>
      <c r="N111" s="71">
        <f t="shared" si="200"/>
        <v>-579.1</v>
      </c>
      <c r="O111" s="71">
        <f t="shared" si="200"/>
        <v>-630.29999999999995</v>
      </c>
      <c r="P111" s="71">
        <f t="shared" si="200"/>
        <v>-620</v>
      </c>
      <c r="Q111" s="71">
        <f t="shared" si="200"/>
        <v>0</v>
      </c>
      <c r="R111" s="71">
        <f t="shared" si="200"/>
        <v>-621</v>
      </c>
      <c r="S111" s="71">
        <f t="shared" ref="S111:T111" si="201">S95-S110</f>
        <v>-548.9</v>
      </c>
      <c r="T111" s="71">
        <f t="shared" si="201"/>
        <v>-643.9</v>
      </c>
      <c r="U111" s="71">
        <f t="shared" ref="U111:V111" si="202">U95-U110</f>
        <v>-674.4</v>
      </c>
      <c r="V111" s="71">
        <f t="shared" si="202"/>
        <v>-709.6</v>
      </c>
      <c r="W111" s="71">
        <f t="shared" ref="W111" si="203">W95-W110</f>
        <v>-586.4</v>
      </c>
      <c r="X111" s="71">
        <f t="shared" si="200"/>
        <v>-646</v>
      </c>
      <c r="Y111" s="71">
        <f t="shared" ref="Y111:Z111" si="204">Y95-Y110</f>
        <v>-679.4</v>
      </c>
      <c r="Z111" s="71">
        <f t="shared" si="204"/>
        <v>-627.30000000000007</v>
      </c>
      <c r="AA111" s="71">
        <f t="shared" ref="AA111" si="205">AA95-AA110</f>
        <v>-584.5</v>
      </c>
      <c r="AB111" s="71">
        <f t="shared" si="200"/>
        <v>-630.79999999999995</v>
      </c>
      <c r="AC111" s="71">
        <f t="shared" si="200"/>
        <v>-533.6</v>
      </c>
      <c r="AD111" s="71">
        <f t="shared" si="200"/>
        <v>-575.5</v>
      </c>
      <c r="AE111" s="71">
        <f t="shared" si="200"/>
        <v>-625.59999999999991</v>
      </c>
      <c r="AF111" s="71">
        <f t="shared" si="200"/>
        <v>-605.4</v>
      </c>
      <c r="AG111" s="101"/>
      <c r="AH111" s="48">
        <f t="shared" si="46"/>
        <v>0</v>
      </c>
      <c r="AI111" s="49">
        <f t="shared" si="47"/>
        <v>-709.6</v>
      </c>
    </row>
    <row r="112" spans="1:64" x14ac:dyDescent="0.25">
      <c r="A112" s="113" t="s">
        <v>132</v>
      </c>
      <c r="B112" s="114">
        <v>50.07</v>
      </c>
      <c r="C112" s="114">
        <v>49.98</v>
      </c>
      <c r="D112" s="114">
        <v>50.03</v>
      </c>
      <c r="E112" s="114">
        <v>49.97</v>
      </c>
      <c r="F112" s="114">
        <v>50</v>
      </c>
      <c r="G112" s="114">
        <v>49.89</v>
      </c>
      <c r="H112" s="114">
        <v>49.89</v>
      </c>
      <c r="I112" s="114">
        <v>49.93</v>
      </c>
      <c r="J112" s="114">
        <v>49.93</v>
      </c>
      <c r="K112" s="114">
        <v>49.89</v>
      </c>
      <c r="L112" s="114">
        <v>50</v>
      </c>
      <c r="M112" s="114">
        <v>50.04</v>
      </c>
      <c r="N112" s="114">
        <v>50.02</v>
      </c>
      <c r="O112" s="114">
        <v>49.993000000000002</v>
      </c>
      <c r="P112" s="114">
        <v>50</v>
      </c>
      <c r="Q112" s="114"/>
      <c r="R112" s="114">
        <v>50.226999999999997</v>
      </c>
      <c r="S112" s="114">
        <v>49.92</v>
      </c>
      <c r="T112" s="114">
        <v>49.78</v>
      </c>
      <c r="U112" s="114">
        <v>49.89</v>
      </c>
      <c r="V112" s="114">
        <v>50.04</v>
      </c>
      <c r="W112" s="114">
        <v>50.09</v>
      </c>
      <c r="X112" s="114">
        <v>50.05</v>
      </c>
      <c r="Y112" s="114">
        <v>50.02</v>
      </c>
      <c r="Z112" s="114">
        <v>50.17</v>
      </c>
      <c r="AA112" s="114">
        <v>49.97</v>
      </c>
      <c r="AB112" s="114">
        <v>49.997999999999998</v>
      </c>
      <c r="AC112" s="114">
        <v>49.854999999999997</v>
      </c>
      <c r="AD112" s="114">
        <v>49.866999999999997</v>
      </c>
      <c r="AE112" s="114">
        <v>50.036000000000001</v>
      </c>
      <c r="AF112" s="114">
        <v>50.091999999999999</v>
      </c>
      <c r="AG112" s="115"/>
      <c r="AH112" s="48">
        <f t="shared" si="46"/>
        <v>50.226999999999997</v>
      </c>
      <c r="AI112" s="49">
        <f t="shared" si="47"/>
        <v>49.78</v>
      </c>
    </row>
    <row r="113" spans="1:35" x14ac:dyDescent="0.25">
      <c r="A113" s="116" t="s">
        <v>133</v>
      </c>
      <c r="B113" s="76">
        <v>122.7</v>
      </c>
      <c r="C113" s="76">
        <v>122.7</v>
      </c>
      <c r="D113" s="76">
        <v>122.7</v>
      </c>
      <c r="E113" s="76">
        <v>119.3</v>
      </c>
      <c r="F113" s="76">
        <v>119.3</v>
      </c>
      <c r="G113" s="76">
        <v>120.6</v>
      </c>
      <c r="H113" s="76">
        <v>120.6</v>
      </c>
      <c r="I113" s="76">
        <v>120.1</v>
      </c>
      <c r="J113" s="76">
        <v>119</v>
      </c>
      <c r="K113" s="76">
        <v>120.7</v>
      </c>
      <c r="L113" s="76">
        <v>119</v>
      </c>
      <c r="M113" s="76">
        <v>120.3</v>
      </c>
      <c r="N113" s="76">
        <v>120</v>
      </c>
      <c r="O113" s="76">
        <v>118.9</v>
      </c>
      <c r="P113" s="76">
        <v>119</v>
      </c>
      <c r="Q113" s="76"/>
      <c r="R113" s="76">
        <v>121.5</v>
      </c>
      <c r="S113" s="76">
        <v>121.5</v>
      </c>
      <c r="T113" s="76">
        <v>121.8</v>
      </c>
      <c r="U113" s="76">
        <v>123.2</v>
      </c>
      <c r="V113" s="76">
        <v>126.1</v>
      </c>
      <c r="W113" s="76">
        <v>125.98</v>
      </c>
      <c r="X113" s="76">
        <v>125.6</v>
      </c>
      <c r="Y113" s="76">
        <v>126.1</v>
      </c>
      <c r="Z113" s="76">
        <v>126.1</v>
      </c>
      <c r="AA113" s="76">
        <v>123.7</v>
      </c>
      <c r="AB113" s="76">
        <v>123.7</v>
      </c>
      <c r="AC113" s="76">
        <v>125</v>
      </c>
      <c r="AD113" s="76">
        <v>124.8</v>
      </c>
      <c r="AE113" s="76">
        <v>123.1</v>
      </c>
      <c r="AF113" s="76">
        <v>125</v>
      </c>
      <c r="AG113" s="117"/>
      <c r="AH113" s="48">
        <f t="shared" si="46"/>
        <v>126.1</v>
      </c>
      <c r="AI113" s="49">
        <f t="shared" si="47"/>
        <v>118.9</v>
      </c>
    </row>
    <row r="114" spans="1:35" x14ac:dyDescent="0.25">
      <c r="A114" s="116" t="s">
        <v>134</v>
      </c>
      <c r="B114" s="76">
        <v>126</v>
      </c>
      <c r="C114" s="76">
        <v>127.5</v>
      </c>
      <c r="D114" s="76">
        <v>128</v>
      </c>
      <c r="E114" s="76">
        <v>124.3</v>
      </c>
      <c r="F114" s="76">
        <v>124.3</v>
      </c>
      <c r="G114" s="76">
        <v>126.3</v>
      </c>
      <c r="H114" s="76">
        <v>126.3</v>
      </c>
      <c r="I114" s="76">
        <v>125.6</v>
      </c>
      <c r="J114" s="76">
        <v>124.2</v>
      </c>
      <c r="K114" s="76">
        <v>124.1</v>
      </c>
      <c r="L114" s="76">
        <v>123</v>
      </c>
      <c r="M114" s="76">
        <v>124.6</v>
      </c>
      <c r="N114" s="76">
        <v>123.9</v>
      </c>
      <c r="O114" s="76">
        <v>122.6</v>
      </c>
      <c r="P114" s="76">
        <v>122.6</v>
      </c>
      <c r="Q114" s="76"/>
      <c r="R114" s="76">
        <v>124.7</v>
      </c>
      <c r="S114" s="76">
        <v>124.9</v>
      </c>
      <c r="T114" s="76">
        <v>125.3</v>
      </c>
      <c r="U114" s="76">
        <v>125.9</v>
      </c>
      <c r="V114" s="76">
        <v>128.6</v>
      </c>
      <c r="W114" s="76">
        <v>128.5</v>
      </c>
      <c r="X114" s="76">
        <v>128</v>
      </c>
      <c r="Y114" s="76">
        <v>128.30000000000001</v>
      </c>
      <c r="Z114" s="76">
        <v>128.30000000000001</v>
      </c>
      <c r="AA114" s="76">
        <v>126</v>
      </c>
      <c r="AB114" s="76">
        <v>126</v>
      </c>
      <c r="AC114" s="76">
        <v>127.5</v>
      </c>
      <c r="AD114" s="76">
        <v>127.9</v>
      </c>
      <c r="AE114" s="76">
        <v>126.3</v>
      </c>
      <c r="AF114" s="76">
        <v>128.9</v>
      </c>
      <c r="AG114" s="117"/>
      <c r="AH114" s="48">
        <f t="shared" si="46"/>
        <v>128.9</v>
      </c>
      <c r="AI114" s="49">
        <f t="shared" si="47"/>
        <v>122.6</v>
      </c>
    </row>
    <row r="115" spans="1:35" x14ac:dyDescent="0.25">
      <c r="A115" s="116" t="s">
        <v>135</v>
      </c>
      <c r="B115" s="76">
        <v>130.5</v>
      </c>
      <c r="C115" s="76">
        <v>130</v>
      </c>
      <c r="D115" s="76">
        <v>131</v>
      </c>
      <c r="E115" s="76">
        <v>132.5</v>
      </c>
      <c r="F115" s="76">
        <v>132.5</v>
      </c>
      <c r="G115" s="76">
        <v>131</v>
      </c>
      <c r="H115" s="76">
        <v>131</v>
      </c>
      <c r="I115" s="76">
        <v>130.6</v>
      </c>
      <c r="J115" s="76">
        <v>130</v>
      </c>
      <c r="K115" s="76">
        <v>129.5</v>
      </c>
      <c r="L115" s="76">
        <v>128.6</v>
      </c>
      <c r="M115" s="76">
        <v>129.80000000000001</v>
      </c>
      <c r="N115" s="76">
        <v>130.4</v>
      </c>
      <c r="O115" s="76">
        <v>128.30000000000001</v>
      </c>
      <c r="P115" s="76">
        <v>128.30000000000001</v>
      </c>
      <c r="Q115" s="76"/>
      <c r="R115" s="76">
        <v>130</v>
      </c>
      <c r="S115" s="76">
        <v>130</v>
      </c>
      <c r="T115" s="76">
        <v>130.1</v>
      </c>
      <c r="U115" s="76">
        <v>130.69999999999999</v>
      </c>
      <c r="V115" s="76">
        <v>131.6</v>
      </c>
      <c r="W115" s="76">
        <v>133.30000000000001</v>
      </c>
      <c r="X115" s="76">
        <v>131.1</v>
      </c>
      <c r="Y115" s="76">
        <v>131.5</v>
      </c>
      <c r="Z115" s="76">
        <v>131.80000000000001</v>
      </c>
      <c r="AA115" s="76">
        <v>129.4</v>
      </c>
      <c r="AB115" s="76">
        <v>129.4</v>
      </c>
      <c r="AC115" s="76">
        <v>130.69999999999999</v>
      </c>
      <c r="AD115" s="76">
        <v>129.30000000000001</v>
      </c>
      <c r="AE115" s="76">
        <v>129.19999999999999</v>
      </c>
      <c r="AF115" s="76">
        <v>129.5</v>
      </c>
      <c r="AG115" s="117"/>
      <c r="AH115" s="48">
        <f t="shared" si="46"/>
        <v>133.30000000000001</v>
      </c>
      <c r="AI115" s="49">
        <f t="shared" si="47"/>
        <v>128.30000000000001</v>
      </c>
    </row>
    <row r="116" spans="1:35" x14ac:dyDescent="0.25">
      <c r="A116" s="118" t="s">
        <v>136</v>
      </c>
      <c r="B116" s="76">
        <v>131.80000000000001</v>
      </c>
      <c r="C116" s="76">
        <v>131</v>
      </c>
      <c r="D116" s="76">
        <v>131.80000000000001</v>
      </c>
      <c r="E116" s="76">
        <v>133.30000000000001</v>
      </c>
      <c r="F116" s="76">
        <v>133.30000000000001</v>
      </c>
      <c r="G116" s="76">
        <v>132.5</v>
      </c>
      <c r="H116" s="76">
        <v>132.5</v>
      </c>
      <c r="I116" s="76">
        <v>131.6</v>
      </c>
      <c r="J116" s="76">
        <v>131.1</v>
      </c>
      <c r="K116" s="76">
        <v>131.19999999999999</v>
      </c>
      <c r="L116" s="76">
        <v>130.4</v>
      </c>
      <c r="M116" s="76">
        <v>130.69999999999999</v>
      </c>
      <c r="N116" s="76">
        <v>131.6</v>
      </c>
      <c r="O116" s="76">
        <v>131.19999999999999</v>
      </c>
      <c r="P116" s="76">
        <v>131.19999999999999</v>
      </c>
      <c r="Q116" s="76"/>
      <c r="R116" s="76">
        <v>130.69999999999999</v>
      </c>
      <c r="S116" s="76">
        <v>130</v>
      </c>
      <c r="T116" s="76">
        <v>131.4</v>
      </c>
      <c r="U116" s="76">
        <v>132.6</v>
      </c>
      <c r="V116" s="76">
        <v>132.4</v>
      </c>
      <c r="W116" s="76">
        <v>133.6</v>
      </c>
      <c r="X116" s="76">
        <v>132.30000000000001</v>
      </c>
      <c r="Y116" s="76">
        <v>131.6</v>
      </c>
      <c r="Z116" s="76">
        <v>131.6</v>
      </c>
      <c r="AA116" s="76">
        <v>129.5</v>
      </c>
      <c r="AB116" s="76">
        <v>129.5</v>
      </c>
      <c r="AC116" s="76">
        <v>133.69999999999999</v>
      </c>
      <c r="AD116" s="76">
        <v>130.6</v>
      </c>
      <c r="AE116" s="76">
        <v>131</v>
      </c>
      <c r="AF116" s="76">
        <v>131.6</v>
      </c>
      <c r="AG116" s="117"/>
      <c r="AH116" s="48">
        <f t="shared" si="46"/>
        <v>133.69999999999999</v>
      </c>
      <c r="AI116" s="49">
        <f t="shared" si="47"/>
        <v>129.5</v>
      </c>
    </row>
    <row r="117" spans="1:35" x14ac:dyDescent="0.25">
      <c r="A117" s="118" t="s">
        <v>137</v>
      </c>
      <c r="B117" s="119">
        <v>130.80000000000001</v>
      </c>
      <c r="C117" s="119">
        <v>133.6</v>
      </c>
      <c r="D117" s="119">
        <v>135</v>
      </c>
      <c r="E117" s="119">
        <v>134.1</v>
      </c>
      <c r="F117" s="119">
        <v>134.1</v>
      </c>
      <c r="G117" s="119">
        <v>136</v>
      </c>
      <c r="H117" s="119">
        <v>136</v>
      </c>
      <c r="I117" s="119">
        <v>134</v>
      </c>
      <c r="J117" s="119">
        <v>132.6</v>
      </c>
      <c r="K117" s="119">
        <v>130.80000000000001</v>
      </c>
      <c r="L117" s="119">
        <v>132</v>
      </c>
      <c r="M117" s="119">
        <v>134.4</v>
      </c>
      <c r="N117" s="119">
        <v>132.80000000000001</v>
      </c>
      <c r="O117" s="119">
        <v>129.4</v>
      </c>
      <c r="P117" s="119">
        <v>129.4</v>
      </c>
      <c r="Q117" s="119"/>
      <c r="R117" s="119">
        <v>134.19999999999999</v>
      </c>
      <c r="S117" s="119">
        <v>131.80000000000001</v>
      </c>
      <c r="T117" s="119">
        <v>133.69999999999999</v>
      </c>
      <c r="U117" s="119">
        <v>133.69999999999999</v>
      </c>
      <c r="V117" s="119">
        <v>134</v>
      </c>
      <c r="W117" s="119">
        <v>135.80000000000001</v>
      </c>
      <c r="X117" s="119">
        <v>135.19999999999999</v>
      </c>
      <c r="Y117" s="119">
        <v>134.5</v>
      </c>
      <c r="Z117" s="119">
        <v>136.19999999999999</v>
      </c>
      <c r="AA117" s="119">
        <v>133.6</v>
      </c>
      <c r="AB117" s="119">
        <v>133.6</v>
      </c>
      <c r="AC117" s="119">
        <v>135.30000000000001</v>
      </c>
      <c r="AD117" s="119">
        <v>135.5</v>
      </c>
      <c r="AE117" s="119">
        <v>135.1</v>
      </c>
      <c r="AF117" s="119">
        <v>134.6</v>
      </c>
      <c r="AG117" s="120"/>
      <c r="AH117" s="48">
        <f t="shared" si="46"/>
        <v>136.19999999999999</v>
      </c>
      <c r="AI117" s="49">
        <f t="shared" si="47"/>
        <v>129.4</v>
      </c>
    </row>
    <row r="118" spans="1:35" x14ac:dyDescent="0.25">
      <c r="A118" s="116" t="s">
        <v>138</v>
      </c>
      <c r="B118" s="76">
        <v>130.80000000000001</v>
      </c>
      <c r="C118" s="76">
        <v>133</v>
      </c>
      <c r="D118" s="76">
        <v>131</v>
      </c>
      <c r="E118" s="76">
        <v>130.5</v>
      </c>
      <c r="F118" s="76">
        <v>130.5</v>
      </c>
      <c r="G118" s="76">
        <v>132</v>
      </c>
      <c r="H118" s="76">
        <v>132</v>
      </c>
      <c r="I118" s="76">
        <v>132</v>
      </c>
      <c r="J118" s="76">
        <v>129.19999999999999</v>
      </c>
      <c r="K118" s="76">
        <v>127.9</v>
      </c>
      <c r="L118" s="76">
        <v>127</v>
      </c>
      <c r="M118" s="76">
        <v>124.5</v>
      </c>
      <c r="N118" s="76">
        <v>125.3</v>
      </c>
      <c r="O118" s="76">
        <v>118.9</v>
      </c>
      <c r="P118" s="76">
        <v>118.9</v>
      </c>
      <c r="Q118" s="76"/>
      <c r="R118" s="76">
        <v>128.6</v>
      </c>
      <c r="S118" s="76">
        <v>127.9</v>
      </c>
      <c r="T118" s="76">
        <v>129.9</v>
      </c>
      <c r="U118" s="76">
        <v>132.4</v>
      </c>
      <c r="V118" s="76">
        <v>126.8</v>
      </c>
      <c r="W118" s="76">
        <v>123.6</v>
      </c>
      <c r="X118" s="76">
        <v>125.8</v>
      </c>
      <c r="Y118" s="76">
        <v>126.7</v>
      </c>
      <c r="Z118" s="76">
        <v>131.5</v>
      </c>
      <c r="AA118" s="76">
        <v>121.1</v>
      </c>
      <c r="AB118" s="76">
        <v>121.1</v>
      </c>
      <c r="AC118" s="76">
        <v>124.7</v>
      </c>
      <c r="AD118" s="76">
        <v>125.1</v>
      </c>
      <c r="AE118" s="76">
        <v>125.4</v>
      </c>
      <c r="AF118" s="76">
        <v>121.2</v>
      </c>
      <c r="AG118" s="117"/>
      <c r="AH118" s="48">
        <f t="shared" si="46"/>
        <v>133</v>
      </c>
      <c r="AI118" s="49">
        <f t="shared" si="47"/>
        <v>118.9</v>
      </c>
    </row>
    <row r="119" spans="1:35" ht="15.75" thickBot="1" x14ac:dyDescent="0.3">
      <c r="A119" s="116" t="s">
        <v>139</v>
      </c>
      <c r="B119" s="105">
        <v>63.3</v>
      </c>
      <c r="C119" s="105">
        <v>64.099999999999994</v>
      </c>
      <c r="D119" s="105">
        <v>64.5</v>
      </c>
      <c r="E119" s="105">
        <v>63</v>
      </c>
      <c r="F119" s="105">
        <v>63</v>
      </c>
      <c r="G119" s="105">
        <v>63.6</v>
      </c>
      <c r="H119" s="105">
        <v>63.6</v>
      </c>
      <c r="I119" s="105">
        <v>63.2</v>
      </c>
      <c r="J119" s="105">
        <v>62.4</v>
      </c>
      <c r="K119" s="105">
        <v>62.3</v>
      </c>
      <c r="L119" s="105">
        <v>61.9</v>
      </c>
      <c r="M119" s="105">
        <v>62.9</v>
      </c>
      <c r="N119" s="105">
        <v>62.2</v>
      </c>
      <c r="O119" s="105">
        <v>61.6</v>
      </c>
      <c r="P119" s="105">
        <v>61.6</v>
      </c>
      <c r="Q119" s="105"/>
      <c r="R119" s="105">
        <v>62.6</v>
      </c>
      <c r="S119" s="105">
        <v>62.4</v>
      </c>
      <c r="T119" s="105">
        <v>62.8</v>
      </c>
      <c r="U119" s="105">
        <v>63.1</v>
      </c>
      <c r="V119" s="105">
        <v>64.7</v>
      </c>
      <c r="W119" s="105">
        <v>64.599999999999994</v>
      </c>
      <c r="X119" s="105">
        <v>64.099999999999994</v>
      </c>
      <c r="Y119" s="105">
        <v>64.2</v>
      </c>
      <c r="Z119" s="105">
        <v>64.2</v>
      </c>
      <c r="AA119" s="105">
        <v>63.1</v>
      </c>
      <c r="AB119" s="105">
        <v>63.5</v>
      </c>
      <c r="AC119" s="105">
        <v>64.099999999999994</v>
      </c>
      <c r="AD119" s="105">
        <v>64.2</v>
      </c>
      <c r="AE119" s="105">
        <v>63.7</v>
      </c>
      <c r="AF119" s="105">
        <v>64.8</v>
      </c>
      <c r="AG119" s="121"/>
      <c r="AH119" s="48">
        <f t="shared" si="46"/>
        <v>64.8</v>
      </c>
      <c r="AI119" s="49">
        <f t="shared" si="47"/>
        <v>61.6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 t="s">
        <v>140</v>
      </c>
      <c r="Z120" s="105" t="s">
        <v>140</v>
      </c>
      <c r="AA120" s="105" t="s">
        <v>140</v>
      </c>
      <c r="AB120" s="105"/>
      <c r="AC120" s="105"/>
      <c r="AD120" s="105"/>
      <c r="AE120" s="105"/>
      <c r="AF120" s="105"/>
      <c r="AG120" s="121"/>
      <c r="AH120" s="48">
        <f t="shared" si="46"/>
        <v>0</v>
      </c>
      <c r="AI120" s="49">
        <f t="shared" si="47"/>
        <v>0</v>
      </c>
    </row>
    <row r="121" spans="1:35" ht="15.75" thickBot="1" x14ac:dyDescent="0.3">
      <c r="A121" s="123" t="s">
        <v>141</v>
      </c>
      <c r="B121" s="124">
        <f t="shared" ref="B121:C121" si="206">SUM(B25,B31,B34:B35,B69,B71:B72,B74,B76,B122:B126,B158,B164,B170,B179,B181,B193,B200,B203:B204,B211,B213,B215,B219:B221,B223:B225,B230,B236:B237,B239:B241,B249,B254)</f>
        <v>63.239999999999952</v>
      </c>
      <c r="C121" s="124">
        <f t="shared" si="206"/>
        <v>47.239999999999952</v>
      </c>
      <c r="D121" s="124">
        <f t="shared" ref="D121:E121" si="207">SUM(D25,D31,D34:D35,D69,D71:D72,D74,D76,D122:D126,D158,D164,D170,D179,D181,D193,D200,D203:D204,D211,D213,D215,D219:D221,D223:D225,D230,D236:D237,D239:D241,D249,D254)</f>
        <v>54.039999999999964</v>
      </c>
      <c r="E121" s="124">
        <f t="shared" si="207"/>
        <v>40.539999999999992</v>
      </c>
      <c r="F121" s="124">
        <f t="shared" ref="F121:G121" si="208">SUM(F25,F31,F34:F35,F69,F71:F72,F74,F76,F122:F126,F158,F164,F170,F179,F181,F193,F200,F203:F204,F211,F213,F215,F219:F221,F223:F225,F230,F236:F237,F239:F241,F249,F254)</f>
        <v>-9.8300000000000018</v>
      </c>
      <c r="G121" s="124">
        <f t="shared" si="208"/>
        <v>4.4400000000000563</v>
      </c>
      <c r="H121" s="124">
        <f t="shared" ref="H121:I121" si="209">SUM(H25,H31,H34:H35,H69,H71:H72,H74,H76,H122:H126,H158,H164,H170,H179,H181,H193,H200,H203:H204,H211,H213,H215,H219:H221,H223:H225,H230,H236:H237,H239:H241,H249,H254)</f>
        <v>4.4400000000000563</v>
      </c>
      <c r="I121" s="124">
        <f t="shared" si="209"/>
        <v>47.439999999999984</v>
      </c>
      <c r="J121" s="124">
        <f t="shared" ref="J121:L121" si="210">SUM(J25,J31,J34:J35,J69,J71:J72,J74,J76,J122:J126,J158,J164,J170,J179,J181,J193,J200,J203:J204,J211,J213,J215,J219:J221,J223:J225,J230,J236:J237,J239:J241,J249,J254)</f>
        <v>71.339999999999975</v>
      </c>
      <c r="K121" s="124">
        <f t="shared" si="210"/>
        <v>126.24000000000001</v>
      </c>
      <c r="L121" s="124">
        <f t="shared" si="210"/>
        <v>135.04</v>
      </c>
      <c r="M121" s="124">
        <f t="shared" ref="M121:O121" si="211">SUM(M25,M31,M34:M35,M69,M71:M72,M74,M76,M122:M126,M158,M164,M170,M179,M181,M193,M200,M203:M204,M211,M213,M215,M219:M221,M223:M225,M230,M236:M237,M239:M241,M249,M254)</f>
        <v>148.44</v>
      </c>
      <c r="N121" s="124">
        <f t="shared" si="211"/>
        <v>170.63999999999993</v>
      </c>
      <c r="O121" s="124">
        <f t="shared" si="211"/>
        <v>217.73999999999995</v>
      </c>
      <c r="P121" s="124">
        <v>42</v>
      </c>
      <c r="Q121" s="124">
        <f t="shared" ref="Q121:X121" si="212">SUM(Q25,Q31,Q34:Q35,Q69,Q71:Q72,Q74,Q76,Q122:Q126,Q158,Q164,Q170,Q179,Q181,Q193,Q200,Q203:Q204,Q211,Q213,Q215,Q219:Q221,Q223:Q225,Q230,Q236:Q237,Q239:Q241,Q249,Q254)</f>
        <v>0.94</v>
      </c>
      <c r="R121" s="124">
        <f t="shared" si="212"/>
        <v>192.14</v>
      </c>
      <c r="S121" s="124">
        <f t="shared" ref="S121:T121" si="213">SUM(S25,S31,S34:S35,S69,S71:S72,S74,S76,S122:S126,S158,S164,S170,S179,S181,S193,S200,S203:S204,S211,S213,S215,S219:S221,S223:S225,S230,S236:S237,S239:S241,S249,S254)</f>
        <v>193.03999999999996</v>
      </c>
      <c r="T121" s="124">
        <f t="shared" si="213"/>
        <v>158.94</v>
      </c>
      <c r="U121" s="124">
        <f t="shared" ref="U121:V121" si="214">SUM(U25,U31,U34:U35,U69,U71:U72,U74,U76,U122:U126,U158,U164,U170,U179,U181,U193,U200,U203:U204,U211,U213,U215,U219:U221,U223:U225,U230,U236:U237,U239:U241,U249,U254)</f>
        <v>162.24</v>
      </c>
      <c r="V121" s="124">
        <f t="shared" si="214"/>
        <v>140.84</v>
      </c>
      <c r="W121" s="124">
        <f t="shared" ref="W121" si="215">SUM(W25,W31,W34:W35,W69,W71:W72,W74,W76,W122:W126,W158,W164,W170,W179,W181,W193,W200,W203:W204,W211,W213,W215,W219:W221,W223:W225,W230,W236:W237,W239:W241,W249,W254)</f>
        <v>173.74</v>
      </c>
      <c r="X121" s="124">
        <f t="shared" si="212"/>
        <v>176.23999999999998</v>
      </c>
      <c r="Y121" s="124">
        <f t="shared" ref="Y121:Z121" si="216">SUM(Y25,Y31,Y34:Y35,Y69,Y71:Y72,Y74,Y76,Y122:Y126,Y158,Y164,Y170,Y179,Y181,Y193,Y200,Y203:Y204,Y211,Y213,Y215,Y219:Y221,Y223:Y225,Y230,Y236:Y237,Y239:Y241,Y249,Y254)</f>
        <v>179.54000000000002</v>
      </c>
      <c r="Z121" s="124">
        <f t="shared" si="216"/>
        <v>259.14</v>
      </c>
      <c r="AA121" s="124">
        <f t="shared" ref="AA121" si="217">SUM(AA25,AA31,AA34:AA35,AA69,AA71:AA72,AA74,AA76,AA122:AA126,AA158,AA164,AA170,AA179,AA181,AA193,AA200,AA203:AA204,AA211,AA213,AA215,AA219:AA221,AA223:AA225,AA230,AA236:AA237,AA239:AA241,AA249,AA254)</f>
        <v>271.64</v>
      </c>
      <c r="AB121" s="124">
        <f t="shared" ref="AB121:AF121" si="218">SUM(AB25,AB31,AB34:AB35,AB69,AB71:AB72,AB74,AB76,AB122:AB126,AB158,AB164,AB170,AB179,AB181,AB193,AB200,AB203:AB204,AB211,AB213,AB215,AB219:AB221,AB223:AB225,AB230,AB236:AB237,AB239:AB241,AB249,AB254)</f>
        <v>201.24</v>
      </c>
      <c r="AC121" s="124">
        <f t="shared" si="218"/>
        <v>131.64000000000001</v>
      </c>
      <c r="AD121" s="124">
        <f t="shared" si="218"/>
        <v>162.64000000000001</v>
      </c>
      <c r="AE121" s="124">
        <f t="shared" si="218"/>
        <v>-83.16</v>
      </c>
      <c r="AF121" s="124">
        <f t="shared" si="218"/>
        <v>128.43999999999997</v>
      </c>
      <c r="AG121" s="125"/>
      <c r="AH121" s="48">
        <f t="shared" si="46"/>
        <v>271.64</v>
      </c>
      <c r="AI121" s="49">
        <f t="shared" si="47"/>
        <v>-83.16</v>
      </c>
    </row>
    <row r="122" spans="1:35" x14ac:dyDescent="0.25">
      <c r="A122" s="126" t="s">
        <v>142</v>
      </c>
      <c r="B122" s="127">
        <v>86</v>
      </c>
      <c r="C122" s="127">
        <v>88</v>
      </c>
      <c r="D122" s="127">
        <v>109</v>
      </c>
      <c r="E122" s="127">
        <v>74</v>
      </c>
      <c r="F122" s="127">
        <v>71.3</v>
      </c>
      <c r="G122" s="127">
        <v>76.900000000000006</v>
      </c>
      <c r="H122" s="127">
        <v>76.900000000000006</v>
      </c>
      <c r="I122" s="127">
        <v>59.8</v>
      </c>
      <c r="J122" s="127">
        <v>99</v>
      </c>
      <c r="K122" s="127">
        <v>82.4</v>
      </c>
      <c r="L122" s="127">
        <v>80.8</v>
      </c>
      <c r="M122" s="127">
        <v>65.8</v>
      </c>
      <c r="N122" s="127">
        <v>48.2</v>
      </c>
      <c r="O122" s="127">
        <v>76.7</v>
      </c>
      <c r="P122" s="127">
        <v>60</v>
      </c>
      <c r="Q122" s="127"/>
      <c r="R122" s="127">
        <v>67.2</v>
      </c>
      <c r="S122" s="127">
        <v>64.7</v>
      </c>
      <c r="T122" s="127">
        <v>64.7</v>
      </c>
      <c r="U122" s="127">
        <v>45.3</v>
      </c>
      <c r="V122" s="127">
        <v>31.1</v>
      </c>
      <c r="W122" s="127">
        <v>36.4</v>
      </c>
      <c r="X122" s="127">
        <v>26</v>
      </c>
      <c r="Y122" s="127">
        <v>53.2</v>
      </c>
      <c r="Z122" s="127">
        <v>46.1</v>
      </c>
      <c r="AA122" s="127">
        <v>85.8</v>
      </c>
      <c r="AB122" s="127">
        <v>90.4</v>
      </c>
      <c r="AC122" s="127">
        <v>45.2</v>
      </c>
      <c r="AD122" s="127">
        <v>72.8</v>
      </c>
      <c r="AE122" s="127">
        <v>96</v>
      </c>
      <c r="AF122" s="127">
        <v>71.099999999999994</v>
      </c>
      <c r="AG122" s="128">
        <v>75</v>
      </c>
      <c r="AH122" s="48">
        <f t="shared" si="46"/>
        <v>109</v>
      </c>
      <c r="AI122" s="49">
        <f t="shared" si="47"/>
        <v>26</v>
      </c>
    </row>
    <row r="123" spans="1:35" x14ac:dyDescent="0.25">
      <c r="A123" s="129" t="s">
        <v>143</v>
      </c>
      <c r="B123" s="130">
        <v>55</v>
      </c>
      <c r="C123" s="130">
        <v>56</v>
      </c>
      <c r="D123" s="130">
        <v>72.8</v>
      </c>
      <c r="E123" s="130">
        <v>110.1</v>
      </c>
      <c r="F123" s="130">
        <v>105.63</v>
      </c>
      <c r="G123" s="130">
        <v>114.4</v>
      </c>
      <c r="H123" s="130">
        <v>114.4</v>
      </c>
      <c r="I123" s="130">
        <v>88.5</v>
      </c>
      <c r="J123" s="130">
        <v>65.7</v>
      </c>
      <c r="K123" s="130">
        <v>117.8</v>
      </c>
      <c r="L123" s="130">
        <v>115.2</v>
      </c>
      <c r="M123" s="130">
        <v>97.3</v>
      </c>
      <c r="N123" s="130">
        <v>75.099999999999994</v>
      </c>
      <c r="O123" s="130">
        <v>112.2</v>
      </c>
      <c r="P123" s="130">
        <v>100</v>
      </c>
      <c r="Q123" s="130"/>
      <c r="R123" s="130">
        <v>96.8</v>
      </c>
      <c r="S123" s="130">
        <v>42.1</v>
      </c>
      <c r="T123" s="130">
        <v>42.1</v>
      </c>
      <c r="U123" s="130">
        <v>68.8</v>
      </c>
      <c r="V123" s="130">
        <v>48.7</v>
      </c>
      <c r="W123" s="130">
        <v>24.3</v>
      </c>
      <c r="X123" s="130">
        <v>38.700000000000003</v>
      </c>
      <c r="Y123" s="130">
        <v>35.700000000000003</v>
      </c>
      <c r="Z123" s="130">
        <v>66</v>
      </c>
      <c r="AA123" s="130">
        <v>121.1</v>
      </c>
      <c r="AB123" s="130">
        <v>128.6</v>
      </c>
      <c r="AC123" s="130">
        <v>63.1</v>
      </c>
      <c r="AD123" s="130">
        <v>104.4</v>
      </c>
      <c r="AE123" s="130">
        <v>-137.69999999999999</v>
      </c>
      <c r="AF123" s="130">
        <v>103.8</v>
      </c>
      <c r="AG123" s="128">
        <v>240</v>
      </c>
      <c r="AH123" s="48">
        <f t="shared" si="46"/>
        <v>128.6</v>
      </c>
      <c r="AI123" s="49">
        <f t="shared" si="47"/>
        <v>-137.69999999999999</v>
      </c>
    </row>
    <row r="124" spans="1:35" x14ac:dyDescent="0.25">
      <c r="A124" s="129" t="s">
        <v>144</v>
      </c>
      <c r="B124" s="130">
        <v>-150</v>
      </c>
      <c r="C124" s="130">
        <v>-153</v>
      </c>
      <c r="D124" s="130">
        <v>-180</v>
      </c>
      <c r="E124" s="130">
        <v>-147</v>
      </c>
      <c r="F124" s="130">
        <v>-185.2</v>
      </c>
      <c r="G124" s="130">
        <v>-186.2</v>
      </c>
      <c r="H124" s="130">
        <v>-186.2</v>
      </c>
      <c r="I124" s="130">
        <v>-168.9</v>
      </c>
      <c r="J124" s="130">
        <v>-168.9</v>
      </c>
      <c r="K124" s="130">
        <v>-166.8</v>
      </c>
      <c r="L124" s="130">
        <v>-172.6</v>
      </c>
      <c r="M124" s="130">
        <f>-82-87</f>
        <v>-169</v>
      </c>
      <c r="N124" s="130">
        <f>-57-62</f>
        <v>-119</v>
      </c>
      <c r="O124" s="130">
        <f>-76-81</f>
        <v>-157</v>
      </c>
      <c r="P124" s="130">
        <v>-152</v>
      </c>
      <c r="Q124" s="130"/>
      <c r="R124" s="130">
        <f>-73-78</f>
        <v>-151</v>
      </c>
      <c r="S124" s="130">
        <v>-108.9</v>
      </c>
      <c r="T124" s="130">
        <v>-117.8</v>
      </c>
      <c r="U124" s="130">
        <v>-116.7</v>
      </c>
      <c r="V124" s="130">
        <v>-106</v>
      </c>
      <c r="W124" s="130">
        <v>-87.9</v>
      </c>
      <c r="X124" s="130">
        <f>-43.8-46.5</f>
        <v>-90.3</v>
      </c>
      <c r="Y124" s="130">
        <v>-94.1</v>
      </c>
      <c r="Z124" s="130">
        <v>-77.099999999999994</v>
      </c>
      <c r="AA124" s="130">
        <v>-137.9</v>
      </c>
      <c r="AB124" s="130">
        <v>-152</v>
      </c>
      <c r="AC124" s="130">
        <v>-102</v>
      </c>
      <c r="AD124" s="130">
        <v>-134</v>
      </c>
      <c r="AE124" s="130">
        <v>-143</v>
      </c>
      <c r="AF124" s="130">
        <v>-164</v>
      </c>
      <c r="AG124" s="128">
        <v>240</v>
      </c>
      <c r="AH124" s="48">
        <f t="shared" si="46"/>
        <v>-77.099999999999994</v>
      </c>
      <c r="AI124" s="49">
        <f t="shared" si="47"/>
        <v>-186.2</v>
      </c>
    </row>
    <row r="125" spans="1:35" ht="15.75" thickBot="1" x14ac:dyDescent="0.3">
      <c r="A125" s="129" t="s">
        <v>145</v>
      </c>
      <c r="B125" s="130">
        <v>-26</v>
      </c>
      <c r="C125" s="130">
        <v>-26</v>
      </c>
      <c r="D125" s="130">
        <v>-30</v>
      </c>
      <c r="E125" s="130">
        <v>-26.4</v>
      </c>
      <c r="F125" s="130">
        <v>-31.4</v>
      </c>
      <c r="G125" s="130">
        <v>-30.5</v>
      </c>
      <c r="H125" s="130">
        <v>-30.5</v>
      </c>
      <c r="I125" s="130">
        <v>-31.8</v>
      </c>
      <c r="J125" s="130">
        <v>-27.9</v>
      </c>
      <c r="K125" s="130">
        <v>-10.5</v>
      </c>
      <c r="L125" s="130">
        <v>-9</v>
      </c>
      <c r="M125" s="130">
        <v>-10</v>
      </c>
      <c r="N125" s="130">
        <v>0.5</v>
      </c>
      <c r="O125" s="130">
        <v>-3.7</v>
      </c>
      <c r="P125" s="130">
        <v>-2</v>
      </c>
      <c r="Q125" s="130"/>
      <c r="R125" s="130">
        <v>0</v>
      </c>
      <c r="S125" s="130">
        <v>1.7</v>
      </c>
      <c r="T125" s="130">
        <v>-5</v>
      </c>
      <c r="U125" s="130">
        <v>-3.3</v>
      </c>
      <c r="V125" s="130">
        <v>7.7</v>
      </c>
      <c r="W125" s="130">
        <v>5.2</v>
      </c>
      <c r="X125" s="130">
        <v>1.3</v>
      </c>
      <c r="Y125" s="130">
        <v>2.5</v>
      </c>
      <c r="Z125" s="130">
        <v>3.7</v>
      </c>
      <c r="AA125" s="130">
        <v>-2.6</v>
      </c>
      <c r="AB125" s="130">
        <v>-5.7</v>
      </c>
      <c r="AC125" s="130">
        <v>0.5</v>
      </c>
      <c r="AD125" s="130">
        <v>-5.4</v>
      </c>
      <c r="AE125" s="130">
        <v>-9.9</v>
      </c>
      <c r="AF125" s="130">
        <v>-23.1</v>
      </c>
      <c r="AG125" s="128">
        <v>60</v>
      </c>
      <c r="AH125" s="48">
        <f t="shared" si="46"/>
        <v>7.7</v>
      </c>
      <c r="AI125" s="49">
        <f t="shared" si="47"/>
        <v>-31.8</v>
      </c>
    </row>
    <row r="126" spans="1:35" x14ac:dyDescent="0.25">
      <c r="A126" s="126" t="s">
        <v>146</v>
      </c>
      <c r="B126" s="131">
        <v>-54</v>
      </c>
      <c r="C126" s="131">
        <v>-70</v>
      </c>
      <c r="D126" s="131">
        <v>-70</v>
      </c>
      <c r="E126" s="131">
        <v>-70</v>
      </c>
      <c r="F126" s="131">
        <v>-70</v>
      </c>
      <c r="G126" s="131">
        <v>-70</v>
      </c>
      <c r="H126" s="131">
        <v>-70</v>
      </c>
      <c r="I126" s="131"/>
      <c r="J126" s="131"/>
      <c r="K126" s="131"/>
      <c r="L126" s="131">
        <v>17.3</v>
      </c>
      <c r="M126" s="131"/>
      <c r="N126" s="131"/>
      <c r="O126" s="131">
        <v>23</v>
      </c>
      <c r="P126" s="131">
        <v>25</v>
      </c>
      <c r="Q126" s="131"/>
      <c r="R126" s="131">
        <v>27</v>
      </c>
      <c r="S126" s="131">
        <v>49.2</v>
      </c>
      <c r="T126" s="131">
        <v>31.3</v>
      </c>
      <c r="U126" s="131">
        <v>25.2</v>
      </c>
      <c r="V126" s="131">
        <v>16.399999999999999</v>
      </c>
      <c r="W126" s="131">
        <v>52.2</v>
      </c>
      <c r="X126" s="131">
        <v>62.1</v>
      </c>
      <c r="Y126" s="131">
        <v>44.7</v>
      </c>
      <c r="Z126" s="131">
        <v>83.2</v>
      </c>
      <c r="AA126" s="131">
        <v>65.3</v>
      </c>
      <c r="AB126" s="131"/>
      <c r="AC126" s="131"/>
      <c r="AD126" s="131"/>
      <c r="AE126" s="131">
        <v>56.6</v>
      </c>
      <c r="AF126" s="131"/>
      <c r="AG126" s="132">
        <v>120</v>
      </c>
      <c r="AH126" s="48">
        <f t="shared" si="46"/>
        <v>83.2</v>
      </c>
      <c r="AI126" s="49">
        <f t="shared" si="47"/>
        <v>-70</v>
      </c>
    </row>
    <row r="127" spans="1:35" x14ac:dyDescent="0.25">
      <c r="A127" s="129" t="s">
        <v>147</v>
      </c>
      <c r="B127" s="131">
        <v>53</v>
      </c>
      <c r="C127" s="131">
        <v>44</v>
      </c>
      <c r="D127" s="131">
        <v>44</v>
      </c>
      <c r="E127" s="131">
        <v>16.5</v>
      </c>
      <c r="F127" s="131">
        <v>16.100000000000001</v>
      </c>
      <c r="G127" s="131">
        <v>19.600000000000001</v>
      </c>
      <c r="H127" s="131">
        <v>19.600000000000001</v>
      </c>
      <c r="I127" s="131">
        <v>38.299999999999997</v>
      </c>
      <c r="J127" s="131">
        <v>44</v>
      </c>
      <c r="K127" s="131">
        <v>40.200000000000003</v>
      </c>
      <c r="L127" s="131">
        <v>39.9</v>
      </c>
      <c r="M127" s="131">
        <v>101.6</v>
      </c>
      <c r="N127" s="131">
        <v>103.4</v>
      </c>
      <c r="O127" s="131">
        <v>95.9</v>
      </c>
      <c r="P127" s="131">
        <v>95.9</v>
      </c>
      <c r="Q127" s="131"/>
      <c r="R127" s="131">
        <v>93</v>
      </c>
      <c r="S127" s="131">
        <v>93.98</v>
      </c>
      <c r="T127" s="131">
        <v>93.9</v>
      </c>
      <c r="U127" s="131">
        <v>92.6</v>
      </c>
      <c r="V127" s="131">
        <v>89.9</v>
      </c>
      <c r="W127" s="131">
        <v>95.4</v>
      </c>
      <c r="X127" s="131">
        <v>95.6</v>
      </c>
      <c r="Y127" s="131">
        <v>98</v>
      </c>
      <c r="Z127" s="131">
        <v>91.2</v>
      </c>
      <c r="AA127" s="131">
        <v>37.9</v>
      </c>
      <c r="AB127" s="131">
        <v>76.3</v>
      </c>
      <c r="AC127" s="131">
        <v>95</v>
      </c>
      <c r="AD127" s="131">
        <v>64.400000000000006</v>
      </c>
      <c r="AE127" s="131">
        <v>53.2</v>
      </c>
      <c r="AF127" s="131">
        <v>53.8</v>
      </c>
      <c r="AG127" s="132"/>
      <c r="AH127" s="48"/>
      <c r="AI127" s="49"/>
    </row>
    <row r="128" spans="1:35" x14ac:dyDescent="0.25">
      <c r="A128" s="129" t="s">
        <v>148</v>
      </c>
      <c r="B128" s="131">
        <v>-5</v>
      </c>
      <c r="C128" s="131">
        <v>-4.5</v>
      </c>
      <c r="D128" s="131">
        <v>-4.5</v>
      </c>
      <c r="E128" s="131">
        <v>-3.2</v>
      </c>
      <c r="F128" s="131">
        <v>-5.2</v>
      </c>
      <c r="G128" s="131">
        <v>-6</v>
      </c>
      <c r="H128" s="131">
        <v>-6</v>
      </c>
      <c r="I128" s="131">
        <v>46.3</v>
      </c>
      <c r="J128" s="131">
        <v>37.200000000000003</v>
      </c>
      <c r="K128" s="131">
        <v>8.6</v>
      </c>
      <c r="L128" s="131">
        <v>19.7</v>
      </c>
      <c r="M128" s="131">
        <v>42.5</v>
      </c>
      <c r="N128" s="131">
        <v>34.799999999999997</v>
      </c>
      <c r="O128" s="131">
        <v>21.5</v>
      </c>
      <c r="P128" s="131">
        <v>21.5</v>
      </c>
      <c r="Q128" s="131"/>
      <c r="R128" s="131">
        <v>29</v>
      </c>
      <c r="S128" s="131">
        <v>42.2</v>
      </c>
      <c r="T128" s="131">
        <v>36.799999999999997</v>
      </c>
      <c r="U128" s="131">
        <v>34.1</v>
      </c>
      <c r="V128" s="131">
        <v>39.1</v>
      </c>
      <c r="W128" s="131">
        <v>44.8</v>
      </c>
      <c r="X128" s="131">
        <v>39.299999999999997</v>
      </c>
      <c r="Y128" s="131">
        <v>30.9</v>
      </c>
      <c r="Z128" s="131">
        <v>4.5999999999999996</v>
      </c>
      <c r="AA128" s="131">
        <v>-19.899999999999999</v>
      </c>
      <c r="AB128" s="131">
        <v>-27.4</v>
      </c>
      <c r="AC128" s="131">
        <v>-18.600000000000001</v>
      </c>
      <c r="AD128" s="131">
        <v>-21.6</v>
      </c>
      <c r="AE128" s="131">
        <v>-13.9</v>
      </c>
      <c r="AF128" s="131">
        <v>8.3000000000000007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68</v>
      </c>
      <c r="C129" s="131">
        <v>64</v>
      </c>
      <c r="D129" s="131">
        <v>64</v>
      </c>
      <c r="E129" s="131">
        <v>70.7</v>
      </c>
      <c r="F129" s="131">
        <v>42.5</v>
      </c>
      <c r="G129" s="131">
        <v>35.799999999999997</v>
      </c>
      <c r="H129" s="131">
        <v>35.799999999999997</v>
      </c>
      <c r="I129" s="131">
        <v>0</v>
      </c>
      <c r="J129" s="131">
        <v>0</v>
      </c>
      <c r="K129" s="131">
        <v>0</v>
      </c>
      <c r="L129" s="131">
        <v>0</v>
      </c>
      <c r="M129" s="131">
        <v>71</v>
      </c>
      <c r="N129" s="131">
        <v>76</v>
      </c>
      <c r="O129" s="131">
        <v>35.9</v>
      </c>
      <c r="P129" s="131">
        <v>35.9</v>
      </c>
      <c r="Q129" s="131"/>
      <c r="R129" s="131">
        <v>40.5</v>
      </c>
      <c r="S129" s="131">
        <v>46.4</v>
      </c>
      <c r="T129" s="131">
        <v>33.9</v>
      </c>
      <c r="U129" s="131">
        <v>32.299999999999997</v>
      </c>
      <c r="V129" s="131">
        <v>29.6</v>
      </c>
      <c r="W129" s="131">
        <v>48.8</v>
      </c>
      <c r="X129" s="131">
        <v>45.7</v>
      </c>
      <c r="Y129" s="131">
        <v>41.6</v>
      </c>
      <c r="Z129" s="131">
        <v>48.2</v>
      </c>
      <c r="AA129" s="131">
        <v>41</v>
      </c>
      <c r="AB129" s="131">
        <v>31.8</v>
      </c>
      <c r="AC129" s="131">
        <v>61</v>
      </c>
      <c r="AD129" s="131">
        <v>40.200000000000003</v>
      </c>
      <c r="AE129" s="131">
        <v>37.200000000000003</v>
      </c>
      <c r="AF129" s="131">
        <v>40.5</v>
      </c>
      <c r="AG129" s="128"/>
      <c r="AH129" s="48">
        <f>MAX(B129:AF129)</f>
        <v>76</v>
      </c>
      <c r="AI129" s="49">
        <f>MIN(B129:AF129)</f>
        <v>0</v>
      </c>
    </row>
    <row r="130" spans="1:37" x14ac:dyDescent="0.25">
      <c r="A130" s="126" t="s">
        <v>150</v>
      </c>
      <c r="B130" s="131">
        <v>-371</v>
      </c>
      <c r="C130" s="131">
        <v>-384</v>
      </c>
      <c r="D130" s="131">
        <v>-384</v>
      </c>
      <c r="E130" s="131">
        <v>-352.7</v>
      </c>
      <c r="F130" s="131">
        <v>-366.3</v>
      </c>
      <c r="G130" s="131">
        <v>-358.35</v>
      </c>
      <c r="H130" s="131">
        <v>-358.35</v>
      </c>
      <c r="I130" s="131">
        <v>-316.3</v>
      </c>
      <c r="J130" s="131">
        <v>-351.6</v>
      </c>
      <c r="K130" s="131">
        <v>-361.6</v>
      </c>
      <c r="L130" s="131">
        <v>-326.2</v>
      </c>
      <c r="M130" s="131">
        <v>-354.1</v>
      </c>
      <c r="N130" s="131">
        <v>-334.5</v>
      </c>
      <c r="O130" s="131">
        <v>-347.4</v>
      </c>
      <c r="P130" s="131">
        <v>-347.4</v>
      </c>
      <c r="Q130" s="131"/>
      <c r="R130" s="131">
        <v>-337.6</v>
      </c>
      <c r="S130" s="131">
        <v>-340.2</v>
      </c>
      <c r="T130" s="131">
        <v>-342.3</v>
      </c>
      <c r="U130" s="131">
        <v>-344.4</v>
      </c>
      <c r="V130" s="131">
        <v>-330.2</v>
      </c>
      <c r="W130" s="131">
        <v>-307.2</v>
      </c>
      <c r="X130" s="131">
        <v>-319.8</v>
      </c>
      <c r="Y130" s="131">
        <v>-325.7</v>
      </c>
      <c r="Z130" s="131">
        <v>-307.60000000000002</v>
      </c>
      <c r="AA130" s="131">
        <v>-324.5</v>
      </c>
      <c r="AB130" s="131">
        <v>-331.6</v>
      </c>
      <c r="AC130" s="131">
        <v>-308.7</v>
      </c>
      <c r="AD130" s="131">
        <v>-312.3</v>
      </c>
      <c r="AE130" s="131">
        <v>-311.8</v>
      </c>
      <c r="AF130" s="131">
        <v>-304.5</v>
      </c>
      <c r="AG130" s="128"/>
      <c r="AH130" s="48">
        <f>MAX(B130:AF130)</f>
        <v>-304.5</v>
      </c>
      <c r="AI130" s="49">
        <f>MIN(B130:AF130)</f>
        <v>-384</v>
      </c>
    </row>
    <row r="131" spans="1:37" x14ac:dyDescent="0.25">
      <c r="A131" s="129" t="s">
        <v>151</v>
      </c>
      <c r="B131" s="119">
        <v>28</v>
      </c>
      <c r="C131" s="119">
        <v>32</v>
      </c>
      <c r="D131" s="119">
        <v>32</v>
      </c>
      <c r="E131" s="119">
        <v>39.9</v>
      </c>
      <c r="F131" s="119">
        <v>42</v>
      </c>
      <c r="G131" s="119">
        <v>44</v>
      </c>
      <c r="H131" s="119">
        <v>44</v>
      </c>
      <c r="I131" s="119">
        <v>42.1</v>
      </c>
      <c r="J131" s="119">
        <v>38.9</v>
      </c>
      <c r="K131" s="119">
        <v>36.1</v>
      </c>
      <c r="L131" s="119">
        <v>35.799999999999997</v>
      </c>
      <c r="M131" s="119">
        <v>36.4</v>
      </c>
      <c r="N131" s="119">
        <v>36.4</v>
      </c>
      <c r="O131" s="119">
        <v>86.8</v>
      </c>
      <c r="P131" s="119">
        <v>86.8</v>
      </c>
      <c r="Q131" s="119"/>
      <c r="R131" s="119">
        <v>104</v>
      </c>
      <c r="S131" s="119">
        <v>62</v>
      </c>
      <c r="T131" s="119">
        <v>104.9</v>
      </c>
      <c r="U131" s="119">
        <v>107.1</v>
      </c>
      <c r="V131" s="119">
        <v>109.8</v>
      </c>
      <c r="W131" s="119">
        <v>95.8</v>
      </c>
      <c r="X131" s="119">
        <v>97.7</v>
      </c>
      <c r="Y131" s="119">
        <v>97.7</v>
      </c>
      <c r="Z131" s="119">
        <v>106.8</v>
      </c>
      <c r="AA131" s="119">
        <v>107.8</v>
      </c>
      <c r="AB131" s="119">
        <v>111.4</v>
      </c>
      <c r="AC131" s="119">
        <v>112.7</v>
      </c>
      <c r="AD131" s="119">
        <v>116</v>
      </c>
      <c r="AE131" s="119">
        <v>-120.5</v>
      </c>
      <c r="AF131" s="119">
        <v>122.9</v>
      </c>
      <c r="AG131" s="128"/>
      <c r="AH131" s="48">
        <f>MAX(B131:AF131)</f>
        <v>122.9</v>
      </c>
      <c r="AI131" s="49">
        <f>MIN(B131:AF131)</f>
        <v>-120.5</v>
      </c>
    </row>
    <row r="132" spans="1:37" x14ac:dyDescent="0.25">
      <c r="A132" s="129" t="s">
        <v>152</v>
      </c>
      <c r="B132" s="119">
        <v>-3</v>
      </c>
      <c r="C132" s="119">
        <v>-2</v>
      </c>
      <c r="D132" s="119">
        <v>-2</v>
      </c>
      <c r="E132" s="119">
        <v>-7.9</v>
      </c>
      <c r="F132" s="119">
        <v>-8.1999999999999993</v>
      </c>
      <c r="G132" s="119">
        <v>-10.199999999999999</v>
      </c>
      <c r="H132" s="119">
        <v>-10.199999999999999</v>
      </c>
      <c r="I132" s="119">
        <v>-12.3</v>
      </c>
      <c r="J132" s="119">
        <v>-5.0999999999999996</v>
      </c>
      <c r="K132" s="119">
        <v>-5.0999999999999996</v>
      </c>
      <c r="L132" s="119">
        <v>-5.2</v>
      </c>
      <c r="M132" s="119">
        <v>-5.3</v>
      </c>
      <c r="N132" s="119">
        <v>-10.8</v>
      </c>
      <c r="O132" s="119">
        <v>-14.8</v>
      </c>
      <c r="P132" s="119">
        <v>-14.8</v>
      </c>
      <c r="Q132" s="119"/>
      <c r="R132" s="119">
        <v>-16.100000000000001</v>
      </c>
      <c r="S132" s="119">
        <v>-1.3</v>
      </c>
      <c r="T132" s="119">
        <v>-16.600000000000001</v>
      </c>
      <c r="U132" s="119">
        <v>-16.899999999999999</v>
      </c>
      <c r="V132" s="119">
        <v>-26.5</v>
      </c>
      <c r="W132" s="119">
        <v>-27.1</v>
      </c>
      <c r="X132" s="119">
        <v>-28.5</v>
      </c>
      <c r="Y132" s="119">
        <v>-28.5</v>
      </c>
      <c r="Z132" s="119">
        <v>-23</v>
      </c>
      <c r="AA132" s="119">
        <v>-17.98</v>
      </c>
      <c r="AB132" s="119">
        <v>-10.9</v>
      </c>
      <c r="AC132" s="119">
        <v>-14.3</v>
      </c>
      <c r="AD132" s="119">
        <v>-16</v>
      </c>
      <c r="AE132" s="119">
        <v>-22.2</v>
      </c>
      <c r="AF132" s="119">
        <v>-21.7</v>
      </c>
      <c r="AG132" s="128"/>
      <c r="AH132" s="48">
        <f>MAX(B132:AF132)</f>
        <v>-1.3</v>
      </c>
      <c r="AI132" s="49">
        <f>MIN(B132:AF132)</f>
        <v>-28.5</v>
      </c>
    </row>
    <row r="133" spans="1:37" ht="15.75" thickBot="1" x14ac:dyDescent="0.3">
      <c r="A133" s="129" t="s">
        <v>153</v>
      </c>
      <c r="B133" s="119">
        <v>54</v>
      </c>
      <c r="C133" s="119">
        <v>54</v>
      </c>
      <c r="D133" s="119">
        <v>54</v>
      </c>
      <c r="E133" s="119">
        <v>49.1</v>
      </c>
      <c r="F133" s="119">
        <v>49.39</v>
      </c>
      <c r="G133" s="119">
        <v>48</v>
      </c>
      <c r="H133" s="119">
        <v>48</v>
      </c>
      <c r="I133" s="119">
        <v>48.3</v>
      </c>
      <c r="J133" s="119">
        <v>54.1</v>
      </c>
      <c r="K133" s="119">
        <v>53.3</v>
      </c>
      <c r="L133" s="119">
        <v>55.1</v>
      </c>
      <c r="M133" s="119">
        <v>53.7</v>
      </c>
      <c r="N133" s="119">
        <v>49.3</v>
      </c>
      <c r="O133" s="119">
        <v>44</v>
      </c>
      <c r="P133" s="119">
        <v>44</v>
      </c>
      <c r="Q133" s="119"/>
      <c r="R133" s="119">
        <v>39.299999999999997</v>
      </c>
      <c r="S133" s="119">
        <v>46.5</v>
      </c>
      <c r="T133" s="119">
        <v>42.3</v>
      </c>
      <c r="U133" s="119">
        <v>42.7</v>
      </c>
      <c r="V133" s="119">
        <v>39.700000000000003</v>
      </c>
      <c r="W133" s="119">
        <v>35.700000000000003</v>
      </c>
      <c r="X133" s="119">
        <v>36.299999999999997</v>
      </c>
      <c r="Y133" s="119">
        <v>36.299999999999997</v>
      </c>
      <c r="Z133" s="119">
        <v>36.299999999999997</v>
      </c>
      <c r="AA133" s="119">
        <v>39.200000000000003</v>
      </c>
      <c r="AB133" s="119">
        <v>36</v>
      </c>
      <c r="AC133" s="119">
        <v>31.6</v>
      </c>
      <c r="AD133" s="119">
        <v>32.799999999999997</v>
      </c>
      <c r="AE133" s="119">
        <v>33.4</v>
      </c>
      <c r="AF133" s="119">
        <v>32.299999999999997</v>
      </c>
      <c r="AG133" s="128"/>
      <c r="AH133" s="48">
        <f>MAX(B133:AF133)</f>
        <v>55.1</v>
      </c>
      <c r="AI133" s="49">
        <f>MIN(B133:AF133)</f>
        <v>31.6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 t="s">
        <v>162</v>
      </c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>
        <v>1485.02</v>
      </c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>
        <v>1485.05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219">SUM(B142:B246)</f>
        <v>0</v>
      </c>
      <c r="C247" s="161">
        <f t="shared" si="219"/>
        <v>0</v>
      </c>
      <c r="D247" s="161">
        <f t="shared" si="219"/>
        <v>0</v>
      </c>
      <c r="E247" s="161">
        <f t="shared" si="219"/>
        <v>0</v>
      </c>
      <c r="F247" s="161">
        <f t="shared" si="219"/>
        <v>0</v>
      </c>
      <c r="G247" s="161">
        <f t="shared" si="219"/>
        <v>0</v>
      </c>
      <c r="H247" s="161">
        <f t="shared" si="219"/>
        <v>0</v>
      </c>
      <c r="I247" s="161">
        <f t="shared" si="219"/>
        <v>0</v>
      </c>
      <c r="J247" s="161">
        <f t="shared" si="219"/>
        <v>0</v>
      </c>
      <c r="K247" s="161">
        <f t="shared" si="219"/>
        <v>0</v>
      </c>
      <c r="L247" s="161">
        <f t="shared" si="219"/>
        <v>0</v>
      </c>
      <c r="M247" s="161">
        <f t="shared" si="219"/>
        <v>0</v>
      </c>
      <c r="N247" s="161">
        <f t="shared" si="219"/>
        <v>0</v>
      </c>
      <c r="O247" s="161">
        <f t="shared" si="219"/>
        <v>0</v>
      </c>
      <c r="P247" s="161">
        <f t="shared" si="219"/>
        <v>0</v>
      </c>
      <c r="Q247" s="161">
        <f t="shared" si="219"/>
        <v>0</v>
      </c>
      <c r="R247" s="161">
        <f t="shared" si="219"/>
        <v>0</v>
      </c>
      <c r="S247" s="161">
        <f t="shared" si="219"/>
        <v>0</v>
      </c>
      <c r="T247" s="161">
        <f t="shared" si="219"/>
        <v>0</v>
      </c>
      <c r="U247" s="161">
        <f t="shared" si="219"/>
        <v>0</v>
      </c>
      <c r="V247" s="161">
        <f t="shared" si="219"/>
        <v>0</v>
      </c>
      <c r="W247" s="161">
        <f t="shared" si="219"/>
        <v>0</v>
      </c>
      <c r="X247" s="161">
        <f t="shared" si="219"/>
        <v>0</v>
      </c>
      <c r="Y247" s="161">
        <f t="shared" si="219"/>
        <v>0</v>
      </c>
      <c r="Z247" s="161">
        <f t="shared" si="219"/>
        <v>0</v>
      </c>
      <c r="AA247" s="161">
        <f t="shared" si="219"/>
        <v>0</v>
      </c>
      <c r="AB247" s="161">
        <f t="shared" si="219"/>
        <v>0</v>
      </c>
      <c r="AC247" s="161">
        <f t="shared" si="219"/>
        <v>0</v>
      </c>
      <c r="AD247" s="161">
        <f t="shared" si="219"/>
        <v>0</v>
      </c>
      <c r="AE247" s="161">
        <f t="shared" si="219"/>
        <v>0</v>
      </c>
      <c r="AF247" s="162">
        <f t="shared" si="219"/>
        <v>0</v>
      </c>
      <c r="AG247" s="163">
        <f t="shared" si="219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220">AF249</f>
        <v>0.3</v>
      </c>
      <c r="C249" s="166">
        <v>0.3</v>
      </c>
      <c r="D249" s="166">
        <f t="shared" ref="D249:S254" si="221">C249</f>
        <v>0.3</v>
      </c>
      <c r="E249" s="166">
        <f t="shared" si="221"/>
        <v>0.3</v>
      </c>
      <c r="F249" s="166">
        <f t="shared" si="221"/>
        <v>0.3</v>
      </c>
      <c r="G249" s="166">
        <f t="shared" si="221"/>
        <v>0.3</v>
      </c>
      <c r="H249" s="166">
        <f t="shared" si="221"/>
        <v>0.3</v>
      </c>
      <c r="I249" s="166">
        <f t="shared" si="221"/>
        <v>0.3</v>
      </c>
      <c r="J249" s="166">
        <f t="shared" si="221"/>
        <v>0.3</v>
      </c>
      <c r="K249" s="166">
        <f t="shared" si="221"/>
        <v>0.3</v>
      </c>
      <c r="L249" s="166">
        <f t="shared" si="221"/>
        <v>0.3</v>
      </c>
      <c r="M249" s="166">
        <f t="shared" si="221"/>
        <v>0.3</v>
      </c>
      <c r="N249" s="166">
        <f t="shared" si="221"/>
        <v>0.3</v>
      </c>
      <c r="O249" s="166">
        <f t="shared" si="221"/>
        <v>0.3</v>
      </c>
      <c r="P249" s="166">
        <f t="shared" si="221"/>
        <v>0.3</v>
      </c>
      <c r="Q249" s="166">
        <f t="shared" si="221"/>
        <v>0.3</v>
      </c>
      <c r="R249" s="166">
        <f t="shared" si="221"/>
        <v>0.3</v>
      </c>
      <c r="S249" s="166">
        <f t="shared" si="221"/>
        <v>0.3</v>
      </c>
      <c r="T249" s="166">
        <f t="shared" ref="T249:AF254" si="222">S249</f>
        <v>0.3</v>
      </c>
      <c r="U249" s="166">
        <f t="shared" si="222"/>
        <v>0.3</v>
      </c>
      <c r="V249" s="166">
        <f t="shared" si="222"/>
        <v>0.3</v>
      </c>
      <c r="W249" s="166">
        <f t="shared" si="222"/>
        <v>0.3</v>
      </c>
      <c r="X249" s="166">
        <f t="shared" si="222"/>
        <v>0.3</v>
      </c>
      <c r="Y249" s="166">
        <f t="shared" si="222"/>
        <v>0.3</v>
      </c>
      <c r="Z249" s="166">
        <f t="shared" si="222"/>
        <v>0.3</v>
      </c>
      <c r="AA249" s="166">
        <f t="shared" si="222"/>
        <v>0.3</v>
      </c>
      <c r="AB249" s="166">
        <f t="shared" si="222"/>
        <v>0.3</v>
      </c>
      <c r="AC249" s="166">
        <f t="shared" si="222"/>
        <v>0.3</v>
      </c>
      <c r="AD249" s="166">
        <f t="shared" si="222"/>
        <v>0.3</v>
      </c>
      <c r="AE249" s="166">
        <f t="shared" si="222"/>
        <v>0.3</v>
      </c>
      <c r="AF249" s="166">
        <f t="shared" si="222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220"/>
        <v>0.4</v>
      </c>
      <c r="C250" s="152">
        <v>0.4</v>
      </c>
      <c r="D250" s="152">
        <f t="shared" si="221"/>
        <v>0.4</v>
      </c>
      <c r="E250" s="152">
        <f t="shared" si="221"/>
        <v>0.4</v>
      </c>
      <c r="F250" s="152">
        <f t="shared" si="221"/>
        <v>0.4</v>
      </c>
      <c r="G250" s="152">
        <f t="shared" si="221"/>
        <v>0.4</v>
      </c>
      <c r="H250" s="152">
        <f t="shared" si="221"/>
        <v>0.4</v>
      </c>
      <c r="I250" s="152">
        <f t="shared" si="221"/>
        <v>0.4</v>
      </c>
      <c r="J250" s="152">
        <f t="shared" si="221"/>
        <v>0.4</v>
      </c>
      <c r="K250" s="152">
        <f t="shared" si="221"/>
        <v>0.4</v>
      </c>
      <c r="L250" s="152">
        <f t="shared" si="221"/>
        <v>0.4</v>
      </c>
      <c r="M250" s="152">
        <f t="shared" si="221"/>
        <v>0.4</v>
      </c>
      <c r="N250" s="152">
        <f t="shared" si="221"/>
        <v>0.4</v>
      </c>
      <c r="O250" s="152">
        <f t="shared" si="221"/>
        <v>0.4</v>
      </c>
      <c r="P250" s="152">
        <f t="shared" si="221"/>
        <v>0.4</v>
      </c>
      <c r="Q250" s="152">
        <f t="shared" si="221"/>
        <v>0.4</v>
      </c>
      <c r="R250" s="152">
        <f t="shared" si="221"/>
        <v>0.4</v>
      </c>
      <c r="S250" s="152">
        <f t="shared" si="221"/>
        <v>0.4</v>
      </c>
      <c r="T250" s="152">
        <f t="shared" si="222"/>
        <v>0.4</v>
      </c>
      <c r="U250" s="152">
        <f t="shared" si="222"/>
        <v>0.4</v>
      </c>
      <c r="V250" s="152">
        <f t="shared" si="222"/>
        <v>0.4</v>
      </c>
      <c r="W250" s="152">
        <f t="shared" si="222"/>
        <v>0.4</v>
      </c>
      <c r="X250" s="152">
        <f t="shared" si="222"/>
        <v>0.4</v>
      </c>
      <c r="Y250" s="152">
        <f t="shared" si="222"/>
        <v>0.4</v>
      </c>
      <c r="Z250" s="152">
        <f t="shared" si="222"/>
        <v>0.4</v>
      </c>
      <c r="AA250" s="152">
        <f t="shared" si="222"/>
        <v>0.4</v>
      </c>
      <c r="AB250" s="152">
        <f t="shared" si="222"/>
        <v>0.4</v>
      </c>
      <c r="AC250" s="152">
        <f t="shared" si="222"/>
        <v>0.4</v>
      </c>
      <c r="AD250" s="152">
        <f t="shared" si="222"/>
        <v>0.4</v>
      </c>
      <c r="AE250" s="152">
        <f t="shared" si="222"/>
        <v>0.4</v>
      </c>
      <c r="AF250" s="152">
        <f t="shared" si="222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220"/>
        <v>1.5</v>
      </c>
      <c r="C251" s="152">
        <v>1.5</v>
      </c>
      <c r="D251" s="152">
        <f t="shared" si="221"/>
        <v>1.5</v>
      </c>
      <c r="E251" s="152">
        <f t="shared" si="221"/>
        <v>1.5</v>
      </c>
      <c r="F251" s="152">
        <f t="shared" si="221"/>
        <v>1.5</v>
      </c>
      <c r="G251" s="152">
        <f t="shared" si="221"/>
        <v>1.5</v>
      </c>
      <c r="H251" s="152">
        <f t="shared" si="221"/>
        <v>1.5</v>
      </c>
      <c r="I251" s="152">
        <f t="shared" si="221"/>
        <v>1.5</v>
      </c>
      <c r="J251" s="152">
        <f t="shared" si="221"/>
        <v>1.5</v>
      </c>
      <c r="K251" s="152">
        <f t="shared" si="221"/>
        <v>1.5</v>
      </c>
      <c r="L251" s="152">
        <f t="shared" si="221"/>
        <v>1.5</v>
      </c>
      <c r="M251" s="152">
        <f t="shared" si="221"/>
        <v>1.5</v>
      </c>
      <c r="N251" s="152">
        <f t="shared" si="221"/>
        <v>1.5</v>
      </c>
      <c r="O251" s="152">
        <f t="shared" si="221"/>
        <v>1.5</v>
      </c>
      <c r="P251" s="152">
        <f t="shared" si="221"/>
        <v>1.5</v>
      </c>
      <c r="Q251" s="152">
        <f t="shared" si="221"/>
        <v>1.5</v>
      </c>
      <c r="R251" s="152">
        <f t="shared" si="221"/>
        <v>1.5</v>
      </c>
      <c r="S251" s="152">
        <f t="shared" si="221"/>
        <v>1.5</v>
      </c>
      <c r="T251" s="152">
        <f t="shared" si="222"/>
        <v>1.5</v>
      </c>
      <c r="U251" s="152">
        <f t="shared" si="222"/>
        <v>1.5</v>
      </c>
      <c r="V251" s="152">
        <f t="shared" si="222"/>
        <v>1.5</v>
      </c>
      <c r="W251" s="152">
        <f t="shared" si="222"/>
        <v>1.5</v>
      </c>
      <c r="X251" s="152">
        <f t="shared" si="222"/>
        <v>1.5</v>
      </c>
      <c r="Y251" s="152">
        <f t="shared" si="222"/>
        <v>1.5</v>
      </c>
      <c r="Z251" s="152">
        <f t="shared" si="222"/>
        <v>1.5</v>
      </c>
      <c r="AA251" s="152">
        <f t="shared" si="222"/>
        <v>1.5</v>
      </c>
      <c r="AB251" s="152">
        <f t="shared" si="222"/>
        <v>1.5</v>
      </c>
      <c r="AC251" s="152">
        <f t="shared" si="222"/>
        <v>1.5</v>
      </c>
      <c r="AD251" s="152">
        <f t="shared" si="222"/>
        <v>1.5</v>
      </c>
      <c r="AE251" s="152">
        <f t="shared" si="222"/>
        <v>1.5</v>
      </c>
      <c r="AF251" s="152">
        <f t="shared" si="222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220"/>
        <v>0.3</v>
      </c>
      <c r="C252" s="152">
        <v>0.3</v>
      </c>
      <c r="D252" s="152">
        <f t="shared" si="221"/>
        <v>0.3</v>
      </c>
      <c r="E252" s="152">
        <f t="shared" si="221"/>
        <v>0.3</v>
      </c>
      <c r="F252" s="152">
        <f t="shared" si="221"/>
        <v>0.3</v>
      </c>
      <c r="G252" s="152">
        <f t="shared" si="221"/>
        <v>0.3</v>
      </c>
      <c r="H252" s="152">
        <f t="shared" si="221"/>
        <v>0.3</v>
      </c>
      <c r="I252" s="152">
        <f t="shared" si="221"/>
        <v>0.3</v>
      </c>
      <c r="J252" s="152">
        <f t="shared" si="221"/>
        <v>0.3</v>
      </c>
      <c r="K252" s="152">
        <f t="shared" si="221"/>
        <v>0.3</v>
      </c>
      <c r="L252" s="152">
        <f t="shared" si="221"/>
        <v>0.3</v>
      </c>
      <c r="M252" s="152">
        <f t="shared" si="221"/>
        <v>0.3</v>
      </c>
      <c r="N252" s="152">
        <f t="shared" si="221"/>
        <v>0.3</v>
      </c>
      <c r="O252" s="152">
        <f t="shared" si="221"/>
        <v>0.3</v>
      </c>
      <c r="P252" s="152">
        <f t="shared" si="221"/>
        <v>0.3</v>
      </c>
      <c r="Q252" s="152">
        <f t="shared" si="221"/>
        <v>0.3</v>
      </c>
      <c r="R252" s="152">
        <f t="shared" si="221"/>
        <v>0.3</v>
      </c>
      <c r="S252" s="152">
        <f t="shared" si="221"/>
        <v>0.3</v>
      </c>
      <c r="T252" s="152">
        <f t="shared" si="222"/>
        <v>0.3</v>
      </c>
      <c r="U252" s="152">
        <f t="shared" si="222"/>
        <v>0.3</v>
      </c>
      <c r="V252" s="152">
        <f t="shared" si="222"/>
        <v>0.3</v>
      </c>
      <c r="W252" s="152">
        <f t="shared" si="222"/>
        <v>0.3</v>
      </c>
      <c r="X252" s="152">
        <f t="shared" si="222"/>
        <v>0.3</v>
      </c>
      <c r="Y252" s="152">
        <f t="shared" si="222"/>
        <v>0.3</v>
      </c>
      <c r="Z252" s="152">
        <f t="shared" si="222"/>
        <v>0.3</v>
      </c>
      <c r="AA252" s="152">
        <f t="shared" si="222"/>
        <v>0.3</v>
      </c>
      <c r="AB252" s="152">
        <f t="shared" si="222"/>
        <v>0.3</v>
      </c>
      <c r="AC252" s="152">
        <f t="shared" si="222"/>
        <v>0.3</v>
      </c>
      <c r="AD252" s="152">
        <f t="shared" si="222"/>
        <v>0.3</v>
      </c>
      <c r="AE252" s="152">
        <f t="shared" si="222"/>
        <v>0.3</v>
      </c>
      <c r="AF252" s="152">
        <f t="shared" si="222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220"/>
        <v>0.4</v>
      </c>
      <c r="C253" s="152">
        <v>0.4</v>
      </c>
      <c r="D253" s="152">
        <f t="shared" si="221"/>
        <v>0.4</v>
      </c>
      <c r="E253" s="152">
        <f t="shared" si="221"/>
        <v>0.4</v>
      </c>
      <c r="F253" s="152">
        <f t="shared" si="221"/>
        <v>0.4</v>
      </c>
      <c r="G253" s="152">
        <f t="shared" si="221"/>
        <v>0.4</v>
      </c>
      <c r="H253" s="152">
        <f t="shared" si="221"/>
        <v>0.4</v>
      </c>
      <c r="I253" s="152">
        <f t="shared" si="221"/>
        <v>0.4</v>
      </c>
      <c r="J253" s="152">
        <f t="shared" si="221"/>
        <v>0.4</v>
      </c>
      <c r="K253" s="152">
        <f t="shared" si="221"/>
        <v>0.4</v>
      </c>
      <c r="L253" s="152">
        <f t="shared" si="221"/>
        <v>0.4</v>
      </c>
      <c r="M253" s="152">
        <f t="shared" si="221"/>
        <v>0.4</v>
      </c>
      <c r="N253" s="152">
        <f t="shared" si="221"/>
        <v>0.4</v>
      </c>
      <c r="O253" s="152">
        <f t="shared" si="221"/>
        <v>0.4</v>
      </c>
      <c r="P253" s="152">
        <f t="shared" si="221"/>
        <v>0.4</v>
      </c>
      <c r="Q253" s="152">
        <f t="shared" si="221"/>
        <v>0.4</v>
      </c>
      <c r="R253" s="152">
        <f t="shared" si="221"/>
        <v>0.4</v>
      </c>
      <c r="S253" s="152">
        <f t="shared" si="221"/>
        <v>0.4</v>
      </c>
      <c r="T253" s="152">
        <f t="shared" si="222"/>
        <v>0.4</v>
      </c>
      <c r="U253" s="152">
        <f t="shared" si="222"/>
        <v>0.4</v>
      </c>
      <c r="V253" s="152">
        <f t="shared" si="222"/>
        <v>0.4</v>
      </c>
      <c r="W253" s="152">
        <f t="shared" si="222"/>
        <v>0.4</v>
      </c>
      <c r="X253" s="152">
        <f t="shared" si="222"/>
        <v>0.4</v>
      </c>
      <c r="Y253" s="152">
        <f t="shared" si="222"/>
        <v>0.4</v>
      </c>
      <c r="Z253" s="152">
        <f t="shared" si="222"/>
        <v>0.4</v>
      </c>
      <c r="AA253" s="152">
        <f t="shared" si="222"/>
        <v>0.4</v>
      </c>
      <c r="AB253" s="152">
        <f t="shared" si="222"/>
        <v>0.4</v>
      </c>
      <c r="AC253" s="152">
        <f t="shared" si="222"/>
        <v>0.4</v>
      </c>
      <c r="AD253" s="152">
        <f t="shared" si="222"/>
        <v>0.4</v>
      </c>
      <c r="AE253" s="152">
        <f t="shared" si="222"/>
        <v>0.4</v>
      </c>
      <c r="AF253" s="152">
        <f t="shared" si="222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220"/>
        <v>0.64</v>
      </c>
      <c r="C254" s="157">
        <v>0.64</v>
      </c>
      <c r="D254" s="157">
        <f t="shared" si="221"/>
        <v>0.64</v>
      </c>
      <c r="E254" s="157">
        <f t="shared" si="221"/>
        <v>0.64</v>
      </c>
      <c r="F254" s="157">
        <f t="shared" si="221"/>
        <v>0.64</v>
      </c>
      <c r="G254" s="157">
        <f t="shared" si="221"/>
        <v>0.64</v>
      </c>
      <c r="H254" s="157">
        <f t="shared" si="221"/>
        <v>0.64</v>
      </c>
      <c r="I254" s="157">
        <f t="shared" si="221"/>
        <v>0.64</v>
      </c>
      <c r="J254" s="157">
        <f t="shared" si="221"/>
        <v>0.64</v>
      </c>
      <c r="K254" s="157">
        <f t="shared" si="221"/>
        <v>0.64</v>
      </c>
      <c r="L254" s="157">
        <f t="shared" si="221"/>
        <v>0.64</v>
      </c>
      <c r="M254" s="157">
        <f t="shared" si="221"/>
        <v>0.64</v>
      </c>
      <c r="N254" s="157">
        <f t="shared" si="221"/>
        <v>0.64</v>
      </c>
      <c r="O254" s="157">
        <f t="shared" si="221"/>
        <v>0.64</v>
      </c>
      <c r="P254" s="157">
        <f t="shared" si="221"/>
        <v>0.64</v>
      </c>
      <c r="Q254" s="157">
        <f t="shared" si="221"/>
        <v>0.64</v>
      </c>
      <c r="R254" s="157">
        <f t="shared" si="221"/>
        <v>0.64</v>
      </c>
      <c r="S254" s="157">
        <f t="shared" si="221"/>
        <v>0.64</v>
      </c>
      <c r="T254" s="157">
        <f t="shared" si="222"/>
        <v>0.64</v>
      </c>
      <c r="U254" s="157">
        <f t="shared" si="222"/>
        <v>0.64</v>
      </c>
      <c r="V254" s="157">
        <f t="shared" si="222"/>
        <v>0.64</v>
      </c>
      <c r="W254" s="157">
        <f t="shared" si="222"/>
        <v>0.64</v>
      </c>
      <c r="X254" s="157">
        <f t="shared" si="222"/>
        <v>0.64</v>
      </c>
      <c r="Y254" s="157">
        <f t="shared" si="222"/>
        <v>0.64</v>
      </c>
      <c r="Z254" s="157">
        <f t="shared" si="222"/>
        <v>0.64</v>
      </c>
      <c r="AA254" s="157">
        <f t="shared" si="222"/>
        <v>0.64</v>
      </c>
      <c r="AB254" s="157">
        <f t="shared" si="222"/>
        <v>0.64</v>
      </c>
      <c r="AC254" s="157">
        <f t="shared" si="222"/>
        <v>0.64</v>
      </c>
      <c r="AD254" s="157">
        <f t="shared" si="222"/>
        <v>0.64</v>
      </c>
      <c r="AE254" s="157">
        <f t="shared" si="222"/>
        <v>0.64</v>
      </c>
      <c r="AF254" s="157">
        <f t="shared" si="222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223">SUM(B249:B254)</f>
        <v>3.54</v>
      </c>
      <c r="C255" s="161">
        <f t="shared" si="223"/>
        <v>3.54</v>
      </c>
      <c r="D255" s="161">
        <f t="shared" si="223"/>
        <v>3.54</v>
      </c>
      <c r="E255" s="161">
        <f t="shared" si="223"/>
        <v>3.54</v>
      </c>
      <c r="F255" s="161">
        <f t="shared" si="223"/>
        <v>3.54</v>
      </c>
      <c r="G255" s="161">
        <f t="shared" si="223"/>
        <v>3.54</v>
      </c>
      <c r="H255" s="161">
        <f t="shared" si="223"/>
        <v>3.54</v>
      </c>
      <c r="I255" s="161">
        <f t="shared" si="223"/>
        <v>3.54</v>
      </c>
      <c r="J255" s="161">
        <f t="shared" si="223"/>
        <v>3.54</v>
      </c>
      <c r="K255" s="161">
        <f t="shared" si="223"/>
        <v>3.54</v>
      </c>
      <c r="L255" s="161">
        <f t="shared" si="223"/>
        <v>3.54</v>
      </c>
      <c r="M255" s="161">
        <f t="shared" si="223"/>
        <v>3.54</v>
      </c>
      <c r="N255" s="161">
        <f t="shared" si="223"/>
        <v>3.54</v>
      </c>
      <c r="O255" s="161">
        <f t="shared" si="223"/>
        <v>3.54</v>
      </c>
      <c r="P255" s="161">
        <f t="shared" si="223"/>
        <v>3.54</v>
      </c>
      <c r="Q255" s="161">
        <f t="shared" si="223"/>
        <v>3.54</v>
      </c>
      <c r="R255" s="161">
        <f t="shared" si="223"/>
        <v>3.54</v>
      </c>
      <c r="S255" s="161">
        <f t="shared" si="223"/>
        <v>3.54</v>
      </c>
      <c r="T255" s="161">
        <f t="shared" si="223"/>
        <v>3.54</v>
      </c>
      <c r="U255" s="161">
        <f t="shared" si="223"/>
        <v>3.54</v>
      </c>
      <c r="V255" s="161">
        <f t="shared" si="223"/>
        <v>3.54</v>
      </c>
      <c r="W255" s="161">
        <f t="shared" si="223"/>
        <v>3.54</v>
      </c>
      <c r="X255" s="161">
        <f t="shared" si="223"/>
        <v>3.54</v>
      </c>
      <c r="Y255" s="161">
        <f t="shared" si="223"/>
        <v>3.54</v>
      </c>
      <c r="Z255" s="161">
        <f t="shared" si="223"/>
        <v>3.54</v>
      </c>
      <c r="AA255" s="161">
        <f t="shared" si="223"/>
        <v>3.54</v>
      </c>
      <c r="AB255" s="161">
        <f t="shared" si="223"/>
        <v>3.54</v>
      </c>
      <c r="AC255" s="161">
        <f t="shared" si="223"/>
        <v>3.54</v>
      </c>
      <c r="AD255" s="161">
        <f t="shared" si="223"/>
        <v>3.54</v>
      </c>
      <c r="AE255" s="161">
        <f t="shared" si="223"/>
        <v>3.54</v>
      </c>
      <c r="AF255" s="161">
        <f t="shared" si="223"/>
        <v>3.54</v>
      </c>
      <c r="AG255" s="171">
        <f t="shared" si="223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2300.7400000000002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2080/10/21)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749" priority="80">
      <formula>$AH11=0</formula>
    </cfRule>
  </conditionalFormatting>
  <conditionalFormatting sqref="A89">
    <cfRule type="expression" dxfId="1748" priority="138">
      <formula>$AH94=0</formula>
    </cfRule>
  </conditionalFormatting>
  <conditionalFormatting sqref="A90:A94">
    <cfRule type="expression" dxfId="1747" priority="81">
      <formula>$AH89=0</formula>
    </cfRule>
  </conditionalFormatting>
  <conditionalFormatting sqref="B8">
    <cfRule type="expression" dxfId="1746" priority="134">
      <formula>AND(C$9&gt;=14/24,C$9&lt;20/24)</formula>
    </cfRule>
    <cfRule type="expression" dxfId="1745" priority="135">
      <formula>AND(C$9&gt;=8/24,C$9&lt;14/24)</formula>
    </cfRule>
    <cfRule type="expression" dxfId="1744" priority="136">
      <formula>C$9&lt;8/24</formula>
    </cfRule>
    <cfRule type="expression" dxfId="1743" priority="137">
      <formula>C$9&gt;=20/24</formula>
    </cfRule>
  </conditionalFormatting>
  <conditionalFormatting sqref="B11:L57 M12:O57 P14:P57 Q15:AA57 AF20:AF30 AB20:AE57 AF32:AF57 N62:P64 B62:M77 P66:P76 N66:O77 R66:W77 X67:AF77 N72:R77 B80:AF102 B9:AF10 B104:AF120 B122:AF140 B247:AF247 B249:B255">
    <cfRule type="expression" dxfId="1742" priority="41">
      <formula>B$9&gt;=20/24</formula>
    </cfRule>
  </conditionalFormatting>
  <conditionalFormatting sqref="B11:R83 AB15:AF60 S15:AA83 C59:AF59 AB61:AG61 AB62:AF64 AB65:AG65 AB66:AF82 AB83:AG83">
    <cfRule type="expression" dxfId="1741" priority="40">
      <formula>B11&gt;$AG11</formula>
    </cfRule>
  </conditionalFormatting>
  <conditionalFormatting sqref="B9:AF10 B11:L57 M12:O57 P14:P57 Q15:AA57 AF20:AF30 AB20:AE57 AF32:AF57 N62:P64 B62:M77 P66:P76 N66:O77 R66:W77 X67:AF77 N72:R77 B80:AF102 B104:AF120 B122:AF140 B247:AF247 B249:B255">
    <cfRule type="expression" dxfId="1740" priority="42">
      <formula>AND(B$9&gt;=14/24,B$9&lt;20/24)</formula>
    </cfRule>
    <cfRule type="expression" dxfId="1739" priority="43">
      <formula>AND(B$9&gt;=8/24,B$9&lt;14/24)</formula>
    </cfRule>
    <cfRule type="expression" dxfId="1738" priority="44">
      <formula>B$9&lt;8/24</formula>
    </cfRule>
  </conditionalFormatting>
  <conditionalFormatting sqref="B58:AF60">
    <cfRule type="expression" dxfId="1737" priority="37">
      <formula>B$9&gt;=20/24</formula>
    </cfRule>
    <cfRule type="expression" dxfId="1736" priority="38">
      <formula>AND(B$9&gt;=14/24,B$9&lt;20/24)</formula>
    </cfRule>
    <cfRule type="expression" dxfId="1735" priority="39">
      <formula>AND(B$9&gt;=8/24,B$9&lt;14/24)</formula>
    </cfRule>
    <cfRule type="expression" dxfId="1734" priority="49">
      <formula>B$9&lt;8/24</formula>
    </cfRule>
  </conditionalFormatting>
  <conditionalFormatting sqref="D249:AF255">
    <cfRule type="expression" dxfId="1733" priority="119">
      <formula>D$9&gt;=20/24</formula>
    </cfRule>
    <cfRule type="expression" dxfId="1732" priority="120">
      <formula>AND(D$9&gt;=14/24,D$9&lt;20/24)</formula>
    </cfRule>
    <cfRule type="expression" dxfId="1731" priority="121">
      <formula>AND(D$9&gt;=8/24,D$9&lt;14/24)</formula>
    </cfRule>
    <cfRule type="expression" dxfId="1730" priority="122">
      <formula>D$9&lt;8/24</formula>
    </cfRule>
  </conditionalFormatting>
  <conditionalFormatting sqref="M8 S8 AB8">
    <cfRule type="expression" dxfId="1729" priority="126">
      <formula>AND(N$9&gt;=14/24,N$9&lt;20/24)</formula>
    </cfRule>
    <cfRule type="expression" dxfId="1728" priority="127">
      <formula>AND(N$9&gt;=8/24,N$9&lt;14/24)</formula>
    </cfRule>
    <cfRule type="expression" dxfId="1727" priority="128">
      <formula>N$9&lt;8/24</formula>
    </cfRule>
  </conditionalFormatting>
  <conditionalFormatting sqref="M11:R11 S11:AA14 AB11:AF57 P12:R13 Q14:R14">
    <cfRule type="expression" dxfId="1726" priority="56">
      <formula>AND(M$9&gt;=14/24,M$9&lt;20/24)</formula>
    </cfRule>
    <cfRule type="expression" dxfId="1725" priority="57">
      <formula>AND(M$9&gt;=8/24,M$9&lt;14/24)</formula>
    </cfRule>
    <cfRule type="expression" dxfId="1724" priority="58">
      <formula>M$9&lt;8/24</formula>
    </cfRule>
  </conditionalFormatting>
  <conditionalFormatting sqref="N66:W70 X67:AF70">
    <cfRule type="expression" dxfId="1723" priority="77">
      <formula>AND(N$9&gt;=14/24,N$9&lt;20/24)</formula>
    </cfRule>
    <cfRule type="expression" dxfId="1722" priority="78">
      <formula>AND(N$9&gt;=8/24,N$9&lt;14/24)</formula>
    </cfRule>
    <cfRule type="expression" dxfId="1721" priority="79">
      <formula>N$9&lt;8/24</formula>
    </cfRule>
  </conditionalFormatting>
  <conditionalFormatting sqref="N62:AF65">
    <cfRule type="expression" dxfId="1720" priority="60">
      <formula>N$9&gt;=20/24</formula>
    </cfRule>
    <cfRule type="expression" dxfId="1719" priority="61">
      <formula>AND(N$9&gt;=14/24,N$9&lt;20/24)</formula>
    </cfRule>
    <cfRule type="expression" dxfId="1718" priority="62">
      <formula>AND(N$9&gt;=8/24,N$9&lt;14/24)</formula>
    </cfRule>
    <cfRule type="expression" dxfId="1717" priority="63">
      <formula>N$9&lt;8/24</formula>
    </cfRule>
  </conditionalFormatting>
  <conditionalFormatting sqref="N71:AF71">
    <cfRule type="expression" dxfId="1716" priority="68">
      <formula>N$9&gt;=20/24</formula>
    </cfRule>
    <cfRule type="expression" dxfId="1715" priority="69">
      <formula>AND(N$9&gt;=14/24,N$9&lt;20/24)</formula>
    </cfRule>
    <cfRule type="expression" dxfId="1714" priority="70">
      <formula>AND(N$9&gt;=8/24,N$9&lt;14/24)</formula>
    </cfRule>
    <cfRule type="expression" dxfId="1713" priority="71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712" priority="125">
      <formula>N$9&gt;=20/24</formula>
    </cfRule>
  </conditionalFormatting>
  <conditionalFormatting sqref="S8">
    <cfRule type="expression" dxfId="1711" priority="112">
      <formula>U$9&gt;=20/24</formula>
    </cfRule>
    <cfRule type="expression" dxfId="1710" priority="113">
      <formula>AND(U$9&gt;=14/24,U$9&lt;20/24)</formula>
    </cfRule>
    <cfRule type="expression" dxfId="1709" priority="114">
      <formula>AND(U$9&gt;=8/24,U$9&lt;14/24)</formula>
    </cfRule>
    <cfRule type="expression" dxfId="1708" priority="115">
      <formula>U$9&lt;8/24</formula>
    </cfRule>
  </conditionalFormatting>
  <conditionalFormatting sqref="S11:AA14 AB11:AF57 M11:R11 P12:R13 Q14:R14">
    <cfRule type="expression" dxfId="1707" priority="55">
      <formula>M$9&gt;=20/24</formula>
    </cfRule>
  </conditionalFormatting>
  <conditionalFormatting sqref="S11:AF14">
    <cfRule type="expression" dxfId="1706" priority="54">
      <formula>S11&gt;$AG11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X66:AF71">
    <cfRule type="expression" dxfId="1705" priority="64">
      <formula>X$9&gt;=20/24</formula>
    </cfRule>
    <cfRule type="expression" dxfId="1704" priority="65">
      <formula>AND(X$9&gt;=14/24,X$9&lt;20/24)</formula>
    </cfRule>
    <cfRule type="expression" dxfId="1703" priority="66">
      <formula>AND(X$9&gt;=8/24,X$9&lt;14/24)</formula>
    </cfRule>
    <cfRule type="expression" dxfId="1702" priority="67">
      <formula>X$9&lt;8/24</formula>
    </cfRule>
  </conditionalFormatting>
  <conditionalFormatting sqref="X67:AF70 N66:W70">
    <cfRule type="expression" dxfId="1701" priority="76">
      <formula>N$9&gt;=20/24</formula>
    </cfRule>
  </conditionalFormatting>
  <conditionalFormatting sqref="AB8">
    <cfRule type="expression" dxfId="1700" priority="108">
      <formula>AD$9&gt;=20/24</formula>
    </cfRule>
    <cfRule type="expression" dxfId="1699" priority="109">
      <formula>AND(AD$9&gt;=14/24,AD$9&lt;20/24)</formula>
    </cfRule>
    <cfRule type="expression" dxfId="1698" priority="110">
      <formula>AND(AD$9&gt;=8/24,AD$9&lt;14/24)</formula>
    </cfRule>
    <cfRule type="expression" dxfId="1697" priority="111">
      <formula>AD$9&lt;8/24</formula>
    </cfRule>
  </conditionalFormatting>
  <conditionalFormatting sqref="AG65">
    <cfRule type="expression" dxfId="1696" priority="87">
      <formula>AG$9&gt;=20/24</formula>
    </cfRule>
    <cfRule type="expression" dxfId="1695" priority="88">
      <formula>AND(AG$9&gt;=14/24,AG$9&lt;20/24)</formula>
    </cfRule>
    <cfRule type="expression" dxfId="1694" priority="89">
      <formula>AND(AG$9&gt;=8/24,AG$9&lt;14/24)</formula>
    </cfRule>
    <cfRule type="expression" dxfId="1693" priority="90">
      <formula>AG$9&lt;8/24</formula>
    </cfRule>
  </conditionalFormatting>
  <conditionalFormatting sqref="AG78:AG79">
    <cfRule type="expression" dxfId="1692" priority="82">
      <formula>AG78&gt;$AG78</formula>
    </cfRule>
  </conditionalFormatting>
  <conditionalFormatting sqref="AG83">
    <cfRule type="expression" dxfId="1691" priority="83">
      <formula>AG$9&gt;=20/24</formula>
    </cfRule>
    <cfRule type="expression" dxfId="1690" priority="84">
      <formula>AND(AG$9&gt;=14/24,AG$9&lt;20/24)</formula>
    </cfRule>
    <cfRule type="expression" dxfId="1689" priority="85">
      <formula>AND(AG$9&gt;=8/24,AG$9&lt;14/24)</formula>
    </cfRule>
    <cfRule type="expression" dxfId="1688" priority="86">
      <formula>AG$9&lt;8/24</formula>
    </cfRule>
  </conditionalFormatting>
  <conditionalFormatting sqref="AG100">
    <cfRule type="expression" dxfId="1687" priority="104">
      <formula>AG$9&gt;=20/24</formula>
    </cfRule>
    <cfRule type="expression" dxfId="1686" priority="105">
      <formula>AND(AG$9&gt;=14/24,AG$9&lt;20/24)</formula>
    </cfRule>
    <cfRule type="expression" dxfId="1685" priority="106">
      <formula>AND(AG$9&gt;=8/24,AG$9&lt;14/24)</formula>
    </cfRule>
    <cfRule type="expression" dxfId="168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683" priority="129">
      <formula>AJ$9&gt;=20/24</formula>
    </cfRule>
    <cfRule type="expression" dxfId="1682" priority="130">
      <formula>AND(AJ$9&gt;=14/24,AJ$9&lt;20/24)</formula>
    </cfRule>
    <cfRule type="expression" dxfId="1681" priority="131">
      <formula>AND(AJ$9&gt;=8/24,AJ$9&lt;14/24)</formula>
    </cfRule>
    <cfRule type="expression" dxfId="1680" priority="132">
      <formula>AJ$9&lt;8/24</formula>
    </cfRule>
  </conditionalFormatting>
  <conditionalFormatting sqref="AL86:AN86 AL92:AN92">
    <cfRule type="expression" dxfId="1679" priority="97">
      <formula>AL$9&gt;=20/24</formula>
    </cfRule>
    <cfRule type="expression" dxfId="1678" priority="98">
      <formula>AND(AL$9&gt;=14/24,AL$9&lt;20/24)</formula>
    </cfRule>
    <cfRule type="expression" dxfId="1677" priority="99">
      <formula>AND(AL$9&gt;=8/24,AL$9&lt;14/24)</formula>
    </cfRule>
    <cfRule type="expression" dxfId="1676" priority="100">
      <formula>AL$9&lt;8/24</formula>
    </cfRule>
  </conditionalFormatting>
  <conditionalFormatting sqref="AM15:AM21 AN16:AR21">
    <cfRule type="expression" dxfId="1675" priority="13">
      <formula>AX$9&gt;=20/24</formula>
    </cfRule>
    <cfRule type="expression" dxfId="1674" priority="14">
      <formula>AND(AX$9&gt;=14/24,AX$9&lt;20/24)</formula>
    </cfRule>
    <cfRule type="expression" dxfId="1673" priority="15">
      <formula>AND(AX$9&gt;=8/24,AX$9&lt;14/24)</formula>
    </cfRule>
    <cfRule type="expression" dxfId="1672" priority="16">
      <formula>AX$9&lt;8/24</formula>
    </cfRule>
  </conditionalFormatting>
  <conditionalFormatting sqref="AN87:AN90">
    <cfRule type="expression" dxfId="1671" priority="93">
      <formula>AN$9&gt;=20/24</formula>
    </cfRule>
    <cfRule type="expression" dxfId="1670" priority="94">
      <formula>AND(AN$9&gt;=14/24,AN$9&lt;20/24)</formula>
    </cfRule>
    <cfRule type="expression" dxfId="1669" priority="95">
      <formula>AND(AN$9&gt;=8/24,AN$9&lt;14/24)</formula>
    </cfRule>
    <cfRule type="expression" dxfId="1668" priority="96">
      <formula>AN$9&lt;8/24</formula>
    </cfRule>
  </conditionalFormatting>
  <conditionalFormatting sqref="AN15:AR15">
    <cfRule type="expression" dxfId="1667" priority="1">
      <formula>U$9&gt;=20/24</formula>
    </cfRule>
    <cfRule type="expression" dxfId="1666" priority="2">
      <formula>AND(U$9&gt;=14/24,U$9&lt;20/24)</formula>
    </cfRule>
    <cfRule type="expression" dxfId="1665" priority="3">
      <formula>AND(U$9&gt;=8/24,U$9&lt;14/24)</formula>
    </cfRule>
    <cfRule type="expression" dxfId="1664" priority="4">
      <formula>U$9&lt;8/24</formula>
    </cfRule>
  </conditionalFormatting>
  <conditionalFormatting sqref="AS15">
    <cfRule type="expression" dxfId="1663" priority="9">
      <formula>AA$9&gt;=20/24</formula>
    </cfRule>
    <cfRule type="expression" dxfId="1662" priority="10">
      <formula>AND(AA$9&gt;=14/24,AA$9&lt;20/24)</formula>
    </cfRule>
    <cfRule type="expression" dxfId="1661" priority="11">
      <formula>AND(AA$9&gt;=8/24,AA$9&lt;14/24)</formula>
    </cfRule>
    <cfRule type="expression" dxfId="1660" priority="12">
      <formula>AA$9&lt;8/24</formula>
    </cfRule>
  </conditionalFormatting>
  <conditionalFormatting sqref="AS16:AS21">
    <cfRule type="expression" dxfId="1659" priority="17">
      <formula>BE$9&gt;=20/24</formula>
    </cfRule>
    <cfRule type="expression" dxfId="1658" priority="18">
      <formula>AND(BE$9&gt;=14/24,BE$9&lt;20/24)</formula>
    </cfRule>
    <cfRule type="expression" dxfId="1657" priority="19">
      <formula>AND(BE$9&gt;=8/24,BE$9&lt;14/24)</formula>
    </cfRule>
    <cfRule type="expression" dxfId="1656" priority="20">
      <formula>BE$9&lt;8/24</formula>
    </cfRule>
  </conditionalFormatting>
  <conditionalFormatting sqref="AT15 AX15:BJ15">
    <cfRule type="expression" dxfId="1655" priority="21">
      <formula>AC$9&gt;=20/24</formula>
    </cfRule>
    <cfRule type="expression" dxfId="1654" priority="22">
      <formula>AND(AC$9&gt;=14/24,AC$9&lt;20/24)</formula>
    </cfRule>
    <cfRule type="expression" dxfId="1653" priority="23">
      <formula>AND(AC$9&gt;=8/24,AC$9&lt;14/24)</formula>
    </cfRule>
    <cfRule type="expression" dxfId="1652" priority="24">
      <formula>AC$9&lt;8/24</formula>
    </cfRule>
  </conditionalFormatting>
  <conditionalFormatting sqref="AT16:AT21">
    <cfRule type="expression" dxfId="1651" priority="25">
      <formula>BG$9&gt;=20/24</formula>
    </cfRule>
    <cfRule type="expression" dxfId="1650" priority="26">
      <formula>AND(BG$9&gt;=14/24,BG$9&lt;20/24)</formula>
    </cfRule>
    <cfRule type="expression" dxfId="1649" priority="27">
      <formula>AND(BG$9&gt;=8/24,BG$9&lt;14/24)</formula>
    </cfRule>
    <cfRule type="expression" dxfId="1648" priority="28">
      <formula>BG$9&lt;8/24</formula>
    </cfRule>
  </conditionalFormatting>
  <conditionalFormatting sqref="AU15:AV15">
    <cfRule type="expression" dxfId="1647" priority="29">
      <formula>AE$9&gt;=20/24</formula>
    </cfRule>
    <cfRule type="expression" dxfId="1646" priority="30">
      <formula>AND(AE$9&gt;=14/24,AE$9&lt;20/24)</formula>
    </cfRule>
    <cfRule type="expression" dxfId="1645" priority="31">
      <formula>AND(AE$9&gt;=8/24,AE$9&lt;14/24)</formula>
    </cfRule>
    <cfRule type="expression" dxfId="1644" priority="32">
      <formula>AE$9&lt;8/24</formula>
    </cfRule>
  </conditionalFormatting>
  <conditionalFormatting sqref="AU16:BJ21">
    <cfRule type="expression" dxfId="1643" priority="33">
      <formula>BI$9&gt;=20/24</formula>
    </cfRule>
    <cfRule type="expression" dxfId="1642" priority="34">
      <formula>AND(BI$9&gt;=14/24,BI$9&lt;20/24)</formula>
    </cfRule>
    <cfRule type="expression" dxfId="1641" priority="35">
      <formula>AND(BI$9&gt;=8/24,BI$9&lt;14/24)</formula>
    </cfRule>
    <cfRule type="expression" dxfId="1640" priority="36">
      <formula>BI$9&lt;8/24</formula>
    </cfRule>
  </conditionalFormatting>
  <conditionalFormatting sqref="AW15">
    <cfRule type="expression" dxfId="1639" priority="5">
      <formula>B$9&gt;=20/24</formula>
    </cfRule>
    <cfRule type="expression" dxfId="1638" priority="6">
      <formula>AND(B$9&gt;=14/24,B$9&lt;20/24)</formula>
    </cfRule>
    <cfRule type="expression" dxfId="1637" priority="7">
      <formula>AND(B$9&gt;=8/24,B$9&lt;14/24)</formula>
    </cfRule>
    <cfRule type="expression" dxfId="163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90FE-05F9-4AF0-8AC9-9865AE7A0B0E}">
  <dimension ref="A1:CJ297"/>
  <sheetViews>
    <sheetView zoomScale="106" workbookViewId="0">
      <pane xSplit="1" ySplit="10" topLeftCell="B67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M129" sqref="M12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.285156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2080/10/22</v>
      </c>
      <c r="C4" s="189"/>
      <c r="D4" s="189"/>
      <c r="E4" s="190" t="str">
        <f ca="1">"2080/"&amp;"10/"&amp;INT(MID(CELL("filename",G6),FIND("]",CELL("filename",G6))+1,200))</f>
        <v>2080/10/22</v>
      </c>
      <c r="F4" s="190"/>
      <c r="G4" s="190"/>
      <c r="H4" s="190" t="str">
        <f ca="1">TEXT(E4,"dddd")</f>
        <v>Tuesday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8</v>
      </c>
      <c r="R5" s="30">
        <f t="shared" si="0"/>
        <v>0</v>
      </c>
      <c r="S5" s="30">
        <f t="shared" si="0"/>
        <v>0</v>
      </c>
      <c r="T5" s="30">
        <f t="shared" si="0"/>
        <v>48.5</v>
      </c>
      <c r="U5" s="30">
        <f t="shared" si="0"/>
        <v>17.899999999999999</v>
      </c>
      <c r="V5" s="30">
        <f t="shared" si="0"/>
        <v>10.6</v>
      </c>
      <c r="W5" s="30">
        <f t="shared" si="0"/>
        <v>28.1</v>
      </c>
      <c r="X5" s="30">
        <f t="shared" si="0"/>
        <v>10</v>
      </c>
      <c r="Y5" s="30">
        <f t="shared" si="0"/>
        <v>20</v>
      </c>
      <c r="Z5" s="30">
        <f t="shared" si="0"/>
        <v>27.7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1620MW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Load=1161</v>
      </c>
      <c r="B7" s="35">
        <f t="shared" ref="B7:AF7" si="1">B103</f>
        <v>1441.7400000000002</v>
      </c>
      <c r="C7" s="35">
        <f t="shared" si="1"/>
        <v>1430.8400000000001</v>
      </c>
      <c r="D7" s="35">
        <f t="shared" si="1"/>
        <v>1401.44</v>
      </c>
      <c r="E7" s="35">
        <f t="shared" si="1"/>
        <v>1273.6399999999999</v>
      </c>
      <c r="F7" s="35">
        <f t="shared" si="1"/>
        <v>1236.24</v>
      </c>
      <c r="G7" s="35">
        <f t="shared" si="1"/>
        <v>1218.04</v>
      </c>
      <c r="H7" s="35">
        <f t="shared" si="1"/>
        <v>1226.7400000000002</v>
      </c>
      <c r="I7" s="35">
        <f t="shared" si="1"/>
        <v>1187.54</v>
      </c>
      <c r="J7" s="35">
        <f t="shared" si="1"/>
        <v>1257.8400000000001</v>
      </c>
      <c r="K7" s="35">
        <f t="shared" si="1"/>
        <v>1281.1399999999999</v>
      </c>
      <c r="L7" s="35">
        <f t="shared" si="1"/>
        <v>1285.8399999999997</v>
      </c>
      <c r="M7" s="35">
        <f t="shared" si="1"/>
        <v>1253.44</v>
      </c>
      <c r="N7" s="35">
        <f t="shared" si="1"/>
        <v>1273.8400000000001</v>
      </c>
      <c r="O7" s="35">
        <f t="shared" si="1"/>
        <v>1196.6399999999999</v>
      </c>
      <c r="P7" s="35">
        <f t="shared" si="1"/>
        <v>1187.6399999999999</v>
      </c>
      <c r="Q7" s="35">
        <f t="shared" si="1"/>
        <v>1161.24</v>
      </c>
      <c r="R7" s="35">
        <f t="shared" si="1"/>
        <v>1189.7399999999998</v>
      </c>
      <c r="S7" s="35">
        <f t="shared" si="1"/>
        <v>1199.1399999999999</v>
      </c>
      <c r="T7" s="35">
        <f t="shared" si="1"/>
        <v>1192.0999999999999</v>
      </c>
      <c r="U7" s="35">
        <f t="shared" si="1"/>
        <v>1181.24</v>
      </c>
      <c r="V7" s="35">
        <f t="shared" si="1"/>
        <v>1206.7400000000002</v>
      </c>
      <c r="W7" s="35">
        <f t="shared" si="1"/>
        <v>1177.94</v>
      </c>
      <c r="X7" s="35">
        <f t="shared" si="1"/>
        <v>1163.8499999999999</v>
      </c>
      <c r="Y7" s="35">
        <f t="shared" si="1"/>
        <v>1233.4099999999999</v>
      </c>
      <c r="Z7" s="35">
        <f t="shared" si="1"/>
        <v>1467.3</v>
      </c>
      <c r="AA7" s="35">
        <f t="shared" si="1"/>
        <v>1563.74</v>
      </c>
      <c r="AB7" s="35">
        <f t="shared" si="1"/>
        <v>1479.54</v>
      </c>
      <c r="AC7" s="35">
        <f t="shared" si="1"/>
        <v>1505.9399999999996</v>
      </c>
      <c r="AD7" s="35">
        <f t="shared" si="1"/>
        <v>1458.2399999999996</v>
      </c>
      <c r="AE7" s="35">
        <f t="shared" si="1"/>
        <v>1371.2399999999998</v>
      </c>
      <c r="AF7" s="35">
        <f t="shared" si="1"/>
        <v>1323.5399999999997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2089.84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1479.54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86.8</v>
      </c>
      <c r="C11" s="46">
        <v>86.8</v>
      </c>
      <c r="D11" s="46">
        <v>86.8</v>
      </c>
      <c r="E11" s="46">
        <v>87</v>
      </c>
      <c r="F11" s="46">
        <v>51</v>
      </c>
      <c r="G11" s="46">
        <v>78.400000000000006</v>
      </c>
      <c r="H11" s="46">
        <v>38.5</v>
      </c>
      <c r="I11" s="46">
        <v>27.7</v>
      </c>
      <c r="J11" s="46">
        <v>24.6</v>
      </c>
      <c r="K11" s="46">
        <v>89.9</v>
      </c>
      <c r="L11" s="46">
        <v>69.7</v>
      </c>
      <c r="M11" s="46">
        <v>89.9</v>
      </c>
      <c r="N11" s="46">
        <v>90.1</v>
      </c>
      <c r="O11" s="46">
        <v>90.1</v>
      </c>
      <c r="P11" s="46">
        <v>89.9</v>
      </c>
      <c r="Q11" s="46">
        <v>64.8</v>
      </c>
      <c r="R11" s="46">
        <v>89.8</v>
      </c>
      <c r="S11" s="46">
        <v>89.8</v>
      </c>
      <c r="T11" s="46">
        <v>90.2</v>
      </c>
      <c r="U11" s="46">
        <v>90.2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51.7</v>
      </c>
      <c r="AG11" s="47">
        <v>86</v>
      </c>
      <c r="AH11" s="48">
        <f t="shared" ref="AH11:AH74" si="2">MAX(B11:AF11)</f>
        <v>90.2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0</v>
      </c>
      <c r="C12" s="46">
        <v>0</v>
      </c>
      <c r="D12" s="46">
        <v>57.2</v>
      </c>
      <c r="E12" s="46">
        <v>25.8</v>
      </c>
      <c r="F12" s="46">
        <v>33.299999999999997</v>
      </c>
      <c r="G12" s="46">
        <v>38.799999999999997</v>
      </c>
      <c r="H12" s="46">
        <v>39</v>
      </c>
      <c r="I12" s="46">
        <v>43</v>
      </c>
      <c r="J12" s="46">
        <v>42.5</v>
      </c>
      <c r="K12" s="46">
        <v>42.5</v>
      </c>
      <c r="L12" s="46">
        <v>47</v>
      </c>
      <c r="M12" s="46">
        <v>52.5</v>
      </c>
      <c r="N12" s="46">
        <v>67</v>
      </c>
      <c r="O12" s="46">
        <v>67</v>
      </c>
      <c r="P12" s="46">
        <v>67</v>
      </c>
      <c r="Q12" s="46">
        <v>82.2</v>
      </c>
      <c r="R12" s="46">
        <v>82.6</v>
      </c>
      <c r="S12" s="46">
        <v>82.6</v>
      </c>
      <c r="T12" s="46">
        <v>83.7</v>
      </c>
      <c r="U12" s="46">
        <v>83.7</v>
      </c>
      <c r="V12" s="46">
        <v>83.7</v>
      </c>
      <c r="W12" s="46">
        <v>83.7</v>
      </c>
      <c r="X12" s="46">
        <v>83.7</v>
      </c>
      <c r="Y12" s="46">
        <v>83.7</v>
      </c>
      <c r="Z12" s="46">
        <v>83.7</v>
      </c>
      <c r="AA12" s="46">
        <v>83.7</v>
      </c>
      <c r="AB12" s="46">
        <v>83.7</v>
      </c>
      <c r="AC12" s="46">
        <v>83.7</v>
      </c>
      <c r="AD12" s="46">
        <v>83.7</v>
      </c>
      <c r="AE12" s="46">
        <v>83.7</v>
      </c>
      <c r="AF12" s="46">
        <v>51.5</v>
      </c>
      <c r="AG12" s="50">
        <v>77</v>
      </c>
      <c r="AH12" s="48">
        <f t="shared" si="2"/>
        <v>83.7</v>
      </c>
      <c r="AI12" s="49">
        <f t="shared" si="3"/>
        <v>0</v>
      </c>
      <c r="AK12" s="51"/>
      <c r="AL12" s="52" t="str">
        <f ca="1">MID(CELL("filename",C7),FIND("]",CELL("filename",C7))+1,600)</f>
        <v>22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47</v>
      </c>
      <c r="C13" s="46">
        <v>51.8</v>
      </c>
      <c r="D13" s="46">
        <v>43.6</v>
      </c>
      <c r="E13" s="46">
        <v>46.4</v>
      </c>
      <c r="F13" s="46">
        <v>43.1</v>
      </c>
      <c r="G13" s="46">
        <v>43.4</v>
      </c>
      <c r="H13" s="46">
        <v>43</v>
      </c>
      <c r="I13" s="46">
        <v>43.6</v>
      </c>
      <c r="J13" s="46">
        <v>40</v>
      </c>
      <c r="K13" s="46">
        <v>42.6</v>
      </c>
      <c r="L13" s="46">
        <v>37.6</v>
      </c>
      <c r="M13" s="46">
        <v>32.5</v>
      </c>
      <c r="N13" s="46">
        <v>32.5</v>
      </c>
      <c r="O13" s="46">
        <v>32.5</v>
      </c>
      <c r="P13" s="46">
        <v>32.5</v>
      </c>
      <c r="Q13" s="46">
        <v>37.299999999999997</v>
      </c>
      <c r="R13" s="46">
        <v>32.700000000000003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51.8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20</v>
      </c>
      <c r="C14" s="46">
        <v>20.3</v>
      </c>
      <c r="D14" s="46">
        <v>20.3</v>
      </c>
      <c r="E14" s="46">
        <v>10</v>
      </c>
      <c r="F14" s="46">
        <v>0</v>
      </c>
      <c r="G14" s="46">
        <v>20</v>
      </c>
      <c r="H14" s="46">
        <v>10</v>
      </c>
      <c r="I14" s="46">
        <v>40</v>
      </c>
      <c r="J14" s="46">
        <v>40.6</v>
      </c>
      <c r="K14" s="46">
        <v>40.5</v>
      </c>
      <c r="L14" s="46">
        <v>40.700000000000003</v>
      </c>
      <c r="M14" s="46">
        <v>40.799999999999997</v>
      </c>
      <c r="N14" s="46">
        <v>40.799999999999997</v>
      </c>
      <c r="O14" s="46">
        <v>40.799999999999997</v>
      </c>
      <c r="P14" s="46">
        <v>40.799999999999997</v>
      </c>
      <c r="Q14" s="46">
        <v>40.700000000000003</v>
      </c>
      <c r="R14" s="46">
        <v>40.700000000000003</v>
      </c>
      <c r="S14" s="46">
        <v>40.5</v>
      </c>
      <c r="T14" s="46">
        <v>40.5</v>
      </c>
      <c r="U14" s="46">
        <v>40.5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5.5</v>
      </c>
      <c r="AG14" s="50">
        <v>71</v>
      </c>
      <c r="AH14" s="48">
        <f t="shared" si="2"/>
        <v>40.799999999999997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11</v>
      </c>
      <c r="C15" s="46">
        <v>0</v>
      </c>
      <c r="D15" s="46">
        <v>31</v>
      </c>
      <c r="E15" s="46">
        <v>17</v>
      </c>
      <c r="F15" s="46">
        <v>17</v>
      </c>
      <c r="G15" s="46">
        <v>28.9</v>
      </c>
      <c r="H15" s="46">
        <v>14.2</v>
      </c>
      <c r="I15" s="46">
        <v>14.3</v>
      </c>
      <c r="J15" s="46">
        <v>31</v>
      </c>
      <c r="K15" s="46">
        <v>24</v>
      </c>
      <c r="L15" s="46">
        <v>24</v>
      </c>
      <c r="M15" s="46">
        <v>35.5</v>
      </c>
      <c r="N15" s="46">
        <v>35.700000000000003</v>
      </c>
      <c r="O15" s="46">
        <v>35.700000000000003</v>
      </c>
      <c r="P15" s="46">
        <v>35.700000000000003</v>
      </c>
      <c r="Q15" s="46">
        <v>35.700000000000003</v>
      </c>
      <c r="R15" s="46">
        <v>59.9</v>
      </c>
      <c r="S15" s="46">
        <v>59.9</v>
      </c>
      <c r="T15" s="46">
        <v>55</v>
      </c>
      <c r="U15" s="46">
        <v>55</v>
      </c>
      <c r="V15" s="46">
        <v>55</v>
      </c>
      <c r="W15" s="46">
        <v>55</v>
      </c>
      <c r="X15" s="46">
        <v>55</v>
      </c>
      <c r="Y15" s="46">
        <v>55</v>
      </c>
      <c r="Z15" s="46">
        <v>55</v>
      </c>
      <c r="AA15" s="46">
        <v>55</v>
      </c>
      <c r="AB15" s="46">
        <v>58</v>
      </c>
      <c r="AC15" s="46">
        <v>58</v>
      </c>
      <c r="AD15" s="46">
        <v>58</v>
      </c>
      <c r="AE15" s="46">
        <v>58</v>
      </c>
      <c r="AF15" s="46">
        <v>30.8</v>
      </c>
      <c r="AG15" s="50">
        <v>54</v>
      </c>
      <c r="AH15" s="48">
        <f t="shared" si="2"/>
        <v>59.9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18</v>
      </c>
      <c r="C16" s="46">
        <v>27.1</v>
      </c>
      <c r="D16" s="46">
        <v>27.1</v>
      </c>
      <c r="E16" s="46">
        <v>10</v>
      </c>
      <c r="F16" s="46">
        <v>0</v>
      </c>
      <c r="G16" s="46">
        <v>20</v>
      </c>
      <c r="H16" s="46">
        <v>20</v>
      </c>
      <c r="I16" s="46">
        <v>27</v>
      </c>
      <c r="J16" s="46">
        <v>27</v>
      </c>
      <c r="K16" s="46">
        <v>27.2</v>
      </c>
      <c r="L16" s="46">
        <v>27</v>
      </c>
      <c r="M16" s="46">
        <v>27.2</v>
      </c>
      <c r="N16" s="46">
        <v>27.2</v>
      </c>
      <c r="O16" s="46">
        <v>27.2</v>
      </c>
      <c r="P16" s="46">
        <v>27.2</v>
      </c>
      <c r="Q16" s="46">
        <v>27.2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13.9</v>
      </c>
      <c r="AC16" s="46">
        <v>13.9</v>
      </c>
      <c r="AD16" s="46">
        <v>13.9</v>
      </c>
      <c r="AE16" s="46">
        <v>13.9</v>
      </c>
      <c r="AF16" s="46">
        <v>15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1212.2</v>
      </c>
      <c r="AN16" s="59">
        <f t="shared" si="4"/>
        <v>1215.4000000000001</v>
      </c>
      <c r="AO16" s="59">
        <f t="shared" si="4"/>
        <v>1286.2</v>
      </c>
      <c r="AP16" s="59">
        <f t="shared" si="4"/>
        <v>1132.5</v>
      </c>
      <c r="AQ16" s="59">
        <f t="shared" si="4"/>
        <v>1070.3</v>
      </c>
      <c r="AR16" s="59">
        <f t="shared" si="4"/>
        <v>1130.9000000000001</v>
      </c>
      <c r="AS16" s="59">
        <f>I61</f>
        <v>1125.4000000000001</v>
      </c>
      <c r="AT16" s="59">
        <f>K61</f>
        <v>1205.5</v>
      </c>
      <c r="AU16" s="59">
        <f t="shared" ref="AU16:BD16" si="5">M61</f>
        <v>1274</v>
      </c>
      <c r="AV16" s="59">
        <f t="shared" si="5"/>
        <v>1234.0999999999999</v>
      </c>
      <c r="AW16" s="59">
        <f t="shared" si="5"/>
        <v>1229.0999999999999</v>
      </c>
      <c r="AX16" s="59">
        <f t="shared" si="5"/>
        <v>1263.0999999999999</v>
      </c>
      <c r="AY16" s="59">
        <f t="shared" si="5"/>
        <v>1257.9000000000001</v>
      </c>
      <c r="AZ16" s="59">
        <f t="shared" si="5"/>
        <v>1300.2999999999997</v>
      </c>
      <c r="BA16" s="59">
        <f t="shared" si="5"/>
        <v>1267.3999999999999</v>
      </c>
      <c r="BB16" s="59">
        <f t="shared" si="5"/>
        <v>1199.8</v>
      </c>
      <c r="BC16" s="59">
        <f t="shared" si="5"/>
        <v>1199.8</v>
      </c>
      <c r="BD16" s="59">
        <f t="shared" si="5"/>
        <v>1056.5</v>
      </c>
      <c r="BE16" s="60">
        <f>X61</f>
        <v>1056.5</v>
      </c>
      <c r="BF16" s="60">
        <f>Z61</f>
        <v>1057.5999999999999</v>
      </c>
      <c r="BG16" s="60">
        <f>AB61</f>
        <v>1095.5</v>
      </c>
      <c r="BH16" s="60">
        <f>AD61</f>
        <v>1133.7999999999997</v>
      </c>
      <c r="BI16" s="60">
        <f>AE61</f>
        <v>1133.7999999999997</v>
      </c>
      <c r="BJ16" s="60">
        <f>AF61</f>
        <v>1110.6999999999998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53.6</v>
      </c>
      <c r="C17" s="46">
        <v>53.6</v>
      </c>
      <c r="D17" s="46">
        <v>53.6</v>
      </c>
      <c r="E17" s="46">
        <v>55.9</v>
      </c>
      <c r="F17" s="46">
        <v>55.9</v>
      </c>
      <c r="G17" s="46">
        <v>55.9</v>
      </c>
      <c r="H17" s="46">
        <v>55.9</v>
      </c>
      <c r="I17" s="46">
        <v>56</v>
      </c>
      <c r="J17" s="46">
        <v>55.8</v>
      </c>
      <c r="K17" s="46">
        <v>55.8</v>
      </c>
      <c r="L17" s="46">
        <v>55.8</v>
      </c>
      <c r="M17" s="46">
        <v>55.8</v>
      </c>
      <c r="N17" s="46">
        <v>55.8</v>
      </c>
      <c r="O17" s="46">
        <v>55.8</v>
      </c>
      <c r="P17" s="46">
        <v>55.8</v>
      </c>
      <c r="Q17" s="46">
        <v>55.8</v>
      </c>
      <c r="R17" s="46">
        <v>55.8</v>
      </c>
      <c r="S17" s="46">
        <v>55.8</v>
      </c>
      <c r="T17" s="46">
        <v>55.6</v>
      </c>
      <c r="U17" s="46">
        <v>55.6</v>
      </c>
      <c r="V17" s="46">
        <v>55.6</v>
      </c>
      <c r="W17" s="46">
        <v>55.6</v>
      </c>
      <c r="X17" s="46">
        <v>55.6</v>
      </c>
      <c r="Y17" s="46">
        <v>55.6</v>
      </c>
      <c r="Z17" s="46">
        <v>55.6</v>
      </c>
      <c r="AA17" s="46">
        <v>55.6</v>
      </c>
      <c r="AB17" s="46">
        <v>55.6</v>
      </c>
      <c r="AC17" s="46">
        <v>55.6</v>
      </c>
      <c r="AD17" s="46">
        <v>55.6</v>
      </c>
      <c r="AE17" s="46">
        <v>55.6</v>
      </c>
      <c r="AF17" s="46">
        <v>53</v>
      </c>
      <c r="AG17" s="47">
        <v>52.4</v>
      </c>
      <c r="AH17" s="48">
        <f t="shared" si="2"/>
        <v>56</v>
      </c>
      <c r="AI17" s="49">
        <f t="shared" si="3"/>
        <v>53</v>
      </c>
      <c r="AK17" s="51"/>
      <c r="AL17" s="54" t="s">
        <v>27</v>
      </c>
      <c r="AM17" s="59">
        <f t="shared" ref="AM17:AR17" si="6">B65</f>
        <v>543.70000000000005</v>
      </c>
      <c r="AN17" s="59">
        <f t="shared" si="6"/>
        <v>543.70000000000005</v>
      </c>
      <c r="AO17" s="59">
        <f t="shared" si="6"/>
        <v>82.6</v>
      </c>
      <c r="AP17" s="59">
        <f t="shared" si="6"/>
        <v>82.6</v>
      </c>
      <c r="AQ17" s="59">
        <f t="shared" si="6"/>
        <v>82.6</v>
      </c>
      <c r="AR17" s="59">
        <f t="shared" si="6"/>
        <v>82.6</v>
      </c>
      <c r="AS17" s="59">
        <f>I65</f>
        <v>82.6</v>
      </c>
      <c r="AT17" s="59">
        <f>K65</f>
        <v>82.6</v>
      </c>
      <c r="AU17" s="59">
        <f t="shared" ref="AU17:BD17" si="7">M65</f>
        <v>82.7</v>
      </c>
      <c r="AV17" s="59">
        <f t="shared" si="7"/>
        <v>82.7</v>
      </c>
      <c r="AW17" s="59">
        <f t="shared" si="7"/>
        <v>82.7</v>
      </c>
      <c r="AX17" s="59">
        <f t="shared" si="7"/>
        <v>82.7</v>
      </c>
      <c r="AY17" s="59">
        <f t="shared" si="7"/>
        <v>82.7</v>
      </c>
      <c r="AZ17" s="59">
        <f t="shared" si="7"/>
        <v>82.7</v>
      </c>
      <c r="BA17" s="59">
        <f t="shared" si="7"/>
        <v>82.7</v>
      </c>
      <c r="BB17" s="59">
        <f t="shared" si="7"/>
        <v>82.7</v>
      </c>
      <c r="BC17" s="59">
        <f t="shared" si="7"/>
        <v>82.7</v>
      </c>
      <c r="BD17" s="59">
        <f t="shared" si="7"/>
        <v>82.7</v>
      </c>
      <c r="BE17" s="60">
        <f>X65</f>
        <v>82.7</v>
      </c>
      <c r="BF17" s="60">
        <f>Z65</f>
        <v>82.6</v>
      </c>
      <c r="BG17" s="60">
        <f>AB65</f>
        <v>544.1</v>
      </c>
      <c r="BH17" s="60">
        <f>AD65</f>
        <v>544.1</v>
      </c>
      <c r="BI17" s="60">
        <f>AE65</f>
        <v>541.6</v>
      </c>
      <c r="BJ17" s="60">
        <f>AF65</f>
        <v>541.6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50.7</v>
      </c>
      <c r="C18" s="46">
        <v>50.7</v>
      </c>
      <c r="D18" s="46">
        <v>50.7</v>
      </c>
      <c r="E18" s="46">
        <v>50.4</v>
      </c>
      <c r="F18" s="46">
        <v>50.3</v>
      </c>
      <c r="G18" s="46">
        <v>50.5</v>
      </c>
      <c r="H18" s="46">
        <v>50.5</v>
      </c>
      <c r="I18" s="46">
        <v>50.4</v>
      </c>
      <c r="J18" s="46">
        <v>50.5</v>
      </c>
      <c r="K18" s="46">
        <v>50.5</v>
      </c>
      <c r="L18" s="46">
        <v>50.4</v>
      </c>
      <c r="M18" s="46">
        <v>50.2</v>
      </c>
      <c r="N18" s="46">
        <v>50.2</v>
      </c>
      <c r="O18" s="46">
        <v>50.2</v>
      </c>
      <c r="P18" s="46">
        <v>50.2</v>
      </c>
      <c r="Q18" s="46">
        <v>50.2</v>
      </c>
      <c r="R18" s="46">
        <v>50.3</v>
      </c>
      <c r="S18" s="46">
        <v>50.3</v>
      </c>
      <c r="T18" s="46">
        <v>0</v>
      </c>
      <c r="U18" s="46">
        <v>0</v>
      </c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25</v>
      </c>
      <c r="AC18" s="46">
        <v>50.5</v>
      </c>
      <c r="AD18" s="46">
        <v>50.5</v>
      </c>
      <c r="AE18" s="46">
        <v>50.5</v>
      </c>
      <c r="AF18" s="46">
        <v>50.5</v>
      </c>
      <c r="AG18" s="50">
        <v>50</v>
      </c>
      <c r="AH18" s="48">
        <f t="shared" si="2"/>
        <v>50.7</v>
      </c>
      <c r="AI18" s="49">
        <f t="shared" si="3"/>
        <v>0</v>
      </c>
      <c r="AK18" s="51"/>
      <c r="AL18" s="54" t="s">
        <v>29</v>
      </c>
      <c r="AM18" s="59">
        <f t="shared" ref="AM18:AR18" si="8">B79</f>
        <v>330.74</v>
      </c>
      <c r="AN18" s="59">
        <f t="shared" si="8"/>
        <v>330.74</v>
      </c>
      <c r="AO18" s="59">
        <f t="shared" si="8"/>
        <v>330.74</v>
      </c>
      <c r="AP18" s="59">
        <f t="shared" si="8"/>
        <v>327.44000000000005</v>
      </c>
      <c r="AQ18" s="59">
        <f t="shared" si="8"/>
        <v>364.64000000000004</v>
      </c>
      <c r="AR18" s="59">
        <f t="shared" si="8"/>
        <v>324.64000000000004</v>
      </c>
      <c r="AS18" s="59">
        <f>I79</f>
        <v>291.24</v>
      </c>
      <c r="AT18" s="59">
        <f>K79</f>
        <v>281.24</v>
      </c>
      <c r="AU18" s="59">
        <f t="shared" ref="AU18:BD18" si="9">M79</f>
        <v>219.24</v>
      </c>
      <c r="AV18" s="59">
        <f t="shared" si="9"/>
        <v>156.13999999999999</v>
      </c>
      <c r="AW18" s="59">
        <f t="shared" si="9"/>
        <v>171.84</v>
      </c>
      <c r="AX18" s="59">
        <f t="shared" si="9"/>
        <v>171.84</v>
      </c>
      <c r="AY18" s="59">
        <f t="shared" si="9"/>
        <v>167.34</v>
      </c>
      <c r="AZ18" s="59">
        <f t="shared" si="9"/>
        <v>156.74</v>
      </c>
      <c r="BA18" s="59">
        <f t="shared" si="9"/>
        <v>179.73999999999998</v>
      </c>
      <c r="BB18" s="59">
        <f t="shared" si="9"/>
        <v>221</v>
      </c>
      <c r="BC18" s="59">
        <f t="shared" si="9"/>
        <v>202.23999999999998</v>
      </c>
      <c r="BD18" s="59">
        <f t="shared" si="9"/>
        <v>201.73999999999998</v>
      </c>
      <c r="BE18" s="60">
        <f>X79</f>
        <v>195.24999999999997</v>
      </c>
      <c r="BF18" s="60">
        <f>Z79</f>
        <v>204.20000000000002</v>
      </c>
      <c r="BG18" s="60">
        <f>AB79</f>
        <v>179.84</v>
      </c>
      <c r="BH18" s="60">
        <f>AD79</f>
        <v>209.84</v>
      </c>
      <c r="BI18" s="60">
        <f>AE79</f>
        <v>224.94</v>
      </c>
      <c r="BJ18" s="60">
        <f>AF79</f>
        <v>264.44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8</v>
      </c>
      <c r="BA19" s="59">
        <f t="shared" si="11"/>
        <v>0</v>
      </c>
      <c r="BB19" s="59">
        <f t="shared" si="11"/>
        <v>0</v>
      </c>
      <c r="BC19" s="59">
        <f t="shared" si="11"/>
        <v>48.5</v>
      </c>
      <c r="BD19" s="59">
        <f t="shared" si="11"/>
        <v>17.899999999999999</v>
      </c>
      <c r="BE19" s="60">
        <f>X95</f>
        <v>28.1</v>
      </c>
      <c r="BF19" s="60">
        <f>Z95</f>
        <v>20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44.8</v>
      </c>
      <c r="N20" s="46">
        <v>44.8</v>
      </c>
      <c r="O20" s="46">
        <v>44.8</v>
      </c>
      <c r="P20" s="46">
        <v>44.8</v>
      </c>
      <c r="Q20" s="46">
        <v>44.8</v>
      </c>
      <c r="R20" s="46">
        <v>44.8</v>
      </c>
      <c r="S20" s="46">
        <v>44.8</v>
      </c>
      <c r="T20" s="46">
        <v>44.8</v>
      </c>
      <c r="U20" s="46">
        <v>44.8</v>
      </c>
      <c r="V20" s="46">
        <v>44.8</v>
      </c>
      <c r="W20" s="46">
        <v>44.8</v>
      </c>
      <c r="X20" s="46">
        <v>44.8</v>
      </c>
      <c r="Y20" s="46">
        <v>44.8</v>
      </c>
      <c r="Z20" s="46">
        <v>44.8</v>
      </c>
      <c r="AA20" s="46">
        <v>44.8</v>
      </c>
      <c r="AB20" s="46">
        <v>44.8</v>
      </c>
      <c r="AC20" s="46">
        <v>44.8</v>
      </c>
      <c r="AD20" s="46">
        <v>44.8</v>
      </c>
      <c r="AE20" s="46">
        <v>44.8</v>
      </c>
      <c r="AF20" s="46">
        <v>44.8</v>
      </c>
      <c r="AG20" s="50">
        <v>44</v>
      </c>
      <c r="AH20" s="48">
        <f t="shared" si="2"/>
        <v>44.8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35.1</v>
      </c>
      <c r="AU20" s="59">
        <f t="shared" ref="AU20:BD20" si="13">M83</f>
        <v>35.1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19.899999999999999</v>
      </c>
      <c r="BE20" s="60">
        <f>X83</f>
        <v>0</v>
      </c>
      <c r="BF20" s="60">
        <f>Z83</f>
        <v>0</v>
      </c>
      <c r="BG20" s="60">
        <f>AB83</f>
        <v>64.399999999999991</v>
      </c>
      <c r="BH20" s="60">
        <f>AD83</f>
        <v>16</v>
      </c>
      <c r="BI20" s="60">
        <f>AE83</f>
        <v>14.7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150</v>
      </c>
      <c r="BG21" s="60">
        <f>AB101</f>
        <v>150</v>
      </c>
      <c r="BH21" s="60">
        <f>AD101</f>
        <v>100</v>
      </c>
      <c r="BI21" s="60">
        <f>AE101</f>
        <v>80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40</v>
      </c>
      <c r="C22" s="46">
        <v>40</v>
      </c>
      <c r="D22" s="46">
        <v>40</v>
      </c>
      <c r="E22" s="46">
        <v>26.3</v>
      </c>
      <c r="F22" s="46">
        <v>26.4</v>
      </c>
      <c r="G22" s="46">
        <v>13.8</v>
      </c>
      <c r="H22" s="46">
        <v>13.8</v>
      </c>
      <c r="I22" s="46">
        <v>13.9</v>
      </c>
      <c r="J22" s="46">
        <v>0</v>
      </c>
      <c r="K22" s="46">
        <v>0</v>
      </c>
      <c r="L22" s="46">
        <v>26.9</v>
      </c>
      <c r="M22" s="46">
        <v>26.7</v>
      </c>
      <c r="N22" s="46">
        <v>13.7</v>
      </c>
      <c r="O22" s="46">
        <v>13.7</v>
      </c>
      <c r="P22" s="46">
        <v>13.7</v>
      </c>
      <c r="Q22" s="46">
        <v>13.7</v>
      </c>
      <c r="R22" s="46">
        <v>13.7</v>
      </c>
      <c r="S22" s="46">
        <v>13.7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40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2086.6400000000003</v>
      </c>
      <c r="AN22" s="63">
        <f t="shared" si="16"/>
        <v>2089.84</v>
      </c>
      <c r="AO22" s="63">
        <f t="shared" si="16"/>
        <v>1699.54</v>
      </c>
      <c r="AP22" s="63">
        <f t="shared" si="16"/>
        <v>1542.54</v>
      </c>
      <c r="AQ22" s="63">
        <f t="shared" si="16"/>
        <v>1517.54</v>
      </c>
      <c r="AR22" s="63">
        <f t="shared" si="16"/>
        <v>1538.14</v>
      </c>
      <c r="AS22" s="63">
        <f t="shared" si="16"/>
        <v>1499.24</v>
      </c>
      <c r="AT22" s="63">
        <f t="shared" si="16"/>
        <v>1604.4399999999998</v>
      </c>
      <c r="AU22" s="63">
        <f t="shared" si="16"/>
        <v>1611.04</v>
      </c>
      <c r="AV22" s="63">
        <f t="shared" si="16"/>
        <v>1472.94</v>
      </c>
      <c r="AW22" s="63">
        <f t="shared" si="16"/>
        <v>1483.6399999999999</v>
      </c>
      <c r="AX22" s="63">
        <f t="shared" si="16"/>
        <v>1517.6399999999999</v>
      </c>
      <c r="AY22" s="63">
        <f t="shared" si="16"/>
        <v>1507.94</v>
      </c>
      <c r="AZ22" s="63">
        <f t="shared" si="16"/>
        <v>1547.7399999999998</v>
      </c>
      <c r="BA22" s="63">
        <f t="shared" si="16"/>
        <v>1529.84</v>
      </c>
      <c r="BB22" s="63">
        <f t="shared" si="16"/>
        <v>1503.5</v>
      </c>
      <c r="BC22" s="63">
        <f t="shared" si="16"/>
        <v>1533.24</v>
      </c>
      <c r="BD22" s="63">
        <f t="shared" si="16"/>
        <v>1378.7400000000002</v>
      </c>
      <c r="BE22" s="63">
        <f t="shared" si="16"/>
        <v>1362.55</v>
      </c>
      <c r="BF22" s="63">
        <f t="shared" si="16"/>
        <v>1514.3999999999999</v>
      </c>
      <c r="BG22" s="63">
        <f t="shared" si="16"/>
        <v>2033.84</v>
      </c>
      <c r="BH22" s="63">
        <f t="shared" si="16"/>
        <v>2003.7399999999996</v>
      </c>
      <c r="BI22" s="63">
        <f t="shared" si="16"/>
        <v>1995.0399999999997</v>
      </c>
      <c r="BJ22" s="63">
        <f t="shared" si="16"/>
        <v>1916.7399999999998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38</v>
      </c>
      <c r="C23" s="46">
        <v>38</v>
      </c>
      <c r="D23" s="46">
        <v>38</v>
      </c>
      <c r="E23" s="46">
        <v>38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0</v>
      </c>
      <c r="O23" s="46">
        <v>0</v>
      </c>
      <c r="P23" s="46">
        <v>38</v>
      </c>
      <c r="Q23" s="46">
        <v>38</v>
      </c>
      <c r="R23" s="46">
        <v>38</v>
      </c>
      <c r="S23" s="46">
        <v>38</v>
      </c>
      <c r="T23" s="46">
        <v>38</v>
      </c>
      <c r="U23" s="46">
        <v>38</v>
      </c>
      <c r="V23" s="46">
        <v>30</v>
      </c>
      <c r="W23" s="46">
        <v>30</v>
      </c>
      <c r="X23" s="46">
        <v>30</v>
      </c>
      <c r="Y23" s="46">
        <v>30</v>
      </c>
      <c r="Z23" s="46">
        <v>30</v>
      </c>
      <c r="AA23" s="46">
        <v>30</v>
      </c>
      <c r="AB23" s="46">
        <v>30</v>
      </c>
      <c r="AC23" s="46">
        <v>30</v>
      </c>
      <c r="AD23" s="46">
        <v>30</v>
      </c>
      <c r="AE23" s="46">
        <v>30</v>
      </c>
      <c r="AF23" s="46">
        <v>35</v>
      </c>
      <c r="AG23" s="50">
        <v>38.46</v>
      </c>
      <c r="AH23" s="48">
        <f t="shared" si="2"/>
        <v>38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-644.9</v>
      </c>
      <c r="AN23" s="63">
        <f t="shared" si="17"/>
        <v>-659</v>
      </c>
      <c r="AO23" s="63">
        <f t="shared" si="17"/>
        <v>-298.09999999999997</v>
      </c>
      <c r="AP23" s="63">
        <f t="shared" si="17"/>
        <v>-268.89999999999998</v>
      </c>
      <c r="AQ23" s="63">
        <f t="shared" si="17"/>
        <v>-281.3</v>
      </c>
      <c r="AR23" s="63">
        <f t="shared" si="17"/>
        <v>-320.10000000000002</v>
      </c>
      <c r="AS23" s="63">
        <f>I110*-1</f>
        <v>-311.7</v>
      </c>
      <c r="AT23" s="63">
        <f>K110*-1</f>
        <v>-323.3</v>
      </c>
      <c r="AU23" s="63">
        <f t="shared" ref="AU23:BD23" si="18">M110*-1</f>
        <v>-357.6</v>
      </c>
      <c r="AV23" s="63">
        <f t="shared" si="18"/>
        <v>-199.1</v>
      </c>
      <c r="AW23" s="63">
        <f t="shared" si="18"/>
        <v>-287</v>
      </c>
      <c r="AX23" s="63">
        <f t="shared" si="18"/>
        <v>-330</v>
      </c>
      <c r="AY23" s="63">
        <f t="shared" si="18"/>
        <v>-346.7</v>
      </c>
      <c r="AZ23" s="63">
        <f t="shared" si="18"/>
        <v>-358</v>
      </c>
      <c r="BA23" s="63">
        <f t="shared" si="18"/>
        <v>-330.7</v>
      </c>
      <c r="BB23" s="63">
        <f t="shared" si="18"/>
        <v>-311.39999999999998</v>
      </c>
      <c r="BC23" s="63">
        <f t="shared" si="18"/>
        <v>-352</v>
      </c>
      <c r="BD23" s="63">
        <f t="shared" si="18"/>
        <v>-172</v>
      </c>
      <c r="BE23" s="63">
        <f>X110*-1</f>
        <v>-198.7</v>
      </c>
      <c r="BF23" s="63">
        <f>Z110*-1</f>
        <v>-47.1</v>
      </c>
      <c r="BG23" s="63">
        <f>AB110*-1</f>
        <v>-554.30000000000007</v>
      </c>
      <c r="BH23" s="63">
        <f>AD110*-1</f>
        <v>-545.5</v>
      </c>
      <c r="BI23" s="63">
        <f>AE110*-1</f>
        <v>-623.80000000000007</v>
      </c>
      <c r="BJ23" s="63">
        <f>AF110*-1</f>
        <v>-593.20000000000005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50">
        <v>36</v>
      </c>
      <c r="AH24" s="48">
        <f t="shared" si="2"/>
        <v>0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1441.7400000000002</v>
      </c>
      <c r="AN24" s="63">
        <f t="shared" si="19"/>
        <v>1430.8400000000001</v>
      </c>
      <c r="AO24" s="63">
        <f t="shared" si="19"/>
        <v>1401.44</v>
      </c>
      <c r="AP24" s="63">
        <f t="shared" si="19"/>
        <v>1273.6399999999999</v>
      </c>
      <c r="AQ24" s="63">
        <f t="shared" si="19"/>
        <v>1236.24</v>
      </c>
      <c r="AR24" s="63">
        <f t="shared" si="19"/>
        <v>1218.04</v>
      </c>
      <c r="AS24" s="63">
        <f t="shared" si="19"/>
        <v>1187.54</v>
      </c>
      <c r="AT24" s="63">
        <f t="shared" si="19"/>
        <v>1281.1399999999999</v>
      </c>
      <c r="AU24" s="63">
        <f t="shared" si="19"/>
        <v>1253.44</v>
      </c>
      <c r="AV24" s="63">
        <f t="shared" si="19"/>
        <v>1273.8400000000001</v>
      </c>
      <c r="AW24" s="63">
        <f t="shared" si="19"/>
        <v>1196.6399999999999</v>
      </c>
      <c r="AX24" s="63">
        <f t="shared" si="19"/>
        <v>1187.6399999999999</v>
      </c>
      <c r="AY24" s="63">
        <f t="shared" si="19"/>
        <v>1161.24</v>
      </c>
      <c r="AZ24" s="63">
        <f t="shared" si="19"/>
        <v>1189.7399999999998</v>
      </c>
      <c r="BA24" s="63">
        <f t="shared" si="19"/>
        <v>1199.1399999999999</v>
      </c>
      <c r="BB24" s="63">
        <f t="shared" si="19"/>
        <v>1192.0999999999999</v>
      </c>
      <c r="BC24" s="63">
        <f t="shared" si="19"/>
        <v>1181.24</v>
      </c>
      <c r="BD24" s="63">
        <f t="shared" si="19"/>
        <v>1206.7400000000002</v>
      </c>
      <c r="BE24" s="63">
        <f t="shared" si="19"/>
        <v>1163.8499999999999</v>
      </c>
      <c r="BF24" s="63">
        <f t="shared" si="19"/>
        <v>1467.3</v>
      </c>
      <c r="BG24" s="63">
        <f t="shared" si="19"/>
        <v>1479.54</v>
      </c>
      <c r="BH24" s="63">
        <f t="shared" si="19"/>
        <v>1458.2399999999996</v>
      </c>
      <c r="BI24" s="63">
        <f t="shared" si="19"/>
        <v>1371.2399999999998</v>
      </c>
      <c r="BJ24" s="63">
        <f t="shared" si="19"/>
        <v>1323.5399999999997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15</v>
      </c>
      <c r="D25" s="46">
        <v>15</v>
      </c>
      <c r="E25" s="46">
        <v>5</v>
      </c>
      <c r="F25" s="46">
        <v>0</v>
      </c>
      <c r="G25" s="46">
        <v>10</v>
      </c>
      <c r="H25" s="46">
        <v>10</v>
      </c>
      <c r="I25" s="46">
        <v>20</v>
      </c>
      <c r="J25" s="46">
        <v>20</v>
      </c>
      <c r="K25" s="46">
        <v>30</v>
      </c>
      <c r="L25" s="46">
        <v>30</v>
      </c>
      <c r="M25" s="46">
        <v>30.4</v>
      </c>
      <c r="N25" s="46">
        <v>30.4</v>
      </c>
      <c r="O25" s="46">
        <v>30.4</v>
      </c>
      <c r="P25" s="46">
        <v>30.4</v>
      </c>
      <c r="Q25" s="46">
        <v>30.4</v>
      </c>
      <c r="R25" s="46">
        <v>30.4</v>
      </c>
      <c r="S25" s="46">
        <v>30.4</v>
      </c>
      <c r="T25" s="46">
        <v>30.4</v>
      </c>
      <c r="U25" s="46">
        <v>30.4</v>
      </c>
      <c r="V25" s="46">
        <v>30.4</v>
      </c>
      <c r="W25" s="46">
        <v>30.4</v>
      </c>
      <c r="X25" s="46">
        <v>30.4</v>
      </c>
      <c r="Y25" s="46">
        <v>30.4</v>
      </c>
      <c r="Z25" s="46">
        <v>30.4</v>
      </c>
      <c r="AA25" s="46">
        <v>30.4</v>
      </c>
      <c r="AB25" s="46">
        <v>30.4</v>
      </c>
      <c r="AC25" s="46">
        <v>30.4</v>
      </c>
      <c r="AD25" s="46">
        <v>30.4</v>
      </c>
      <c r="AE25" s="46">
        <v>30.4</v>
      </c>
      <c r="AF25" s="46">
        <v>30.2</v>
      </c>
      <c r="AG25" s="61">
        <v>30</v>
      </c>
      <c r="AH25" s="48">
        <f t="shared" si="2"/>
        <v>30.4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25.7</v>
      </c>
      <c r="C26" s="46">
        <v>25.7</v>
      </c>
      <c r="D26" s="46">
        <v>16.5</v>
      </c>
      <c r="E26" s="46">
        <v>0</v>
      </c>
      <c r="F26" s="46">
        <v>25.6</v>
      </c>
      <c r="G26" s="46">
        <v>25.6</v>
      </c>
      <c r="H26" s="46">
        <v>25.6</v>
      </c>
      <c r="I26" s="46">
        <v>25.6</v>
      </c>
      <c r="J26" s="46">
        <v>25.6</v>
      </c>
      <c r="K26" s="46">
        <v>25.6</v>
      </c>
      <c r="L26" s="46">
        <v>25.6</v>
      </c>
      <c r="M26" s="46">
        <v>25.6</v>
      </c>
      <c r="N26" s="46">
        <v>25.6</v>
      </c>
      <c r="O26" s="46">
        <v>25.6</v>
      </c>
      <c r="P26" s="46">
        <v>25.6</v>
      </c>
      <c r="Q26" s="46">
        <v>25.6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33</v>
      </c>
      <c r="AF26" s="46">
        <v>25.7</v>
      </c>
      <c r="AG26" s="50">
        <v>24.2</v>
      </c>
      <c r="AH26" s="48">
        <f t="shared" si="2"/>
        <v>33</v>
      </c>
      <c r="AI26" s="49">
        <f t="shared" si="3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28.6</v>
      </c>
      <c r="C27" s="46">
        <v>28.6</v>
      </c>
      <c r="D27" s="46">
        <v>28.6</v>
      </c>
      <c r="E27" s="46">
        <v>28.7</v>
      </c>
      <c r="F27" s="46">
        <v>28.7</v>
      </c>
      <c r="G27" s="46">
        <v>28.6</v>
      </c>
      <c r="H27" s="46">
        <v>28.6</v>
      </c>
      <c r="I27" s="46">
        <v>28.6</v>
      </c>
      <c r="J27" s="46">
        <v>28.6</v>
      </c>
      <c r="K27" s="46">
        <v>28.7</v>
      </c>
      <c r="L27" s="46">
        <v>28.7</v>
      </c>
      <c r="M27" s="46">
        <v>28.7</v>
      </c>
      <c r="N27" s="46">
        <v>28.7</v>
      </c>
      <c r="O27" s="46">
        <v>28.7</v>
      </c>
      <c r="P27" s="46">
        <v>28.7</v>
      </c>
      <c r="Q27" s="46">
        <v>28.7</v>
      </c>
      <c r="R27" s="46">
        <v>28.5</v>
      </c>
      <c r="S27" s="46">
        <v>28.5</v>
      </c>
      <c r="T27" s="46">
        <v>28.5</v>
      </c>
      <c r="U27" s="46">
        <v>28.5</v>
      </c>
      <c r="V27" s="46">
        <v>28.5</v>
      </c>
      <c r="W27" s="46">
        <v>28.5</v>
      </c>
      <c r="X27" s="46">
        <v>28.5</v>
      </c>
      <c r="Y27" s="46">
        <v>28.5</v>
      </c>
      <c r="Z27" s="46">
        <v>28.5</v>
      </c>
      <c r="AA27" s="46">
        <v>28.5</v>
      </c>
      <c r="AB27" s="46">
        <v>28.5</v>
      </c>
      <c r="AC27" s="46">
        <v>28.5</v>
      </c>
      <c r="AD27" s="46">
        <v>28.5</v>
      </c>
      <c r="AE27" s="46">
        <v>28.5</v>
      </c>
      <c r="AF27" s="46">
        <v>28.5</v>
      </c>
      <c r="AG27" s="50">
        <v>28</v>
      </c>
      <c r="AH27" s="48">
        <f t="shared" si="2"/>
        <v>28.7</v>
      </c>
      <c r="AI27" s="49">
        <f t="shared" si="3"/>
        <v>28.5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15.1</v>
      </c>
      <c r="C28" s="46">
        <v>15.1</v>
      </c>
      <c r="D28" s="46">
        <v>15.1</v>
      </c>
      <c r="E28" s="46">
        <v>10</v>
      </c>
      <c r="F28" s="46">
        <v>0</v>
      </c>
      <c r="G28" s="46">
        <v>14</v>
      </c>
      <c r="H28" s="46">
        <v>10</v>
      </c>
      <c r="I28" s="46">
        <v>18</v>
      </c>
      <c r="J28" s="46">
        <v>20</v>
      </c>
      <c r="K28" s="46">
        <v>20</v>
      </c>
      <c r="L28" s="46">
        <v>25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9</v>
      </c>
      <c r="S28" s="46">
        <v>9</v>
      </c>
      <c r="T28" s="46">
        <v>9</v>
      </c>
      <c r="U28" s="46">
        <v>9</v>
      </c>
      <c r="V28" s="46">
        <v>11</v>
      </c>
      <c r="W28" s="46">
        <v>11</v>
      </c>
      <c r="X28" s="46">
        <v>11</v>
      </c>
      <c r="Y28" s="46">
        <v>11</v>
      </c>
      <c r="Z28" s="46">
        <v>12.1</v>
      </c>
      <c r="AA28" s="46">
        <v>12.1</v>
      </c>
      <c r="AB28" s="46">
        <v>12.1</v>
      </c>
      <c r="AC28" s="46">
        <v>13.7</v>
      </c>
      <c r="AD28" s="46">
        <v>13.7</v>
      </c>
      <c r="AE28" s="46">
        <v>13.7</v>
      </c>
      <c r="AF28" s="46">
        <v>26.6</v>
      </c>
      <c r="AG28" s="61">
        <v>30</v>
      </c>
      <c r="AH28" s="48">
        <f t="shared" si="2"/>
        <v>26.6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>
        <v>26</v>
      </c>
      <c r="D29" s="46">
        <v>26</v>
      </c>
      <c r="E29" s="46">
        <v>26</v>
      </c>
      <c r="F29" s="46">
        <v>26</v>
      </c>
      <c r="G29" s="46">
        <v>26</v>
      </c>
      <c r="H29" s="46">
        <v>26</v>
      </c>
      <c r="I29" s="46">
        <v>26</v>
      </c>
      <c r="J29" s="46">
        <v>26</v>
      </c>
      <c r="K29" s="46">
        <v>26</v>
      </c>
      <c r="L29" s="46">
        <v>26.6</v>
      </c>
      <c r="M29" s="46">
        <v>25.9</v>
      </c>
      <c r="N29" s="46">
        <v>25.9</v>
      </c>
      <c r="O29" s="46">
        <v>25.9</v>
      </c>
      <c r="P29" s="46">
        <v>25.9</v>
      </c>
      <c r="Q29" s="46">
        <v>25.9</v>
      </c>
      <c r="R29" s="46">
        <v>25.9</v>
      </c>
      <c r="S29" s="46">
        <v>25.9</v>
      </c>
      <c r="T29" s="46">
        <v>25.9</v>
      </c>
      <c r="U29" s="46">
        <v>25.9</v>
      </c>
      <c r="V29" s="46">
        <v>25.9</v>
      </c>
      <c r="W29" s="46">
        <v>25.9</v>
      </c>
      <c r="X29" s="46">
        <v>25.9</v>
      </c>
      <c r="Y29" s="46">
        <v>25.9</v>
      </c>
      <c r="Z29" s="46">
        <v>25.9</v>
      </c>
      <c r="AA29" s="46">
        <v>25.9</v>
      </c>
      <c r="AB29" s="46">
        <v>25.9</v>
      </c>
      <c r="AC29" s="46">
        <v>26.1</v>
      </c>
      <c r="AD29" s="46">
        <v>26.1</v>
      </c>
      <c r="AE29" s="46">
        <v>26.1</v>
      </c>
      <c r="AF29" s="46">
        <v>26.1</v>
      </c>
      <c r="AG29" s="50">
        <v>25</v>
      </c>
      <c r="AH29" s="48">
        <f t="shared" si="2"/>
        <v>26.6</v>
      </c>
      <c r="AI29" s="49">
        <f t="shared" si="3"/>
        <v>25.9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23</v>
      </c>
      <c r="C30" s="46">
        <v>23</v>
      </c>
      <c r="D30" s="46">
        <v>23</v>
      </c>
      <c r="E30" s="46">
        <v>23</v>
      </c>
      <c r="F30" s="46">
        <v>23</v>
      </c>
      <c r="G30" s="46">
        <v>23</v>
      </c>
      <c r="H30" s="46">
        <v>23</v>
      </c>
      <c r="I30" s="46">
        <v>23</v>
      </c>
      <c r="J30" s="46">
        <v>23</v>
      </c>
      <c r="K30" s="46">
        <v>23</v>
      </c>
      <c r="L30" s="46">
        <v>23</v>
      </c>
      <c r="M30" s="46">
        <v>23</v>
      </c>
      <c r="N30" s="46">
        <v>23</v>
      </c>
      <c r="O30" s="46">
        <v>23</v>
      </c>
      <c r="P30" s="46">
        <v>23</v>
      </c>
      <c r="Q30" s="46">
        <v>23</v>
      </c>
      <c r="R30" s="46">
        <v>23</v>
      </c>
      <c r="S30" s="46">
        <v>23</v>
      </c>
      <c r="T30" s="46">
        <v>23</v>
      </c>
      <c r="U30" s="46">
        <v>23</v>
      </c>
      <c r="V30" s="46">
        <v>23</v>
      </c>
      <c r="W30" s="46">
        <v>23</v>
      </c>
      <c r="X30" s="46">
        <v>23</v>
      </c>
      <c r="Y30" s="46">
        <v>23</v>
      </c>
      <c r="Z30" s="46">
        <v>23</v>
      </c>
      <c r="AA30" s="46">
        <v>23</v>
      </c>
      <c r="AB30" s="46">
        <v>23</v>
      </c>
      <c r="AC30" s="46">
        <v>23</v>
      </c>
      <c r="AD30" s="46">
        <v>23</v>
      </c>
      <c r="AE30" s="46">
        <v>23</v>
      </c>
      <c r="AF30" s="46">
        <v>23</v>
      </c>
      <c r="AG30" s="50">
        <v>25</v>
      </c>
      <c r="AH30" s="48">
        <f t="shared" si="2"/>
        <v>23</v>
      </c>
      <c r="AI30" s="49">
        <f t="shared" si="3"/>
        <v>23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25</v>
      </c>
      <c r="C31" s="46">
        <v>25</v>
      </c>
      <c r="D31" s="46">
        <v>25</v>
      </c>
      <c r="E31" s="46">
        <v>25</v>
      </c>
      <c r="F31" s="46">
        <v>25</v>
      </c>
      <c r="G31" s="46">
        <v>25</v>
      </c>
      <c r="H31" s="46">
        <v>25</v>
      </c>
      <c r="I31" s="46">
        <v>25</v>
      </c>
      <c r="J31" s="46">
        <v>25</v>
      </c>
      <c r="K31" s="46">
        <v>25</v>
      </c>
      <c r="L31" s="46">
        <v>25</v>
      </c>
      <c r="M31" s="46">
        <v>25</v>
      </c>
      <c r="N31" s="46">
        <v>25</v>
      </c>
      <c r="O31" s="46">
        <v>25</v>
      </c>
      <c r="P31" s="46">
        <v>25</v>
      </c>
      <c r="Q31" s="46">
        <v>25</v>
      </c>
      <c r="R31" s="46">
        <v>25</v>
      </c>
      <c r="S31" s="46">
        <v>25</v>
      </c>
      <c r="T31" s="46">
        <v>25</v>
      </c>
      <c r="U31" s="46">
        <v>25</v>
      </c>
      <c r="V31" s="46">
        <v>25</v>
      </c>
      <c r="W31" s="46">
        <v>25</v>
      </c>
      <c r="X31" s="46">
        <v>25</v>
      </c>
      <c r="Y31" s="46">
        <v>25</v>
      </c>
      <c r="Z31" s="46">
        <v>25</v>
      </c>
      <c r="AA31" s="46">
        <v>25</v>
      </c>
      <c r="AB31" s="46">
        <v>25</v>
      </c>
      <c r="AC31" s="46">
        <v>25</v>
      </c>
      <c r="AD31" s="46">
        <v>25</v>
      </c>
      <c r="AE31" s="46">
        <v>25</v>
      </c>
      <c r="AF31" s="46">
        <v>0</v>
      </c>
      <c r="AG31" s="50">
        <v>25</v>
      </c>
      <c r="AH31" s="48">
        <f t="shared" si="2"/>
        <v>25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15.5</v>
      </c>
      <c r="C32" s="46">
        <v>15.5</v>
      </c>
      <c r="D32" s="46">
        <v>15.5</v>
      </c>
      <c r="E32" s="46">
        <v>5</v>
      </c>
      <c r="F32" s="46">
        <v>0</v>
      </c>
      <c r="G32" s="46">
        <v>10</v>
      </c>
      <c r="H32" s="46">
        <v>10</v>
      </c>
      <c r="I32" s="46">
        <v>16.7</v>
      </c>
      <c r="J32" s="46">
        <v>20.6</v>
      </c>
      <c r="K32" s="46">
        <v>25</v>
      </c>
      <c r="L32" s="46">
        <v>25</v>
      </c>
      <c r="M32" s="46">
        <v>25.6</v>
      </c>
      <c r="N32" s="46">
        <v>21.8</v>
      </c>
      <c r="O32" s="46">
        <v>21.8</v>
      </c>
      <c r="P32" s="46">
        <v>18</v>
      </c>
      <c r="Q32" s="46">
        <v>18</v>
      </c>
      <c r="R32" s="46">
        <v>25.4</v>
      </c>
      <c r="S32" s="46">
        <v>25.4</v>
      </c>
      <c r="T32" s="46">
        <v>25.4</v>
      </c>
      <c r="U32" s="46">
        <v>25.4</v>
      </c>
      <c r="V32" s="46">
        <v>18.8</v>
      </c>
      <c r="W32" s="46">
        <v>18.8</v>
      </c>
      <c r="X32" s="46">
        <v>18.8</v>
      </c>
      <c r="Y32" s="46">
        <v>18.8</v>
      </c>
      <c r="Z32" s="46">
        <v>18.8</v>
      </c>
      <c r="AA32" s="46">
        <v>18.8</v>
      </c>
      <c r="AB32" s="46">
        <v>18.8</v>
      </c>
      <c r="AC32" s="46">
        <v>18.8</v>
      </c>
      <c r="AD32" s="46">
        <v>18.8</v>
      </c>
      <c r="AE32" s="46">
        <v>18.8</v>
      </c>
      <c r="AF32" s="46">
        <v>18</v>
      </c>
      <c r="AG32" s="50">
        <v>25</v>
      </c>
      <c r="AH32" s="48">
        <f t="shared" si="2"/>
        <v>25.6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24.2</v>
      </c>
      <c r="C33" s="46">
        <v>24.2</v>
      </c>
      <c r="D33" s="46">
        <v>24.2</v>
      </c>
      <c r="E33" s="46">
        <v>0</v>
      </c>
      <c r="F33" s="46">
        <v>0</v>
      </c>
      <c r="G33" s="46">
        <v>11</v>
      </c>
      <c r="H33" s="46">
        <v>11</v>
      </c>
      <c r="I33" s="46">
        <v>18.600000000000001</v>
      </c>
      <c r="J33" s="46">
        <v>18.600000000000001</v>
      </c>
      <c r="K33" s="46">
        <v>19.2</v>
      </c>
      <c r="L33" s="46">
        <v>23</v>
      </c>
      <c r="M33" s="46">
        <v>22.9</v>
      </c>
      <c r="N33" s="46">
        <v>22.9</v>
      </c>
      <c r="O33" s="46">
        <v>22.9</v>
      </c>
      <c r="P33" s="46">
        <v>22.9</v>
      </c>
      <c r="Q33" s="46">
        <v>22.9</v>
      </c>
      <c r="R33" s="46">
        <v>23.8</v>
      </c>
      <c r="S33" s="46">
        <v>23.8</v>
      </c>
      <c r="T33" s="46">
        <v>23.8</v>
      </c>
      <c r="U33" s="46">
        <v>23.8</v>
      </c>
      <c r="V33" s="46">
        <v>23.8</v>
      </c>
      <c r="W33" s="46">
        <v>23.8</v>
      </c>
      <c r="X33" s="46">
        <v>23.8</v>
      </c>
      <c r="Y33" s="46">
        <v>23.8</v>
      </c>
      <c r="Z33" s="46">
        <v>23.8</v>
      </c>
      <c r="AA33" s="46">
        <v>23.8</v>
      </c>
      <c r="AB33" s="46">
        <v>23.8</v>
      </c>
      <c r="AC33" s="46">
        <v>23.8</v>
      </c>
      <c r="AD33" s="46">
        <v>23.8</v>
      </c>
      <c r="AE33" s="46">
        <v>23.8</v>
      </c>
      <c r="AF33" s="46">
        <v>23.8</v>
      </c>
      <c r="AG33" s="50">
        <v>23.5</v>
      </c>
      <c r="AH33" s="48">
        <f t="shared" si="2"/>
        <v>24.2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11</v>
      </c>
      <c r="C35" s="46">
        <v>11</v>
      </c>
      <c r="D35" s="46">
        <v>11</v>
      </c>
      <c r="E35" s="46">
        <v>11</v>
      </c>
      <c r="F35" s="46">
        <v>11</v>
      </c>
      <c r="G35" s="46">
        <v>11</v>
      </c>
      <c r="H35" s="46">
        <v>11</v>
      </c>
      <c r="I35" s="46">
        <v>11</v>
      </c>
      <c r="J35" s="46">
        <v>11</v>
      </c>
      <c r="K35" s="46">
        <v>11</v>
      </c>
      <c r="L35" s="46">
        <v>11</v>
      </c>
      <c r="M35" s="46">
        <v>11</v>
      </c>
      <c r="N35" s="46">
        <v>11</v>
      </c>
      <c r="O35" s="46">
        <v>11</v>
      </c>
      <c r="P35" s="46">
        <v>11</v>
      </c>
      <c r="Q35" s="46">
        <v>11</v>
      </c>
      <c r="R35" s="46">
        <v>11</v>
      </c>
      <c r="S35" s="46">
        <v>11</v>
      </c>
      <c r="T35" s="46">
        <v>11</v>
      </c>
      <c r="U35" s="46">
        <v>11</v>
      </c>
      <c r="V35" s="46">
        <v>11</v>
      </c>
      <c r="W35" s="46">
        <v>11</v>
      </c>
      <c r="X35" s="46">
        <v>11</v>
      </c>
      <c r="Y35" s="46">
        <v>11</v>
      </c>
      <c r="Z35" s="46">
        <v>11</v>
      </c>
      <c r="AA35" s="46">
        <v>11</v>
      </c>
      <c r="AB35" s="46">
        <v>22</v>
      </c>
      <c r="AC35" s="46">
        <v>22</v>
      </c>
      <c r="AD35" s="46">
        <v>22</v>
      </c>
      <c r="AE35" s="46">
        <v>22</v>
      </c>
      <c r="AF35" s="46">
        <v>18</v>
      </c>
      <c r="AG35" s="50">
        <v>22.1</v>
      </c>
      <c r="AH35" s="48">
        <f t="shared" si="2"/>
        <v>22</v>
      </c>
      <c r="AI35" s="49">
        <f t="shared" si="3"/>
        <v>11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16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50">
        <v>22</v>
      </c>
      <c r="AH37" s="48">
        <f t="shared" si="2"/>
        <v>22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18</v>
      </c>
      <c r="AH40" s="48">
        <f t="shared" si="2"/>
        <v>0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15</v>
      </c>
      <c r="C41" s="46">
        <v>15</v>
      </c>
      <c r="D41" s="46">
        <v>15</v>
      </c>
      <c r="E41" s="46">
        <v>15</v>
      </c>
      <c r="F41" s="46">
        <v>15</v>
      </c>
      <c r="G41" s="46">
        <v>15</v>
      </c>
      <c r="H41" s="46">
        <v>15</v>
      </c>
      <c r="I41" s="46">
        <v>15</v>
      </c>
      <c r="J41" s="46">
        <v>15</v>
      </c>
      <c r="K41" s="46">
        <v>15</v>
      </c>
      <c r="L41" s="46">
        <v>15</v>
      </c>
      <c r="M41" s="46">
        <v>15</v>
      </c>
      <c r="N41" s="46">
        <v>15</v>
      </c>
      <c r="O41" s="46">
        <v>15</v>
      </c>
      <c r="P41" s="46">
        <v>15</v>
      </c>
      <c r="Q41" s="46">
        <v>15</v>
      </c>
      <c r="R41" s="46">
        <v>15</v>
      </c>
      <c r="S41" s="46">
        <v>15</v>
      </c>
      <c r="T41" s="46">
        <v>15</v>
      </c>
      <c r="U41" s="46">
        <v>15</v>
      </c>
      <c r="V41" s="46">
        <v>15</v>
      </c>
      <c r="W41" s="46">
        <v>15</v>
      </c>
      <c r="X41" s="46">
        <v>15</v>
      </c>
      <c r="Y41" s="46">
        <v>15</v>
      </c>
      <c r="Z41" s="46">
        <v>15</v>
      </c>
      <c r="AA41" s="46">
        <v>15</v>
      </c>
      <c r="AB41" s="46">
        <v>15</v>
      </c>
      <c r="AC41" s="46">
        <v>15</v>
      </c>
      <c r="AD41" s="46">
        <v>15</v>
      </c>
      <c r="AE41" s="46">
        <v>15</v>
      </c>
      <c r="AF41" s="46">
        <v>15</v>
      </c>
      <c r="AG41" s="50">
        <v>15.33</v>
      </c>
      <c r="AH41" s="48">
        <f t="shared" si="2"/>
        <v>15</v>
      </c>
      <c r="AI41" s="49">
        <f t="shared" si="3"/>
        <v>15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</v>
      </c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>
        <v>7</v>
      </c>
      <c r="O46" s="46">
        <v>7</v>
      </c>
      <c r="P46" s="46">
        <v>7</v>
      </c>
      <c r="Q46" s="46">
        <v>7</v>
      </c>
      <c r="R46" s="46">
        <v>7</v>
      </c>
      <c r="S46" s="46">
        <v>7</v>
      </c>
      <c r="T46" s="46">
        <v>7</v>
      </c>
      <c r="U46" s="46">
        <v>7</v>
      </c>
      <c r="V46" s="46">
        <v>7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50">
        <v>14</v>
      </c>
      <c r="AH46" s="48">
        <f t="shared" si="2"/>
        <v>7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8</v>
      </c>
      <c r="L49" s="46">
        <v>8</v>
      </c>
      <c r="M49" s="46">
        <v>8</v>
      </c>
      <c r="N49" s="46">
        <v>8</v>
      </c>
      <c r="O49" s="46">
        <v>8</v>
      </c>
      <c r="P49" s="46">
        <v>8</v>
      </c>
      <c r="Q49" s="46">
        <v>8</v>
      </c>
      <c r="R49" s="46">
        <v>8</v>
      </c>
      <c r="S49" s="46">
        <v>8</v>
      </c>
      <c r="T49" s="46">
        <v>8</v>
      </c>
      <c r="U49" s="46">
        <v>8</v>
      </c>
      <c r="V49" s="46">
        <v>8</v>
      </c>
      <c r="W49" s="46">
        <v>8</v>
      </c>
      <c r="X49" s="46">
        <v>8</v>
      </c>
      <c r="Y49" s="46">
        <v>8</v>
      </c>
      <c r="Z49" s="46">
        <v>8</v>
      </c>
      <c r="AA49" s="46">
        <v>8</v>
      </c>
      <c r="AB49" s="46">
        <v>0</v>
      </c>
      <c r="AC49" s="46">
        <v>0</v>
      </c>
      <c r="AD49" s="46">
        <v>11</v>
      </c>
      <c r="AE49" s="46">
        <v>11</v>
      </c>
      <c r="AF49" s="46">
        <v>11</v>
      </c>
      <c r="AG49" s="50">
        <v>12</v>
      </c>
      <c r="AH49" s="48">
        <f t="shared" si="2"/>
        <v>11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12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>
        <v>12</v>
      </c>
      <c r="R53" s="46">
        <v>12</v>
      </c>
      <c r="S53" s="46">
        <v>12</v>
      </c>
      <c r="T53" s="46">
        <v>12</v>
      </c>
      <c r="U53" s="46">
        <v>12</v>
      </c>
      <c r="V53" s="46">
        <v>12</v>
      </c>
      <c r="W53" s="46">
        <v>12</v>
      </c>
      <c r="X53" s="46">
        <v>12</v>
      </c>
      <c r="Y53" s="46">
        <v>12</v>
      </c>
      <c r="Z53" s="46">
        <v>12</v>
      </c>
      <c r="AA53" s="46">
        <v>12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12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10</v>
      </c>
      <c r="C55" s="46">
        <v>10</v>
      </c>
      <c r="D55" s="46">
        <v>10</v>
      </c>
      <c r="E55" s="46">
        <v>10</v>
      </c>
      <c r="F55" s="46">
        <v>10</v>
      </c>
      <c r="G55" s="46">
        <v>10</v>
      </c>
      <c r="H55" s="46">
        <v>10</v>
      </c>
      <c r="I55" s="46">
        <v>10</v>
      </c>
      <c r="J55" s="46">
        <v>10</v>
      </c>
      <c r="K55" s="46">
        <v>10</v>
      </c>
      <c r="L55" s="46">
        <v>10</v>
      </c>
      <c r="M55" s="46">
        <v>10</v>
      </c>
      <c r="N55" s="46">
        <v>10</v>
      </c>
      <c r="O55" s="46">
        <v>10</v>
      </c>
      <c r="P55" s="46">
        <v>10</v>
      </c>
      <c r="Q55" s="46">
        <v>10</v>
      </c>
      <c r="R55" s="46">
        <v>10</v>
      </c>
      <c r="S55" s="46">
        <v>10</v>
      </c>
      <c r="T55" s="46">
        <v>10</v>
      </c>
      <c r="U55" s="46">
        <v>10</v>
      </c>
      <c r="V55" s="46">
        <v>10</v>
      </c>
      <c r="W55" s="46">
        <v>10</v>
      </c>
      <c r="X55" s="46">
        <v>10</v>
      </c>
      <c r="Y55" s="46">
        <v>10</v>
      </c>
      <c r="Z55" s="46">
        <v>10</v>
      </c>
      <c r="AA55" s="46">
        <v>10</v>
      </c>
      <c r="AB55" s="46">
        <v>10</v>
      </c>
      <c r="AC55" s="46">
        <v>10</v>
      </c>
      <c r="AD55" s="46">
        <v>10</v>
      </c>
      <c r="AE55" s="46">
        <v>10</v>
      </c>
      <c r="AF55" s="46">
        <v>10</v>
      </c>
      <c r="AG55" s="66">
        <v>11</v>
      </c>
      <c r="AH55" s="48">
        <f t="shared" si="2"/>
        <v>10</v>
      </c>
      <c r="AI55" s="49">
        <f t="shared" si="3"/>
        <v>10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5</v>
      </c>
      <c r="C57" s="46">
        <v>5</v>
      </c>
      <c r="D57" s="46">
        <v>5</v>
      </c>
      <c r="E57" s="46">
        <v>5</v>
      </c>
      <c r="F57" s="46">
        <v>5</v>
      </c>
      <c r="G57" s="46">
        <v>5</v>
      </c>
      <c r="H57" s="46">
        <v>5</v>
      </c>
      <c r="I57" s="46">
        <v>5</v>
      </c>
      <c r="J57" s="46">
        <v>5</v>
      </c>
      <c r="K57" s="46">
        <v>5</v>
      </c>
      <c r="L57" s="46">
        <v>5</v>
      </c>
      <c r="M57" s="46">
        <v>5</v>
      </c>
      <c r="N57" s="46">
        <v>5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5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179</v>
      </c>
      <c r="C60" s="68">
        <v>179</v>
      </c>
      <c r="D60" s="68">
        <v>179</v>
      </c>
      <c r="E60" s="68">
        <v>179</v>
      </c>
      <c r="F60" s="68">
        <v>172</v>
      </c>
      <c r="G60" s="68">
        <v>171.5</v>
      </c>
      <c r="H60" s="68">
        <v>169</v>
      </c>
      <c r="I60" s="68">
        <v>172</v>
      </c>
      <c r="J60" s="68">
        <v>170</v>
      </c>
      <c r="K60" s="68">
        <v>174.8</v>
      </c>
      <c r="L60" s="68">
        <v>174.9</v>
      </c>
      <c r="M60" s="68">
        <v>174.9</v>
      </c>
      <c r="N60" s="53">
        <f>99.8+75.4</f>
        <v>175.2</v>
      </c>
      <c r="O60" s="53">
        <f>177.7</f>
        <v>177.7</v>
      </c>
      <c r="P60" s="53">
        <f>99+66</f>
        <v>165</v>
      </c>
      <c r="Q60" s="53">
        <f>99.4+65.9</f>
        <v>165.3</v>
      </c>
      <c r="R60" s="53">
        <f>66.4+100</f>
        <v>166.4</v>
      </c>
      <c r="S60" s="53">
        <f>66.4+100</f>
        <v>166.4</v>
      </c>
      <c r="T60" s="53">
        <v>166.8</v>
      </c>
      <c r="U60" s="53">
        <v>166.8</v>
      </c>
      <c r="V60" s="53">
        <v>166.8</v>
      </c>
      <c r="W60" s="53">
        <v>166.8</v>
      </c>
      <c r="X60" s="53">
        <v>166.8</v>
      </c>
      <c r="Y60" s="68">
        <f>65.1+98.1</f>
        <v>163.19999999999999</v>
      </c>
      <c r="Z60" s="68">
        <v>166.7</v>
      </c>
      <c r="AA60" s="68">
        <f>68.3+98.3</f>
        <v>166.6</v>
      </c>
      <c r="AB60" s="68">
        <v>177</v>
      </c>
      <c r="AC60" s="68">
        <v>177</v>
      </c>
      <c r="AD60" s="68">
        <v>177</v>
      </c>
      <c r="AE60" s="68">
        <v>177</v>
      </c>
      <c r="AF60" s="68">
        <v>168</v>
      </c>
      <c r="AG60" s="66">
        <v>240</v>
      </c>
      <c r="AH60" s="48">
        <f t="shared" si="2"/>
        <v>179</v>
      </c>
      <c r="AI60" s="49">
        <f t="shared" si="3"/>
        <v>163.19999999999999</v>
      </c>
      <c r="AK60" s="51"/>
    </row>
    <row r="61" spans="1:88" ht="15.75" thickBot="1" x14ac:dyDescent="0.3">
      <c r="A61" s="70" t="s">
        <v>75</v>
      </c>
      <c r="B61" s="71">
        <f>SUM(B11:B59)</f>
        <v>1212.2</v>
      </c>
      <c r="C61" s="71">
        <f t="shared" ref="C61:AG61" si="20">SUM(C11:C59)</f>
        <v>1215.4000000000001</v>
      </c>
      <c r="D61" s="71">
        <f t="shared" si="20"/>
        <v>1286.2</v>
      </c>
      <c r="E61" s="71">
        <f t="shared" si="20"/>
        <v>1132.5</v>
      </c>
      <c r="F61" s="71">
        <f t="shared" si="20"/>
        <v>1070.3</v>
      </c>
      <c r="G61" s="71">
        <f t="shared" si="20"/>
        <v>1130.9000000000001</v>
      </c>
      <c r="H61" s="71">
        <f t="shared" si="20"/>
        <v>1062.1000000000001</v>
      </c>
      <c r="I61" s="71">
        <f t="shared" si="20"/>
        <v>1125.4000000000001</v>
      </c>
      <c r="J61" s="71">
        <f t="shared" si="20"/>
        <v>1127.4000000000001</v>
      </c>
      <c r="K61" s="71">
        <f t="shared" si="20"/>
        <v>1205.5</v>
      </c>
      <c r="L61" s="71">
        <f t="shared" si="20"/>
        <v>1266</v>
      </c>
      <c r="M61" s="71">
        <f t="shared" ref="M61" si="21">SUM(M11:M59)</f>
        <v>1274</v>
      </c>
      <c r="N61" s="71">
        <f t="shared" si="20"/>
        <v>1234.0999999999999</v>
      </c>
      <c r="O61" s="71">
        <f t="shared" si="20"/>
        <v>1229.0999999999999</v>
      </c>
      <c r="P61" s="71">
        <f t="shared" si="20"/>
        <v>1263.0999999999999</v>
      </c>
      <c r="Q61" s="71">
        <f t="shared" si="20"/>
        <v>1257.9000000000001</v>
      </c>
      <c r="R61" s="71">
        <f t="shared" ref="R61:S61" si="22">SUM(R11:R59)</f>
        <v>1300.2999999999997</v>
      </c>
      <c r="S61" s="71">
        <f t="shared" si="22"/>
        <v>1267.3999999999999</v>
      </c>
      <c r="T61" s="71">
        <f t="shared" ref="T61:U61" si="23">SUM(T11:T59)</f>
        <v>1199.8</v>
      </c>
      <c r="U61" s="71">
        <f t="shared" si="23"/>
        <v>1199.8</v>
      </c>
      <c r="V61" s="71">
        <f t="shared" ref="V61:W61" si="24">SUM(V11:V59)</f>
        <v>1056.5</v>
      </c>
      <c r="W61" s="71">
        <f t="shared" si="24"/>
        <v>1056.5</v>
      </c>
      <c r="X61" s="71">
        <f t="shared" ref="X61" si="25">SUM(X11:X59)</f>
        <v>1056.5</v>
      </c>
      <c r="Y61" s="71">
        <f t="shared" si="20"/>
        <v>1056.5</v>
      </c>
      <c r="Z61" s="71">
        <f t="shared" ref="Z61" si="26">SUM(Z11:Z59)</f>
        <v>1057.5999999999999</v>
      </c>
      <c r="AA61" s="71">
        <f t="shared" si="20"/>
        <v>1057.5999999999999</v>
      </c>
      <c r="AB61" s="71">
        <f t="shared" si="20"/>
        <v>1095.5</v>
      </c>
      <c r="AC61" s="71">
        <f t="shared" si="20"/>
        <v>1122.7999999999997</v>
      </c>
      <c r="AD61" s="71">
        <f t="shared" si="20"/>
        <v>1133.7999999999997</v>
      </c>
      <c r="AE61" s="71">
        <f t="shared" si="20"/>
        <v>1133.7999999999997</v>
      </c>
      <c r="AF61" s="71">
        <f t="shared" si="20"/>
        <v>1110.6999999999998</v>
      </c>
      <c r="AG61" s="71">
        <f t="shared" si="20"/>
        <v>1466.0300000000002</v>
      </c>
      <c r="AH61" s="48">
        <f t="shared" si="2"/>
        <v>1300.2999999999997</v>
      </c>
      <c r="AI61" s="49">
        <f t="shared" si="3"/>
        <v>1056.5</v>
      </c>
      <c r="AK61" s="51"/>
    </row>
    <row r="62" spans="1:88" x14ac:dyDescent="0.25">
      <c r="A62" s="73" t="s">
        <v>76</v>
      </c>
      <c r="B62" s="46">
        <v>461.1</v>
      </c>
      <c r="C62" s="46">
        <v>461.1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v>0</v>
      </c>
      <c r="Q62" s="46">
        <v>0</v>
      </c>
      <c r="R62" s="46">
        <v>0</v>
      </c>
      <c r="S62" s="46">
        <v>0</v>
      </c>
      <c r="T62" s="46">
        <v>0</v>
      </c>
      <c r="U62" s="46">
        <v>0</v>
      </c>
      <c r="V62" s="46">
        <v>0</v>
      </c>
      <c r="W62" s="46">
        <v>0</v>
      </c>
      <c r="X62" s="46">
        <v>0</v>
      </c>
      <c r="Y62" s="46">
        <v>0</v>
      </c>
      <c r="Z62" s="46">
        <v>0</v>
      </c>
      <c r="AA62" s="46">
        <v>0</v>
      </c>
      <c r="AB62" s="46">
        <v>461.5</v>
      </c>
      <c r="AC62" s="46">
        <v>461.5</v>
      </c>
      <c r="AD62" s="46">
        <v>461.5</v>
      </c>
      <c r="AE62" s="46">
        <v>459</v>
      </c>
      <c r="AF62" s="46">
        <v>459</v>
      </c>
      <c r="AG62" s="61">
        <v>456</v>
      </c>
      <c r="AH62" s="48">
        <f t="shared" si="2"/>
        <v>461.5</v>
      </c>
      <c r="AI62" s="49">
        <f t="shared" si="3"/>
        <v>0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22.7</v>
      </c>
      <c r="N64" s="78">
        <v>22.7</v>
      </c>
      <c r="O64" s="78">
        <v>22.7</v>
      </c>
      <c r="P64" s="78">
        <v>22.7</v>
      </c>
      <c r="Q64" s="78">
        <v>22.7</v>
      </c>
      <c r="R64" s="78">
        <v>22.7</v>
      </c>
      <c r="S64" s="78">
        <v>22.7</v>
      </c>
      <c r="T64" s="78">
        <v>22.7</v>
      </c>
      <c r="U64" s="78">
        <v>22.7</v>
      </c>
      <c r="V64" s="78">
        <v>22.7</v>
      </c>
      <c r="W64" s="78">
        <v>22.7</v>
      </c>
      <c r="X64" s="78">
        <v>22.7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22.7</v>
      </c>
      <c r="AI64" s="49">
        <f t="shared" si="3"/>
        <v>22.6</v>
      </c>
      <c r="AK64" s="51"/>
    </row>
    <row r="65" spans="1:75" ht="15.75" thickBot="1" x14ac:dyDescent="0.3">
      <c r="A65" s="80" t="s">
        <v>79</v>
      </c>
      <c r="B65" s="71">
        <f t="shared" ref="B65:AG65" si="27">SUM(B62:B64)</f>
        <v>543.70000000000005</v>
      </c>
      <c r="C65" s="71">
        <f t="shared" si="27"/>
        <v>543.70000000000005</v>
      </c>
      <c r="D65" s="71">
        <f t="shared" si="27"/>
        <v>82.6</v>
      </c>
      <c r="E65" s="71">
        <f t="shared" si="27"/>
        <v>82.6</v>
      </c>
      <c r="F65" s="71">
        <f t="shared" si="27"/>
        <v>82.6</v>
      </c>
      <c r="G65" s="71">
        <f t="shared" si="27"/>
        <v>82.6</v>
      </c>
      <c r="H65" s="71">
        <f t="shared" si="27"/>
        <v>82.6</v>
      </c>
      <c r="I65" s="71">
        <f t="shared" si="27"/>
        <v>82.6</v>
      </c>
      <c r="J65" s="71">
        <f t="shared" si="27"/>
        <v>82.6</v>
      </c>
      <c r="K65" s="71">
        <f t="shared" si="27"/>
        <v>82.6</v>
      </c>
      <c r="L65" s="71">
        <f t="shared" si="27"/>
        <v>82.6</v>
      </c>
      <c r="M65" s="71">
        <f t="shared" ref="M65" si="28">SUM(M62:M64)</f>
        <v>82.7</v>
      </c>
      <c r="N65" s="71">
        <f t="shared" si="27"/>
        <v>82.7</v>
      </c>
      <c r="O65" s="71">
        <f t="shared" ref="O65" si="29">SUM(O62:O64)</f>
        <v>82.7</v>
      </c>
      <c r="P65" s="71">
        <f t="shared" si="27"/>
        <v>82.7</v>
      </c>
      <c r="Q65" s="71">
        <f t="shared" si="27"/>
        <v>82.7</v>
      </c>
      <c r="R65" s="71">
        <f t="shared" ref="R65:S65" si="30">SUM(R62:R64)</f>
        <v>82.7</v>
      </c>
      <c r="S65" s="71">
        <f t="shared" si="30"/>
        <v>82.7</v>
      </c>
      <c r="T65" s="71">
        <f t="shared" ref="T65:U65" si="31">SUM(T62:T64)</f>
        <v>82.7</v>
      </c>
      <c r="U65" s="71">
        <f t="shared" si="31"/>
        <v>82.7</v>
      </c>
      <c r="V65" s="71">
        <f t="shared" ref="V65:W65" si="32">SUM(V62:V64)</f>
        <v>82.7</v>
      </c>
      <c r="W65" s="71">
        <f t="shared" si="32"/>
        <v>82.7</v>
      </c>
      <c r="X65" s="71">
        <f t="shared" ref="X65" si="33">SUM(X62:X64)</f>
        <v>82.7</v>
      </c>
      <c r="Y65" s="71">
        <f t="shared" si="27"/>
        <v>82.6</v>
      </c>
      <c r="Z65" s="71">
        <f t="shared" ref="Z65" si="34">SUM(Z62:Z64)</f>
        <v>82.6</v>
      </c>
      <c r="AA65" s="71">
        <f t="shared" si="27"/>
        <v>82.6</v>
      </c>
      <c r="AB65" s="71">
        <f t="shared" si="27"/>
        <v>544.1</v>
      </c>
      <c r="AC65" s="71">
        <f t="shared" si="27"/>
        <v>544.1</v>
      </c>
      <c r="AD65" s="71">
        <f t="shared" si="27"/>
        <v>544.1</v>
      </c>
      <c r="AE65" s="71">
        <f t="shared" si="27"/>
        <v>541.6</v>
      </c>
      <c r="AF65" s="71">
        <f t="shared" si="27"/>
        <v>541.6</v>
      </c>
      <c r="AG65" s="72">
        <f t="shared" si="27"/>
        <v>538.1</v>
      </c>
      <c r="AH65" s="48">
        <f t="shared" si="2"/>
        <v>544.1</v>
      </c>
      <c r="AI65" s="49">
        <f t="shared" si="3"/>
        <v>82.6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137</v>
      </c>
      <c r="C66" s="46">
        <v>137</v>
      </c>
      <c r="D66" s="46">
        <v>137</v>
      </c>
      <c r="E66" s="46">
        <v>134.9</v>
      </c>
      <c r="F66" s="46">
        <v>134.4</v>
      </c>
      <c r="G66" s="46">
        <v>134.4</v>
      </c>
      <c r="H66" s="46">
        <v>134.4</v>
      </c>
      <c r="I66" s="46">
        <v>101</v>
      </c>
      <c r="J66" s="46">
        <v>102</v>
      </c>
      <c r="K66" s="46">
        <v>103.6</v>
      </c>
      <c r="L66" s="46">
        <v>60</v>
      </c>
      <c r="M66" s="46">
        <v>60.8</v>
      </c>
      <c r="N66" s="46">
        <v>0</v>
      </c>
      <c r="O66" s="46">
        <v>0</v>
      </c>
      <c r="P66" s="46">
        <v>0</v>
      </c>
      <c r="Q66" s="46">
        <v>0</v>
      </c>
      <c r="R66" s="46">
        <v>0</v>
      </c>
      <c r="S66" s="46">
        <v>0</v>
      </c>
      <c r="T66" s="46">
        <v>0</v>
      </c>
      <c r="U66" s="46">
        <v>0</v>
      </c>
      <c r="V66" s="46">
        <v>0</v>
      </c>
      <c r="W66" s="46">
        <v>42.7</v>
      </c>
      <c r="X66" s="46">
        <v>83.1</v>
      </c>
      <c r="Y66" s="46">
        <v>82.3</v>
      </c>
      <c r="Z66" s="46">
        <v>70.400000000000006</v>
      </c>
      <c r="AA66" s="46">
        <v>7.6</v>
      </c>
      <c r="AB66" s="46">
        <v>0</v>
      </c>
      <c r="AC66" s="46">
        <v>0</v>
      </c>
      <c r="AD66" s="46">
        <v>30</v>
      </c>
      <c r="AE66" s="46">
        <v>39.9</v>
      </c>
      <c r="AF66" s="46">
        <v>44.4</v>
      </c>
      <c r="AG66" s="61">
        <v>144</v>
      </c>
      <c r="AH66" s="48">
        <f t="shared" si="2"/>
        <v>137</v>
      </c>
      <c r="AI66" s="49">
        <f t="shared" si="3"/>
        <v>0</v>
      </c>
      <c r="AK66" s="51"/>
      <c r="AY66" s="1" t="s">
        <v>86</v>
      </c>
      <c r="AZ66" s="82">
        <f>ROUND(C84,0)</f>
        <v>-43</v>
      </c>
      <c r="BA66" s="81">
        <f t="shared" ref="BA66:BD70" si="35">D84</f>
        <v>-41.2</v>
      </c>
      <c r="BB66" s="81">
        <f t="shared" si="35"/>
        <v>-3.9</v>
      </c>
      <c r="BC66" s="81">
        <f t="shared" si="35"/>
        <v>-4.7</v>
      </c>
      <c r="BD66" s="81">
        <f t="shared" si="35"/>
        <v>-12.5</v>
      </c>
      <c r="BE66" s="82">
        <f>I84</f>
        <v>-45.7</v>
      </c>
      <c r="BF66" s="82">
        <f>K84</f>
        <v>-29.6</v>
      </c>
      <c r="BG66" s="82">
        <f t="shared" ref="BG66:BP70" si="36">M84</f>
        <v>-27.8</v>
      </c>
      <c r="BH66" s="82">
        <f t="shared" si="36"/>
        <v>-7.1</v>
      </c>
      <c r="BI66" s="82">
        <f t="shared" si="36"/>
        <v>-24</v>
      </c>
      <c r="BJ66" s="82">
        <f t="shared" si="36"/>
        <v>-12</v>
      </c>
      <c r="BK66" s="82">
        <f t="shared" si="36"/>
        <v>-24.7</v>
      </c>
      <c r="BL66" s="82">
        <f t="shared" si="36"/>
        <v>8</v>
      </c>
      <c r="BM66" s="82">
        <f t="shared" si="36"/>
        <v>-21</v>
      </c>
      <c r="BN66" s="82">
        <f t="shared" si="36"/>
        <v>-14.2</v>
      </c>
      <c r="BO66" s="82">
        <f t="shared" si="36"/>
        <v>48.5</v>
      </c>
      <c r="BP66" s="82">
        <f t="shared" si="36"/>
        <v>17.899999999999999</v>
      </c>
      <c r="BQ66" s="82">
        <f>X84</f>
        <v>28.1</v>
      </c>
      <c r="BR66" s="82">
        <f>Z84</f>
        <v>20</v>
      </c>
      <c r="BS66" s="81">
        <f>AB84</f>
        <v>-4.7</v>
      </c>
      <c r="BT66" s="81">
        <f t="shared" ref="BT66:BV70" si="37">AD84</f>
        <v>0</v>
      </c>
      <c r="BU66" s="81">
        <f t="shared" si="37"/>
        <v>-2.7</v>
      </c>
      <c r="BV66" s="81">
        <f t="shared" si="37"/>
        <v>-26.2</v>
      </c>
      <c r="BW66" s="81">
        <f>B84</f>
        <v>-41.6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64</v>
      </c>
      <c r="T67" s="76">
        <v>64</v>
      </c>
      <c r="U67" s="76">
        <v>43</v>
      </c>
      <c r="V67" s="76">
        <v>43</v>
      </c>
      <c r="W67" s="76">
        <v>43</v>
      </c>
      <c r="X67" s="76">
        <v>0</v>
      </c>
      <c r="Y67" s="46">
        <v>0</v>
      </c>
      <c r="Z67" s="46">
        <v>0</v>
      </c>
      <c r="AA67" s="46">
        <v>0</v>
      </c>
      <c r="AB67" s="46">
        <v>0</v>
      </c>
      <c r="AC67" s="46">
        <v>0</v>
      </c>
      <c r="AD67" s="46">
        <v>0</v>
      </c>
      <c r="AE67" s="46">
        <v>0</v>
      </c>
      <c r="AF67" s="46">
        <v>35</v>
      </c>
      <c r="AG67" s="66">
        <v>70</v>
      </c>
      <c r="AH67" s="48">
        <f t="shared" si="2"/>
        <v>70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35"/>
        <v>0</v>
      </c>
      <c r="BB67" s="81">
        <f t="shared" si="35"/>
        <v>0</v>
      </c>
      <c r="BC67" s="81">
        <f t="shared" si="35"/>
        <v>0</v>
      </c>
      <c r="BD67" s="81">
        <f t="shared" si="35"/>
        <v>0</v>
      </c>
      <c r="BE67" s="82">
        <f>I85</f>
        <v>0</v>
      </c>
      <c r="BF67" s="82">
        <f>K85</f>
        <v>0</v>
      </c>
      <c r="BG67" s="82">
        <f t="shared" si="36"/>
        <v>0</v>
      </c>
      <c r="BH67" s="82">
        <f t="shared" si="36"/>
        <v>0</v>
      </c>
      <c r="BI67" s="82">
        <f t="shared" si="36"/>
        <v>0</v>
      </c>
      <c r="BJ67" s="82">
        <f t="shared" si="36"/>
        <v>0</v>
      </c>
      <c r="BK67" s="82">
        <f t="shared" si="36"/>
        <v>0</v>
      </c>
      <c r="BL67" s="82">
        <f t="shared" si="36"/>
        <v>0</v>
      </c>
      <c r="BM67" s="82">
        <f t="shared" si="36"/>
        <v>0</v>
      </c>
      <c r="BN67" s="82">
        <f t="shared" si="36"/>
        <v>0</v>
      </c>
      <c r="BO67" s="82">
        <f t="shared" si="36"/>
        <v>0</v>
      </c>
      <c r="BP67" s="82">
        <f t="shared" si="36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7"/>
        <v>0</v>
      </c>
      <c r="BU67" s="81">
        <f t="shared" si="37"/>
        <v>0</v>
      </c>
      <c r="BV67" s="81">
        <f t="shared" si="37"/>
        <v>0</v>
      </c>
      <c r="BW67" s="81">
        <f>B85</f>
        <v>0</v>
      </c>
    </row>
    <row r="68" spans="1:75" x14ac:dyDescent="0.25">
      <c r="A68" s="65" t="s">
        <v>82</v>
      </c>
      <c r="B68" s="76">
        <v>64.900000000000006</v>
      </c>
      <c r="C68" s="76">
        <v>64.900000000000006</v>
      </c>
      <c r="D68" s="76">
        <v>64.900000000000006</v>
      </c>
      <c r="E68" s="76">
        <v>63.7</v>
      </c>
      <c r="F68" s="76">
        <v>61.4</v>
      </c>
      <c r="G68" s="76">
        <v>61.4</v>
      </c>
      <c r="H68" s="76">
        <v>61.4</v>
      </c>
      <c r="I68" s="76">
        <v>61.4</v>
      </c>
      <c r="J68" s="76">
        <v>61.4</v>
      </c>
      <c r="K68" s="76">
        <v>61.4</v>
      </c>
      <c r="L68" s="76">
        <v>59.6</v>
      </c>
      <c r="M68" s="76">
        <v>58.4</v>
      </c>
      <c r="N68" s="76">
        <v>58.4</v>
      </c>
      <c r="O68" s="76">
        <v>58.4</v>
      </c>
      <c r="P68" s="76">
        <v>58.4</v>
      </c>
      <c r="Q68" s="76">
        <v>58.4</v>
      </c>
      <c r="R68" s="76">
        <v>56.4</v>
      </c>
      <c r="S68" s="76">
        <v>56.4</v>
      </c>
      <c r="T68" s="76">
        <v>54.1</v>
      </c>
      <c r="U68" s="76">
        <v>54.1</v>
      </c>
      <c r="V68" s="76">
        <v>40</v>
      </c>
      <c r="W68" s="76">
        <v>56.1</v>
      </c>
      <c r="X68" s="76">
        <v>56.1</v>
      </c>
      <c r="Y68" s="46">
        <v>55.9</v>
      </c>
      <c r="Z68" s="46">
        <v>55.9</v>
      </c>
      <c r="AA68" s="46">
        <v>55.5</v>
      </c>
      <c r="AB68" s="46">
        <v>54.6</v>
      </c>
      <c r="AC68" s="46">
        <v>54.6</v>
      </c>
      <c r="AD68" s="46">
        <v>54.6</v>
      </c>
      <c r="AE68" s="46">
        <v>54.8</v>
      </c>
      <c r="AF68" s="46">
        <v>54.8</v>
      </c>
      <c r="AG68" s="66">
        <v>69</v>
      </c>
      <c r="AH68" s="48">
        <f t="shared" si="2"/>
        <v>64.900000000000006</v>
      </c>
      <c r="AI68" s="49">
        <f t="shared" si="3"/>
        <v>40</v>
      </c>
      <c r="AK68" s="51"/>
      <c r="AL68" s="83"/>
      <c r="AO68" s="83"/>
      <c r="AY68" s="1" t="s">
        <v>90</v>
      </c>
      <c r="AZ68" s="82">
        <f>ROUND(C86,0)</f>
        <v>-616</v>
      </c>
      <c r="BA68" s="81">
        <f t="shared" si="35"/>
        <v>-256.89999999999998</v>
      </c>
      <c r="BB68" s="81">
        <f t="shared" si="35"/>
        <v>-265</v>
      </c>
      <c r="BC68" s="81">
        <f t="shared" si="35"/>
        <v>-276.60000000000002</v>
      </c>
      <c r="BD68" s="81">
        <f t="shared" si="35"/>
        <v>-307.60000000000002</v>
      </c>
      <c r="BE68" s="82">
        <f>I86</f>
        <v>-266</v>
      </c>
      <c r="BF68" s="82">
        <f>K86</f>
        <v>-293.7</v>
      </c>
      <c r="BG68" s="82">
        <f t="shared" si="36"/>
        <v>-329.8</v>
      </c>
      <c r="BH68" s="82">
        <f t="shared" si="36"/>
        <v>-192</v>
      </c>
      <c r="BI68" s="82">
        <f t="shared" si="36"/>
        <v>-263</v>
      </c>
      <c r="BJ68" s="82">
        <f t="shared" si="36"/>
        <v>-318</v>
      </c>
      <c r="BK68" s="82">
        <f t="shared" si="36"/>
        <v>-322</v>
      </c>
      <c r="BL68" s="82">
        <f t="shared" si="36"/>
        <v>-358</v>
      </c>
      <c r="BM68" s="82">
        <f t="shared" si="36"/>
        <v>-309.7</v>
      </c>
      <c r="BN68" s="82">
        <f t="shared" si="36"/>
        <v>-297.2</v>
      </c>
      <c r="BO68" s="82">
        <f t="shared" si="36"/>
        <v>-352</v>
      </c>
      <c r="BP68" s="82">
        <f t="shared" si="36"/>
        <v>-172</v>
      </c>
      <c r="BQ68" s="82">
        <f>X86</f>
        <v>-198.7</v>
      </c>
      <c r="BR68" s="82">
        <f>Z86</f>
        <v>-47.1</v>
      </c>
      <c r="BS68" s="81">
        <f>AB86</f>
        <v>-549.6</v>
      </c>
      <c r="BT68" s="81">
        <f t="shared" si="37"/>
        <v>-545.5</v>
      </c>
      <c r="BU68" s="81">
        <f t="shared" si="37"/>
        <v>-621.1</v>
      </c>
      <c r="BV68" s="81">
        <f t="shared" si="37"/>
        <v>-567</v>
      </c>
      <c r="BW68" s="81">
        <f>B86</f>
        <v>-603.29999999999995</v>
      </c>
    </row>
    <row r="69" spans="1:75" s="83" customFormat="1" x14ac:dyDescent="0.25">
      <c r="A69" s="65" t="s">
        <v>83</v>
      </c>
      <c r="B69" s="76">
        <v>0</v>
      </c>
      <c r="C69" s="76">
        <v>0</v>
      </c>
      <c r="D69" s="76">
        <v>0</v>
      </c>
      <c r="E69" s="76">
        <v>0</v>
      </c>
      <c r="F69" s="76">
        <v>40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30.2</v>
      </c>
      <c r="T69" s="68">
        <v>61.5</v>
      </c>
      <c r="U69" s="68">
        <v>61.5</v>
      </c>
      <c r="V69" s="68">
        <v>61.5</v>
      </c>
      <c r="W69" s="68">
        <v>0</v>
      </c>
      <c r="X69" s="68">
        <v>0</v>
      </c>
      <c r="Y69" s="46">
        <v>0</v>
      </c>
      <c r="Z69" s="46">
        <v>0</v>
      </c>
      <c r="AA69" s="46">
        <v>0</v>
      </c>
      <c r="AB69" s="46">
        <v>55.4</v>
      </c>
      <c r="AC69" s="46">
        <v>55.4</v>
      </c>
      <c r="AD69" s="46">
        <v>55.4</v>
      </c>
      <c r="AE69" s="46">
        <v>60.4</v>
      </c>
      <c r="AF69" s="46">
        <v>60.4</v>
      </c>
      <c r="AG69" s="66">
        <v>60</v>
      </c>
      <c r="AH69" s="48">
        <f t="shared" si="2"/>
        <v>61.5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5"/>
        <v>0</v>
      </c>
      <c r="BB69" s="81">
        <f t="shared" si="35"/>
        <v>0</v>
      </c>
      <c r="BC69" s="81">
        <f t="shared" si="35"/>
        <v>0</v>
      </c>
      <c r="BD69" s="81">
        <f t="shared" si="35"/>
        <v>0</v>
      </c>
      <c r="BE69" s="82">
        <f>I87</f>
        <v>0</v>
      </c>
      <c r="BF69" s="82">
        <f>K87</f>
        <v>0</v>
      </c>
      <c r="BG69" s="82">
        <f t="shared" si="36"/>
        <v>0</v>
      </c>
      <c r="BH69" s="82">
        <f t="shared" si="36"/>
        <v>0</v>
      </c>
      <c r="BI69" s="82">
        <f t="shared" si="36"/>
        <v>0</v>
      </c>
      <c r="BJ69" s="82">
        <f t="shared" si="36"/>
        <v>0</v>
      </c>
      <c r="BK69" s="82">
        <f t="shared" si="36"/>
        <v>0</v>
      </c>
      <c r="BL69" s="82">
        <f t="shared" si="36"/>
        <v>0</v>
      </c>
      <c r="BM69" s="82">
        <f t="shared" si="36"/>
        <v>0</v>
      </c>
      <c r="BN69" s="82">
        <f t="shared" si="36"/>
        <v>0</v>
      </c>
      <c r="BO69" s="82">
        <f t="shared" si="36"/>
        <v>0</v>
      </c>
      <c r="BP69" s="82">
        <f t="shared" si="36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7"/>
        <v>0</v>
      </c>
      <c r="BU69" s="81">
        <f t="shared" si="37"/>
        <v>0</v>
      </c>
      <c r="BV69" s="81">
        <f t="shared" si="37"/>
        <v>0</v>
      </c>
      <c r="BW69" s="81">
        <f>B87</f>
        <v>0</v>
      </c>
    </row>
    <row r="70" spans="1:75" x14ac:dyDescent="0.25">
      <c r="A70" s="65" t="s">
        <v>84</v>
      </c>
      <c r="B70" s="46">
        <v>26.6</v>
      </c>
      <c r="C70" s="46">
        <v>26.6</v>
      </c>
      <c r="D70" s="46">
        <v>26.6</v>
      </c>
      <c r="E70" s="46">
        <v>26.6</v>
      </c>
      <c r="F70" s="46">
        <v>26.6</v>
      </c>
      <c r="G70" s="46">
        <v>26.6</v>
      </c>
      <c r="H70" s="46">
        <v>26.6</v>
      </c>
      <c r="I70" s="46">
        <v>26.6</v>
      </c>
      <c r="J70" s="46">
        <v>15</v>
      </c>
      <c r="K70" s="46">
        <v>14</v>
      </c>
      <c r="L70" s="46">
        <v>14</v>
      </c>
      <c r="M70" s="46">
        <v>0</v>
      </c>
      <c r="N70" s="46">
        <v>0</v>
      </c>
      <c r="O70" s="46">
        <v>14.5</v>
      </c>
      <c r="P70" s="46">
        <v>14.5</v>
      </c>
      <c r="Q70" s="46">
        <v>0</v>
      </c>
      <c r="R70" s="46">
        <v>0</v>
      </c>
      <c r="S70" s="46">
        <v>0</v>
      </c>
      <c r="T70" s="46">
        <v>11.5</v>
      </c>
      <c r="U70" s="46">
        <v>13.1</v>
      </c>
      <c r="V70" s="46">
        <v>27.1</v>
      </c>
      <c r="W70" s="46">
        <v>27.1</v>
      </c>
      <c r="X70" s="46">
        <v>27.1</v>
      </c>
      <c r="Y70" s="46">
        <v>27.1</v>
      </c>
      <c r="Z70" s="46">
        <v>27</v>
      </c>
      <c r="AA70" s="46">
        <v>27.1</v>
      </c>
      <c r="AB70" s="46">
        <v>27.1</v>
      </c>
      <c r="AC70" s="46">
        <v>27.1</v>
      </c>
      <c r="AD70" s="46">
        <v>27.1</v>
      </c>
      <c r="AE70" s="46">
        <v>27.1</v>
      </c>
      <c r="AF70" s="46">
        <v>27.1</v>
      </c>
      <c r="AG70" s="66">
        <v>30</v>
      </c>
      <c r="AH70" s="48">
        <f t="shared" si="2"/>
        <v>27.1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5"/>
        <v>0</v>
      </c>
      <c r="BB70" s="81">
        <f t="shared" si="35"/>
        <v>0</v>
      </c>
      <c r="BC70" s="81">
        <f t="shared" si="35"/>
        <v>0</v>
      </c>
      <c r="BD70" s="81">
        <f t="shared" si="35"/>
        <v>0</v>
      </c>
      <c r="BE70" s="82">
        <f>I88</f>
        <v>0</v>
      </c>
      <c r="BF70" s="82">
        <f>K88</f>
        <v>0</v>
      </c>
      <c r="BG70" s="82">
        <f t="shared" si="36"/>
        <v>0</v>
      </c>
      <c r="BH70" s="82">
        <f t="shared" si="36"/>
        <v>0</v>
      </c>
      <c r="BI70" s="82">
        <f t="shared" si="36"/>
        <v>0</v>
      </c>
      <c r="BJ70" s="82">
        <f t="shared" si="36"/>
        <v>0</v>
      </c>
      <c r="BK70" s="82">
        <f t="shared" si="36"/>
        <v>0</v>
      </c>
      <c r="BL70" s="82">
        <f t="shared" si="36"/>
        <v>0</v>
      </c>
      <c r="BM70" s="82">
        <f t="shared" si="36"/>
        <v>0</v>
      </c>
      <c r="BN70" s="82">
        <f t="shared" si="36"/>
        <v>0</v>
      </c>
      <c r="BO70" s="82">
        <f t="shared" si="36"/>
        <v>0</v>
      </c>
      <c r="BP70" s="82">
        <f t="shared" si="36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7"/>
        <v>0</v>
      </c>
      <c r="BU70" s="81">
        <f t="shared" si="37"/>
        <v>0</v>
      </c>
      <c r="BV70" s="81">
        <f t="shared" si="37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0.5</v>
      </c>
      <c r="N71" s="46">
        <v>1.2</v>
      </c>
      <c r="O71" s="46">
        <v>2.4</v>
      </c>
      <c r="P71" s="46">
        <v>2.4</v>
      </c>
      <c r="Q71" s="46">
        <v>2.4</v>
      </c>
      <c r="R71" s="46">
        <v>1.8</v>
      </c>
      <c r="S71" s="46">
        <v>0.6</v>
      </c>
      <c r="T71" s="46">
        <v>1.36</v>
      </c>
      <c r="U71" s="46">
        <v>2</v>
      </c>
      <c r="V71" s="46">
        <v>1.6</v>
      </c>
      <c r="W71" s="46">
        <v>0.8</v>
      </c>
      <c r="X71" s="46">
        <v>0.41</v>
      </c>
      <c r="Y71" s="46">
        <v>0.41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2.4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8">M94</f>
        <v>0</v>
      </c>
      <c r="BH71" s="82">
        <f t="shared" si="38"/>
        <v>0</v>
      </c>
      <c r="BI71" s="82">
        <f t="shared" si="38"/>
        <v>0</v>
      </c>
      <c r="BJ71" s="82">
        <f t="shared" si="38"/>
        <v>0</v>
      </c>
      <c r="BK71" s="82">
        <f t="shared" si="38"/>
        <v>0</v>
      </c>
      <c r="BL71" s="82">
        <f t="shared" si="38"/>
        <v>0</v>
      </c>
      <c r="BM71" s="82">
        <f t="shared" si="38"/>
        <v>0</v>
      </c>
      <c r="BN71" s="82">
        <f t="shared" si="38"/>
        <v>0</v>
      </c>
      <c r="BO71" s="82">
        <f t="shared" si="38"/>
        <v>0</v>
      </c>
      <c r="BP71" s="82">
        <f t="shared" si="38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6.4</v>
      </c>
      <c r="C72" s="76">
        <v>6.4</v>
      </c>
      <c r="D72" s="76">
        <v>6.4</v>
      </c>
      <c r="E72" s="76">
        <v>6.4</v>
      </c>
      <c r="F72" s="76">
        <v>6.4</v>
      </c>
      <c r="G72" s="76">
        <v>6.4</v>
      </c>
      <c r="H72" s="76">
        <v>6.4</v>
      </c>
      <c r="I72" s="76">
        <v>6.4</v>
      </c>
      <c r="J72" s="76">
        <v>6.4</v>
      </c>
      <c r="K72" s="76">
        <v>6.4</v>
      </c>
      <c r="L72" s="76">
        <v>6.4</v>
      </c>
      <c r="M72" s="76">
        <v>6.4</v>
      </c>
      <c r="N72" s="76">
        <v>4.3</v>
      </c>
      <c r="O72" s="76">
        <v>4.3</v>
      </c>
      <c r="P72" s="76">
        <v>4.3</v>
      </c>
      <c r="Q72" s="76">
        <v>4.3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12.9</v>
      </c>
      <c r="Z72" s="76">
        <v>12.9</v>
      </c>
      <c r="AA72" s="76">
        <v>12.9</v>
      </c>
      <c r="AB72" s="76">
        <v>11.3</v>
      </c>
      <c r="AC72" s="76">
        <v>11.3</v>
      </c>
      <c r="AD72" s="76">
        <v>11.3</v>
      </c>
      <c r="AE72" s="76">
        <v>11.3</v>
      </c>
      <c r="AF72" s="76">
        <v>11.3</v>
      </c>
      <c r="AG72" s="66">
        <v>24</v>
      </c>
      <c r="AH72" s="48">
        <f t="shared" si="2"/>
        <v>12.9</v>
      </c>
      <c r="AI72" s="49">
        <f t="shared" si="3"/>
        <v>0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4</v>
      </c>
      <c r="C73" s="76">
        <v>4</v>
      </c>
      <c r="D73" s="76">
        <v>4</v>
      </c>
      <c r="E73" s="76">
        <v>4</v>
      </c>
      <c r="F73" s="76">
        <v>4</v>
      </c>
      <c r="G73" s="76">
        <v>4</v>
      </c>
      <c r="H73" s="76">
        <v>4</v>
      </c>
      <c r="I73" s="76">
        <v>4</v>
      </c>
      <c r="J73" s="76">
        <v>4</v>
      </c>
      <c r="K73" s="76">
        <v>4</v>
      </c>
      <c r="L73" s="76">
        <v>4</v>
      </c>
      <c r="M73" s="76">
        <v>4</v>
      </c>
      <c r="N73" s="76">
        <v>2.7</v>
      </c>
      <c r="O73" s="76">
        <v>2.7</v>
      </c>
      <c r="P73" s="76">
        <v>2.7</v>
      </c>
      <c r="Q73" s="76">
        <v>2.7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2.1</v>
      </c>
      <c r="Z73" s="76">
        <v>2.1</v>
      </c>
      <c r="AA73" s="76">
        <v>2.1</v>
      </c>
      <c r="AB73" s="76">
        <v>2.1</v>
      </c>
      <c r="AC73" s="76">
        <v>2.1</v>
      </c>
      <c r="AD73" s="76">
        <v>2.1</v>
      </c>
      <c r="AE73" s="76">
        <v>2.1</v>
      </c>
      <c r="AF73" s="76">
        <v>2.1</v>
      </c>
      <c r="AG73" s="66">
        <v>15</v>
      </c>
      <c r="AH73" s="48">
        <f t="shared" si="2"/>
        <v>4</v>
      </c>
      <c r="AI73" s="49">
        <f t="shared" si="3"/>
        <v>0</v>
      </c>
      <c r="AK73" s="51"/>
      <c r="AZ73" s="82">
        <f t="shared" ref="AZ73:BW78" si="39">VALUE(AZ66)</f>
        <v>-43</v>
      </c>
      <c r="BA73" s="82">
        <f t="shared" si="39"/>
        <v>-41.2</v>
      </c>
      <c r="BB73" s="82">
        <f t="shared" si="39"/>
        <v>-3.9</v>
      </c>
      <c r="BC73" s="82">
        <f t="shared" si="39"/>
        <v>-4.7</v>
      </c>
      <c r="BD73" s="82">
        <f t="shared" si="39"/>
        <v>-12.5</v>
      </c>
      <c r="BE73" s="82">
        <f t="shared" si="39"/>
        <v>-45.7</v>
      </c>
      <c r="BF73" s="82">
        <f t="shared" si="39"/>
        <v>-29.6</v>
      </c>
      <c r="BG73" s="82">
        <f t="shared" si="39"/>
        <v>-27.8</v>
      </c>
      <c r="BH73" s="82">
        <f t="shared" si="39"/>
        <v>-7.1</v>
      </c>
      <c r="BI73" s="82">
        <f t="shared" si="39"/>
        <v>-24</v>
      </c>
      <c r="BJ73" s="82">
        <f t="shared" si="39"/>
        <v>-12</v>
      </c>
      <c r="BK73" s="82">
        <f t="shared" si="39"/>
        <v>-24.7</v>
      </c>
      <c r="BL73" s="82">
        <f t="shared" si="39"/>
        <v>8</v>
      </c>
      <c r="BM73" s="82">
        <f t="shared" si="39"/>
        <v>-21</v>
      </c>
      <c r="BN73" s="82">
        <f t="shared" si="39"/>
        <v>-14.2</v>
      </c>
      <c r="BO73" s="82">
        <f t="shared" si="39"/>
        <v>48.5</v>
      </c>
      <c r="BP73" s="82">
        <f t="shared" si="39"/>
        <v>17.899999999999999</v>
      </c>
      <c r="BQ73" s="82">
        <f t="shared" si="39"/>
        <v>28.1</v>
      </c>
      <c r="BR73" s="82">
        <f t="shared" si="39"/>
        <v>20</v>
      </c>
      <c r="BS73" s="82">
        <f t="shared" si="39"/>
        <v>-4.7</v>
      </c>
      <c r="BT73" s="82">
        <f t="shared" si="39"/>
        <v>0</v>
      </c>
      <c r="BU73" s="82">
        <f t="shared" si="39"/>
        <v>-2.7</v>
      </c>
      <c r="BV73" s="82">
        <f t="shared" si="39"/>
        <v>-26.2</v>
      </c>
      <c r="BW73" s="82">
        <f t="shared" si="39"/>
        <v>-41.6</v>
      </c>
    </row>
    <row r="74" spans="1:75" x14ac:dyDescent="0.25">
      <c r="A74" s="65" t="s">
        <v>91</v>
      </c>
      <c r="B74" s="76">
        <v>5.6</v>
      </c>
      <c r="C74" s="76">
        <v>5.6</v>
      </c>
      <c r="D74" s="76">
        <v>5.6</v>
      </c>
      <c r="E74" s="76">
        <v>5.6</v>
      </c>
      <c r="F74" s="76">
        <v>5.6</v>
      </c>
      <c r="G74" s="76">
        <v>5.6</v>
      </c>
      <c r="H74" s="76">
        <v>5.6</v>
      </c>
      <c r="I74" s="76">
        <v>5.6</v>
      </c>
      <c r="J74" s="76">
        <v>5.6</v>
      </c>
      <c r="K74" s="76">
        <v>5.6</v>
      </c>
      <c r="L74" s="76">
        <v>5.6</v>
      </c>
      <c r="M74" s="76">
        <v>2.9</v>
      </c>
      <c r="N74" s="76">
        <v>3.3</v>
      </c>
      <c r="O74" s="76">
        <v>3.3</v>
      </c>
      <c r="P74" s="76">
        <v>3.3</v>
      </c>
      <c r="Q74" s="76">
        <v>3.3</v>
      </c>
      <c r="R74" s="76">
        <v>1.7</v>
      </c>
      <c r="S74" s="76">
        <v>1.7</v>
      </c>
      <c r="T74" s="76">
        <v>1.7</v>
      </c>
      <c r="U74" s="76">
        <v>1.7</v>
      </c>
      <c r="V74" s="76">
        <v>1.7</v>
      </c>
      <c r="W74" s="76">
        <v>1.7</v>
      </c>
      <c r="X74" s="76">
        <v>1.7</v>
      </c>
      <c r="Y74" s="76">
        <v>9.1</v>
      </c>
      <c r="Z74" s="76">
        <v>9.1</v>
      </c>
      <c r="AA74" s="76">
        <v>9.1</v>
      </c>
      <c r="AB74" s="76">
        <v>9.8000000000000007</v>
      </c>
      <c r="AC74" s="76">
        <v>9.8000000000000007</v>
      </c>
      <c r="AD74" s="76">
        <v>9.8000000000000007</v>
      </c>
      <c r="AE74" s="76">
        <v>9.8000000000000007</v>
      </c>
      <c r="AF74" s="76">
        <v>9.8000000000000007</v>
      </c>
      <c r="AG74" s="66">
        <v>14.1</v>
      </c>
      <c r="AH74" s="48">
        <f t="shared" si="2"/>
        <v>9.8000000000000007</v>
      </c>
      <c r="AI74" s="49">
        <f t="shared" si="3"/>
        <v>1.7</v>
      </c>
      <c r="AK74" s="51"/>
      <c r="AZ74" s="82">
        <f t="shared" si="39"/>
        <v>0</v>
      </c>
      <c r="BA74" s="82">
        <f t="shared" si="39"/>
        <v>0</v>
      </c>
      <c r="BB74" s="82">
        <f t="shared" si="39"/>
        <v>0</v>
      </c>
      <c r="BC74" s="82">
        <f t="shared" si="39"/>
        <v>0</v>
      </c>
      <c r="BD74" s="82">
        <f t="shared" si="39"/>
        <v>0</v>
      </c>
      <c r="BE74" s="82">
        <f t="shared" si="39"/>
        <v>0</v>
      </c>
      <c r="BF74" s="82">
        <f t="shared" si="39"/>
        <v>0</v>
      </c>
      <c r="BG74" s="82">
        <f t="shared" si="39"/>
        <v>0</v>
      </c>
      <c r="BH74" s="82">
        <f t="shared" si="39"/>
        <v>0</v>
      </c>
      <c r="BI74" s="82">
        <f t="shared" si="39"/>
        <v>0</v>
      </c>
      <c r="BJ74" s="82">
        <f t="shared" si="39"/>
        <v>0</v>
      </c>
      <c r="BK74" s="82">
        <f t="shared" si="39"/>
        <v>0</v>
      </c>
      <c r="BL74" s="82">
        <f t="shared" si="39"/>
        <v>0</v>
      </c>
      <c r="BM74" s="82">
        <f t="shared" si="39"/>
        <v>0</v>
      </c>
      <c r="BN74" s="82">
        <f t="shared" si="39"/>
        <v>0</v>
      </c>
      <c r="BO74" s="82">
        <f t="shared" si="39"/>
        <v>0</v>
      </c>
      <c r="BP74" s="82">
        <f t="shared" si="39"/>
        <v>0</v>
      </c>
      <c r="BQ74" s="82">
        <f t="shared" si="39"/>
        <v>0</v>
      </c>
      <c r="BR74" s="82">
        <f t="shared" si="39"/>
        <v>0</v>
      </c>
      <c r="BS74" s="82">
        <f t="shared" si="39"/>
        <v>0</v>
      </c>
      <c r="BT74" s="82">
        <f t="shared" si="39"/>
        <v>0</v>
      </c>
      <c r="BU74" s="82">
        <f t="shared" si="39"/>
        <v>0</v>
      </c>
      <c r="BV74" s="82">
        <f t="shared" si="39"/>
        <v>0</v>
      </c>
      <c r="BW74" s="82">
        <f t="shared" si="39"/>
        <v>0</v>
      </c>
    </row>
    <row r="75" spans="1:75" x14ac:dyDescent="0.25">
      <c r="A75" s="84" t="s">
        <v>93</v>
      </c>
      <c r="B75" s="76">
        <v>6.7</v>
      </c>
      <c r="C75" s="76">
        <v>6.7</v>
      </c>
      <c r="D75" s="76">
        <v>6.7</v>
      </c>
      <c r="E75" s="76">
        <v>6.7</v>
      </c>
      <c r="F75" s="76">
        <v>6.7</v>
      </c>
      <c r="G75" s="76">
        <v>6.7</v>
      </c>
      <c r="H75" s="76">
        <v>6.7</v>
      </c>
      <c r="I75" s="76">
        <v>6.7</v>
      </c>
      <c r="J75" s="76">
        <v>6.7</v>
      </c>
      <c r="K75" s="76">
        <v>6.7</v>
      </c>
      <c r="L75" s="76">
        <v>6.7</v>
      </c>
      <c r="M75" s="76">
        <v>6.7</v>
      </c>
      <c r="N75" s="76">
        <v>6.7</v>
      </c>
      <c r="O75" s="76">
        <v>6.7</v>
      </c>
      <c r="P75" s="76">
        <v>6.7</v>
      </c>
      <c r="Q75" s="76">
        <v>6.7</v>
      </c>
      <c r="R75" s="76">
        <v>7.3</v>
      </c>
      <c r="S75" s="76">
        <v>7.3</v>
      </c>
      <c r="T75" s="76">
        <v>7.3</v>
      </c>
      <c r="U75" s="76">
        <v>7.3</v>
      </c>
      <c r="V75" s="76">
        <v>7.3</v>
      </c>
      <c r="W75" s="76">
        <v>7.3</v>
      </c>
      <c r="X75" s="76">
        <v>7.3</v>
      </c>
      <c r="Y75" s="76">
        <v>7.3</v>
      </c>
      <c r="Z75" s="76">
        <v>7.3</v>
      </c>
      <c r="AA75" s="76">
        <v>7.3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66">
        <v>14</v>
      </c>
      <c r="AH75" s="48">
        <f t="shared" ref="AH75:AH126" si="40">MAX(B75:AF75)</f>
        <v>7.3</v>
      </c>
      <c r="AI75" s="49">
        <f t="shared" ref="AI75:AI126" si="41">MIN(B75:AF75)</f>
        <v>0</v>
      </c>
      <c r="AK75" s="51"/>
      <c r="AZ75" s="82">
        <f t="shared" si="39"/>
        <v>-616</v>
      </c>
      <c r="BA75" s="82">
        <f t="shared" si="39"/>
        <v>-256.89999999999998</v>
      </c>
      <c r="BB75" s="82">
        <f t="shared" si="39"/>
        <v>-265</v>
      </c>
      <c r="BC75" s="82">
        <f t="shared" si="39"/>
        <v>-276.60000000000002</v>
      </c>
      <c r="BD75" s="82">
        <f t="shared" si="39"/>
        <v>-307.60000000000002</v>
      </c>
      <c r="BE75" s="82">
        <f t="shared" si="39"/>
        <v>-266</v>
      </c>
      <c r="BF75" s="82">
        <f t="shared" si="39"/>
        <v>-293.7</v>
      </c>
      <c r="BG75" s="82">
        <f t="shared" si="39"/>
        <v>-329.8</v>
      </c>
      <c r="BH75" s="82">
        <f t="shared" si="39"/>
        <v>-192</v>
      </c>
      <c r="BI75" s="82">
        <f t="shared" si="39"/>
        <v>-263</v>
      </c>
      <c r="BJ75" s="82">
        <f t="shared" si="39"/>
        <v>-318</v>
      </c>
      <c r="BK75" s="82">
        <f t="shared" si="39"/>
        <v>-322</v>
      </c>
      <c r="BL75" s="82">
        <f t="shared" si="39"/>
        <v>-358</v>
      </c>
      <c r="BM75" s="82">
        <f t="shared" si="39"/>
        <v>-309.7</v>
      </c>
      <c r="BN75" s="82">
        <f t="shared" si="39"/>
        <v>-297.2</v>
      </c>
      <c r="BO75" s="82">
        <f t="shared" si="39"/>
        <v>-352</v>
      </c>
      <c r="BP75" s="82">
        <f t="shared" si="39"/>
        <v>-172</v>
      </c>
      <c r="BQ75" s="82">
        <f t="shared" si="39"/>
        <v>-198.7</v>
      </c>
      <c r="BR75" s="82">
        <f t="shared" si="39"/>
        <v>-47.1</v>
      </c>
      <c r="BS75" s="82">
        <f t="shared" si="39"/>
        <v>-549.6</v>
      </c>
      <c r="BT75" s="82">
        <f t="shared" si="39"/>
        <v>-545.5</v>
      </c>
      <c r="BU75" s="82">
        <f t="shared" si="39"/>
        <v>-621.1</v>
      </c>
      <c r="BV75" s="82">
        <f t="shared" si="39"/>
        <v>-567</v>
      </c>
      <c r="BW75" s="82">
        <f t="shared" si="39"/>
        <v>-603.29999999999995</v>
      </c>
    </row>
    <row r="76" spans="1:75" x14ac:dyDescent="0.25">
      <c r="A76" s="65" t="s">
        <v>95</v>
      </c>
      <c r="B76" s="76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0"/>
        <v>10</v>
      </c>
      <c r="AI76" s="49">
        <f t="shared" si="41"/>
        <v>0</v>
      </c>
      <c r="AK76" s="51"/>
      <c r="AZ76" s="82">
        <f t="shared" si="39"/>
        <v>0</v>
      </c>
      <c r="BA76" s="82">
        <f t="shared" si="39"/>
        <v>0</v>
      </c>
      <c r="BB76" s="82">
        <f t="shared" si="39"/>
        <v>0</v>
      </c>
      <c r="BC76" s="82">
        <f t="shared" si="39"/>
        <v>0</v>
      </c>
      <c r="BD76" s="82">
        <f t="shared" si="39"/>
        <v>0</v>
      </c>
      <c r="BE76" s="82">
        <f t="shared" si="39"/>
        <v>0</v>
      </c>
      <c r="BF76" s="82">
        <f t="shared" si="39"/>
        <v>0</v>
      </c>
      <c r="BG76" s="82">
        <f t="shared" si="39"/>
        <v>0</v>
      </c>
      <c r="BH76" s="82">
        <f t="shared" si="39"/>
        <v>0</v>
      </c>
      <c r="BI76" s="82">
        <f t="shared" si="39"/>
        <v>0</v>
      </c>
      <c r="BJ76" s="82">
        <f t="shared" si="39"/>
        <v>0</v>
      </c>
      <c r="BK76" s="82">
        <f t="shared" si="39"/>
        <v>0</v>
      </c>
      <c r="BL76" s="82">
        <f t="shared" si="39"/>
        <v>0</v>
      </c>
      <c r="BM76" s="82">
        <f t="shared" si="39"/>
        <v>0</v>
      </c>
      <c r="BN76" s="82">
        <f t="shared" si="39"/>
        <v>0</v>
      </c>
      <c r="BO76" s="82">
        <f t="shared" si="39"/>
        <v>0</v>
      </c>
      <c r="BP76" s="82">
        <f t="shared" si="39"/>
        <v>0</v>
      </c>
      <c r="BQ76" s="82">
        <f t="shared" si="39"/>
        <v>0</v>
      </c>
      <c r="BR76" s="82">
        <f t="shared" si="39"/>
        <v>0</v>
      </c>
      <c r="BS76" s="82">
        <f t="shared" si="39"/>
        <v>0</v>
      </c>
      <c r="BT76" s="82">
        <f t="shared" si="39"/>
        <v>0</v>
      </c>
      <c r="BU76" s="82">
        <f t="shared" si="39"/>
        <v>0</v>
      </c>
      <c r="BV76" s="82">
        <f t="shared" si="39"/>
        <v>0</v>
      </c>
      <c r="BW76" s="82">
        <f t="shared" si="39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0"/>
        <v>6</v>
      </c>
      <c r="AI77" s="49">
        <f t="shared" si="41"/>
        <v>6</v>
      </c>
      <c r="AK77" s="51"/>
      <c r="AZ77" s="82">
        <f t="shared" si="39"/>
        <v>0</v>
      </c>
      <c r="BA77" s="82">
        <f t="shared" si="39"/>
        <v>0</v>
      </c>
      <c r="BB77" s="82">
        <f t="shared" si="39"/>
        <v>0</v>
      </c>
      <c r="BC77" s="82">
        <f t="shared" si="39"/>
        <v>0</v>
      </c>
      <c r="BD77" s="82">
        <f t="shared" si="39"/>
        <v>0</v>
      </c>
      <c r="BE77" s="82">
        <f t="shared" si="39"/>
        <v>0</v>
      </c>
      <c r="BF77" s="82">
        <f t="shared" si="39"/>
        <v>0</v>
      </c>
      <c r="BG77" s="82">
        <f t="shared" si="39"/>
        <v>0</v>
      </c>
      <c r="BH77" s="82">
        <f t="shared" si="39"/>
        <v>0</v>
      </c>
      <c r="BI77" s="82">
        <f t="shared" si="39"/>
        <v>0</v>
      </c>
      <c r="BJ77" s="82">
        <f t="shared" si="39"/>
        <v>0</v>
      </c>
      <c r="BK77" s="82">
        <f t="shared" si="39"/>
        <v>0</v>
      </c>
      <c r="BL77" s="82">
        <f t="shared" si="39"/>
        <v>0</v>
      </c>
      <c r="BM77" s="82">
        <f t="shared" si="39"/>
        <v>0</v>
      </c>
      <c r="BN77" s="82">
        <f t="shared" si="39"/>
        <v>0</v>
      </c>
      <c r="BO77" s="82">
        <f t="shared" si="39"/>
        <v>0</v>
      </c>
      <c r="BP77" s="82">
        <f t="shared" si="39"/>
        <v>0</v>
      </c>
      <c r="BQ77" s="82">
        <f t="shared" si="39"/>
        <v>0</v>
      </c>
      <c r="BR77" s="82">
        <f t="shared" si="39"/>
        <v>0</v>
      </c>
      <c r="BS77" s="82">
        <f t="shared" si="39"/>
        <v>0</v>
      </c>
      <c r="BT77" s="82">
        <f t="shared" si="39"/>
        <v>0</v>
      </c>
      <c r="BU77" s="82">
        <f t="shared" si="39"/>
        <v>0</v>
      </c>
      <c r="BV77" s="82">
        <f t="shared" si="39"/>
        <v>0</v>
      </c>
      <c r="BW77" s="82">
        <f t="shared" si="39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3.5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0"/>
        <v>3.54</v>
      </c>
      <c r="AI78" s="49">
        <f t="shared" si="41"/>
        <v>3.5</v>
      </c>
      <c r="AK78" s="51"/>
      <c r="AZ78" s="82">
        <f t="shared" si="39"/>
        <v>0</v>
      </c>
      <c r="BA78" s="82">
        <f t="shared" si="39"/>
        <v>0</v>
      </c>
      <c r="BB78" s="82">
        <f t="shared" si="39"/>
        <v>0</v>
      </c>
      <c r="BC78" s="82">
        <f t="shared" si="39"/>
        <v>0</v>
      </c>
      <c r="BD78" s="82">
        <f t="shared" si="39"/>
        <v>0</v>
      </c>
      <c r="BE78" s="82">
        <f t="shared" si="39"/>
        <v>0</v>
      </c>
      <c r="BF78" s="82">
        <f t="shared" si="39"/>
        <v>0</v>
      </c>
      <c r="BG78" s="82">
        <f t="shared" si="39"/>
        <v>0</v>
      </c>
      <c r="BH78" s="82">
        <f t="shared" si="39"/>
        <v>0</v>
      </c>
      <c r="BI78" s="82">
        <f t="shared" si="39"/>
        <v>0</v>
      </c>
      <c r="BJ78" s="82">
        <f t="shared" si="39"/>
        <v>0</v>
      </c>
      <c r="BK78" s="82">
        <f t="shared" si="39"/>
        <v>0</v>
      </c>
      <c r="BL78" s="82">
        <f t="shared" si="39"/>
        <v>0</v>
      </c>
      <c r="BM78" s="82">
        <f t="shared" si="39"/>
        <v>0</v>
      </c>
      <c r="BN78" s="82">
        <f t="shared" si="39"/>
        <v>0</v>
      </c>
      <c r="BO78" s="82">
        <f t="shared" si="39"/>
        <v>0</v>
      </c>
      <c r="BP78" s="82">
        <f t="shared" si="39"/>
        <v>0</v>
      </c>
      <c r="BQ78" s="82">
        <f t="shared" si="39"/>
        <v>0</v>
      </c>
      <c r="BR78" s="82">
        <f t="shared" si="39"/>
        <v>0</v>
      </c>
      <c r="BS78" s="82">
        <f t="shared" si="39"/>
        <v>0</v>
      </c>
      <c r="BT78" s="82">
        <f t="shared" si="39"/>
        <v>0</v>
      </c>
      <c r="BU78" s="82">
        <f t="shared" si="39"/>
        <v>0</v>
      </c>
      <c r="BV78" s="82">
        <f t="shared" si="39"/>
        <v>0</v>
      </c>
      <c r="BW78" s="82">
        <f t="shared" si="39"/>
        <v>0</v>
      </c>
    </row>
    <row r="79" spans="1:75" ht="15.75" thickBot="1" x14ac:dyDescent="0.3">
      <c r="A79" s="87" t="s">
        <v>99</v>
      </c>
      <c r="B79" s="71">
        <f t="shared" ref="B79:AG79" si="42">SUM(B66:B78)</f>
        <v>330.74</v>
      </c>
      <c r="C79" s="71">
        <f t="shared" si="42"/>
        <v>330.74</v>
      </c>
      <c r="D79" s="71">
        <f t="shared" si="42"/>
        <v>330.74</v>
      </c>
      <c r="E79" s="71">
        <f t="shared" si="42"/>
        <v>327.44000000000005</v>
      </c>
      <c r="F79" s="71">
        <f t="shared" si="42"/>
        <v>364.64000000000004</v>
      </c>
      <c r="G79" s="71">
        <f t="shared" si="42"/>
        <v>324.64000000000004</v>
      </c>
      <c r="H79" s="71">
        <f t="shared" si="42"/>
        <v>324.64000000000004</v>
      </c>
      <c r="I79" s="71">
        <f t="shared" si="42"/>
        <v>291.24</v>
      </c>
      <c r="J79" s="71">
        <f t="shared" si="42"/>
        <v>280.64000000000004</v>
      </c>
      <c r="K79" s="71">
        <f t="shared" si="42"/>
        <v>281.24</v>
      </c>
      <c r="L79" s="71">
        <f t="shared" si="42"/>
        <v>235.83999999999997</v>
      </c>
      <c r="M79" s="71">
        <f t="shared" ref="M79" si="43">SUM(M66:M78)</f>
        <v>219.24</v>
      </c>
      <c r="N79" s="71">
        <f t="shared" si="42"/>
        <v>156.13999999999999</v>
      </c>
      <c r="O79" s="71">
        <f t="shared" si="42"/>
        <v>171.84</v>
      </c>
      <c r="P79" s="71">
        <f t="shared" si="42"/>
        <v>171.84</v>
      </c>
      <c r="Q79" s="71">
        <f t="shared" si="42"/>
        <v>167.34</v>
      </c>
      <c r="R79" s="71">
        <f t="shared" ref="R79:S79" si="44">SUM(R66:R78)</f>
        <v>156.74</v>
      </c>
      <c r="S79" s="71">
        <f t="shared" si="44"/>
        <v>179.73999999999998</v>
      </c>
      <c r="T79" s="71">
        <f t="shared" ref="T79:U79" si="45">SUM(T66:T78)</f>
        <v>221</v>
      </c>
      <c r="U79" s="71">
        <f t="shared" si="45"/>
        <v>202.23999999999998</v>
      </c>
      <c r="V79" s="71">
        <f t="shared" ref="V79:W79" si="46">SUM(V66:V78)</f>
        <v>201.73999999999998</v>
      </c>
      <c r="W79" s="71">
        <f t="shared" si="46"/>
        <v>198.24</v>
      </c>
      <c r="X79" s="71">
        <f t="shared" ref="X79" si="47">SUM(X66:X78)</f>
        <v>195.24999999999997</v>
      </c>
      <c r="Y79" s="71">
        <f t="shared" si="42"/>
        <v>216.60999999999999</v>
      </c>
      <c r="Z79" s="71">
        <f t="shared" ref="Z79" si="48">SUM(Z66:Z78)</f>
        <v>204.20000000000002</v>
      </c>
      <c r="AA79" s="71">
        <f t="shared" si="42"/>
        <v>141.13999999999999</v>
      </c>
      <c r="AB79" s="71">
        <f t="shared" si="42"/>
        <v>179.84</v>
      </c>
      <c r="AC79" s="71">
        <f t="shared" si="42"/>
        <v>179.84</v>
      </c>
      <c r="AD79" s="71">
        <f t="shared" si="42"/>
        <v>209.84</v>
      </c>
      <c r="AE79" s="71">
        <f t="shared" si="42"/>
        <v>224.94</v>
      </c>
      <c r="AF79" s="71">
        <f t="shared" si="42"/>
        <v>264.44</v>
      </c>
      <c r="AG79" s="72">
        <f t="shared" si="42"/>
        <v>489.91</v>
      </c>
      <c r="AH79" s="48">
        <f t="shared" si="40"/>
        <v>364.64000000000004</v>
      </c>
      <c r="AI79" s="49">
        <f t="shared" si="41"/>
        <v>141.13999999999999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>
        <v>19.7</v>
      </c>
      <c r="K80" s="46">
        <v>19.7</v>
      </c>
      <c r="L80" s="46">
        <v>19.7</v>
      </c>
      <c r="M80" s="46">
        <v>19.8</v>
      </c>
      <c r="N80" s="46">
        <v>0</v>
      </c>
      <c r="O80" s="46"/>
      <c r="P80" s="46"/>
      <c r="Q80" s="46"/>
      <c r="R80" s="46"/>
      <c r="S80" s="46"/>
      <c r="T80" s="46"/>
      <c r="U80" s="46"/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59.7</v>
      </c>
      <c r="AB80" s="46">
        <v>39.6</v>
      </c>
      <c r="AC80" s="46">
        <v>29.7</v>
      </c>
      <c r="AD80" s="46">
        <v>10.5</v>
      </c>
      <c r="AE80" s="46">
        <v>10.5</v>
      </c>
      <c r="AF80" s="46">
        <v>0</v>
      </c>
      <c r="AG80" s="61">
        <v>60</v>
      </c>
      <c r="AH80" s="48">
        <f t="shared" si="40"/>
        <v>59.7</v>
      </c>
      <c r="AI80" s="49">
        <f t="shared" si="41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>
        <v>11.2</v>
      </c>
      <c r="K81" s="76">
        <v>11.3</v>
      </c>
      <c r="L81" s="76">
        <v>11.3</v>
      </c>
      <c r="M81" s="76">
        <v>11.2</v>
      </c>
      <c r="N81" s="76">
        <v>0</v>
      </c>
      <c r="O81" s="76"/>
      <c r="P81" s="76"/>
      <c r="Q81" s="76"/>
      <c r="R81" s="76"/>
      <c r="S81" s="76"/>
      <c r="T81" s="76"/>
      <c r="U81" s="76"/>
      <c r="V81" s="76">
        <v>14.6</v>
      </c>
      <c r="W81" s="76">
        <v>0</v>
      </c>
      <c r="X81" s="76">
        <v>0</v>
      </c>
      <c r="Y81" s="76">
        <v>0</v>
      </c>
      <c r="Z81" s="76">
        <v>0</v>
      </c>
      <c r="AA81" s="76">
        <v>29.4</v>
      </c>
      <c r="AB81" s="76">
        <v>18.2</v>
      </c>
      <c r="AC81" s="76">
        <v>13.6</v>
      </c>
      <c r="AD81" s="76">
        <v>4</v>
      </c>
      <c r="AE81" s="76">
        <v>3.1</v>
      </c>
      <c r="AF81" s="76">
        <v>0</v>
      </c>
      <c r="AG81" s="66">
        <v>32</v>
      </c>
      <c r="AH81" s="48">
        <f t="shared" si="40"/>
        <v>29.4</v>
      </c>
      <c r="AI81" s="49">
        <f t="shared" si="41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>
        <v>4.0999999999999996</v>
      </c>
      <c r="K82" s="78">
        <v>4.0999999999999996</v>
      </c>
      <c r="L82" s="78">
        <v>4.0999999999999996</v>
      </c>
      <c r="M82" s="78">
        <v>4.0999999999999996</v>
      </c>
      <c r="N82" s="78">
        <v>0</v>
      </c>
      <c r="O82" s="78"/>
      <c r="P82" s="78"/>
      <c r="Q82" s="78"/>
      <c r="R82" s="78"/>
      <c r="S82" s="78"/>
      <c r="T82" s="78"/>
      <c r="U82" s="78"/>
      <c r="V82" s="78">
        <v>5.3</v>
      </c>
      <c r="W82" s="78">
        <v>0</v>
      </c>
      <c r="X82" s="78">
        <v>0</v>
      </c>
      <c r="Y82" s="78">
        <v>0</v>
      </c>
      <c r="Z82" s="78">
        <v>0</v>
      </c>
      <c r="AA82" s="78">
        <v>10.7</v>
      </c>
      <c r="AB82" s="78">
        <v>6.6</v>
      </c>
      <c r="AC82" s="78">
        <v>5</v>
      </c>
      <c r="AD82" s="78">
        <v>1.5</v>
      </c>
      <c r="AE82" s="78">
        <v>1.1000000000000001</v>
      </c>
      <c r="AF82" s="78">
        <v>0</v>
      </c>
      <c r="AG82" s="79">
        <v>14</v>
      </c>
      <c r="AH82" s="48">
        <f t="shared" si="40"/>
        <v>10.7</v>
      </c>
      <c r="AI82" s="49">
        <f t="shared" si="41"/>
        <v>0</v>
      </c>
      <c r="AK82" s="51"/>
      <c r="AY82" s="82"/>
      <c r="BF82" s="81"/>
      <c r="BG82" s="82">
        <f t="array" ref="BG82:BL105">TRANSPOSE(AZ66:BW71)</f>
        <v>-43</v>
      </c>
      <c r="BH82" s="82">
        <v>0</v>
      </c>
      <c r="BI82" s="82">
        <v>-616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49">B80+B81+B82</f>
        <v>0</v>
      </c>
      <c r="C83" s="71">
        <f t="shared" si="49"/>
        <v>0</v>
      </c>
      <c r="D83" s="71">
        <f t="shared" si="49"/>
        <v>0</v>
      </c>
      <c r="E83" s="71">
        <f t="shared" si="49"/>
        <v>0</v>
      </c>
      <c r="F83" s="71">
        <f t="shared" si="49"/>
        <v>0</v>
      </c>
      <c r="G83" s="71">
        <f t="shared" si="49"/>
        <v>0</v>
      </c>
      <c r="H83" s="71">
        <f t="shared" si="49"/>
        <v>0</v>
      </c>
      <c r="I83" s="71">
        <f t="shared" si="49"/>
        <v>0</v>
      </c>
      <c r="J83" s="71">
        <f t="shared" si="49"/>
        <v>35</v>
      </c>
      <c r="K83" s="71">
        <f t="shared" si="49"/>
        <v>35.1</v>
      </c>
      <c r="L83" s="71">
        <f t="shared" si="49"/>
        <v>35.1</v>
      </c>
      <c r="M83" s="71">
        <f t="shared" ref="M83" si="50">M80+M81+M82</f>
        <v>35.1</v>
      </c>
      <c r="N83" s="71">
        <f t="shared" si="49"/>
        <v>0</v>
      </c>
      <c r="O83" s="71">
        <f t="shared" si="49"/>
        <v>0</v>
      </c>
      <c r="P83" s="71">
        <f t="shared" si="49"/>
        <v>0</v>
      </c>
      <c r="Q83" s="71">
        <f t="shared" si="49"/>
        <v>0</v>
      </c>
      <c r="R83" s="71">
        <f t="shared" ref="R83:S83" si="51">R80+R81+R82</f>
        <v>0</v>
      </c>
      <c r="S83" s="71">
        <f t="shared" si="51"/>
        <v>0</v>
      </c>
      <c r="T83" s="71">
        <f t="shared" ref="T83:U83" si="52">T80+T81+T82</f>
        <v>0</v>
      </c>
      <c r="U83" s="71">
        <f t="shared" si="52"/>
        <v>0</v>
      </c>
      <c r="V83" s="71">
        <f t="shared" ref="V83:W83" si="53">V80+V81+V82</f>
        <v>19.899999999999999</v>
      </c>
      <c r="W83" s="71">
        <f t="shared" si="53"/>
        <v>0</v>
      </c>
      <c r="X83" s="71">
        <f t="shared" ref="X83" si="54">X80+X81+X82</f>
        <v>0</v>
      </c>
      <c r="Y83" s="71">
        <f t="shared" si="49"/>
        <v>0</v>
      </c>
      <c r="Z83" s="71">
        <f t="shared" ref="Z83" si="55">Z80+Z81+Z82</f>
        <v>0</v>
      </c>
      <c r="AA83" s="71">
        <f t="shared" si="49"/>
        <v>99.8</v>
      </c>
      <c r="AB83" s="71">
        <f t="shared" si="49"/>
        <v>64.399999999999991</v>
      </c>
      <c r="AC83" s="71">
        <f t="shared" si="49"/>
        <v>48.3</v>
      </c>
      <c r="AD83" s="71">
        <f t="shared" si="49"/>
        <v>16</v>
      </c>
      <c r="AE83" s="71">
        <f t="shared" si="49"/>
        <v>14.7</v>
      </c>
      <c r="AF83" s="71">
        <f t="shared" si="49"/>
        <v>0</v>
      </c>
      <c r="AG83" s="72">
        <f>SUM(AG80:AG82)</f>
        <v>106</v>
      </c>
      <c r="AH83" s="48">
        <f t="shared" si="40"/>
        <v>99.8</v>
      </c>
      <c r="AI83" s="49">
        <f t="shared" si="41"/>
        <v>0</v>
      </c>
      <c r="AK83" s="51"/>
      <c r="AY83" s="82"/>
      <c r="BF83" s="81"/>
      <c r="BG83" s="82">
        <v>-41.2</v>
      </c>
      <c r="BH83" s="82">
        <v>0</v>
      </c>
      <c r="BI83" s="82">
        <v>-256.89999999999998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-41.6</v>
      </c>
      <c r="C84" s="46">
        <v>-43.3</v>
      </c>
      <c r="D84" s="46">
        <v>-41.2</v>
      </c>
      <c r="E84" s="46">
        <v>-3.9</v>
      </c>
      <c r="F84" s="46">
        <v>-4.7</v>
      </c>
      <c r="G84" s="46">
        <v>-12.5</v>
      </c>
      <c r="H84" s="46">
        <v>-13.6</v>
      </c>
      <c r="I84" s="46">
        <v>-45.7</v>
      </c>
      <c r="J84" s="46">
        <v>-25.8</v>
      </c>
      <c r="K84" s="46">
        <v>-29.6</v>
      </c>
      <c r="L84" s="46">
        <v>-46.2</v>
      </c>
      <c r="M84" s="46">
        <v>-27.8</v>
      </c>
      <c r="N84" s="46">
        <v>-7.1</v>
      </c>
      <c r="O84" s="46">
        <v>-24</v>
      </c>
      <c r="P84" s="46">
        <v>-12</v>
      </c>
      <c r="Q84" s="46">
        <v>-24.7</v>
      </c>
      <c r="R84" s="46">
        <v>8</v>
      </c>
      <c r="S84" s="46">
        <v>-21</v>
      </c>
      <c r="T84" s="46">
        <v>-14.2</v>
      </c>
      <c r="U84" s="46">
        <v>48.5</v>
      </c>
      <c r="V84" s="46">
        <v>17.899999999999999</v>
      </c>
      <c r="W84" s="46">
        <v>10.6</v>
      </c>
      <c r="X84" s="46">
        <v>28.1</v>
      </c>
      <c r="Y84" s="46">
        <v>10</v>
      </c>
      <c r="Z84" s="46">
        <v>20</v>
      </c>
      <c r="AA84" s="46">
        <v>27.7</v>
      </c>
      <c r="AB84" s="46">
        <v>-4.7</v>
      </c>
      <c r="AC84" s="46">
        <v>-1.1000000000000001</v>
      </c>
      <c r="AD84" s="46">
        <v>0</v>
      </c>
      <c r="AE84" s="46">
        <v>-2.7</v>
      </c>
      <c r="AF84" s="46">
        <v>-26.2</v>
      </c>
      <c r="AG84" s="61"/>
      <c r="AH84" s="48">
        <f t="shared" si="40"/>
        <v>48.5</v>
      </c>
      <c r="AI84" s="49">
        <f t="shared" si="41"/>
        <v>-46.2</v>
      </c>
      <c r="AK84" s="51"/>
      <c r="AY84" s="82"/>
      <c r="BF84" s="81"/>
      <c r="BG84" s="82">
        <v>-3.9</v>
      </c>
      <c r="BH84" s="82">
        <v>0</v>
      </c>
      <c r="BI84" s="82">
        <v>-265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0"/>
        <v>0</v>
      </c>
      <c r="AI85" s="49">
        <f t="shared" si="41"/>
        <v>0</v>
      </c>
      <c r="AK85" s="51"/>
      <c r="AL85" s="91" t="s">
        <v>111</v>
      </c>
      <c r="AM85" s="91"/>
      <c r="AY85" s="82"/>
      <c r="BF85" s="82"/>
      <c r="BG85" s="82">
        <v>-4.7</v>
      </c>
      <c r="BH85" s="82">
        <v>0</v>
      </c>
      <c r="BI85" s="82">
        <v>-276.60000000000002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-603.29999999999995</v>
      </c>
      <c r="C86" s="76">
        <v>-615.70000000000005</v>
      </c>
      <c r="D86" s="76">
        <v>-256.89999999999998</v>
      </c>
      <c r="E86" s="76">
        <v>-265</v>
      </c>
      <c r="F86" s="76">
        <v>-276.60000000000002</v>
      </c>
      <c r="G86" s="76">
        <v>-307.60000000000002</v>
      </c>
      <c r="H86" s="76">
        <v>-229</v>
      </c>
      <c r="I86" s="76">
        <v>-266</v>
      </c>
      <c r="J86" s="76">
        <v>-242</v>
      </c>
      <c r="K86" s="76">
        <v>-293.7</v>
      </c>
      <c r="L86" s="76">
        <v>-287.5</v>
      </c>
      <c r="M86" s="76">
        <v>-329.8</v>
      </c>
      <c r="N86" s="76">
        <v>-192</v>
      </c>
      <c r="O86" s="76">
        <v>-263</v>
      </c>
      <c r="P86" s="76">
        <v>-318</v>
      </c>
      <c r="Q86" s="76">
        <v>-322</v>
      </c>
      <c r="R86" s="76">
        <v>-358</v>
      </c>
      <c r="S86" s="76">
        <v>-309.7</v>
      </c>
      <c r="T86" s="76">
        <v>-297.2</v>
      </c>
      <c r="U86" s="76">
        <v>-352</v>
      </c>
      <c r="V86" s="76">
        <v>-172</v>
      </c>
      <c r="W86" s="76">
        <v>-170.1</v>
      </c>
      <c r="X86" s="76">
        <v>-198.7</v>
      </c>
      <c r="Y86" s="76">
        <v>-132.30000000000001</v>
      </c>
      <c r="Z86" s="76">
        <v>-47.1</v>
      </c>
      <c r="AA86" s="76">
        <v>-45.1</v>
      </c>
      <c r="AB86" s="76">
        <v>-549.6</v>
      </c>
      <c r="AC86" s="76">
        <v>-538</v>
      </c>
      <c r="AD86" s="76">
        <v>-545.5</v>
      </c>
      <c r="AE86" s="76">
        <v>-621.1</v>
      </c>
      <c r="AF86" s="76">
        <v>-567</v>
      </c>
      <c r="AG86" s="88"/>
      <c r="AH86" s="48">
        <f t="shared" si="40"/>
        <v>-45.1</v>
      </c>
      <c r="AI86" s="49">
        <f t="shared" si="41"/>
        <v>-621.1</v>
      </c>
      <c r="AK86" s="92"/>
      <c r="AL86" s="93"/>
      <c r="AM86" s="93"/>
      <c r="AN86" s="94"/>
      <c r="AY86" s="82"/>
      <c r="BF86" s="82"/>
      <c r="BG86" s="82">
        <v>-12.5</v>
      </c>
      <c r="BH86" s="82">
        <v>0</v>
      </c>
      <c r="BI86" s="82">
        <v>-307.60000000000002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0"/>
        <v>0</v>
      </c>
      <c r="AI87" s="49">
        <f t="shared" si="41"/>
        <v>0</v>
      </c>
      <c r="AK87" s="95" t="s">
        <v>114</v>
      </c>
      <c r="AL87" s="76"/>
      <c r="AM87" s="89"/>
      <c r="AN87" s="96"/>
      <c r="AY87" s="82"/>
      <c r="BF87" s="82"/>
      <c r="BG87" s="82">
        <v>-45.7</v>
      </c>
      <c r="BH87" s="82">
        <v>0</v>
      </c>
      <c r="BI87" s="82">
        <v>-266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0"/>
        <v>0</v>
      </c>
      <c r="AI88" s="49">
        <f t="shared" si="41"/>
        <v>0</v>
      </c>
      <c r="AK88" s="95" t="s">
        <v>116</v>
      </c>
      <c r="AL88" s="89"/>
      <c r="AM88" s="89"/>
      <c r="AN88" s="96"/>
      <c r="AY88" s="82"/>
      <c r="BF88" s="82"/>
      <c r="BG88" s="82">
        <v>-29.6</v>
      </c>
      <c r="BH88" s="82">
        <v>0</v>
      </c>
      <c r="BI88" s="82">
        <v>-293.7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1"/>
        <v>0</v>
      </c>
      <c r="AK89" s="99"/>
      <c r="AL89" s="46"/>
      <c r="AM89" s="46"/>
      <c r="AN89" s="100"/>
      <c r="AY89" s="82"/>
      <c r="BF89" s="82"/>
      <c r="BG89" s="82">
        <v>-27.8</v>
      </c>
      <c r="BH89" s="82">
        <v>0</v>
      </c>
      <c r="BI89" s="82">
        <v>-329.8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0"/>
        <v>0</v>
      </c>
      <c r="AI90" s="49">
        <f t="shared" si="41"/>
        <v>0</v>
      </c>
      <c r="AK90" s="99"/>
      <c r="AL90" s="90"/>
      <c r="AM90" s="102"/>
      <c r="AN90" s="204"/>
      <c r="AY90" s="82"/>
      <c r="BF90" s="82"/>
      <c r="BG90" s="82">
        <v>-7.1</v>
      </c>
      <c r="BH90" s="82">
        <v>0</v>
      </c>
      <c r="BI90" s="82">
        <v>-192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0"/>
        <v>0</v>
      </c>
      <c r="AI91" s="49">
        <f t="shared" si="41"/>
        <v>0</v>
      </c>
      <c r="AK91" s="99"/>
      <c r="AL91" s="90"/>
      <c r="AM91" s="90"/>
      <c r="AN91" s="205"/>
      <c r="BF91" s="82"/>
      <c r="BG91" s="82">
        <v>-24</v>
      </c>
      <c r="BH91" s="82">
        <v>0</v>
      </c>
      <c r="BI91" s="82">
        <v>-263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0"/>
        <v>0</v>
      </c>
      <c r="AI92" s="49">
        <f t="shared" si="41"/>
        <v>0</v>
      </c>
      <c r="AK92" s="104"/>
      <c r="AL92" s="105"/>
      <c r="AM92" s="105"/>
      <c r="AN92" s="106"/>
      <c r="BF92" s="82"/>
      <c r="BG92" s="82">
        <v>-12</v>
      </c>
      <c r="BH92" s="82">
        <v>0</v>
      </c>
      <c r="BI92" s="82">
        <v>-318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0"/>
        <v>0</v>
      </c>
      <c r="AI93" s="49">
        <f t="shared" si="41"/>
        <v>0</v>
      </c>
      <c r="BF93" s="82"/>
      <c r="BG93" s="82">
        <v>-24.7</v>
      </c>
      <c r="BH93" s="82">
        <v>0</v>
      </c>
      <c r="BI93" s="82">
        <v>-322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0"/>
        <v>0</v>
      </c>
      <c r="AI94" s="49">
        <f t="shared" si="41"/>
        <v>0</v>
      </c>
      <c r="BF94" s="82"/>
      <c r="BG94" s="82">
        <v>8</v>
      </c>
      <c r="BH94" s="82">
        <v>0</v>
      </c>
      <c r="BI94" s="82">
        <v>-358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56">SUMIF(D84:D94,"&gt;0")</f>
        <v>0</v>
      </c>
      <c r="E95" s="71">
        <f t="shared" si="56"/>
        <v>0</v>
      </c>
      <c r="F95" s="71">
        <f t="shared" si="56"/>
        <v>0</v>
      </c>
      <c r="G95" s="71">
        <f t="shared" si="56"/>
        <v>0</v>
      </c>
      <c r="H95" s="71">
        <f t="shared" si="56"/>
        <v>0</v>
      </c>
      <c r="I95" s="71">
        <f t="shared" si="56"/>
        <v>0</v>
      </c>
      <c r="J95" s="71">
        <f t="shared" si="56"/>
        <v>0</v>
      </c>
      <c r="K95" s="71">
        <f t="shared" si="56"/>
        <v>0</v>
      </c>
      <c r="L95" s="71">
        <f t="shared" si="56"/>
        <v>0</v>
      </c>
      <c r="M95" s="71">
        <f t="shared" si="56"/>
        <v>0</v>
      </c>
      <c r="N95" s="71">
        <f t="shared" si="56"/>
        <v>0</v>
      </c>
      <c r="O95" s="71">
        <f t="shared" si="56"/>
        <v>0</v>
      </c>
      <c r="P95" s="71">
        <f t="shared" si="56"/>
        <v>0</v>
      </c>
      <c r="Q95" s="71">
        <f t="shared" si="56"/>
        <v>0</v>
      </c>
      <c r="R95" s="71">
        <f t="shared" ref="R95:S95" si="57">SUMIF(R84:R94,"&gt;0")</f>
        <v>8</v>
      </c>
      <c r="S95" s="71">
        <f t="shared" si="57"/>
        <v>0</v>
      </c>
      <c r="T95" s="71">
        <f t="shared" ref="T95:U95" si="58">SUMIF(T84:T94,"&gt;0")</f>
        <v>0</v>
      </c>
      <c r="U95" s="71">
        <f t="shared" si="58"/>
        <v>48.5</v>
      </c>
      <c r="V95" s="71">
        <f t="shared" ref="V95:W95" si="59">SUMIF(V84:V94,"&gt;0")</f>
        <v>17.899999999999999</v>
      </c>
      <c r="W95" s="71">
        <f t="shared" si="59"/>
        <v>10.6</v>
      </c>
      <c r="X95" s="71">
        <f t="shared" ref="X95" si="60">SUMIF(X84:X94,"&gt;0")</f>
        <v>28.1</v>
      </c>
      <c r="Y95" s="71">
        <f t="shared" si="56"/>
        <v>10</v>
      </c>
      <c r="Z95" s="71">
        <f t="shared" ref="Z95" si="61">SUMIF(Z84:Z94,"&gt;0")</f>
        <v>20</v>
      </c>
      <c r="AA95" s="71">
        <f t="shared" si="56"/>
        <v>27.7</v>
      </c>
      <c r="AB95" s="71">
        <f t="shared" si="56"/>
        <v>0</v>
      </c>
      <c r="AC95" s="71">
        <f t="shared" si="56"/>
        <v>0</v>
      </c>
      <c r="AD95" s="71">
        <f t="shared" si="56"/>
        <v>0</v>
      </c>
      <c r="AE95" s="71">
        <f t="shared" si="56"/>
        <v>0</v>
      </c>
      <c r="AF95" s="71">
        <f t="shared" si="56"/>
        <v>0</v>
      </c>
      <c r="AG95" s="101">
        <f>SUM(AG84:AG94)</f>
        <v>0</v>
      </c>
      <c r="AH95" s="48">
        <f t="shared" si="40"/>
        <v>48.5</v>
      </c>
      <c r="AI95" s="49">
        <f t="shared" si="41"/>
        <v>0</v>
      </c>
      <c r="BF95" s="82"/>
      <c r="BG95" s="82">
        <v>-21</v>
      </c>
      <c r="BH95" s="82">
        <v>0</v>
      </c>
      <c r="BI95" s="82">
        <v>-309.7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0"/>
        <v>0</v>
      </c>
      <c r="AI96" s="49">
        <f t="shared" si="41"/>
        <v>0</v>
      </c>
      <c r="BF96" s="82"/>
      <c r="BG96" s="82">
        <v>-14.2</v>
      </c>
      <c r="BH96" s="82">
        <v>0</v>
      </c>
      <c r="BI96" s="82">
        <v>-297.2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0"/>
        <v>0</v>
      </c>
      <c r="AI97" s="49">
        <f t="shared" si="41"/>
        <v>0</v>
      </c>
      <c r="BF97" s="82"/>
      <c r="BG97" s="82">
        <v>48.5</v>
      </c>
      <c r="BH97" s="82">
        <v>0</v>
      </c>
      <c r="BI97" s="82">
        <v>-352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0"/>
        <v>0</v>
      </c>
      <c r="AI98" s="49">
        <f t="shared" si="41"/>
        <v>0</v>
      </c>
      <c r="BF98" s="82"/>
      <c r="BG98" s="82">
        <v>17.899999999999999</v>
      </c>
      <c r="BH98" s="82">
        <v>0</v>
      </c>
      <c r="BI98" s="82">
        <v>-172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0"/>
        <v>0</v>
      </c>
      <c r="AI99" s="49">
        <f t="shared" si="41"/>
        <v>0</v>
      </c>
      <c r="BF99" s="81"/>
      <c r="BG99" s="82">
        <v>28.1</v>
      </c>
      <c r="BH99" s="82">
        <v>0</v>
      </c>
      <c r="BI99" s="82">
        <v>-198.7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62">B61+B65+B83+B79+B95+B99</f>
        <v>2086.6400000000003</v>
      </c>
      <c r="C100" s="108">
        <f t="shared" si="62"/>
        <v>2089.84</v>
      </c>
      <c r="D100" s="108">
        <f t="shared" si="62"/>
        <v>1699.54</v>
      </c>
      <c r="E100" s="108">
        <f t="shared" si="62"/>
        <v>1542.54</v>
      </c>
      <c r="F100" s="108">
        <f t="shared" si="62"/>
        <v>1517.54</v>
      </c>
      <c r="G100" s="108">
        <f t="shared" si="62"/>
        <v>1538.14</v>
      </c>
      <c r="H100" s="108">
        <f t="shared" si="62"/>
        <v>1469.3400000000001</v>
      </c>
      <c r="I100" s="108">
        <f t="shared" si="62"/>
        <v>1499.24</v>
      </c>
      <c r="J100" s="108">
        <f t="shared" si="62"/>
        <v>1525.64</v>
      </c>
      <c r="K100" s="108">
        <f t="shared" si="62"/>
        <v>1604.4399999999998</v>
      </c>
      <c r="L100" s="108">
        <f t="shared" si="62"/>
        <v>1619.5399999999997</v>
      </c>
      <c r="M100" s="108">
        <f t="shared" si="62"/>
        <v>1611.04</v>
      </c>
      <c r="N100" s="108">
        <f t="shared" si="62"/>
        <v>1472.94</v>
      </c>
      <c r="O100" s="108">
        <f t="shared" si="62"/>
        <v>1483.6399999999999</v>
      </c>
      <c r="P100" s="108">
        <f t="shared" si="62"/>
        <v>1517.6399999999999</v>
      </c>
      <c r="Q100" s="108">
        <f t="shared" si="62"/>
        <v>1507.94</v>
      </c>
      <c r="R100" s="108">
        <f t="shared" ref="R100:S100" si="63">R61+R65+R83+R79+R95+R99</f>
        <v>1547.7399999999998</v>
      </c>
      <c r="S100" s="108">
        <f t="shared" si="63"/>
        <v>1529.84</v>
      </c>
      <c r="T100" s="108">
        <f t="shared" ref="T100:U100" si="64">T61+T65+T83+T79+T95+T99</f>
        <v>1503.5</v>
      </c>
      <c r="U100" s="108">
        <f t="shared" si="64"/>
        <v>1533.24</v>
      </c>
      <c r="V100" s="108">
        <f t="shared" ref="V100:W100" si="65">V61+V65+V83+V79+V95+V99</f>
        <v>1378.7400000000002</v>
      </c>
      <c r="W100" s="108">
        <f t="shared" si="65"/>
        <v>1348.04</v>
      </c>
      <c r="X100" s="108">
        <f t="shared" ref="X100" si="66">X61+X65+X83+X79+X95+X99</f>
        <v>1362.55</v>
      </c>
      <c r="Y100" s="108">
        <f t="shared" si="62"/>
        <v>1365.7099999999998</v>
      </c>
      <c r="Z100" s="108">
        <f t="shared" ref="Z100" si="67">Z61+Z65+Z83+Z79+Z95+Z99</f>
        <v>1364.3999999999999</v>
      </c>
      <c r="AA100" s="108">
        <f t="shared" si="62"/>
        <v>1408.84</v>
      </c>
      <c r="AB100" s="108">
        <f t="shared" si="62"/>
        <v>1883.84</v>
      </c>
      <c r="AC100" s="108">
        <f t="shared" si="62"/>
        <v>1895.0399999999995</v>
      </c>
      <c r="AD100" s="108">
        <f t="shared" si="62"/>
        <v>1903.7399999999996</v>
      </c>
      <c r="AE100" s="108">
        <f t="shared" si="62"/>
        <v>1915.0399999999997</v>
      </c>
      <c r="AF100" s="108">
        <f t="shared" si="62"/>
        <v>1916.7399999999998</v>
      </c>
      <c r="AG100" s="72">
        <f t="shared" si="62"/>
        <v>2655.44</v>
      </c>
      <c r="AH100" s="48">
        <f t="shared" si="40"/>
        <v>2089.84</v>
      </c>
      <c r="AI100" s="49">
        <f t="shared" si="41"/>
        <v>1348.04</v>
      </c>
      <c r="BF100" s="81"/>
      <c r="BG100" s="82">
        <v>20</v>
      </c>
      <c r="BH100" s="82">
        <v>0</v>
      </c>
      <c r="BI100" s="82">
        <v>-47.1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>
        <v>150</v>
      </c>
      <c r="AA101" s="110">
        <v>200</v>
      </c>
      <c r="AB101" s="110">
        <v>150</v>
      </c>
      <c r="AC101" s="110">
        <v>150</v>
      </c>
      <c r="AD101" s="110">
        <v>100</v>
      </c>
      <c r="AE101" s="110">
        <v>80</v>
      </c>
      <c r="AF101" s="110"/>
      <c r="AG101" s="101"/>
      <c r="AH101" s="48">
        <f t="shared" si="40"/>
        <v>200</v>
      </c>
      <c r="AI101" s="49">
        <f t="shared" si="41"/>
        <v>80</v>
      </c>
      <c r="BF101" s="81"/>
      <c r="BG101" s="82">
        <v>-4.7</v>
      </c>
      <c r="BH101" s="82">
        <v>0</v>
      </c>
      <c r="BI101" s="82">
        <v>-549.6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2086.6400000000003</v>
      </c>
      <c r="C102" s="108">
        <f t="shared" ref="C102:AF102" si="68">C100+C101</f>
        <v>2089.84</v>
      </c>
      <c r="D102" s="108">
        <f t="shared" si="68"/>
        <v>1699.54</v>
      </c>
      <c r="E102" s="108">
        <f t="shared" si="68"/>
        <v>1542.54</v>
      </c>
      <c r="F102" s="108">
        <f t="shared" si="68"/>
        <v>1517.54</v>
      </c>
      <c r="G102" s="108">
        <f t="shared" si="68"/>
        <v>1538.14</v>
      </c>
      <c r="H102" s="108">
        <f t="shared" si="68"/>
        <v>1469.3400000000001</v>
      </c>
      <c r="I102" s="108">
        <f t="shared" si="68"/>
        <v>1499.24</v>
      </c>
      <c r="J102" s="108">
        <f t="shared" si="68"/>
        <v>1525.64</v>
      </c>
      <c r="K102" s="108">
        <f t="shared" si="68"/>
        <v>1604.4399999999998</v>
      </c>
      <c r="L102" s="108">
        <f t="shared" si="68"/>
        <v>1619.5399999999997</v>
      </c>
      <c r="M102" s="108">
        <f t="shared" si="68"/>
        <v>1611.04</v>
      </c>
      <c r="N102" s="108">
        <f t="shared" si="68"/>
        <v>1472.94</v>
      </c>
      <c r="O102" s="108">
        <f t="shared" si="68"/>
        <v>1483.6399999999999</v>
      </c>
      <c r="P102" s="108">
        <f t="shared" si="68"/>
        <v>1517.6399999999999</v>
      </c>
      <c r="Q102" s="108">
        <f t="shared" si="68"/>
        <v>1507.94</v>
      </c>
      <c r="R102" s="108">
        <f t="shared" ref="R102:S102" si="69">R100+R101</f>
        <v>1547.7399999999998</v>
      </c>
      <c r="S102" s="108">
        <f t="shared" si="69"/>
        <v>1529.84</v>
      </c>
      <c r="T102" s="108">
        <f t="shared" ref="T102:U102" si="70">T100+T101</f>
        <v>1503.5</v>
      </c>
      <c r="U102" s="108">
        <f t="shared" si="70"/>
        <v>1533.24</v>
      </c>
      <c r="V102" s="108">
        <f t="shared" ref="V102:W102" si="71">V100+V101</f>
        <v>1378.7400000000002</v>
      </c>
      <c r="W102" s="108">
        <f t="shared" si="71"/>
        <v>1348.04</v>
      </c>
      <c r="X102" s="108">
        <f t="shared" ref="X102" si="72">X100+X101</f>
        <v>1362.55</v>
      </c>
      <c r="Y102" s="108">
        <f t="shared" si="68"/>
        <v>1365.7099999999998</v>
      </c>
      <c r="Z102" s="108">
        <f t="shared" ref="Z102" si="73">Z100+Z101</f>
        <v>1514.3999999999999</v>
      </c>
      <c r="AA102" s="108">
        <f t="shared" si="68"/>
        <v>1608.84</v>
      </c>
      <c r="AB102" s="108">
        <f t="shared" si="68"/>
        <v>2033.84</v>
      </c>
      <c r="AC102" s="108">
        <f t="shared" si="68"/>
        <v>2045.0399999999995</v>
      </c>
      <c r="AD102" s="108">
        <f t="shared" si="68"/>
        <v>2003.7399999999996</v>
      </c>
      <c r="AE102" s="108">
        <f t="shared" si="68"/>
        <v>1995.0399999999997</v>
      </c>
      <c r="AF102" s="108">
        <f t="shared" si="68"/>
        <v>1916.7399999999998</v>
      </c>
      <c r="AG102" s="101">
        <f>AG99+AG95+AG83+AG79+AG61+AG101</f>
        <v>2117.34</v>
      </c>
      <c r="AH102" s="48">
        <f t="shared" si="40"/>
        <v>2089.84</v>
      </c>
      <c r="AI102" s="49">
        <f t="shared" si="41"/>
        <v>1348.04</v>
      </c>
      <c r="BF102" s="81"/>
      <c r="BG102" s="82">
        <v>0</v>
      </c>
      <c r="BH102" s="82">
        <v>0</v>
      </c>
      <c r="BI102" s="82">
        <v>-545.5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1441.7400000000002</v>
      </c>
      <c r="C103" s="108">
        <f t="shared" ref="C103:AF103" si="74">C102-(C110)</f>
        <v>1430.8400000000001</v>
      </c>
      <c r="D103" s="108">
        <f t="shared" si="74"/>
        <v>1401.44</v>
      </c>
      <c r="E103" s="108">
        <f t="shared" si="74"/>
        <v>1273.6399999999999</v>
      </c>
      <c r="F103" s="108">
        <f t="shared" si="74"/>
        <v>1236.24</v>
      </c>
      <c r="G103" s="108">
        <f t="shared" si="74"/>
        <v>1218.04</v>
      </c>
      <c r="H103" s="108">
        <f t="shared" si="74"/>
        <v>1226.7400000000002</v>
      </c>
      <c r="I103" s="108">
        <f t="shared" si="74"/>
        <v>1187.54</v>
      </c>
      <c r="J103" s="108">
        <f t="shared" si="74"/>
        <v>1257.8400000000001</v>
      </c>
      <c r="K103" s="108">
        <f t="shared" si="74"/>
        <v>1281.1399999999999</v>
      </c>
      <c r="L103" s="108">
        <f t="shared" si="74"/>
        <v>1285.8399999999997</v>
      </c>
      <c r="M103" s="108">
        <f t="shared" si="74"/>
        <v>1253.44</v>
      </c>
      <c r="N103" s="108">
        <f t="shared" si="74"/>
        <v>1273.8400000000001</v>
      </c>
      <c r="O103" s="108">
        <f t="shared" si="74"/>
        <v>1196.6399999999999</v>
      </c>
      <c r="P103" s="108">
        <f t="shared" si="74"/>
        <v>1187.6399999999999</v>
      </c>
      <c r="Q103" s="108">
        <f t="shared" si="74"/>
        <v>1161.24</v>
      </c>
      <c r="R103" s="108">
        <f t="shared" ref="R103:S103" si="75">R102-(R110)</f>
        <v>1189.7399999999998</v>
      </c>
      <c r="S103" s="108">
        <f t="shared" si="75"/>
        <v>1199.1399999999999</v>
      </c>
      <c r="T103" s="108">
        <f t="shared" ref="T103:U103" si="76">T102-(T110)</f>
        <v>1192.0999999999999</v>
      </c>
      <c r="U103" s="108">
        <f t="shared" si="76"/>
        <v>1181.24</v>
      </c>
      <c r="V103" s="108">
        <f t="shared" ref="V103:W103" si="77">V102-(V110)</f>
        <v>1206.7400000000002</v>
      </c>
      <c r="W103" s="108">
        <f t="shared" si="77"/>
        <v>1177.94</v>
      </c>
      <c r="X103" s="108">
        <f t="shared" ref="X103" si="78">X102-(X110)</f>
        <v>1163.8499999999999</v>
      </c>
      <c r="Y103" s="108">
        <f t="shared" si="74"/>
        <v>1233.4099999999999</v>
      </c>
      <c r="Z103" s="108">
        <f t="shared" ref="Z103" si="79">Z102-(Z110)</f>
        <v>1467.3</v>
      </c>
      <c r="AA103" s="108">
        <f t="shared" si="74"/>
        <v>1563.74</v>
      </c>
      <c r="AB103" s="108">
        <f t="shared" si="74"/>
        <v>1479.54</v>
      </c>
      <c r="AC103" s="108">
        <f t="shared" si="74"/>
        <v>1505.9399999999996</v>
      </c>
      <c r="AD103" s="108">
        <f t="shared" si="74"/>
        <v>1458.2399999999996</v>
      </c>
      <c r="AE103" s="108">
        <f t="shared" si="74"/>
        <v>1371.2399999999998</v>
      </c>
      <c r="AF103" s="108">
        <f t="shared" si="74"/>
        <v>1323.5399999999997</v>
      </c>
      <c r="AG103" s="101"/>
      <c r="AH103" s="48">
        <f t="shared" si="40"/>
        <v>1563.74</v>
      </c>
      <c r="AI103" s="49">
        <f t="shared" si="41"/>
        <v>1161.24</v>
      </c>
      <c r="BF103" s="81"/>
      <c r="BG103" s="82">
        <v>-2.7</v>
      </c>
      <c r="BH103" s="82">
        <v>0</v>
      </c>
      <c r="BI103" s="82">
        <v>-621.1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9" si="80">IF(B84&lt;0,B84*-1,0)</f>
        <v>41.6</v>
      </c>
      <c r="C104" s="89">
        <f t="shared" si="80"/>
        <v>43.3</v>
      </c>
      <c r="D104" s="89">
        <f t="shared" si="80"/>
        <v>41.2</v>
      </c>
      <c r="E104" s="89">
        <f t="shared" si="80"/>
        <v>3.9</v>
      </c>
      <c r="F104" s="89">
        <f t="shared" si="80"/>
        <v>4.7</v>
      </c>
      <c r="G104" s="89">
        <f t="shared" si="80"/>
        <v>12.5</v>
      </c>
      <c r="H104" s="89">
        <f t="shared" si="80"/>
        <v>13.6</v>
      </c>
      <c r="I104" s="89">
        <f t="shared" si="80"/>
        <v>45.7</v>
      </c>
      <c r="J104" s="89">
        <f t="shared" si="80"/>
        <v>25.8</v>
      </c>
      <c r="K104" s="89">
        <f t="shared" si="80"/>
        <v>29.6</v>
      </c>
      <c r="L104" s="89">
        <f t="shared" si="80"/>
        <v>46.2</v>
      </c>
      <c r="M104" s="89">
        <f t="shared" si="80"/>
        <v>27.8</v>
      </c>
      <c r="N104" s="89">
        <f t="shared" si="80"/>
        <v>7.1</v>
      </c>
      <c r="O104" s="89">
        <f t="shared" si="80"/>
        <v>24</v>
      </c>
      <c r="P104" s="89">
        <f t="shared" si="80"/>
        <v>12</v>
      </c>
      <c r="Q104" s="89">
        <f t="shared" si="80"/>
        <v>24.7</v>
      </c>
      <c r="R104" s="89">
        <f t="shared" ref="R104:S104" si="81">IF(R84&lt;0,R84*-1,0)</f>
        <v>0</v>
      </c>
      <c r="S104" s="89">
        <f t="shared" si="81"/>
        <v>21</v>
      </c>
      <c r="T104" s="89">
        <f t="shared" ref="T104:U104" si="82">IF(T84&lt;0,T84*-1,0)</f>
        <v>14.2</v>
      </c>
      <c r="U104" s="89">
        <f t="shared" si="82"/>
        <v>0</v>
      </c>
      <c r="V104" s="89">
        <f t="shared" ref="V104:W104" si="83">IF(V84&lt;0,V84*-1,0)</f>
        <v>0</v>
      </c>
      <c r="W104" s="89">
        <f t="shared" si="83"/>
        <v>0</v>
      </c>
      <c r="X104" s="89">
        <f t="shared" ref="X104" si="84">IF(X84&lt;0,X84*-1,0)</f>
        <v>0</v>
      </c>
      <c r="Y104" s="89">
        <f t="shared" si="80"/>
        <v>0</v>
      </c>
      <c r="Z104" s="89">
        <f t="shared" ref="Z104" si="85">IF(Z84&lt;0,Z84*-1,0)</f>
        <v>0</v>
      </c>
      <c r="AA104" s="89">
        <f t="shared" si="80"/>
        <v>0</v>
      </c>
      <c r="AB104" s="89">
        <f t="shared" si="80"/>
        <v>4.7</v>
      </c>
      <c r="AC104" s="89">
        <f t="shared" si="80"/>
        <v>1.1000000000000001</v>
      </c>
      <c r="AD104" s="89">
        <f t="shared" si="80"/>
        <v>0</v>
      </c>
      <c r="AE104" s="89">
        <f t="shared" si="80"/>
        <v>2.7</v>
      </c>
      <c r="AF104" s="89">
        <f t="shared" si="80"/>
        <v>26.2</v>
      </c>
      <c r="AG104" s="61"/>
      <c r="AH104" s="48">
        <f t="shared" si="40"/>
        <v>46.2</v>
      </c>
      <c r="AI104" s="49">
        <f t="shared" si="41"/>
        <v>0</v>
      </c>
      <c r="BG104" s="82">
        <v>-26.2</v>
      </c>
      <c r="BH104" s="82">
        <v>0</v>
      </c>
      <c r="BI104" s="82">
        <v>-567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0"/>
        <v>0</v>
      </c>
      <c r="C105" s="89">
        <f t="shared" si="80"/>
        <v>0</v>
      </c>
      <c r="D105" s="89">
        <f t="shared" si="80"/>
        <v>0</v>
      </c>
      <c r="E105" s="89">
        <f t="shared" si="80"/>
        <v>0</v>
      </c>
      <c r="F105" s="89">
        <f t="shared" si="80"/>
        <v>0</v>
      </c>
      <c r="G105" s="89">
        <f t="shared" si="80"/>
        <v>0</v>
      </c>
      <c r="H105" s="89">
        <f t="shared" si="80"/>
        <v>0</v>
      </c>
      <c r="I105" s="89">
        <f t="shared" si="80"/>
        <v>0</v>
      </c>
      <c r="J105" s="89">
        <f t="shared" si="80"/>
        <v>0</v>
      </c>
      <c r="K105" s="89">
        <f t="shared" si="80"/>
        <v>0</v>
      </c>
      <c r="L105" s="89">
        <f t="shared" si="80"/>
        <v>0</v>
      </c>
      <c r="M105" s="89">
        <f t="shared" si="80"/>
        <v>0</v>
      </c>
      <c r="N105" s="89">
        <f t="shared" si="80"/>
        <v>0</v>
      </c>
      <c r="O105" s="89">
        <f t="shared" si="80"/>
        <v>0</v>
      </c>
      <c r="P105" s="89">
        <f t="shared" si="80"/>
        <v>0</v>
      </c>
      <c r="Q105" s="89">
        <f t="shared" si="80"/>
        <v>0</v>
      </c>
      <c r="R105" s="89">
        <f t="shared" ref="R105:S105" si="86">IF(R85&lt;0,R85*-1,0)</f>
        <v>0</v>
      </c>
      <c r="S105" s="89">
        <f t="shared" si="86"/>
        <v>0</v>
      </c>
      <c r="T105" s="89">
        <f t="shared" ref="T105:U105" si="87">IF(T85&lt;0,T85*-1,0)</f>
        <v>0</v>
      </c>
      <c r="U105" s="89">
        <f t="shared" si="87"/>
        <v>0</v>
      </c>
      <c r="V105" s="89">
        <f t="shared" ref="V105:W105" si="88">IF(V85&lt;0,V85*-1,0)</f>
        <v>0</v>
      </c>
      <c r="W105" s="89">
        <f t="shared" si="88"/>
        <v>0</v>
      </c>
      <c r="X105" s="89">
        <f t="shared" ref="X105" si="89">IF(X85&lt;0,X85*-1,0)</f>
        <v>0</v>
      </c>
      <c r="Y105" s="89">
        <f t="shared" si="80"/>
        <v>0</v>
      </c>
      <c r="Z105" s="89">
        <f t="shared" ref="Z105" si="90">IF(Z85&lt;0,Z85*-1,0)</f>
        <v>0</v>
      </c>
      <c r="AA105" s="89">
        <f t="shared" si="80"/>
        <v>0</v>
      </c>
      <c r="AB105" s="89">
        <f t="shared" si="80"/>
        <v>0</v>
      </c>
      <c r="AC105" s="89">
        <f t="shared" si="80"/>
        <v>0</v>
      </c>
      <c r="AD105" s="89">
        <f t="shared" si="80"/>
        <v>0</v>
      </c>
      <c r="AE105" s="89">
        <f t="shared" si="80"/>
        <v>0</v>
      </c>
      <c r="AF105" s="89">
        <f t="shared" si="80"/>
        <v>0</v>
      </c>
      <c r="AG105" s="66"/>
      <c r="AH105" s="48">
        <f t="shared" si="40"/>
        <v>0</v>
      </c>
      <c r="AI105" s="49">
        <f t="shared" si="41"/>
        <v>0</v>
      </c>
      <c r="AK105" s="51"/>
      <c r="BG105" s="82">
        <v>-41.6</v>
      </c>
      <c r="BH105" s="82">
        <v>0</v>
      </c>
      <c r="BI105" s="82">
        <v>-603.29999999999995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0"/>
        <v>603.29999999999995</v>
      </c>
      <c r="C106" s="89">
        <f t="shared" si="80"/>
        <v>615.70000000000005</v>
      </c>
      <c r="D106" s="89">
        <f t="shared" si="80"/>
        <v>256.89999999999998</v>
      </c>
      <c r="E106" s="89">
        <f t="shared" si="80"/>
        <v>265</v>
      </c>
      <c r="F106" s="89">
        <f t="shared" si="80"/>
        <v>276.60000000000002</v>
      </c>
      <c r="G106" s="89">
        <f t="shared" si="80"/>
        <v>307.60000000000002</v>
      </c>
      <c r="H106" s="89">
        <f t="shared" si="80"/>
        <v>229</v>
      </c>
      <c r="I106" s="89">
        <f t="shared" si="80"/>
        <v>266</v>
      </c>
      <c r="J106" s="89">
        <f t="shared" si="80"/>
        <v>242</v>
      </c>
      <c r="K106" s="89">
        <f t="shared" si="80"/>
        <v>293.7</v>
      </c>
      <c r="L106" s="89">
        <f t="shared" si="80"/>
        <v>287.5</v>
      </c>
      <c r="M106" s="89">
        <f t="shared" si="80"/>
        <v>329.8</v>
      </c>
      <c r="N106" s="89">
        <f t="shared" si="80"/>
        <v>192</v>
      </c>
      <c r="O106" s="89">
        <f t="shared" si="80"/>
        <v>263</v>
      </c>
      <c r="P106" s="89">
        <f t="shared" si="80"/>
        <v>318</v>
      </c>
      <c r="Q106" s="89">
        <f t="shared" si="80"/>
        <v>322</v>
      </c>
      <c r="R106" s="89">
        <f t="shared" ref="R106:S106" si="91">IF(R86&lt;0,R86*-1,0)</f>
        <v>358</v>
      </c>
      <c r="S106" s="89">
        <f t="shared" si="91"/>
        <v>309.7</v>
      </c>
      <c r="T106" s="89">
        <f t="shared" ref="T106:U106" si="92">IF(T86&lt;0,T86*-1,0)</f>
        <v>297.2</v>
      </c>
      <c r="U106" s="89">
        <f t="shared" si="92"/>
        <v>352</v>
      </c>
      <c r="V106" s="89">
        <f t="shared" ref="V106:W106" si="93">IF(V86&lt;0,V86*-1,0)</f>
        <v>172</v>
      </c>
      <c r="W106" s="89">
        <f t="shared" si="93"/>
        <v>170.1</v>
      </c>
      <c r="X106" s="89">
        <f t="shared" ref="X106" si="94">IF(X86&lt;0,X86*-1,0)</f>
        <v>198.7</v>
      </c>
      <c r="Y106" s="89">
        <f t="shared" si="80"/>
        <v>132.30000000000001</v>
      </c>
      <c r="Z106" s="89">
        <f t="shared" ref="Z106" si="95">IF(Z86&lt;0,Z86*-1,0)</f>
        <v>47.1</v>
      </c>
      <c r="AA106" s="89">
        <f t="shared" si="80"/>
        <v>45.1</v>
      </c>
      <c r="AB106" s="89">
        <f t="shared" si="80"/>
        <v>549.6</v>
      </c>
      <c r="AC106" s="89">
        <f t="shared" si="80"/>
        <v>538</v>
      </c>
      <c r="AD106" s="89">
        <f t="shared" si="80"/>
        <v>545.5</v>
      </c>
      <c r="AE106" s="89">
        <f t="shared" si="80"/>
        <v>621.1</v>
      </c>
      <c r="AF106" s="89">
        <f t="shared" si="80"/>
        <v>567</v>
      </c>
      <c r="AG106" s="111"/>
      <c r="AH106" s="48">
        <f t="shared" si="40"/>
        <v>621.1</v>
      </c>
      <c r="AI106" s="49">
        <f t="shared" si="41"/>
        <v>45.1</v>
      </c>
    </row>
    <row r="107" spans="1:64" x14ac:dyDescent="0.25">
      <c r="A107" s="97" t="s">
        <v>107</v>
      </c>
      <c r="B107" s="89">
        <f t="shared" si="80"/>
        <v>0</v>
      </c>
      <c r="C107" s="89">
        <f t="shared" si="80"/>
        <v>0</v>
      </c>
      <c r="D107" s="89">
        <f t="shared" si="80"/>
        <v>0</v>
      </c>
      <c r="E107" s="89">
        <f t="shared" si="80"/>
        <v>0</v>
      </c>
      <c r="F107" s="89">
        <f t="shared" si="80"/>
        <v>0</v>
      </c>
      <c r="G107" s="89">
        <f t="shared" si="80"/>
        <v>0</v>
      </c>
      <c r="H107" s="89">
        <f t="shared" si="80"/>
        <v>0</v>
      </c>
      <c r="I107" s="89">
        <f t="shared" si="80"/>
        <v>0</v>
      </c>
      <c r="J107" s="89">
        <f t="shared" si="80"/>
        <v>0</v>
      </c>
      <c r="K107" s="89">
        <f t="shared" si="80"/>
        <v>0</v>
      </c>
      <c r="L107" s="89">
        <f t="shared" si="80"/>
        <v>0</v>
      </c>
      <c r="M107" s="89">
        <f t="shared" si="80"/>
        <v>0</v>
      </c>
      <c r="N107" s="89">
        <f t="shared" si="80"/>
        <v>0</v>
      </c>
      <c r="O107" s="89">
        <f t="shared" si="80"/>
        <v>0</v>
      </c>
      <c r="P107" s="89">
        <f t="shared" si="80"/>
        <v>0</v>
      </c>
      <c r="Q107" s="89">
        <f t="shared" si="80"/>
        <v>0</v>
      </c>
      <c r="R107" s="89">
        <f t="shared" ref="R107:S107" si="96">IF(R87&lt;0,R87*-1,0)</f>
        <v>0</v>
      </c>
      <c r="S107" s="89">
        <f t="shared" si="96"/>
        <v>0</v>
      </c>
      <c r="T107" s="89">
        <f t="shared" ref="T107:U107" si="97">IF(T87&lt;0,T87*-1,0)</f>
        <v>0</v>
      </c>
      <c r="U107" s="89">
        <f t="shared" si="97"/>
        <v>0</v>
      </c>
      <c r="V107" s="89">
        <f t="shared" ref="V107:W107" si="98">IF(V87&lt;0,V87*-1,0)</f>
        <v>0</v>
      </c>
      <c r="W107" s="89">
        <f t="shared" si="98"/>
        <v>0</v>
      </c>
      <c r="X107" s="89">
        <f t="shared" ref="X107" si="99">IF(X87&lt;0,X87*-1,0)</f>
        <v>0</v>
      </c>
      <c r="Y107" s="89">
        <f t="shared" si="80"/>
        <v>0</v>
      </c>
      <c r="Z107" s="89">
        <f t="shared" ref="Z107" si="100">IF(Z87&lt;0,Z87*-1,0)</f>
        <v>0</v>
      </c>
      <c r="AA107" s="89">
        <f t="shared" si="80"/>
        <v>0</v>
      </c>
      <c r="AB107" s="89">
        <f t="shared" si="80"/>
        <v>0</v>
      </c>
      <c r="AC107" s="89">
        <f t="shared" si="80"/>
        <v>0</v>
      </c>
      <c r="AD107" s="89">
        <f t="shared" si="80"/>
        <v>0</v>
      </c>
      <c r="AE107" s="89">
        <f t="shared" si="80"/>
        <v>0</v>
      </c>
      <c r="AF107" s="89">
        <f t="shared" si="80"/>
        <v>0</v>
      </c>
      <c r="AG107" s="111"/>
      <c r="AH107" s="48">
        <f t="shared" si="40"/>
        <v>0</v>
      </c>
      <c r="AI107" s="49">
        <f t="shared" si="41"/>
        <v>0</v>
      </c>
    </row>
    <row r="108" spans="1:64" x14ac:dyDescent="0.25">
      <c r="A108" s="97" t="s">
        <v>108</v>
      </c>
      <c r="B108" s="89">
        <f t="shared" si="80"/>
        <v>0</v>
      </c>
      <c r="C108" s="89">
        <f t="shared" si="80"/>
        <v>0</v>
      </c>
      <c r="D108" s="89">
        <f t="shared" si="80"/>
        <v>0</v>
      </c>
      <c r="E108" s="89">
        <f t="shared" si="80"/>
        <v>0</v>
      </c>
      <c r="F108" s="89">
        <f t="shared" si="80"/>
        <v>0</v>
      </c>
      <c r="G108" s="89">
        <f t="shared" si="80"/>
        <v>0</v>
      </c>
      <c r="H108" s="89">
        <f t="shared" si="80"/>
        <v>0</v>
      </c>
      <c r="I108" s="89">
        <f t="shared" si="80"/>
        <v>0</v>
      </c>
      <c r="J108" s="89">
        <f t="shared" si="80"/>
        <v>0</v>
      </c>
      <c r="K108" s="89">
        <f t="shared" si="80"/>
        <v>0</v>
      </c>
      <c r="L108" s="89">
        <f t="shared" si="80"/>
        <v>0</v>
      </c>
      <c r="M108" s="89">
        <f t="shared" si="80"/>
        <v>0</v>
      </c>
      <c r="N108" s="89">
        <f t="shared" si="80"/>
        <v>0</v>
      </c>
      <c r="O108" s="89">
        <f t="shared" si="80"/>
        <v>0</v>
      </c>
      <c r="P108" s="89">
        <f t="shared" si="80"/>
        <v>0</v>
      </c>
      <c r="Q108" s="89">
        <f t="shared" si="80"/>
        <v>0</v>
      </c>
      <c r="R108" s="89">
        <f t="shared" ref="R108:S108" si="101">IF(R88&lt;0,R88*-1,0)</f>
        <v>0</v>
      </c>
      <c r="S108" s="89">
        <f t="shared" si="101"/>
        <v>0</v>
      </c>
      <c r="T108" s="89">
        <f t="shared" ref="T108:U108" si="102">IF(T88&lt;0,T88*-1,0)</f>
        <v>0</v>
      </c>
      <c r="U108" s="89">
        <f t="shared" si="102"/>
        <v>0</v>
      </c>
      <c r="V108" s="89">
        <f t="shared" ref="V108:W108" si="103">IF(V88&lt;0,V88*-1,0)</f>
        <v>0</v>
      </c>
      <c r="W108" s="89">
        <f t="shared" si="103"/>
        <v>0</v>
      </c>
      <c r="X108" s="89">
        <f t="shared" ref="X108" si="104">IF(X88&lt;0,X88*-1,0)</f>
        <v>0</v>
      </c>
      <c r="Y108" s="89">
        <f t="shared" si="80"/>
        <v>0</v>
      </c>
      <c r="Z108" s="89">
        <f t="shared" ref="Z108" si="105">IF(Z88&lt;0,Z88*-1,0)</f>
        <v>0</v>
      </c>
      <c r="AA108" s="89">
        <f t="shared" si="80"/>
        <v>0</v>
      </c>
      <c r="AB108" s="89">
        <f t="shared" si="80"/>
        <v>0</v>
      </c>
      <c r="AC108" s="89">
        <f t="shared" si="80"/>
        <v>0</v>
      </c>
      <c r="AD108" s="89">
        <f t="shared" si="80"/>
        <v>0</v>
      </c>
      <c r="AE108" s="89">
        <f t="shared" si="80"/>
        <v>0</v>
      </c>
      <c r="AF108" s="89">
        <f t="shared" si="80"/>
        <v>0</v>
      </c>
      <c r="AG108" s="111"/>
      <c r="AH108" s="48">
        <f t="shared" si="40"/>
        <v>0</v>
      </c>
      <c r="AI108" s="49">
        <f t="shared" si="41"/>
        <v>0</v>
      </c>
    </row>
    <row r="109" spans="1:64" ht="15.75" thickBot="1" x14ac:dyDescent="0.3">
      <c r="A109" s="97" t="s">
        <v>117</v>
      </c>
      <c r="B109" s="89">
        <f t="shared" si="80"/>
        <v>0</v>
      </c>
      <c r="C109" s="89">
        <f t="shared" si="80"/>
        <v>0</v>
      </c>
      <c r="D109" s="89">
        <f t="shared" si="80"/>
        <v>0</v>
      </c>
      <c r="E109" s="89">
        <f t="shared" si="80"/>
        <v>0</v>
      </c>
      <c r="F109" s="89">
        <f t="shared" si="80"/>
        <v>0</v>
      </c>
      <c r="G109" s="89">
        <f t="shared" si="80"/>
        <v>0</v>
      </c>
      <c r="H109" s="89">
        <f t="shared" si="80"/>
        <v>0</v>
      </c>
      <c r="I109" s="89">
        <f t="shared" si="80"/>
        <v>0</v>
      </c>
      <c r="J109" s="89">
        <f t="shared" si="80"/>
        <v>0</v>
      </c>
      <c r="K109" s="89">
        <f t="shared" si="80"/>
        <v>0</v>
      </c>
      <c r="L109" s="89">
        <f t="shared" si="80"/>
        <v>0</v>
      </c>
      <c r="M109" s="89">
        <f t="shared" si="80"/>
        <v>0</v>
      </c>
      <c r="N109" s="89">
        <f t="shared" si="80"/>
        <v>0</v>
      </c>
      <c r="O109" s="89">
        <f t="shared" si="80"/>
        <v>0</v>
      </c>
      <c r="P109" s="89">
        <f t="shared" si="80"/>
        <v>0</v>
      </c>
      <c r="Q109" s="89">
        <f t="shared" si="80"/>
        <v>0</v>
      </c>
      <c r="R109" s="89">
        <f t="shared" ref="R109:S109" si="106">IF(R89&lt;0,R89*-1,0)</f>
        <v>0</v>
      </c>
      <c r="S109" s="89">
        <f t="shared" si="106"/>
        <v>0</v>
      </c>
      <c r="T109" s="89">
        <f t="shared" ref="T109:U109" si="107">IF(T89&lt;0,T89*-1,0)</f>
        <v>0</v>
      </c>
      <c r="U109" s="89">
        <f t="shared" si="107"/>
        <v>0</v>
      </c>
      <c r="V109" s="89">
        <f t="shared" ref="V109:W109" si="108">IF(V89&lt;0,V89*-1,0)</f>
        <v>0</v>
      </c>
      <c r="W109" s="89">
        <f t="shared" si="108"/>
        <v>0</v>
      </c>
      <c r="X109" s="89">
        <f t="shared" ref="X109" si="109">IF(X89&lt;0,X89*-1,0)</f>
        <v>0</v>
      </c>
      <c r="Y109" s="89">
        <f t="shared" si="80"/>
        <v>0</v>
      </c>
      <c r="Z109" s="89">
        <f t="shared" ref="Z109" si="110">IF(Z89&lt;0,Z89*-1,0)</f>
        <v>0</v>
      </c>
      <c r="AA109" s="89">
        <f t="shared" si="80"/>
        <v>0</v>
      </c>
      <c r="AB109" s="89">
        <f t="shared" si="80"/>
        <v>0</v>
      </c>
      <c r="AC109" s="89">
        <f t="shared" si="80"/>
        <v>0</v>
      </c>
      <c r="AD109" s="89">
        <f t="shared" si="80"/>
        <v>0</v>
      </c>
      <c r="AE109" s="89">
        <f t="shared" si="80"/>
        <v>0</v>
      </c>
      <c r="AF109" s="89">
        <f t="shared" si="80"/>
        <v>0</v>
      </c>
      <c r="AG109" s="98"/>
      <c r="AH109" s="48">
        <f t="shared" si="40"/>
        <v>0</v>
      </c>
      <c r="AI109" s="49">
        <f t="shared" si="41"/>
        <v>0</v>
      </c>
    </row>
    <row r="110" spans="1:64" ht="15.75" thickBot="1" x14ac:dyDescent="0.3">
      <c r="A110" s="112" t="s">
        <v>130</v>
      </c>
      <c r="B110" s="71">
        <f>SUM(B104:B109)</f>
        <v>644.9</v>
      </c>
      <c r="C110" s="71">
        <f t="shared" ref="C110:AF110" si="111">SUM(C104:C109)</f>
        <v>659</v>
      </c>
      <c r="D110" s="71">
        <f t="shared" si="111"/>
        <v>298.09999999999997</v>
      </c>
      <c r="E110" s="71">
        <f t="shared" si="111"/>
        <v>268.89999999999998</v>
      </c>
      <c r="F110" s="71">
        <f t="shared" si="111"/>
        <v>281.3</v>
      </c>
      <c r="G110" s="71">
        <f t="shared" si="111"/>
        <v>320.10000000000002</v>
      </c>
      <c r="H110" s="71">
        <f t="shared" si="111"/>
        <v>242.6</v>
      </c>
      <c r="I110" s="71">
        <f t="shared" si="111"/>
        <v>311.7</v>
      </c>
      <c r="J110" s="71">
        <f t="shared" si="111"/>
        <v>267.8</v>
      </c>
      <c r="K110" s="71">
        <f t="shared" si="111"/>
        <v>323.3</v>
      </c>
      <c r="L110" s="71">
        <f t="shared" si="111"/>
        <v>333.7</v>
      </c>
      <c r="M110" s="71">
        <f t="shared" si="111"/>
        <v>357.6</v>
      </c>
      <c r="N110" s="71">
        <f t="shared" si="111"/>
        <v>199.1</v>
      </c>
      <c r="O110" s="71">
        <f t="shared" si="111"/>
        <v>287</v>
      </c>
      <c r="P110" s="71">
        <f t="shared" si="111"/>
        <v>330</v>
      </c>
      <c r="Q110" s="71">
        <f t="shared" si="111"/>
        <v>346.7</v>
      </c>
      <c r="R110" s="71">
        <f t="shared" ref="R110:S110" si="112">SUM(R104:R109)</f>
        <v>358</v>
      </c>
      <c r="S110" s="71">
        <f t="shared" si="112"/>
        <v>330.7</v>
      </c>
      <c r="T110" s="71">
        <f t="shared" ref="T110:U110" si="113">SUM(T104:T109)</f>
        <v>311.39999999999998</v>
      </c>
      <c r="U110" s="71">
        <f t="shared" si="113"/>
        <v>352</v>
      </c>
      <c r="V110" s="71">
        <f t="shared" ref="V110:W110" si="114">SUM(V104:V109)</f>
        <v>172</v>
      </c>
      <c r="W110" s="71">
        <f t="shared" si="114"/>
        <v>170.1</v>
      </c>
      <c r="X110" s="71">
        <f t="shared" ref="X110" si="115">SUM(X104:X109)</f>
        <v>198.7</v>
      </c>
      <c r="Y110" s="71">
        <f t="shared" si="111"/>
        <v>132.30000000000001</v>
      </c>
      <c r="Z110" s="71">
        <f t="shared" ref="Z110" si="116">SUM(Z104:Z109)</f>
        <v>47.1</v>
      </c>
      <c r="AA110" s="71">
        <f t="shared" si="111"/>
        <v>45.1</v>
      </c>
      <c r="AB110" s="71">
        <f t="shared" si="111"/>
        <v>554.30000000000007</v>
      </c>
      <c r="AC110" s="71">
        <f t="shared" si="111"/>
        <v>539.1</v>
      </c>
      <c r="AD110" s="71">
        <f t="shared" si="111"/>
        <v>545.5</v>
      </c>
      <c r="AE110" s="71">
        <f t="shared" si="111"/>
        <v>623.80000000000007</v>
      </c>
      <c r="AF110" s="71">
        <f t="shared" si="111"/>
        <v>593.20000000000005</v>
      </c>
      <c r="AG110" s="101"/>
      <c r="AH110" s="48">
        <f t="shared" si="40"/>
        <v>659</v>
      </c>
      <c r="AI110" s="49">
        <f t="shared" si="41"/>
        <v>45.1</v>
      </c>
    </row>
    <row r="111" spans="1:64" ht="15.75" thickBot="1" x14ac:dyDescent="0.3">
      <c r="A111" s="87" t="s">
        <v>131</v>
      </c>
      <c r="B111" s="71">
        <f t="shared" ref="B111:AF111" si="117">B95-B110</f>
        <v>-644.9</v>
      </c>
      <c r="C111" s="71">
        <f t="shared" si="117"/>
        <v>-659</v>
      </c>
      <c r="D111" s="71">
        <f t="shared" si="117"/>
        <v>-298.09999999999997</v>
      </c>
      <c r="E111" s="71">
        <f t="shared" si="117"/>
        <v>-268.89999999999998</v>
      </c>
      <c r="F111" s="71">
        <f t="shared" si="117"/>
        <v>-281.3</v>
      </c>
      <c r="G111" s="71">
        <f t="shared" si="117"/>
        <v>-320.10000000000002</v>
      </c>
      <c r="H111" s="71">
        <f t="shared" si="117"/>
        <v>-242.6</v>
      </c>
      <c r="I111" s="71">
        <f t="shared" si="117"/>
        <v>-311.7</v>
      </c>
      <c r="J111" s="71">
        <f t="shared" si="117"/>
        <v>-267.8</v>
      </c>
      <c r="K111" s="71">
        <f t="shared" si="117"/>
        <v>-323.3</v>
      </c>
      <c r="L111" s="71">
        <f t="shared" si="117"/>
        <v>-333.7</v>
      </c>
      <c r="M111" s="71">
        <f t="shared" si="117"/>
        <v>-357.6</v>
      </c>
      <c r="N111" s="71">
        <f t="shared" si="117"/>
        <v>-199.1</v>
      </c>
      <c r="O111" s="71">
        <f t="shared" si="117"/>
        <v>-287</v>
      </c>
      <c r="P111" s="71">
        <f t="shared" si="117"/>
        <v>-330</v>
      </c>
      <c r="Q111" s="71">
        <f t="shared" si="117"/>
        <v>-346.7</v>
      </c>
      <c r="R111" s="71">
        <f t="shared" ref="R111:S111" si="118">R95-R110</f>
        <v>-350</v>
      </c>
      <c r="S111" s="71">
        <f t="shared" si="118"/>
        <v>-330.7</v>
      </c>
      <c r="T111" s="71">
        <f t="shared" ref="T111:U111" si="119">T95-T110</f>
        <v>-311.39999999999998</v>
      </c>
      <c r="U111" s="71">
        <f t="shared" si="119"/>
        <v>-303.5</v>
      </c>
      <c r="V111" s="71">
        <f t="shared" ref="V111:W111" si="120">V95-V110</f>
        <v>-154.1</v>
      </c>
      <c r="W111" s="71">
        <f t="shared" si="120"/>
        <v>-159.5</v>
      </c>
      <c r="X111" s="71">
        <f t="shared" ref="X111" si="121">X95-X110</f>
        <v>-170.6</v>
      </c>
      <c r="Y111" s="71">
        <f t="shared" si="117"/>
        <v>-122.30000000000001</v>
      </c>
      <c r="Z111" s="71">
        <f t="shared" ref="Z111" si="122">Z95-Z110</f>
        <v>-27.1</v>
      </c>
      <c r="AA111" s="71">
        <f t="shared" si="117"/>
        <v>-17.400000000000002</v>
      </c>
      <c r="AB111" s="71">
        <f t="shared" si="117"/>
        <v>-554.30000000000007</v>
      </c>
      <c r="AC111" s="71">
        <f t="shared" si="117"/>
        <v>-539.1</v>
      </c>
      <c r="AD111" s="71">
        <f t="shared" si="117"/>
        <v>-545.5</v>
      </c>
      <c r="AE111" s="71">
        <f t="shared" si="117"/>
        <v>-623.80000000000007</v>
      </c>
      <c r="AF111" s="71">
        <f t="shared" si="117"/>
        <v>-593.20000000000005</v>
      </c>
      <c r="AG111" s="101"/>
      <c r="AH111" s="48">
        <f t="shared" si="40"/>
        <v>-17.400000000000002</v>
      </c>
      <c r="AI111" s="49">
        <f t="shared" si="41"/>
        <v>-659</v>
      </c>
    </row>
    <row r="112" spans="1:64" x14ac:dyDescent="0.25">
      <c r="A112" s="113" t="s">
        <v>132</v>
      </c>
      <c r="B112" s="114">
        <v>50.07</v>
      </c>
      <c r="C112" s="114">
        <v>49.982999999999997</v>
      </c>
      <c r="D112" s="114">
        <v>50.02</v>
      </c>
      <c r="E112" s="114">
        <v>50.057000000000002</v>
      </c>
      <c r="F112" s="114">
        <v>50.037999999999997</v>
      </c>
      <c r="G112" s="114">
        <v>50.017000000000003</v>
      </c>
      <c r="H112" s="114">
        <v>50.017000000000003</v>
      </c>
      <c r="I112" s="114">
        <v>49.98</v>
      </c>
      <c r="J112" s="114">
        <v>50</v>
      </c>
      <c r="K112" s="114">
        <v>49.975999999999999</v>
      </c>
      <c r="L112" s="114">
        <v>49.965800000000002</v>
      </c>
      <c r="M112" s="114">
        <v>49.994999999999997</v>
      </c>
      <c r="N112" s="114">
        <v>50.045999999999999</v>
      </c>
      <c r="O112" s="114">
        <v>50.018000000000001</v>
      </c>
      <c r="P112" s="114">
        <v>50.146000000000001</v>
      </c>
      <c r="Q112" s="114">
        <v>50.058999999999997</v>
      </c>
      <c r="R112" s="114">
        <v>50.08</v>
      </c>
      <c r="S112" s="114">
        <v>50.04</v>
      </c>
      <c r="T112" s="114">
        <v>49.93</v>
      </c>
      <c r="U112" s="114">
        <v>50.09</v>
      </c>
      <c r="V112" s="114">
        <v>49.96</v>
      </c>
      <c r="W112" s="114">
        <v>50.01</v>
      </c>
      <c r="X112" s="114">
        <v>50.03</v>
      </c>
      <c r="Y112" s="114">
        <v>50.106999999999999</v>
      </c>
      <c r="Z112" s="114">
        <v>50.01</v>
      </c>
      <c r="AA112" s="114">
        <v>50.039000000000001</v>
      </c>
      <c r="AB112" s="114">
        <v>50.042000000000002</v>
      </c>
      <c r="AC112" s="114">
        <v>50.045000000000002</v>
      </c>
      <c r="AD112" s="114">
        <v>50.048999999999999</v>
      </c>
      <c r="AE112" s="114">
        <v>50.052999999999997</v>
      </c>
      <c r="AF112" s="114">
        <v>49.984999999999999</v>
      </c>
      <c r="AG112" s="115"/>
      <c r="AH112" s="48">
        <f t="shared" si="40"/>
        <v>50.146000000000001</v>
      </c>
      <c r="AI112" s="49">
        <f t="shared" si="41"/>
        <v>49.93</v>
      </c>
    </row>
    <row r="113" spans="1:35" x14ac:dyDescent="0.25">
      <c r="A113" s="116" t="s">
        <v>133</v>
      </c>
      <c r="B113" s="76">
        <v>123.5</v>
      </c>
      <c r="C113" s="76">
        <v>121.4</v>
      </c>
      <c r="D113" s="76">
        <v>123.9</v>
      </c>
      <c r="E113" s="76">
        <v>126.4</v>
      </c>
      <c r="F113" s="76">
        <v>126.4</v>
      </c>
      <c r="G113" s="76">
        <v>126</v>
      </c>
      <c r="H113" s="76">
        <v>126</v>
      </c>
      <c r="I113" s="76">
        <v>126</v>
      </c>
      <c r="J113" s="76">
        <v>126</v>
      </c>
      <c r="K113" s="76">
        <v>123.8</v>
      </c>
      <c r="L113" s="76">
        <v>123.8</v>
      </c>
      <c r="M113" s="76">
        <v>125.9</v>
      </c>
      <c r="N113" s="76">
        <v>123.7</v>
      </c>
      <c r="O113" s="76">
        <v>126.2</v>
      </c>
      <c r="P113" s="76">
        <v>126.1</v>
      </c>
      <c r="Q113" s="76">
        <v>127</v>
      </c>
      <c r="R113" s="76">
        <v>127.5</v>
      </c>
      <c r="S113" s="76">
        <v>127</v>
      </c>
      <c r="T113" s="76">
        <v>127.3</v>
      </c>
      <c r="U113" s="76">
        <v>127.7</v>
      </c>
      <c r="V113" s="76">
        <v>127.7</v>
      </c>
      <c r="W113" s="76">
        <v>124.7</v>
      </c>
      <c r="X113" s="76">
        <v>125.8</v>
      </c>
      <c r="Y113" s="76">
        <v>124.6</v>
      </c>
      <c r="Z113" s="76">
        <v>124.4</v>
      </c>
      <c r="AA113" s="76">
        <v>127.3</v>
      </c>
      <c r="AB113" s="76">
        <v>128</v>
      </c>
      <c r="AC113" s="76">
        <v>128</v>
      </c>
      <c r="AD113" s="76">
        <v>124.4</v>
      </c>
      <c r="AE113" s="76">
        <v>123.9</v>
      </c>
      <c r="AF113" s="76">
        <v>123</v>
      </c>
      <c r="AG113" s="117"/>
      <c r="AH113" s="48">
        <f t="shared" si="40"/>
        <v>128</v>
      </c>
      <c r="AI113" s="49">
        <f t="shared" si="41"/>
        <v>121.4</v>
      </c>
    </row>
    <row r="114" spans="1:35" x14ac:dyDescent="0.25">
      <c r="A114" s="116" t="s">
        <v>134</v>
      </c>
      <c r="B114" s="76">
        <v>127.4</v>
      </c>
      <c r="C114" s="76">
        <v>125.9</v>
      </c>
      <c r="D114" s="76">
        <v>127.6</v>
      </c>
      <c r="E114" s="76">
        <v>127.6</v>
      </c>
      <c r="F114" s="76">
        <v>127.6</v>
      </c>
      <c r="G114" s="76">
        <v>129</v>
      </c>
      <c r="H114" s="76">
        <v>129</v>
      </c>
      <c r="I114" s="76">
        <v>129</v>
      </c>
      <c r="J114" s="76">
        <v>129</v>
      </c>
      <c r="K114" s="76">
        <v>126</v>
      </c>
      <c r="L114" s="76">
        <v>126</v>
      </c>
      <c r="M114" s="76">
        <v>131.69999999999999</v>
      </c>
      <c r="N114" s="76">
        <v>126.3</v>
      </c>
      <c r="O114" s="76">
        <v>127.9</v>
      </c>
      <c r="P114" s="76">
        <v>128.4</v>
      </c>
      <c r="Q114" s="76">
        <v>128.80000000000001</v>
      </c>
      <c r="R114" s="76">
        <v>129.5</v>
      </c>
      <c r="S114" s="76">
        <v>129.30000000000001</v>
      </c>
      <c r="T114" s="76">
        <v>129.30000000000001</v>
      </c>
      <c r="U114" s="76">
        <v>129.5</v>
      </c>
      <c r="V114" s="76">
        <v>130</v>
      </c>
      <c r="W114" s="76">
        <v>127.4</v>
      </c>
      <c r="X114" s="76">
        <v>128</v>
      </c>
      <c r="Y114" s="76">
        <v>126.6</v>
      </c>
      <c r="Z114" s="76">
        <v>126</v>
      </c>
      <c r="AA114" s="76">
        <v>128.1</v>
      </c>
      <c r="AB114" s="76">
        <v>129.30000000000001</v>
      </c>
      <c r="AC114" s="76">
        <v>129.69999999999999</v>
      </c>
      <c r="AD114" s="76">
        <v>128</v>
      </c>
      <c r="AE114" s="76">
        <v>128.5</v>
      </c>
      <c r="AF114" s="76">
        <v>127.8</v>
      </c>
      <c r="AG114" s="117"/>
      <c r="AH114" s="48">
        <f t="shared" si="40"/>
        <v>131.69999999999999</v>
      </c>
      <c r="AI114" s="49">
        <f t="shared" si="41"/>
        <v>125.9</v>
      </c>
    </row>
    <row r="115" spans="1:35" x14ac:dyDescent="0.25">
      <c r="A115" s="116" t="s">
        <v>135</v>
      </c>
      <c r="B115" s="76">
        <v>129</v>
      </c>
      <c r="C115" s="76">
        <v>129.1</v>
      </c>
      <c r="D115" s="76">
        <v>132.4</v>
      </c>
      <c r="E115" s="76">
        <v>132.4</v>
      </c>
      <c r="F115" s="76">
        <v>132.4</v>
      </c>
      <c r="G115" s="76">
        <v>132</v>
      </c>
      <c r="H115" s="76">
        <v>132</v>
      </c>
      <c r="I115" s="76">
        <v>132</v>
      </c>
      <c r="J115" s="76">
        <v>132</v>
      </c>
      <c r="K115" s="76">
        <v>130</v>
      </c>
      <c r="L115" s="76">
        <v>130</v>
      </c>
      <c r="M115" s="76">
        <v>131.69999999999999</v>
      </c>
      <c r="N115" s="76">
        <v>132.1</v>
      </c>
      <c r="O115" s="76">
        <v>131.5</v>
      </c>
      <c r="P115" s="76">
        <v>131.19999999999999</v>
      </c>
      <c r="Q115" s="76">
        <v>131</v>
      </c>
      <c r="R115" s="76">
        <v>130.4</v>
      </c>
      <c r="S115" s="76">
        <v>131.4</v>
      </c>
      <c r="T115" s="76">
        <v>131.69999999999999</v>
      </c>
      <c r="U115" s="76">
        <v>131.30000000000001</v>
      </c>
      <c r="V115" s="76">
        <v>131.9</v>
      </c>
      <c r="W115" s="76">
        <v>132.1</v>
      </c>
      <c r="X115" s="76" t="s">
        <v>358</v>
      </c>
      <c r="Y115" s="76">
        <v>133.30000000000001</v>
      </c>
      <c r="Z115" s="76">
        <v>132.1</v>
      </c>
      <c r="AA115" s="76">
        <v>131.5</v>
      </c>
      <c r="AB115" s="76">
        <v>128.80000000000001</v>
      </c>
      <c r="AC115" s="76">
        <v>129.69999999999999</v>
      </c>
      <c r="AD115" s="76">
        <v>129</v>
      </c>
      <c r="AE115" s="76">
        <v>128.1</v>
      </c>
      <c r="AF115" s="76">
        <v>129.19999999999999</v>
      </c>
      <c r="AG115" s="117"/>
      <c r="AH115" s="48">
        <f t="shared" si="40"/>
        <v>133.30000000000001</v>
      </c>
      <c r="AI115" s="49">
        <f t="shared" si="41"/>
        <v>128.1</v>
      </c>
    </row>
    <row r="116" spans="1:35" x14ac:dyDescent="0.25">
      <c r="A116" s="118" t="s">
        <v>136</v>
      </c>
      <c r="B116" s="76">
        <v>131.9</v>
      </c>
      <c r="C116" s="76">
        <v>129.5</v>
      </c>
      <c r="D116" s="76">
        <v>132.19999999999999</v>
      </c>
      <c r="E116" s="76">
        <v>132.19999999999999</v>
      </c>
      <c r="F116" s="76">
        <v>132.19999999999999</v>
      </c>
      <c r="G116" s="76">
        <v>132.80000000000001</v>
      </c>
      <c r="H116" s="76">
        <v>132.80000000000001</v>
      </c>
      <c r="I116" s="76">
        <v>132.80000000000001</v>
      </c>
      <c r="J116" s="76">
        <v>132.80000000000001</v>
      </c>
      <c r="K116" s="76">
        <v>130</v>
      </c>
      <c r="L116" s="76">
        <v>130</v>
      </c>
      <c r="M116" s="76">
        <v>130.9</v>
      </c>
      <c r="N116" s="76">
        <v>131.30000000000001</v>
      </c>
      <c r="O116" s="76">
        <v>130.30000000000001</v>
      </c>
      <c r="P116" s="76">
        <v>131.1</v>
      </c>
      <c r="Q116" s="76">
        <v>131.1</v>
      </c>
      <c r="R116" s="76">
        <v>130.9</v>
      </c>
      <c r="S116" s="76">
        <v>131.1</v>
      </c>
      <c r="T116" s="76">
        <v>132</v>
      </c>
      <c r="U116" s="76">
        <v>131.19999999999999</v>
      </c>
      <c r="V116" s="76">
        <v>131.69999999999999</v>
      </c>
      <c r="W116" s="76">
        <v>132.30000000000001</v>
      </c>
      <c r="X116" s="76">
        <v>133.69999999999999</v>
      </c>
      <c r="Y116" s="76">
        <v>132.80000000000001</v>
      </c>
      <c r="Z116" s="76">
        <v>131.4</v>
      </c>
      <c r="AA116" s="76">
        <v>131.1</v>
      </c>
      <c r="AB116" s="76">
        <v>129.9</v>
      </c>
      <c r="AC116" s="76">
        <v>130</v>
      </c>
      <c r="AD116" s="76">
        <v>129.4</v>
      </c>
      <c r="AE116" s="76">
        <v>129.4</v>
      </c>
      <c r="AF116" s="76">
        <v>130.6</v>
      </c>
      <c r="AG116" s="117"/>
      <c r="AH116" s="48">
        <f t="shared" si="40"/>
        <v>133.69999999999999</v>
      </c>
      <c r="AI116" s="49">
        <f t="shared" si="41"/>
        <v>129.4</v>
      </c>
    </row>
    <row r="117" spans="1:35" x14ac:dyDescent="0.25">
      <c r="A117" s="118" t="s">
        <v>137</v>
      </c>
      <c r="B117" s="119">
        <v>135.30000000000001</v>
      </c>
      <c r="C117" s="119">
        <v>133.80000000000001</v>
      </c>
      <c r="D117" s="119">
        <v>135</v>
      </c>
      <c r="E117" s="119">
        <v>135</v>
      </c>
      <c r="F117" s="119">
        <v>135</v>
      </c>
      <c r="G117" s="119">
        <v>134</v>
      </c>
      <c r="H117" s="119">
        <v>134</v>
      </c>
      <c r="I117" s="119">
        <v>134</v>
      </c>
      <c r="J117" s="119">
        <v>134</v>
      </c>
      <c r="K117" s="119">
        <v>132</v>
      </c>
      <c r="L117" s="119">
        <v>132</v>
      </c>
      <c r="M117" s="119">
        <v>131.6</v>
      </c>
      <c r="N117" s="119">
        <v>131.9</v>
      </c>
      <c r="O117" s="119">
        <v>133.80000000000001</v>
      </c>
      <c r="P117" s="119">
        <v>132.69999999999999</v>
      </c>
      <c r="Q117" s="119">
        <v>130.9</v>
      </c>
      <c r="R117" s="119">
        <v>131.6</v>
      </c>
      <c r="S117" s="119">
        <v>133.19999999999999</v>
      </c>
      <c r="T117" s="119">
        <v>133.19999999999999</v>
      </c>
      <c r="U117" s="119"/>
      <c r="V117" s="119">
        <v>133.80000000000001</v>
      </c>
      <c r="W117" s="119">
        <v>134.5</v>
      </c>
      <c r="X117" s="119">
        <v>133.69999999999999</v>
      </c>
      <c r="Y117" s="119">
        <v>133.6</v>
      </c>
      <c r="Z117" s="119">
        <v>131.80000000000001</v>
      </c>
      <c r="AA117" s="119">
        <v>132.80000000000001</v>
      </c>
      <c r="AB117" s="119">
        <v>133</v>
      </c>
      <c r="AC117" s="119">
        <v>132.80000000000001</v>
      </c>
      <c r="AD117" s="119">
        <v>132.1</v>
      </c>
      <c r="AE117" s="119">
        <v>131.80000000000001</v>
      </c>
      <c r="AF117" s="119">
        <v>130</v>
      </c>
      <c r="AG117" s="120"/>
      <c r="AH117" s="48">
        <f t="shared" si="40"/>
        <v>135.30000000000001</v>
      </c>
      <c r="AI117" s="49">
        <f t="shared" si="41"/>
        <v>130</v>
      </c>
    </row>
    <row r="118" spans="1:35" x14ac:dyDescent="0.25">
      <c r="A118" s="116" t="s">
        <v>138</v>
      </c>
      <c r="B118" s="76">
        <v>123.7</v>
      </c>
      <c r="C118" s="76">
        <v>124.6</v>
      </c>
      <c r="D118" s="76">
        <v>124.1</v>
      </c>
      <c r="E118" s="76">
        <v>124.1</v>
      </c>
      <c r="F118" s="76">
        <v>124.1</v>
      </c>
      <c r="G118" s="76">
        <v>131.5</v>
      </c>
      <c r="H118" s="76">
        <v>131.5</v>
      </c>
      <c r="I118" s="76">
        <v>131.5</v>
      </c>
      <c r="J118" s="76">
        <v>131.5</v>
      </c>
      <c r="K118" s="76">
        <v>129.5</v>
      </c>
      <c r="L118" s="76">
        <v>129.5</v>
      </c>
      <c r="M118" s="76">
        <v>130.30000000000001</v>
      </c>
      <c r="N118" s="76">
        <v>131.1</v>
      </c>
      <c r="O118" s="76">
        <v>138</v>
      </c>
      <c r="P118" s="76">
        <v>134.69999999999999</v>
      </c>
      <c r="Q118" s="76">
        <v>132.30000000000001</v>
      </c>
      <c r="R118" s="76">
        <v>134.5</v>
      </c>
      <c r="S118" s="76">
        <v>136.1</v>
      </c>
      <c r="T118" s="76">
        <v>136.1</v>
      </c>
      <c r="U118" s="76">
        <v>133.69999999999999</v>
      </c>
      <c r="V118" s="76">
        <v>129.30000000000001</v>
      </c>
      <c r="W118" s="76">
        <v>128.30000000000001</v>
      </c>
      <c r="X118" s="76">
        <v>131.69999999999999</v>
      </c>
      <c r="Y118" s="76">
        <v>130.5</v>
      </c>
      <c r="Z118" s="76">
        <v>128.30000000000001</v>
      </c>
      <c r="AA118" s="76">
        <v>128.80000000000001</v>
      </c>
      <c r="AB118" s="76">
        <v>132.4</v>
      </c>
      <c r="AC118" s="76">
        <v>131.4</v>
      </c>
      <c r="AD118" s="76">
        <v>132.5</v>
      </c>
      <c r="AE118" s="76">
        <v>132.5</v>
      </c>
      <c r="AF118" s="76">
        <v>128.30000000000001</v>
      </c>
      <c r="AG118" s="117"/>
      <c r="AH118" s="48">
        <f t="shared" si="40"/>
        <v>138</v>
      </c>
      <c r="AI118" s="49">
        <f t="shared" si="41"/>
        <v>123.7</v>
      </c>
    </row>
    <row r="119" spans="1:35" ht="15.75" thickBot="1" x14ac:dyDescent="0.3">
      <c r="A119" s="116" t="s">
        <v>139</v>
      </c>
      <c r="B119" s="105">
        <v>64.400000000000006</v>
      </c>
      <c r="C119" s="105">
        <v>63.5</v>
      </c>
      <c r="D119" s="105">
        <v>64.5</v>
      </c>
      <c r="E119" s="105">
        <v>64.599999999999994</v>
      </c>
      <c r="F119" s="105">
        <v>64.599999999999994</v>
      </c>
      <c r="G119" s="105">
        <v>65</v>
      </c>
      <c r="H119" s="105">
        <v>65</v>
      </c>
      <c r="I119" s="105">
        <v>65</v>
      </c>
      <c r="J119" s="105">
        <v>65</v>
      </c>
      <c r="K119" s="105">
        <v>63.4</v>
      </c>
      <c r="L119" s="105">
        <v>63.4</v>
      </c>
      <c r="M119" s="105">
        <v>64.3</v>
      </c>
      <c r="N119" s="105">
        <v>63.3</v>
      </c>
      <c r="O119" s="105">
        <v>64.3</v>
      </c>
      <c r="P119" s="105">
        <v>64.2</v>
      </c>
      <c r="Q119" s="105">
        <v>64.8</v>
      </c>
      <c r="R119" s="105">
        <v>65.099999999999994</v>
      </c>
      <c r="S119" s="105">
        <v>64.8</v>
      </c>
      <c r="T119" s="105">
        <v>64.8</v>
      </c>
      <c r="U119" s="105">
        <v>65.099999999999994</v>
      </c>
      <c r="V119" s="105">
        <v>65.3</v>
      </c>
      <c r="W119" s="105">
        <v>63.9</v>
      </c>
      <c r="X119" s="105">
        <v>64.2</v>
      </c>
      <c r="Y119" s="105">
        <v>63.7</v>
      </c>
      <c r="Z119" s="105">
        <v>63.6</v>
      </c>
      <c r="AA119" s="105">
        <v>64.5</v>
      </c>
      <c r="AB119" s="105">
        <v>65.400000000000006</v>
      </c>
      <c r="AC119" s="105">
        <v>65.5</v>
      </c>
      <c r="AD119" s="105">
        <v>64.599999999999994</v>
      </c>
      <c r="AE119" s="105">
        <v>65</v>
      </c>
      <c r="AF119" s="105">
        <v>64.3</v>
      </c>
      <c r="AG119" s="121"/>
      <c r="AH119" s="48">
        <f t="shared" si="40"/>
        <v>65.5</v>
      </c>
      <c r="AI119" s="49">
        <f t="shared" si="41"/>
        <v>63.3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0"/>
        <v>0</v>
      </c>
      <c r="AI120" s="49">
        <f t="shared" si="41"/>
        <v>0</v>
      </c>
    </row>
    <row r="121" spans="1:35" ht="15.75" thickBot="1" x14ac:dyDescent="0.3">
      <c r="A121" s="123" t="s">
        <v>141</v>
      </c>
      <c r="B121" s="124">
        <f t="shared" ref="B121:O121" si="123">SUM(B25,B31,B34:B35,B69,B71:B72,B74,B76,B122:B126,B158,B164,B170,B179,B181,B193,B200,B203:B204,B211,B213,B215,B219:B221,B223:B225,B230,B236:B237,B239:B241,B249,B254)</f>
        <v>84.039999999999949</v>
      </c>
      <c r="C121" s="124">
        <f t="shared" si="123"/>
        <v>80.739999999999981</v>
      </c>
      <c r="D121" s="124">
        <f t="shared" si="123"/>
        <v>109.74</v>
      </c>
      <c r="E121" s="124">
        <f t="shared" si="123"/>
        <v>90.24</v>
      </c>
      <c r="F121" s="124">
        <f t="shared" si="123"/>
        <v>93.639999999999986</v>
      </c>
      <c r="G121" s="124">
        <f t="shared" si="123"/>
        <v>123.33999999999997</v>
      </c>
      <c r="H121" s="124">
        <f t="shared" si="123"/>
        <v>113.54</v>
      </c>
      <c r="I121" s="124">
        <f t="shared" si="123"/>
        <v>141.93999999999997</v>
      </c>
      <c r="J121" s="124">
        <f t="shared" si="123"/>
        <v>154.94</v>
      </c>
      <c r="K121" s="124">
        <f t="shared" si="123"/>
        <v>174.64</v>
      </c>
      <c r="L121" s="124">
        <f t="shared" si="123"/>
        <v>138.63999999999996</v>
      </c>
      <c r="M121" s="124">
        <f t="shared" si="123"/>
        <v>190.34000000000003</v>
      </c>
      <c r="N121" s="124">
        <f t="shared" si="123"/>
        <v>194.74</v>
      </c>
      <c r="O121" s="124">
        <f t="shared" si="123"/>
        <v>181.33999999999997</v>
      </c>
      <c r="P121" s="124">
        <v>42</v>
      </c>
      <c r="Q121" s="124">
        <f t="shared" ref="Q121" si="124">SUM(Q25,Q31,Q34:Q35,Q69,Q71:Q72,Q74,Q76,Q122:Q126,Q158,Q164,Q170,Q179,Q181,Q193,Q200,Q203:Q204,Q211,Q213,Q215,Q219:Q221,Q223:Q225,Q230,Q236:Q237,Q239:Q241,Q249,Q254)</f>
        <v>160.74</v>
      </c>
      <c r="R121" s="124">
        <f t="shared" ref="R121:S121" si="125">SUM(R25,R31,R34:R35,R69,R71:R72,R74,R76,R122:R126,R158,R164,R170,R179,R181,R193,R200,R203:R204,R211,R213,R215,R219:R221,R223:R225,R230,R236:R237,R239:R241,R249,R254)</f>
        <v>154.24</v>
      </c>
      <c r="S121" s="124">
        <f t="shared" si="125"/>
        <v>156.54000000000002</v>
      </c>
      <c r="T121" s="124">
        <f t="shared" ref="T121:U121" si="126">SUM(T25,T31,T34:T35,T69,T71:T72,T74,T76,T122:T126,T158,T164,T170,T179,T181,T193,T200,T203:T204,T211,T213,T215,T219:T221,T223:T225,T230,T236:T237,T239:T241,T249,T254)</f>
        <v>167.60000000000002</v>
      </c>
      <c r="U121" s="124">
        <f t="shared" si="126"/>
        <v>171.73999999999995</v>
      </c>
      <c r="V121" s="124">
        <f t="shared" ref="V121:W121" si="127">SUM(V25,V31,V34:V35,V69,V71:V72,V74,V76,V122:V126,V158,V164,V170,V179,V181,V193,V200,V203:V204,V211,V213,V215,V219:V221,V223:V225,V230,V236:V237,V239:V241,V249,V254)</f>
        <v>184.24</v>
      </c>
      <c r="W121" s="124">
        <f t="shared" si="127"/>
        <v>168.44</v>
      </c>
      <c r="X121" s="124">
        <f t="shared" ref="X121" si="128">SUM(X25,X31,X34:X35,X69,X71:X72,X74,X76,X122:X126,X158,X164,X170,X179,X181,X193,X200,X203:X204,X211,X213,X215,X219:X221,X223:X225,X230,X236:X237,X239:X241,X249,X254)</f>
        <v>182.85</v>
      </c>
      <c r="Y121" s="124">
        <f>SUM(Y23,Y29,Y40:Y41,Y69,Y71:Y72,Y74,Y76,Y122:Y126,Y151,Y157,Y163,Y172,Y174,Y186,Y193,Y196:Y197,Y204,Y206,Y208,Y212:Y214,Y216:Y218,Y223,Y229:Y230,Y232:Y234,Y242,Y247)</f>
        <v>124.31</v>
      </c>
      <c r="Z121" s="124">
        <f>SUM(Z23,Z29,Z40:Z41,Z69,Z71:Z72,Z74,Z76,Z122:Z126,Z151,Z157,Z163,Z172,Z174,Z186,Z193,Z196:Z197,Z204,Z206,Z208,Z212:Z214,Z216:Z218,Z223,Z229:Z230,Z232:Z234,Z242,Z247)</f>
        <v>251</v>
      </c>
      <c r="AA121" s="124">
        <f t="shared" ref="AA121:AF121" si="129">SUM(AA25,AA31,AA34:AA35,AA69,AA71:AA72,AA74,AA76,AA122:AA126,AA158,AA164,AA170,AA179,AA181,AA193,AA200,AA203:AA204,AA211,AA213,AA215,AA219:AA221,AA223:AA225,AA230,AA236:AA237,AA239:AA241,AA249,AA254)</f>
        <v>277.44</v>
      </c>
      <c r="AB121" s="124">
        <f t="shared" si="129"/>
        <v>131.44000000000003</v>
      </c>
      <c r="AC121" s="124">
        <f t="shared" si="129"/>
        <v>116.34000000000002</v>
      </c>
      <c r="AD121" s="124">
        <f t="shared" si="129"/>
        <v>104.34000000000006</v>
      </c>
      <c r="AE121" s="124">
        <f t="shared" si="129"/>
        <v>150.84000000000006</v>
      </c>
      <c r="AF121" s="124">
        <f t="shared" si="129"/>
        <v>157.13999999999999</v>
      </c>
      <c r="AG121" s="125"/>
      <c r="AH121" s="48">
        <f t="shared" si="40"/>
        <v>277.44</v>
      </c>
      <c r="AI121" s="49">
        <f t="shared" si="41"/>
        <v>42</v>
      </c>
    </row>
    <row r="122" spans="1:35" x14ac:dyDescent="0.25">
      <c r="A122" s="126" t="s">
        <v>142</v>
      </c>
      <c r="B122" s="127">
        <v>78.2</v>
      </c>
      <c r="C122" s="127">
        <v>88.1</v>
      </c>
      <c r="D122" s="127">
        <v>96</v>
      </c>
      <c r="E122" s="127">
        <v>101</v>
      </c>
      <c r="F122" s="127">
        <v>86</v>
      </c>
      <c r="G122" s="127">
        <v>105.4</v>
      </c>
      <c r="H122" s="127">
        <v>99.8</v>
      </c>
      <c r="I122" s="127">
        <v>99.7</v>
      </c>
      <c r="J122" s="127">
        <v>99.2</v>
      </c>
      <c r="K122" s="127">
        <v>100.4</v>
      </c>
      <c r="L122" s="127">
        <v>83.4</v>
      </c>
      <c r="M122" s="127">
        <v>80.599999999999994</v>
      </c>
      <c r="N122" s="127">
        <v>59.6</v>
      </c>
      <c r="O122" s="127">
        <v>58.3</v>
      </c>
      <c r="P122" s="127">
        <v>51.3</v>
      </c>
      <c r="Q122" s="127">
        <v>40.4</v>
      </c>
      <c r="R122" s="127">
        <v>38.6</v>
      </c>
      <c r="S122" s="127">
        <v>25.7</v>
      </c>
      <c r="T122" s="127">
        <v>0.4</v>
      </c>
      <c r="U122" s="127">
        <v>61.8</v>
      </c>
      <c r="V122" s="127">
        <v>51.8</v>
      </c>
      <c r="W122" s="127">
        <v>31.2</v>
      </c>
      <c r="X122" s="127">
        <v>32</v>
      </c>
      <c r="Y122" s="127">
        <v>26.9</v>
      </c>
      <c r="Z122" s="127">
        <v>23.8</v>
      </c>
      <c r="AA122" s="127">
        <v>1.4</v>
      </c>
      <c r="AB122" s="127">
        <v>0.4</v>
      </c>
      <c r="AC122" s="127">
        <v>0.7</v>
      </c>
      <c r="AD122" s="127">
        <v>20.399999999999999</v>
      </c>
      <c r="AE122" s="127">
        <v>31</v>
      </c>
      <c r="AF122" s="127">
        <v>47.6</v>
      </c>
      <c r="AG122" s="128">
        <v>75</v>
      </c>
      <c r="AH122" s="48">
        <f t="shared" si="40"/>
        <v>105.4</v>
      </c>
      <c r="AI122" s="49">
        <f t="shared" si="41"/>
        <v>0.4</v>
      </c>
    </row>
    <row r="123" spans="1:35" x14ac:dyDescent="0.25">
      <c r="A123" s="129" t="s">
        <v>143</v>
      </c>
      <c r="B123" s="130">
        <v>114.6</v>
      </c>
      <c r="C123" s="130">
        <v>127.1</v>
      </c>
      <c r="D123" s="130">
        <v>137.5</v>
      </c>
      <c r="E123" s="130">
        <v>140</v>
      </c>
      <c r="F123" s="130">
        <v>121.7</v>
      </c>
      <c r="G123" s="130">
        <v>147.5</v>
      </c>
      <c r="H123" s="130">
        <v>140.5</v>
      </c>
      <c r="I123" s="130">
        <v>143</v>
      </c>
      <c r="J123" s="130">
        <v>142</v>
      </c>
      <c r="K123" s="130">
        <v>143</v>
      </c>
      <c r="L123" s="130">
        <v>124</v>
      </c>
      <c r="M123" s="130">
        <v>127</v>
      </c>
      <c r="N123" s="130">
        <v>90.3</v>
      </c>
      <c r="O123" s="130">
        <v>89.7</v>
      </c>
      <c r="P123" s="130">
        <v>81.2</v>
      </c>
      <c r="Q123" s="130">
        <v>66.7</v>
      </c>
      <c r="R123" s="130">
        <v>64</v>
      </c>
      <c r="S123" s="130">
        <v>43.2</v>
      </c>
      <c r="T123" s="130">
        <v>12</v>
      </c>
      <c r="U123" s="130">
        <v>87.7</v>
      </c>
      <c r="V123" s="130">
        <v>73.3</v>
      </c>
      <c r="W123" s="130">
        <v>43.8</v>
      </c>
      <c r="X123" s="130">
        <v>45</v>
      </c>
      <c r="Y123" s="130">
        <v>38</v>
      </c>
      <c r="Z123" s="130">
        <v>33.700000000000003</v>
      </c>
      <c r="AA123" s="130">
        <v>2.9</v>
      </c>
      <c r="AB123" s="130">
        <v>6.5</v>
      </c>
      <c r="AC123" s="130">
        <v>6</v>
      </c>
      <c r="AD123" s="130">
        <v>36.700000000000003</v>
      </c>
      <c r="AE123" s="130">
        <v>50.1</v>
      </c>
      <c r="AF123" s="130">
        <v>75.099999999999994</v>
      </c>
      <c r="AG123" s="128">
        <v>240</v>
      </c>
      <c r="AH123" s="48">
        <f t="shared" si="40"/>
        <v>147.5</v>
      </c>
      <c r="AI123" s="49">
        <f t="shared" si="41"/>
        <v>2.9</v>
      </c>
    </row>
    <row r="124" spans="1:35" x14ac:dyDescent="0.25">
      <c r="A124" s="129" t="s">
        <v>144</v>
      </c>
      <c r="B124" s="130">
        <v>-163</v>
      </c>
      <c r="C124" s="130">
        <v>-184</v>
      </c>
      <c r="D124" s="130">
        <v>-172</v>
      </c>
      <c r="E124" s="130">
        <v>-187</v>
      </c>
      <c r="F124" s="130">
        <v>-180</v>
      </c>
      <c r="G124" s="130">
        <v>-174</v>
      </c>
      <c r="H124" s="130">
        <v>-160</v>
      </c>
      <c r="I124" s="130">
        <v>-150</v>
      </c>
      <c r="J124" s="130">
        <v>-151</v>
      </c>
      <c r="K124" s="130">
        <v>-152</v>
      </c>
      <c r="L124" s="130">
        <v>-145</v>
      </c>
      <c r="M124" s="130">
        <f>-51.2-57.9</f>
        <v>-109.1</v>
      </c>
      <c r="N124" s="130">
        <f>-39-41</f>
        <v>-80</v>
      </c>
      <c r="O124" s="130">
        <f>-40-43</f>
        <v>-83</v>
      </c>
      <c r="P124" s="130">
        <f>-42-45</f>
        <v>-87</v>
      </c>
      <c r="Q124" s="130">
        <f>-38-40</f>
        <v>-78</v>
      </c>
      <c r="R124" s="130">
        <f>-37.1-39.6</f>
        <v>-76.7</v>
      </c>
      <c r="S124" s="130">
        <v>-73.5</v>
      </c>
      <c r="T124" s="130">
        <v>-55.6</v>
      </c>
      <c r="U124" s="130">
        <v>-144.5</v>
      </c>
      <c r="V124" s="130">
        <v>-127.8</v>
      </c>
      <c r="W124" s="130">
        <v>-57.9</v>
      </c>
      <c r="X124" s="130">
        <v>-50.1</v>
      </c>
      <c r="Y124" s="130">
        <f>-18.3-20.6</f>
        <v>-38.900000000000006</v>
      </c>
      <c r="Z124" s="130">
        <v>-19.3</v>
      </c>
      <c r="AA124" s="130">
        <v>12</v>
      </c>
      <c r="AB124" s="130">
        <v>-70</v>
      </c>
      <c r="AC124" s="130">
        <v>-78</v>
      </c>
      <c r="AD124" s="130">
        <v>-118</v>
      </c>
      <c r="AE124" s="130">
        <v>-154</v>
      </c>
      <c r="AF124" s="130">
        <v>-156</v>
      </c>
      <c r="AG124" s="128">
        <v>240</v>
      </c>
      <c r="AH124" s="48">
        <f t="shared" si="40"/>
        <v>12</v>
      </c>
      <c r="AI124" s="49">
        <f t="shared" si="41"/>
        <v>-187</v>
      </c>
    </row>
    <row r="125" spans="1:35" ht="15.75" thickBot="1" x14ac:dyDescent="0.3">
      <c r="A125" s="129" t="s">
        <v>145</v>
      </c>
      <c r="B125" s="130">
        <v>-20.7</v>
      </c>
      <c r="C125" s="130">
        <v>-25.4</v>
      </c>
      <c r="D125" s="130">
        <v>-26.7</v>
      </c>
      <c r="E125" s="130">
        <v>-28.7</v>
      </c>
      <c r="F125" s="130">
        <v>-34</v>
      </c>
      <c r="G125" s="130">
        <v>-25.5</v>
      </c>
      <c r="H125" s="130">
        <v>-22.8</v>
      </c>
      <c r="I125" s="130">
        <v>-20.8</v>
      </c>
      <c r="J125" s="130">
        <v>-6.1</v>
      </c>
      <c r="K125" s="130">
        <v>-13</v>
      </c>
      <c r="L125" s="130">
        <v>-11.9</v>
      </c>
      <c r="M125" s="130">
        <v>-1.2</v>
      </c>
      <c r="N125" s="130">
        <v>-11</v>
      </c>
      <c r="O125" s="130">
        <v>-12.9</v>
      </c>
      <c r="P125" s="130">
        <v>-11</v>
      </c>
      <c r="Q125" s="130">
        <v>-10.3</v>
      </c>
      <c r="R125" s="130">
        <v>-9</v>
      </c>
      <c r="S125" s="130">
        <v>-11.2</v>
      </c>
      <c r="T125" s="130">
        <v>-6.2</v>
      </c>
      <c r="U125" s="130">
        <v>-10</v>
      </c>
      <c r="V125" s="130">
        <v>-16.100000000000001</v>
      </c>
      <c r="W125" s="130">
        <v>-9.3000000000000007</v>
      </c>
      <c r="X125" s="130">
        <v>-4.3</v>
      </c>
      <c r="Y125" s="130">
        <v>-5</v>
      </c>
      <c r="Z125" s="130">
        <v>6.2</v>
      </c>
      <c r="AA125" s="130">
        <v>36.799999999999997</v>
      </c>
      <c r="AB125" s="130">
        <v>18.7</v>
      </c>
      <c r="AC125" s="130">
        <v>11.8</v>
      </c>
      <c r="AD125" s="130">
        <v>-10.6</v>
      </c>
      <c r="AE125" s="130">
        <v>-19.100000000000001</v>
      </c>
      <c r="AF125" s="130">
        <v>-28.2</v>
      </c>
      <c r="AG125" s="128">
        <v>60</v>
      </c>
      <c r="AH125" s="48">
        <f t="shared" si="40"/>
        <v>36.799999999999997</v>
      </c>
      <c r="AI125" s="49">
        <f t="shared" si="41"/>
        <v>-34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>
        <v>-13.9</v>
      </c>
      <c r="I126" s="131">
        <v>-9.9</v>
      </c>
      <c r="J126" s="131">
        <v>-9.1</v>
      </c>
      <c r="K126" s="131">
        <v>6.3</v>
      </c>
      <c r="L126" s="131">
        <v>-1.8</v>
      </c>
      <c r="M126" s="131">
        <v>4.9000000000000004</v>
      </c>
      <c r="N126" s="131">
        <v>48.7</v>
      </c>
      <c r="O126" s="131">
        <v>40.9</v>
      </c>
      <c r="P126" s="131">
        <v>35.9</v>
      </c>
      <c r="Q126" s="131">
        <v>43.6</v>
      </c>
      <c r="R126" s="131">
        <v>45.5</v>
      </c>
      <c r="S126" s="131">
        <v>51.5</v>
      </c>
      <c r="T126" s="131">
        <v>64.099999999999994</v>
      </c>
      <c r="U126" s="131">
        <v>23.2</v>
      </c>
      <c r="V126" s="131">
        <v>49.9</v>
      </c>
      <c r="W126" s="131">
        <v>69.8</v>
      </c>
      <c r="X126" s="131">
        <v>69.8</v>
      </c>
      <c r="Y126" s="131"/>
      <c r="Z126" s="131">
        <v>103.7</v>
      </c>
      <c r="AA126" s="131">
        <v>114</v>
      </c>
      <c r="AB126" s="131"/>
      <c r="AC126" s="131"/>
      <c r="AD126" s="131"/>
      <c r="AE126" s="131">
        <v>62</v>
      </c>
      <c r="AF126" s="131">
        <v>67</v>
      </c>
      <c r="AG126" s="132">
        <v>120</v>
      </c>
      <c r="AH126" s="48">
        <f t="shared" si="40"/>
        <v>114</v>
      </c>
      <c r="AI126" s="49">
        <f t="shared" si="41"/>
        <v>-13.9</v>
      </c>
    </row>
    <row r="127" spans="1:35" x14ac:dyDescent="0.25">
      <c r="A127" s="129" t="s">
        <v>147</v>
      </c>
      <c r="B127" s="131">
        <v>65.8</v>
      </c>
      <c r="C127" s="131">
        <v>58.9</v>
      </c>
      <c r="D127" s="131">
        <v>47.8</v>
      </c>
      <c r="E127" s="131">
        <v>32.5</v>
      </c>
      <c r="F127" s="131">
        <v>30.7</v>
      </c>
      <c r="G127" s="131">
        <v>25.1</v>
      </c>
      <c r="H127" s="131">
        <v>29</v>
      </c>
      <c r="I127" s="131">
        <v>31.1</v>
      </c>
      <c r="J127" s="131">
        <v>34.700000000000003</v>
      </c>
      <c r="K127" s="131">
        <v>40.200000000000003</v>
      </c>
      <c r="L127" s="131">
        <v>64.900000000000006</v>
      </c>
      <c r="M127" s="131">
        <v>66.3</v>
      </c>
      <c r="N127" s="131">
        <v>85.1</v>
      </c>
      <c r="O127" s="131">
        <v>85.5</v>
      </c>
      <c r="P127" s="131">
        <v>78.5</v>
      </c>
      <c r="Q127" s="131">
        <v>80.7</v>
      </c>
      <c r="R127" s="131">
        <v>78</v>
      </c>
      <c r="S127" s="131">
        <v>39.299999999999997</v>
      </c>
      <c r="T127" s="131">
        <v>42</v>
      </c>
      <c r="U127" s="131">
        <v>26.2</v>
      </c>
      <c r="V127" s="131">
        <v>34.799999999999997</v>
      </c>
      <c r="W127" s="131">
        <v>38</v>
      </c>
      <c r="X127" s="131">
        <v>38.4</v>
      </c>
      <c r="Y127" s="131">
        <v>93.7</v>
      </c>
      <c r="Z127" s="131">
        <v>38</v>
      </c>
      <c r="AA127" s="131">
        <v>107.8</v>
      </c>
      <c r="AB127" s="131">
        <v>103.6</v>
      </c>
      <c r="AC127" s="131">
        <v>100.8</v>
      </c>
      <c r="AD127" s="131">
        <v>97.7</v>
      </c>
      <c r="AE127" s="131">
        <v>82.6</v>
      </c>
      <c r="AF127" s="131">
        <v>58.3</v>
      </c>
      <c r="AG127" s="132"/>
      <c r="AH127" s="48"/>
      <c r="AI127" s="49"/>
    </row>
    <row r="128" spans="1:35" x14ac:dyDescent="0.25">
      <c r="A128" s="129" t="s">
        <v>148</v>
      </c>
      <c r="B128" s="131">
        <v>38.9</v>
      </c>
      <c r="C128" s="131">
        <v>34.200000000000003</v>
      </c>
      <c r="D128" s="131">
        <v>12.9</v>
      </c>
      <c r="E128" s="131">
        <v>-13.8</v>
      </c>
      <c r="F128" s="131">
        <v>-14.2</v>
      </c>
      <c r="G128" s="131">
        <v>-30.2</v>
      </c>
      <c r="H128" s="131">
        <v>-28</v>
      </c>
      <c r="I128" s="131">
        <v>-31.4</v>
      </c>
      <c r="J128" s="131">
        <v>-39.700000000000003</v>
      </c>
      <c r="K128" s="131">
        <v>-34.200000000000003</v>
      </c>
      <c r="L128" s="131">
        <v>-1</v>
      </c>
      <c r="M128" s="131">
        <v>-9.1999999999999993</v>
      </c>
      <c r="N128" s="131">
        <v>14.2</v>
      </c>
      <c r="O128" s="131">
        <v>23</v>
      </c>
      <c r="P128" s="131">
        <v>29.9</v>
      </c>
      <c r="Q128" s="131">
        <v>46</v>
      </c>
      <c r="R128" s="131">
        <v>42.3</v>
      </c>
      <c r="S128" s="131">
        <v>44.4</v>
      </c>
      <c r="T128" s="131">
        <v>64.599999999999994</v>
      </c>
      <c r="U128" s="131">
        <v>4.9000000000000004</v>
      </c>
      <c r="V128" s="131">
        <v>33.6</v>
      </c>
      <c r="W128" s="131">
        <v>45</v>
      </c>
      <c r="X128" s="131">
        <v>39.799999999999997</v>
      </c>
      <c r="Y128" s="131">
        <v>46.3</v>
      </c>
      <c r="Z128" s="131">
        <v>36.4</v>
      </c>
      <c r="AA128" s="131">
        <v>48</v>
      </c>
      <c r="AB128" s="131">
        <v>51.8</v>
      </c>
      <c r="AC128" s="131">
        <v>62.2</v>
      </c>
      <c r="AD128" s="131">
        <v>67.900000000000006</v>
      </c>
      <c r="AE128" s="131">
        <v>67.8</v>
      </c>
      <c r="AF128" s="131">
        <v>36.299999999999997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39</v>
      </c>
      <c r="C129" s="131">
        <v>33.299999999999997</v>
      </c>
      <c r="D129" s="131">
        <v>35.200000000000003</v>
      </c>
      <c r="E129" s="131">
        <v>10.5</v>
      </c>
      <c r="F129" s="131">
        <v>15.7</v>
      </c>
      <c r="G129" s="131">
        <v>8</v>
      </c>
      <c r="H129" s="131">
        <v>12</v>
      </c>
      <c r="I129" s="131">
        <v>5.6</v>
      </c>
      <c r="J129" s="131">
        <v>9.4</v>
      </c>
      <c r="K129" s="131">
        <v>24.8</v>
      </c>
      <c r="L129" s="131">
        <v>30.9</v>
      </c>
      <c r="M129" s="131">
        <v>30.3</v>
      </c>
      <c r="N129" s="131">
        <v>48</v>
      </c>
      <c r="O129" s="131">
        <v>49.9</v>
      </c>
      <c r="P129" s="131">
        <v>35.1</v>
      </c>
      <c r="Q129" s="131">
        <v>33.5</v>
      </c>
      <c r="R129" s="131">
        <v>37.1</v>
      </c>
      <c r="S129" s="131">
        <v>41.7</v>
      </c>
      <c r="T129" s="131">
        <v>41.7</v>
      </c>
      <c r="U129" s="131">
        <v>26.3</v>
      </c>
      <c r="V129" s="131">
        <v>47.1</v>
      </c>
      <c r="W129" s="131">
        <v>49.4</v>
      </c>
      <c r="X129" s="131">
        <v>53.3</v>
      </c>
      <c r="Y129" s="131">
        <v>65.3</v>
      </c>
      <c r="Z129" s="131">
        <v>78</v>
      </c>
      <c r="AA129" s="131">
        <v>75.099999999999994</v>
      </c>
      <c r="AB129" s="131">
        <v>45.5</v>
      </c>
      <c r="AC129" s="131">
        <v>42</v>
      </c>
      <c r="AD129" s="131">
        <v>48.2</v>
      </c>
      <c r="AE129" s="131">
        <v>37.299999999999997</v>
      </c>
      <c r="AF129" s="131">
        <v>41.2</v>
      </c>
      <c r="AG129" s="128"/>
      <c r="AH129" s="48">
        <f>MAX(B129:AF129)</f>
        <v>78</v>
      </c>
      <c r="AI129" s="49">
        <f>MIN(B129:AF129)</f>
        <v>5.6</v>
      </c>
    </row>
    <row r="130" spans="1:37" x14ac:dyDescent="0.25">
      <c r="A130" s="126" t="s">
        <v>150</v>
      </c>
      <c r="B130" s="131">
        <v>-310.39999999999998</v>
      </c>
      <c r="C130" s="131">
        <v>-318</v>
      </c>
      <c r="D130" s="131">
        <v>-139.6</v>
      </c>
      <c r="E130" s="131">
        <v>-129.80000000000001</v>
      </c>
      <c r="F130" s="131">
        <v>-147</v>
      </c>
      <c r="G130" s="131">
        <v>-137.9</v>
      </c>
      <c r="H130" s="131">
        <v>-128</v>
      </c>
      <c r="I130" s="131">
        <v>-137.6</v>
      </c>
      <c r="J130" s="131">
        <v>-134.69999999999999</v>
      </c>
      <c r="K130" s="131">
        <v>-125.3</v>
      </c>
      <c r="L130" s="131">
        <v>-130.69999999999999</v>
      </c>
      <c r="M130" s="131">
        <v>-136</v>
      </c>
      <c r="N130" s="131">
        <v>-112</v>
      </c>
      <c r="O130" s="131">
        <v>-124.3</v>
      </c>
      <c r="P130" s="131">
        <v>-135.69999999999999</v>
      </c>
      <c r="Q130" s="131">
        <v>-147.6</v>
      </c>
      <c r="R130" s="131">
        <v>-145</v>
      </c>
      <c r="S130" s="131">
        <v>-143.9</v>
      </c>
      <c r="T130" s="131">
        <v>-143.9</v>
      </c>
      <c r="U130" s="131">
        <v>-153.74</v>
      </c>
      <c r="V130" s="131">
        <v>-140.4</v>
      </c>
      <c r="W130" s="131">
        <v>-135.19999999999999</v>
      </c>
      <c r="X130" s="131">
        <v>-133.19999999999999</v>
      </c>
      <c r="Y130" s="131">
        <v>-124</v>
      </c>
      <c r="Z130" s="131">
        <v>-109.7</v>
      </c>
      <c r="AA130" s="131">
        <v>-109.2</v>
      </c>
      <c r="AB130" s="131">
        <v>-335.2</v>
      </c>
      <c r="AC130" s="131">
        <v>-335.6</v>
      </c>
      <c r="AD130" s="131">
        <v>-342.2</v>
      </c>
      <c r="AE130" s="131">
        <v>-355.6</v>
      </c>
      <c r="AF130" s="131">
        <v>-321</v>
      </c>
      <c r="AG130" s="128"/>
      <c r="AH130" s="48">
        <f>MAX(B130:AF130)</f>
        <v>-109.2</v>
      </c>
      <c r="AI130" s="49">
        <f>MIN(B130:AF130)</f>
        <v>-355.6</v>
      </c>
    </row>
    <row r="131" spans="1:37" x14ac:dyDescent="0.25">
      <c r="A131" s="129" t="s">
        <v>151</v>
      </c>
      <c r="B131" s="119">
        <v>124.7</v>
      </c>
      <c r="C131" s="119">
        <v>127.4</v>
      </c>
      <c r="D131" s="119">
        <v>124.7</v>
      </c>
      <c r="E131" s="119">
        <v>125</v>
      </c>
      <c r="F131" s="119">
        <v>125</v>
      </c>
      <c r="G131" s="119">
        <v>124.9</v>
      </c>
      <c r="H131" s="119">
        <v>123.4</v>
      </c>
      <c r="I131" s="119">
        <v>122</v>
      </c>
      <c r="J131" s="119">
        <v>127</v>
      </c>
      <c r="K131" s="119">
        <v>123.4</v>
      </c>
      <c r="L131" s="119">
        <v>121.3</v>
      </c>
      <c r="M131" s="119">
        <v>121.6</v>
      </c>
      <c r="N131" s="119">
        <v>126</v>
      </c>
      <c r="O131" s="119">
        <v>123.9</v>
      </c>
      <c r="P131" s="119">
        <v>117.6</v>
      </c>
      <c r="Q131" s="119">
        <v>121.7</v>
      </c>
      <c r="R131" s="119">
        <v>122.1</v>
      </c>
      <c r="S131" s="119">
        <v>120.4</v>
      </c>
      <c r="T131" s="119">
        <v>120.4</v>
      </c>
      <c r="U131" s="119">
        <v>115.1</v>
      </c>
      <c r="V131" s="119">
        <v>118.3</v>
      </c>
      <c r="W131" s="119">
        <v>88.6</v>
      </c>
      <c r="X131" s="119">
        <v>82.8</v>
      </c>
      <c r="Y131" s="119">
        <v>106.3</v>
      </c>
      <c r="Z131" s="119">
        <v>101.6</v>
      </c>
      <c r="AA131" s="119">
        <v>102.7</v>
      </c>
      <c r="AB131" s="119">
        <v>117.9</v>
      </c>
      <c r="AC131" s="119">
        <v>116.6</v>
      </c>
      <c r="AD131" s="119">
        <v>120.5</v>
      </c>
      <c r="AE131" s="119">
        <v>126.5</v>
      </c>
      <c r="AF131" s="119">
        <v>115</v>
      </c>
      <c r="AG131" s="128"/>
      <c r="AH131" s="48">
        <f>MAX(B131:AF131)</f>
        <v>127.4</v>
      </c>
      <c r="AI131" s="49">
        <f>MIN(B131:AF131)</f>
        <v>82.8</v>
      </c>
    </row>
    <row r="132" spans="1:37" x14ac:dyDescent="0.25">
      <c r="A132" s="129" t="s">
        <v>152</v>
      </c>
      <c r="B132" s="119">
        <v>-23.9</v>
      </c>
      <c r="C132" s="119">
        <v>-19.2</v>
      </c>
      <c r="D132" s="119">
        <v>-29.2</v>
      </c>
      <c r="E132" s="119">
        <v>-8.6</v>
      </c>
      <c r="F132" s="119">
        <v>-15.7</v>
      </c>
      <c r="G132" s="119">
        <v>-24.6</v>
      </c>
      <c r="H132" s="119">
        <v>-4.4000000000000004</v>
      </c>
      <c r="I132" s="119">
        <v>-2.1</v>
      </c>
      <c r="J132" s="119">
        <v>0</v>
      </c>
      <c r="K132" s="119">
        <v>28.1</v>
      </c>
      <c r="L132" s="119">
        <v>-24.2</v>
      </c>
      <c r="M132" s="119">
        <v>-37.299999999999997</v>
      </c>
      <c r="N132" s="119">
        <v>-37</v>
      </c>
      <c r="O132" s="119">
        <v>-35.9</v>
      </c>
      <c r="P132" s="119">
        <v>-38.9</v>
      </c>
      <c r="Q132" s="119"/>
      <c r="R132" s="119"/>
      <c r="S132" s="119"/>
      <c r="T132" s="119"/>
      <c r="U132" s="119"/>
      <c r="V132" s="119">
        <v>2.8</v>
      </c>
      <c r="W132" s="119">
        <v>-9.9</v>
      </c>
      <c r="X132" s="119">
        <v>-18.7</v>
      </c>
      <c r="Y132" s="119">
        <v>-18.899999999999999</v>
      </c>
      <c r="Z132" s="119">
        <v>-16.8</v>
      </c>
      <c r="AA132" s="119"/>
      <c r="AB132" s="119">
        <v>2.6</v>
      </c>
      <c r="AC132" s="119">
        <v>4.0999999999999996</v>
      </c>
      <c r="AD132" s="119">
        <v>-4.2</v>
      </c>
      <c r="AE132" s="119">
        <v>0</v>
      </c>
      <c r="AF132" s="119">
        <v>-21.8</v>
      </c>
      <c r="AG132" s="128"/>
      <c r="AH132" s="48">
        <f>MAX(B132:AF132)</f>
        <v>28.1</v>
      </c>
      <c r="AI132" s="49">
        <f>MIN(B132:AF132)</f>
        <v>-38.9</v>
      </c>
    </row>
    <row r="133" spans="1:37" ht="15.75" thickBot="1" x14ac:dyDescent="0.3">
      <c r="A133" s="129" t="s">
        <v>153</v>
      </c>
      <c r="B133" s="119">
        <v>33.200000000000003</v>
      </c>
      <c r="C133" s="119">
        <v>28.6</v>
      </c>
      <c r="D133" s="119">
        <v>19.8</v>
      </c>
      <c r="E133" s="119">
        <v>13.1</v>
      </c>
      <c r="F133" s="119">
        <v>14.6</v>
      </c>
      <c r="G133" s="119">
        <v>16.2</v>
      </c>
      <c r="H133" s="119">
        <v>11.8</v>
      </c>
      <c r="I133" s="119">
        <v>11.4</v>
      </c>
      <c r="J133" s="119">
        <v>13.4</v>
      </c>
      <c r="K133" s="119">
        <v>21.3</v>
      </c>
      <c r="L133" s="119">
        <v>20</v>
      </c>
      <c r="M133" s="119">
        <v>19.899999999999999</v>
      </c>
      <c r="N133" s="119">
        <v>17.899999999999999</v>
      </c>
      <c r="O133" s="119">
        <v>19.600000000000001</v>
      </c>
      <c r="P133" s="119">
        <v>20.5</v>
      </c>
      <c r="Q133" s="119">
        <v>17.399999999999999</v>
      </c>
      <c r="R133" s="119">
        <v>22.5</v>
      </c>
      <c r="S133" s="119">
        <v>16.8</v>
      </c>
      <c r="T133" s="119">
        <v>16.8</v>
      </c>
      <c r="U133" s="119">
        <v>22.5</v>
      </c>
      <c r="V133" s="119">
        <v>10.4</v>
      </c>
      <c r="W133" s="119">
        <v>16</v>
      </c>
      <c r="X133" s="119">
        <v>12</v>
      </c>
      <c r="Y133" s="119">
        <v>11.2</v>
      </c>
      <c r="Z133" s="119">
        <v>12.7</v>
      </c>
      <c r="AA133" s="119"/>
      <c r="AB133" s="119">
        <v>23.6</v>
      </c>
      <c r="AC133" s="119">
        <v>23.2</v>
      </c>
      <c r="AD133" s="119">
        <v>25.6</v>
      </c>
      <c r="AE133" s="119">
        <v>24.7</v>
      </c>
      <c r="AF133" s="119">
        <v>31.3</v>
      </c>
      <c r="AG133" s="128"/>
      <c r="AH133" s="48">
        <f>MAX(B133:AF133)</f>
        <v>33.200000000000003</v>
      </c>
      <c r="AI133" s="49">
        <f>MIN(B133:AF133)</f>
        <v>10.4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1485.1</v>
      </c>
      <c r="C140" s="142"/>
      <c r="D140" s="142"/>
      <c r="E140" s="142">
        <v>1485.32</v>
      </c>
      <c r="F140" s="142">
        <v>1485.52</v>
      </c>
      <c r="G140" s="142">
        <v>1485.66</v>
      </c>
      <c r="H140" s="142"/>
      <c r="I140" s="142">
        <v>1485.82</v>
      </c>
      <c r="J140" s="142"/>
      <c r="K140" s="142">
        <v>1485.95</v>
      </c>
      <c r="L140" s="142"/>
      <c r="M140" s="142">
        <v>1486.25</v>
      </c>
      <c r="N140" s="142"/>
      <c r="O140" s="142">
        <v>1487.01</v>
      </c>
      <c r="P140" s="142">
        <v>1487.34</v>
      </c>
      <c r="Q140" s="142">
        <v>1487.6</v>
      </c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30">SUM(B142:B246)</f>
        <v>0</v>
      </c>
      <c r="C247" s="161">
        <f t="shared" si="130"/>
        <v>0</v>
      </c>
      <c r="D247" s="161">
        <f t="shared" si="130"/>
        <v>0</v>
      </c>
      <c r="E247" s="161">
        <f t="shared" si="130"/>
        <v>0</v>
      </c>
      <c r="F247" s="161">
        <f t="shared" si="130"/>
        <v>0</v>
      </c>
      <c r="G247" s="161">
        <f t="shared" si="130"/>
        <v>0</v>
      </c>
      <c r="H247" s="161">
        <f t="shared" si="130"/>
        <v>0</v>
      </c>
      <c r="I247" s="161">
        <f t="shared" si="130"/>
        <v>0</v>
      </c>
      <c r="J247" s="161">
        <f t="shared" si="130"/>
        <v>0</v>
      </c>
      <c r="K247" s="161">
        <f t="shared" si="130"/>
        <v>0</v>
      </c>
      <c r="L247" s="161">
        <f t="shared" si="130"/>
        <v>0</v>
      </c>
      <c r="M247" s="161">
        <f t="shared" si="130"/>
        <v>0</v>
      </c>
      <c r="N247" s="161">
        <f t="shared" si="130"/>
        <v>0</v>
      </c>
      <c r="O247" s="161">
        <f t="shared" si="130"/>
        <v>0</v>
      </c>
      <c r="P247" s="161">
        <f t="shared" si="130"/>
        <v>0</v>
      </c>
      <c r="Q247" s="161">
        <f t="shared" si="130"/>
        <v>0</v>
      </c>
      <c r="R247" s="161">
        <f t="shared" si="130"/>
        <v>0</v>
      </c>
      <c r="S247" s="161">
        <f t="shared" si="130"/>
        <v>0</v>
      </c>
      <c r="T247" s="161">
        <f t="shared" si="130"/>
        <v>0</v>
      </c>
      <c r="U247" s="161">
        <f t="shared" si="130"/>
        <v>0</v>
      </c>
      <c r="V247" s="161">
        <f t="shared" si="130"/>
        <v>0</v>
      </c>
      <c r="W247" s="161">
        <f t="shared" si="130"/>
        <v>0</v>
      </c>
      <c r="X247" s="161">
        <f t="shared" si="130"/>
        <v>0</v>
      </c>
      <c r="Y247" s="161">
        <f t="shared" si="130"/>
        <v>0</v>
      </c>
      <c r="Z247" s="161">
        <f t="shared" si="130"/>
        <v>0</v>
      </c>
      <c r="AA247" s="161">
        <f t="shared" si="130"/>
        <v>0</v>
      </c>
      <c r="AB247" s="161">
        <f t="shared" si="130"/>
        <v>0</v>
      </c>
      <c r="AC247" s="161">
        <f t="shared" si="130"/>
        <v>0</v>
      </c>
      <c r="AD247" s="161">
        <f t="shared" si="130"/>
        <v>0</v>
      </c>
      <c r="AE247" s="161">
        <f t="shared" si="130"/>
        <v>0</v>
      </c>
      <c r="AF247" s="162">
        <f t="shared" si="130"/>
        <v>0</v>
      </c>
      <c r="AG247" s="163">
        <f t="shared" si="130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31">AF249</f>
        <v>0.3</v>
      </c>
      <c r="C249" s="166">
        <v>0.3</v>
      </c>
      <c r="D249" s="166">
        <f t="shared" ref="D249:S254" si="132">C249</f>
        <v>0.3</v>
      </c>
      <c r="E249" s="166">
        <f t="shared" si="132"/>
        <v>0.3</v>
      </c>
      <c r="F249" s="166">
        <f t="shared" si="132"/>
        <v>0.3</v>
      </c>
      <c r="G249" s="166">
        <f t="shared" si="132"/>
        <v>0.3</v>
      </c>
      <c r="H249" s="166">
        <f t="shared" si="132"/>
        <v>0.3</v>
      </c>
      <c r="I249" s="166">
        <f t="shared" si="132"/>
        <v>0.3</v>
      </c>
      <c r="J249" s="166">
        <f t="shared" si="132"/>
        <v>0.3</v>
      </c>
      <c r="K249" s="166">
        <f t="shared" si="132"/>
        <v>0.3</v>
      </c>
      <c r="L249" s="166">
        <f t="shared" si="132"/>
        <v>0.3</v>
      </c>
      <c r="M249" s="166">
        <f t="shared" si="132"/>
        <v>0.3</v>
      </c>
      <c r="N249" s="166">
        <f t="shared" si="132"/>
        <v>0.3</v>
      </c>
      <c r="O249" s="166">
        <f t="shared" si="132"/>
        <v>0.3</v>
      </c>
      <c r="P249" s="166">
        <f t="shared" si="132"/>
        <v>0.3</v>
      </c>
      <c r="Q249" s="166">
        <f t="shared" si="132"/>
        <v>0.3</v>
      </c>
      <c r="R249" s="166">
        <f t="shared" si="132"/>
        <v>0.3</v>
      </c>
      <c r="S249" s="166">
        <f t="shared" si="132"/>
        <v>0.3</v>
      </c>
      <c r="T249" s="166">
        <f t="shared" ref="T249:AF254" si="133">S249</f>
        <v>0.3</v>
      </c>
      <c r="U249" s="166">
        <f t="shared" si="133"/>
        <v>0.3</v>
      </c>
      <c r="V249" s="166">
        <f t="shared" si="133"/>
        <v>0.3</v>
      </c>
      <c r="W249" s="166">
        <f t="shared" si="133"/>
        <v>0.3</v>
      </c>
      <c r="X249" s="166">
        <f t="shared" si="133"/>
        <v>0.3</v>
      </c>
      <c r="Y249" s="166">
        <f t="shared" si="133"/>
        <v>0.3</v>
      </c>
      <c r="Z249" s="166">
        <f t="shared" si="133"/>
        <v>0.3</v>
      </c>
      <c r="AA249" s="166">
        <f t="shared" si="133"/>
        <v>0.3</v>
      </c>
      <c r="AB249" s="166">
        <f t="shared" si="133"/>
        <v>0.3</v>
      </c>
      <c r="AC249" s="166">
        <f t="shared" si="133"/>
        <v>0.3</v>
      </c>
      <c r="AD249" s="166">
        <f t="shared" si="133"/>
        <v>0.3</v>
      </c>
      <c r="AE249" s="166">
        <f t="shared" si="133"/>
        <v>0.3</v>
      </c>
      <c r="AF249" s="166">
        <f t="shared" si="133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31"/>
        <v>0.4</v>
      </c>
      <c r="C250" s="152">
        <v>0.4</v>
      </c>
      <c r="D250" s="152">
        <f t="shared" si="132"/>
        <v>0.4</v>
      </c>
      <c r="E250" s="152">
        <f t="shared" si="132"/>
        <v>0.4</v>
      </c>
      <c r="F250" s="152">
        <f t="shared" si="132"/>
        <v>0.4</v>
      </c>
      <c r="G250" s="152">
        <f t="shared" si="132"/>
        <v>0.4</v>
      </c>
      <c r="H250" s="152">
        <f t="shared" si="132"/>
        <v>0.4</v>
      </c>
      <c r="I250" s="152">
        <f t="shared" si="132"/>
        <v>0.4</v>
      </c>
      <c r="J250" s="152">
        <f t="shared" si="132"/>
        <v>0.4</v>
      </c>
      <c r="K250" s="152">
        <f t="shared" si="132"/>
        <v>0.4</v>
      </c>
      <c r="L250" s="152">
        <f t="shared" si="132"/>
        <v>0.4</v>
      </c>
      <c r="M250" s="152">
        <f t="shared" si="132"/>
        <v>0.4</v>
      </c>
      <c r="N250" s="152">
        <f t="shared" si="132"/>
        <v>0.4</v>
      </c>
      <c r="O250" s="152">
        <f t="shared" si="132"/>
        <v>0.4</v>
      </c>
      <c r="P250" s="152">
        <f t="shared" si="132"/>
        <v>0.4</v>
      </c>
      <c r="Q250" s="152">
        <f t="shared" si="132"/>
        <v>0.4</v>
      </c>
      <c r="R250" s="152">
        <f t="shared" si="132"/>
        <v>0.4</v>
      </c>
      <c r="S250" s="152">
        <f t="shared" si="132"/>
        <v>0.4</v>
      </c>
      <c r="T250" s="152">
        <f t="shared" si="133"/>
        <v>0.4</v>
      </c>
      <c r="U250" s="152">
        <f t="shared" si="133"/>
        <v>0.4</v>
      </c>
      <c r="V250" s="152">
        <f t="shared" si="133"/>
        <v>0.4</v>
      </c>
      <c r="W250" s="152">
        <f t="shared" si="133"/>
        <v>0.4</v>
      </c>
      <c r="X250" s="152">
        <f t="shared" si="133"/>
        <v>0.4</v>
      </c>
      <c r="Y250" s="152">
        <f t="shared" si="133"/>
        <v>0.4</v>
      </c>
      <c r="Z250" s="152">
        <f t="shared" si="133"/>
        <v>0.4</v>
      </c>
      <c r="AA250" s="152">
        <f t="shared" si="133"/>
        <v>0.4</v>
      </c>
      <c r="AB250" s="152">
        <f t="shared" si="133"/>
        <v>0.4</v>
      </c>
      <c r="AC250" s="152">
        <f t="shared" si="133"/>
        <v>0.4</v>
      </c>
      <c r="AD250" s="152">
        <f t="shared" si="133"/>
        <v>0.4</v>
      </c>
      <c r="AE250" s="152">
        <f t="shared" si="133"/>
        <v>0.4</v>
      </c>
      <c r="AF250" s="152">
        <f t="shared" si="133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31"/>
        <v>1.5</v>
      </c>
      <c r="C251" s="152">
        <v>1.5</v>
      </c>
      <c r="D251" s="152">
        <f t="shared" si="132"/>
        <v>1.5</v>
      </c>
      <c r="E251" s="152">
        <f t="shared" si="132"/>
        <v>1.5</v>
      </c>
      <c r="F251" s="152">
        <f t="shared" si="132"/>
        <v>1.5</v>
      </c>
      <c r="G251" s="152">
        <f t="shared" si="132"/>
        <v>1.5</v>
      </c>
      <c r="H251" s="152">
        <f t="shared" si="132"/>
        <v>1.5</v>
      </c>
      <c r="I251" s="152">
        <f t="shared" si="132"/>
        <v>1.5</v>
      </c>
      <c r="J251" s="152">
        <f t="shared" si="132"/>
        <v>1.5</v>
      </c>
      <c r="K251" s="152">
        <f t="shared" si="132"/>
        <v>1.5</v>
      </c>
      <c r="L251" s="152">
        <f t="shared" si="132"/>
        <v>1.5</v>
      </c>
      <c r="M251" s="152">
        <f t="shared" si="132"/>
        <v>1.5</v>
      </c>
      <c r="N251" s="152">
        <f t="shared" si="132"/>
        <v>1.5</v>
      </c>
      <c r="O251" s="152">
        <f t="shared" si="132"/>
        <v>1.5</v>
      </c>
      <c r="P251" s="152">
        <f t="shared" si="132"/>
        <v>1.5</v>
      </c>
      <c r="Q251" s="152">
        <f t="shared" si="132"/>
        <v>1.5</v>
      </c>
      <c r="R251" s="152">
        <f t="shared" si="132"/>
        <v>1.5</v>
      </c>
      <c r="S251" s="152">
        <f t="shared" si="132"/>
        <v>1.5</v>
      </c>
      <c r="T251" s="152">
        <f t="shared" si="133"/>
        <v>1.5</v>
      </c>
      <c r="U251" s="152">
        <f t="shared" si="133"/>
        <v>1.5</v>
      </c>
      <c r="V251" s="152">
        <f t="shared" si="133"/>
        <v>1.5</v>
      </c>
      <c r="W251" s="152">
        <f t="shared" si="133"/>
        <v>1.5</v>
      </c>
      <c r="X251" s="152">
        <f t="shared" si="133"/>
        <v>1.5</v>
      </c>
      <c r="Y251" s="152">
        <f t="shared" si="133"/>
        <v>1.5</v>
      </c>
      <c r="Z251" s="152">
        <f t="shared" si="133"/>
        <v>1.5</v>
      </c>
      <c r="AA251" s="152">
        <f t="shared" si="133"/>
        <v>1.5</v>
      </c>
      <c r="AB251" s="152">
        <f t="shared" si="133"/>
        <v>1.5</v>
      </c>
      <c r="AC251" s="152">
        <f t="shared" si="133"/>
        <v>1.5</v>
      </c>
      <c r="AD251" s="152">
        <f t="shared" si="133"/>
        <v>1.5</v>
      </c>
      <c r="AE251" s="152">
        <f t="shared" si="133"/>
        <v>1.5</v>
      </c>
      <c r="AF251" s="152">
        <f t="shared" si="133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31"/>
        <v>0.3</v>
      </c>
      <c r="C252" s="152">
        <v>0.3</v>
      </c>
      <c r="D252" s="152">
        <f t="shared" si="132"/>
        <v>0.3</v>
      </c>
      <c r="E252" s="152">
        <f t="shared" si="132"/>
        <v>0.3</v>
      </c>
      <c r="F252" s="152">
        <f t="shared" si="132"/>
        <v>0.3</v>
      </c>
      <c r="G252" s="152">
        <f t="shared" si="132"/>
        <v>0.3</v>
      </c>
      <c r="H252" s="152">
        <f t="shared" si="132"/>
        <v>0.3</v>
      </c>
      <c r="I252" s="152">
        <f t="shared" si="132"/>
        <v>0.3</v>
      </c>
      <c r="J252" s="152">
        <f t="shared" si="132"/>
        <v>0.3</v>
      </c>
      <c r="K252" s="152">
        <f t="shared" si="132"/>
        <v>0.3</v>
      </c>
      <c r="L252" s="152">
        <f t="shared" si="132"/>
        <v>0.3</v>
      </c>
      <c r="M252" s="152">
        <f t="shared" si="132"/>
        <v>0.3</v>
      </c>
      <c r="N252" s="152">
        <f t="shared" si="132"/>
        <v>0.3</v>
      </c>
      <c r="O252" s="152">
        <f t="shared" si="132"/>
        <v>0.3</v>
      </c>
      <c r="P252" s="152">
        <f t="shared" si="132"/>
        <v>0.3</v>
      </c>
      <c r="Q252" s="152">
        <f t="shared" si="132"/>
        <v>0.3</v>
      </c>
      <c r="R252" s="152">
        <f t="shared" si="132"/>
        <v>0.3</v>
      </c>
      <c r="S252" s="152">
        <f t="shared" si="132"/>
        <v>0.3</v>
      </c>
      <c r="T252" s="152">
        <f t="shared" si="133"/>
        <v>0.3</v>
      </c>
      <c r="U252" s="152">
        <f t="shared" si="133"/>
        <v>0.3</v>
      </c>
      <c r="V252" s="152">
        <f t="shared" si="133"/>
        <v>0.3</v>
      </c>
      <c r="W252" s="152">
        <f t="shared" si="133"/>
        <v>0.3</v>
      </c>
      <c r="X252" s="152">
        <f t="shared" si="133"/>
        <v>0.3</v>
      </c>
      <c r="Y252" s="152">
        <f t="shared" si="133"/>
        <v>0.3</v>
      </c>
      <c r="Z252" s="152">
        <f t="shared" si="133"/>
        <v>0.3</v>
      </c>
      <c r="AA252" s="152">
        <f t="shared" si="133"/>
        <v>0.3</v>
      </c>
      <c r="AB252" s="152">
        <f t="shared" si="133"/>
        <v>0.3</v>
      </c>
      <c r="AC252" s="152">
        <f t="shared" si="133"/>
        <v>0.3</v>
      </c>
      <c r="AD252" s="152">
        <f t="shared" si="133"/>
        <v>0.3</v>
      </c>
      <c r="AE252" s="152">
        <f t="shared" si="133"/>
        <v>0.3</v>
      </c>
      <c r="AF252" s="152">
        <f t="shared" si="133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31"/>
        <v>0.4</v>
      </c>
      <c r="C253" s="152">
        <v>0.4</v>
      </c>
      <c r="D253" s="152">
        <f t="shared" si="132"/>
        <v>0.4</v>
      </c>
      <c r="E253" s="152">
        <f t="shared" si="132"/>
        <v>0.4</v>
      </c>
      <c r="F253" s="152">
        <f t="shared" si="132"/>
        <v>0.4</v>
      </c>
      <c r="G253" s="152">
        <f t="shared" si="132"/>
        <v>0.4</v>
      </c>
      <c r="H253" s="152">
        <f t="shared" si="132"/>
        <v>0.4</v>
      </c>
      <c r="I253" s="152">
        <f t="shared" si="132"/>
        <v>0.4</v>
      </c>
      <c r="J253" s="152">
        <f t="shared" si="132"/>
        <v>0.4</v>
      </c>
      <c r="K253" s="152">
        <f t="shared" si="132"/>
        <v>0.4</v>
      </c>
      <c r="L253" s="152">
        <f t="shared" si="132"/>
        <v>0.4</v>
      </c>
      <c r="M253" s="152">
        <f t="shared" si="132"/>
        <v>0.4</v>
      </c>
      <c r="N253" s="152">
        <f t="shared" si="132"/>
        <v>0.4</v>
      </c>
      <c r="O253" s="152">
        <f t="shared" si="132"/>
        <v>0.4</v>
      </c>
      <c r="P253" s="152">
        <f t="shared" si="132"/>
        <v>0.4</v>
      </c>
      <c r="Q253" s="152">
        <f t="shared" si="132"/>
        <v>0.4</v>
      </c>
      <c r="R253" s="152">
        <f t="shared" si="132"/>
        <v>0.4</v>
      </c>
      <c r="S253" s="152">
        <f t="shared" si="132"/>
        <v>0.4</v>
      </c>
      <c r="T253" s="152">
        <f t="shared" si="133"/>
        <v>0.4</v>
      </c>
      <c r="U253" s="152">
        <f t="shared" si="133"/>
        <v>0.4</v>
      </c>
      <c r="V253" s="152">
        <f t="shared" si="133"/>
        <v>0.4</v>
      </c>
      <c r="W253" s="152">
        <f t="shared" si="133"/>
        <v>0.4</v>
      </c>
      <c r="X253" s="152">
        <f t="shared" si="133"/>
        <v>0.4</v>
      </c>
      <c r="Y253" s="152">
        <f t="shared" si="133"/>
        <v>0.4</v>
      </c>
      <c r="Z253" s="152">
        <f t="shared" si="133"/>
        <v>0.4</v>
      </c>
      <c r="AA253" s="152">
        <f t="shared" si="133"/>
        <v>0.4</v>
      </c>
      <c r="AB253" s="152">
        <f t="shared" si="133"/>
        <v>0.4</v>
      </c>
      <c r="AC253" s="152">
        <f t="shared" si="133"/>
        <v>0.4</v>
      </c>
      <c r="AD253" s="152">
        <f t="shared" si="133"/>
        <v>0.4</v>
      </c>
      <c r="AE253" s="152">
        <f t="shared" si="133"/>
        <v>0.4</v>
      </c>
      <c r="AF253" s="152">
        <f t="shared" si="133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31"/>
        <v>0.64</v>
      </c>
      <c r="C254" s="157">
        <v>0.64</v>
      </c>
      <c r="D254" s="157">
        <f t="shared" si="132"/>
        <v>0.64</v>
      </c>
      <c r="E254" s="157">
        <f t="shared" si="132"/>
        <v>0.64</v>
      </c>
      <c r="F254" s="157">
        <f t="shared" si="132"/>
        <v>0.64</v>
      </c>
      <c r="G254" s="157">
        <f t="shared" si="132"/>
        <v>0.64</v>
      </c>
      <c r="H254" s="157">
        <f t="shared" si="132"/>
        <v>0.64</v>
      </c>
      <c r="I254" s="157">
        <f t="shared" si="132"/>
        <v>0.64</v>
      </c>
      <c r="J254" s="157">
        <f t="shared" si="132"/>
        <v>0.64</v>
      </c>
      <c r="K254" s="157">
        <f t="shared" si="132"/>
        <v>0.64</v>
      </c>
      <c r="L254" s="157">
        <f t="shared" si="132"/>
        <v>0.64</v>
      </c>
      <c r="M254" s="157">
        <f t="shared" si="132"/>
        <v>0.64</v>
      </c>
      <c r="N254" s="157">
        <f t="shared" si="132"/>
        <v>0.64</v>
      </c>
      <c r="O254" s="157">
        <f t="shared" si="132"/>
        <v>0.64</v>
      </c>
      <c r="P254" s="157">
        <f t="shared" si="132"/>
        <v>0.64</v>
      </c>
      <c r="Q254" s="157">
        <f t="shared" si="132"/>
        <v>0.64</v>
      </c>
      <c r="R254" s="157">
        <f t="shared" si="132"/>
        <v>0.64</v>
      </c>
      <c r="S254" s="157">
        <f t="shared" si="132"/>
        <v>0.64</v>
      </c>
      <c r="T254" s="157">
        <f t="shared" si="133"/>
        <v>0.64</v>
      </c>
      <c r="U254" s="157">
        <f t="shared" si="133"/>
        <v>0.64</v>
      </c>
      <c r="V254" s="157">
        <f t="shared" si="133"/>
        <v>0.64</v>
      </c>
      <c r="W254" s="157">
        <f t="shared" si="133"/>
        <v>0.64</v>
      </c>
      <c r="X254" s="157">
        <f t="shared" si="133"/>
        <v>0.64</v>
      </c>
      <c r="Y254" s="157">
        <f t="shared" si="133"/>
        <v>0.64</v>
      </c>
      <c r="Z254" s="157">
        <f t="shared" si="133"/>
        <v>0.64</v>
      </c>
      <c r="AA254" s="157">
        <f t="shared" si="133"/>
        <v>0.64</v>
      </c>
      <c r="AB254" s="157">
        <f t="shared" si="133"/>
        <v>0.64</v>
      </c>
      <c r="AC254" s="157">
        <f t="shared" si="133"/>
        <v>0.64</v>
      </c>
      <c r="AD254" s="157">
        <f t="shared" si="133"/>
        <v>0.64</v>
      </c>
      <c r="AE254" s="157">
        <f t="shared" si="133"/>
        <v>0.64</v>
      </c>
      <c r="AF254" s="157">
        <f t="shared" si="133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34">SUM(B249:B254)</f>
        <v>3.54</v>
      </c>
      <c r="C255" s="161">
        <f t="shared" si="134"/>
        <v>3.54</v>
      </c>
      <c r="D255" s="161">
        <f t="shared" si="134"/>
        <v>3.54</v>
      </c>
      <c r="E255" s="161">
        <f t="shared" si="134"/>
        <v>3.54</v>
      </c>
      <c r="F255" s="161">
        <f t="shared" si="134"/>
        <v>3.54</v>
      </c>
      <c r="G255" s="161">
        <f t="shared" si="134"/>
        <v>3.54</v>
      </c>
      <c r="H255" s="161">
        <f t="shared" si="134"/>
        <v>3.54</v>
      </c>
      <c r="I255" s="161">
        <f t="shared" si="134"/>
        <v>3.54</v>
      </c>
      <c r="J255" s="161">
        <f t="shared" si="134"/>
        <v>3.54</v>
      </c>
      <c r="K255" s="161">
        <f t="shared" si="134"/>
        <v>3.54</v>
      </c>
      <c r="L255" s="161">
        <f t="shared" si="134"/>
        <v>3.54</v>
      </c>
      <c r="M255" s="161">
        <f t="shared" si="134"/>
        <v>3.54</v>
      </c>
      <c r="N255" s="161">
        <f t="shared" si="134"/>
        <v>3.54</v>
      </c>
      <c r="O255" s="161">
        <f t="shared" si="134"/>
        <v>3.54</v>
      </c>
      <c r="P255" s="161">
        <f t="shared" si="134"/>
        <v>3.54</v>
      </c>
      <c r="Q255" s="161">
        <f t="shared" si="134"/>
        <v>3.54</v>
      </c>
      <c r="R255" s="161">
        <f t="shared" si="134"/>
        <v>3.54</v>
      </c>
      <c r="S255" s="161">
        <f t="shared" si="134"/>
        <v>3.54</v>
      </c>
      <c r="T255" s="161">
        <f t="shared" si="134"/>
        <v>3.54</v>
      </c>
      <c r="U255" s="161">
        <f t="shared" si="134"/>
        <v>3.54</v>
      </c>
      <c r="V255" s="161">
        <f t="shared" si="134"/>
        <v>3.54</v>
      </c>
      <c r="W255" s="161">
        <f t="shared" si="134"/>
        <v>3.54</v>
      </c>
      <c r="X255" s="161">
        <f t="shared" si="134"/>
        <v>3.54</v>
      </c>
      <c r="Y255" s="161">
        <f t="shared" si="134"/>
        <v>3.54</v>
      </c>
      <c r="Z255" s="161">
        <f t="shared" si="134"/>
        <v>3.54</v>
      </c>
      <c r="AA255" s="161">
        <f t="shared" si="134"/>
        <v>3.54</v>
      </c>
      <c r="AB255" s="161">
        <f t="shared" si="134"/>
        <v>3.54</v>
      </c>
      <c r="AC255" s="161">
        <f t="shared" si="134"/>
        <v>3.54</v>
      </c>
      <c r="AD255" s="161">
        <f t="shared" si="134"/>
        <v>3.54</v>
      </c>
      <c r="AE255" s="161">
        <f t="shared" si="134"/>
        <v>3.54</v>
      </c>
      <c r="AF255" s="161">
        <f t="shared" si="134"/>
        <v>3.54</v>
      </c>
      <c r="AG255" s="171">
        <f t="shared" si="134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1619.5399999999997</v>
      </c>
      <c r="C259" s="174">
        <f>INDEX(G9:N9,1,MATCH(MAX(G102:N102),G102:N102,0))</f>
        <v>0.3125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2080/10/22)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635" priority="80">
      <formula>$AH11=0</formula>
    </cfRule>
  </conditionalFormatting>
  <conditionalFormatting sqref="A89">
    <cfRule type="expression" dxfId="1634" priority="138">
      <formula>$AH94=0</formula>
    </cfRule>
  </conditionalFormatting>
  <conditionalFormatting sqref="A90:A94">
    <cfRule type="expression" dxfId="1633" priority="81">
      <formula>$AH89=0</formula>
    </cfRule>
  </conditionalFormatting>
  <conditionalFormatting sqref="B8">
    <cfRule type="expression" dxfId="1632" priority="134">
      <formula>AND(C$9&gt;=14/24,C$9&lt;20/24)</formula>
    </cfRule>
    <cfRule type="expression" dxfId="1631" priority="135">
      <formula>AND(C$9&gt;=8/24,C$9&lt;14/24)</formula>
    </cfRule>
    <cfRule type="expression" dxfId="1630" priority="136">
      <formula>C$9&lt;8/24</formula>
    </cfRule>
    <cfRule type="expression" dxfId="1629" priority="137">
      <formula>C$9&gt;=20/24</formula>
    </cfRule>
  </conditionalFormatting>
  <conditionalFormatting sqref="B11:D60 Y15:AA58 AB15:AF60 M15:X83 E22:L60 C59:AF59 AA59:AA60 E11 E12:J21 K15:L21 H17:H27 AA61:AG61 B61:L83 Y61:Z83 AA62:AF64 AA65:AG65 AA66:AF83 AG83">
    <cfRule type="expression" dxfId="1628" priority="40">
      <formula>B11&gt;$AG11</formula>
    </cfRule>
  </conditionalFormatting>
  <conditionalFormatting sqref="B9:AF10 E11 B11:D57 E12:J57 K15:AF57 B62:D71 E69:E77 F70:X77 Y71:AF77 B72:L77 B80:AF102 B104:AF120 B122:AF140 B247:AF247 B249:B255">
    <cfRule type="expression" dxfId="1627" priority="42">
      <formula>AND(B$9&gt;=14/24,B$9&lt;20/24)</formula>
    </cfRule>
    <cfRule type="expression" dxfId="1626" priority="43">
      <formula>AND(B$9&gt;=8/24,B$9&lt;14/24)</formula>
    </cfRule>
    <cfRule type="expression" dxfId="1625" priority="44">
      <formula>B$9&lt;8/24</formula>
    </cfRule>
  </conditionalFormatting>
  <conditionalFormatting sqref="B58:AF60">
    <cfRule type="expression" dxfId="1624" priority="37">
      <formula>B$9&gt;=20/24</formula>
    </cfRule>
    <cfRule type="expression" dxfId="1623" priority="38">
      <formula>AND(B$9&gt;=14/24,B$9&lt;20/24)</formula>
    </cfRule>
    <cfRule type="expression" dxfId="1622" priority="39">
      <formula>AND(B$9&gt;=8/24,B$9&lt;14/24)</formula>
    </cfRule>
    <cfRule type="expression" dxfId="1621" priority="49">
      <formula>B$9&lt;8/24</formula>
    </cfRule>
  </conditionalFormatting>
  <conditionalFormatting sqref="D249:AF255">
    <cfRule type="expression" dxfId="1620" priority="119">
      <formula>D$9&gt;=20/24</formula>
    </cfRule>
    <cfRule type="expression" dxfId="1619" priority="120">
      <formula>AND(D$9&gt;=14/24,D$9&lt;20/24)</formula>
    </cfRule>
    <cfRule type="expression" dxfId="1618" priority="121">
      <formula>AND(D$9&gt;=8/24,D$9&lt;14/24)</formula>
    </cfRule>
    <cfRule type="expression" dxfId="1617" priority="122">
      <formula>D$9&lt;8/24</formula>
    </cfRule>
  </conditionalFormatting>
  <conditionalFormatting sqref="E11 B11:D57 E12:J57 K15:AF57 B62:D71 E69:E77 F70:X77 Y71:AF77 B72:L77 B80:AF102 B9:AF10 B104:AF120 B122:AF140 B247:AF247 B249:B255">
    <cfRule type="expression" dxfId="1616" priority="41">
      <formula>B$9&gt;=20/24</formula>
    </cfRule>
  </conditionalFormatting>
  <conditionalFormatting sqref="E66:K70 L70:X70">
    <cfRule type="expression" dxfId="1615" priority="50">
      <formula>E$9&gt;=20/24</formula>
    </cfRule>
    <cfRule type="expression" dxfId="1614" priority="51">
      <formula>AND(E$9&gt;=14/24,E$9&lt;20/24)</formula>
    </cfRule>
    <cfRule type="expression" dxfId="1613" priority="52">
      <formula>AND(E$9&gt;=8/24,E$9&lt;14/24)</formula>
    </cfRule>
    <cfRule type="expression" dxfId="1612" priority="53">
      <formula>E$9&lt;8/24</formula>
    </cfRule>
  </conditionalFormatting>
  <conditionalFormatting sqref="E11:Q11 R11:AF14 K12:Q14">
    <cfRule type="expression" dxfId="1611" priority="54">
      <formula>E11&gt;$AG11</formula>
    </cfRule>
    <cfRule type="expression" dxfId="1610" priority="55">
      <formula>E$9&gt;=20/24</formula>
    </cfRule>
    <cfRule type="expression" dxfId="1609" priority="56">
      <formula>AND(E$9&gt;=14/24,E$9&lt;20/24)</formula>
    </cfRule>
    <cfRule type="expression" dxfId="1608" priority="57">
      <formula>AND(E$9&gt;=8/24,E$9&lt;14/24)</formula>
    </cfRule>
    <cfRule type="expression" dxfId="1607" priority="58">
      <formula>E$9&lt;8/24</formula>
    </cfRule>
  </conditionalFormatting>
  <conditionalFormatting sqref="E62:AF65">
    <cfRule type="expression" dxfId="1606" priority="60">
      <formula>E$9&gt;=20/24</formula>
    </cfRule>
    <cfRule type="expression" dxfId="1605" priority="61">
      <formula>AND(E$9&gt;=14/24,E$9&lt;20/24)</formula>
    </cfRule>
    <cfRule type="expression" dxfId="1604" priority="62">
      <formula>AND(E$9&gt;=8/24,E$9&lt;14/24)</formula>
    </cfRule>
    <cfRule type="expression" dxfId="1603" priority="63">
      <formula>E$9&lt;8/24</formula>
    </cfRule>
  </conditionalFormatting>
  <conditionalFormatting sqref="E71:AF71">
    <cfRule type="expression" dxfId="1602" priority="45">
      <formula>E$9&gt;=20/24</formula>
    </cfRule>
    <cfRule type="expression" dxfId="1601" priority="46">
      <formula>AND(E$9&gt;=14/24,E$9&lt;20/24)</formula>
    </cfRule>
    <cfRule type="expression" dxfId="1600" priority="47">
      <formula>AND(E$9&gt;=8/24,E$9&lt;14/24)</formula>
    </cfRule>
    <cfRule type="expression" dxfId="1599" priority="48">
      <formula>E$9&lt;8/24</formula>
    </cfRule>
  </conditionalFormatting>
  <conditionalFormatting sqref="F66:X68">
    <cfRule type="expression" dxfId="1598" priority="72">
      <formula>F$9&gt;=20/24</formula>
    </cfRule>
    <cfRule type="expression" dxfId="1597" priority="73">
      <formula>AND(F$9&gt;=14/24,F$9&lt;20/24)</formula>
    </cfRule>
    <cfRule type="expression" dxfId="1596" priority="74">
      <formula>AND(F$9&gt;=8/24,F$9&lt;14/24)</formula>
    </cfRule>
    <cfRule type="expression" dxfId="1595" priority="75">
      <formula>F$9&lt;8/24</formula>
    </cfRule>
  </conditionalFormatting>
  <conditionalFormatting sqref="L71:AF71">
    <cfRule type="expression" dxfId="1594" priority="68">
      <formula>L$9&gt;=20/24</formula>
    </cfRule>
    <cfRule type="expression" dxfId="1593" priority="69">
      <formula>AND(L$9&gt;=14/24,L$9&lt;20/24)</formula>
    </cfRule>
    <cfRule type="expression" dxfId="1592" priority="70">
      <formula>AND(L$9&gt;=8/24,L$9&lt;14/24)</formula>
    </cfRule>
    <cfRule type="expression" dxfId="1591" priority="71">
      <formula>L$9&lt;8/24</formula>
    </cfRule>
  </conditionalFormatting>
  <conditionalFormatting sqref="M8 S8 AB8">
    <cfRule type="expression" dxfId="1590" priority="126">
      <formula>AND(N$9&gt;=14/24,N$9&lt;20/24)</formula>
    </cfRule>
    <cfRule type="expression" dxfId="1589" priority="127">
      <formula>AND(N$9&gt;=8/24,N$9&lt;14/24)</formula>
    </cfRule>
    <cfRule type="expression" dxfId="1588" priority="128">
      <formula>N$9&lt;8/24</formula>
    </cfRule>
  </conditionalFormatting>
  <conditionalFormatting sqref="N66:X70">
    <cfRule type="expression" dxfId="1587" priority="76">
      <formula>N$9&gt;=20/24</formula>
    </cfRule>
    <cfRule type="expression" dxfId="1586" priority="77">
      <formula>AND(N$9&gt;=14/24,N$9&lt;20/24)</formula>
    </cfRule>
    <cfRule type="expression" dxfId="1585" priority="78">
      <formula>AND(N$9&gt;=8/24,N$9&lt;14/24)</formula>
    </cfRule>
    <cfRule type="expression" dxfId="1584" priority="79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583" priority="125">
      <formula>N$9&gt;=20/24</formula>
    </cfRule>
  </conditionalFormatting>
  <conditionalFormatting sqref="S8">
    <cfRule type="expression" dxfId="1582" priority="112">
      <formula>U$9&gt;=20/24</formula>
    </cfRule>
    <cfRule type="expression" dxfId="1581" priority="113">
      <formula>AND(U$9&gt;=14/24,U$9&lt;20/24)</formula>
    </cfRule>
    <cfRule type="expression" dxfId="1580" priority="114">
      <formula>AND(U$9&gt;=8/24,U$9&lt;14/24)</formula>
    </cfRule>
    <cfRule type="expression" dxfId="1579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59:Z60">
    <cfRule type="expression" dxfId="1578" priority="59">
      <formula>Y59&gt;$AG59</formula>
    </cfRule>
  </conditionalFormatting>
  <conditionalFormatting sqref="Y66:AF71">
    <cfRule type="expression" dxfId="1577" priority="64">
      <formula>Y$9&gt;=20/24</formula>
    </cfRule>
    <cfRule type="expression" dxfId="1576" priority="65">
      <formula>AND(Y$9&gt;=14/24,Y$9&lt;20/24)</formula>
    </cfRule>
    <cfRule type="expression" dxfId="1575" priority="66">
      <formula>AND(Y$9&gt;=8/24,Y$9&lt;14/24)</formula>
    </cfRule>
    <cfRule type="expression" dxfId="1574" priority="67">
      <formula>Y$9&lt;8/24</formula>
    </cfRule>
  </conditionalFormatting>
  <conditionalFormatting sqref="AB8">
    <cfRule type="expression" dxfId="1573" priority="108">
      <formula>AD$9&gt;=20/24</formula>
    </cfRule>
    <cfRule type="expression" dxfId="1572" priority="109">
      <formula>AND(AD$9&gt;=14/24,AD$9&lt;20/24)</formula>
    </cfRule>
    <cfRule type="expression" dxfId="1571" priority="110">
      <formula>AND(AD$9&gt;=8/24,AD$9&lt;14/24)</formula>
    </cfRule>
    <cfRule type="expression" dxfId="1570" priority="111">
      <formula>AD$9&lt;8/24</formula>
    </cfRule>
  </conditionalFormatting>
  <conditionalFormatting sqref="AG65">
    <cfRule type="expression" dxfId="1569" priority="87">
      <formula>AG$9&gt;=20/24</formula>
    </cfRule>
    <cfRule type="expression" dxfId="1568" priority="88">
      <formula>AND(AG$9&gt;=14/24,AG$9&lt;20/24)</formula>
    </cfRule>
    <cfRule type="expression" dxfId="1567" priority="89">
      <formula>AND(AG$9&gt;=8/24,AG$9&lt;14/24)</formula>
    </cfRule>
    <cfRule type="expression" dxfId="1566" priority="90">
      <formula>AG$9&lt;8/24</formula>
    </cfRule>
  </conditionalFormatting>
  <conditionalFormatting sqref="AG78:AG79">
    <cfRule type="expression" dxfId="1565" priority="82">
      <formula>AG78&gt;$AG78</formula>
    </cfRule>
  </conditionalFormatting>
  <conditionalFormatting sqref="AG83">
    <cfRule type="expression" dxfId="1564" priority="83">
      <formula>AG$9&gt;=20/24</formula>
    </cfRule>
    <cfRule type="expression" dxfId="1563" priority="84">
      <formula>AND(AG$9&gt;=14/24,AG$9&lt;20/24)</formula>
    </cfRule>
    <cfRule type="expression" dxfId="1562" priority="85">
      <formula>AND(AG$9&gt;=8/24,AG$9&lt;14/24)</formula>
    </cfRule>
    <cfRule type="expression" dxfId="1561" priority="86">
      <formula>AG$9&lt;8/24</formula>
    </cfRule>
  </conditionalFormatting>
  <conditionalFormatting sqref="AG100">
    <cfRule type="expression" dxfId="1560" priority="104">
      <formula>AG$9&gt;=20/24</formula>
    </cfRule>
    <cfRule type="expression" dxfId="1559" priority="105">
      <formula>AND(AG$9&gt;=14/24,AG$9&lt;20/24)</formula>
    </cfRule>
    <cfRule type="expression" dxfId="1558" priority="106">
      <formula>AND(AG$9&gt;=8/24,AG$9&lt;14/24)</formula>
    </cfRule>
    <cfRule type="expression" dxfId="1557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556" priority="129">
      <formula>AJ$9&gt;=20/24</formula>
    </cfRule>
    <cfRule type="expression" dxfId="1555" priority="130">
      <formula>AND(AJ$9&gt;=14/24,AJ$9&lt;20/24)</formula>
    </cfRule>
    <cfRule type="expression" dxfId="1554" priority="131">
      <formula>AND(AJ$9&gt;=8/24,AJ$9&lt;14/24)</formula>
    </cfRule>
    <cfRule type="expression" dxfId="1553" priority="132">
      <formula>AJ$9&lt;8/24</formula>
    </cfRule>
  </conditionalFormatting>
  <conditionalFormatting sqref="AL86:AN86 AL92:AN92">
    <cfRule type="expression" dxfId="1552" priority="97">
      <formula>AL$9&gt;=20/24</formula>
    </cfRule>
    <cfRule type="expression" dxfId="1551" priority="98">
      <formula>AND(AL$9&gt;=14/24,AL$9&lt;20/24)</formula>
    </cfRule>
    <cfRule type="expression" dxfId="1550" priority="99">
      <formula>AND(AL$9&gt;=8/24,AL$9&lt;14/24)</formula>
    </cfRule>
    <cfRule type="expression" dxfId="1549" priority="100">
      <formula>AL$9&lt;8/24</formula>
    </cfRule>
  </conditionalFormatting>
  <conditionalFormatting sqref="AM15:AM21 AN16:AR21">
    <cfRule type="expression" dxfId="1548" priority="13">
      <formula>AX$9&gt;=20/24</formula>
    </cfRule>
    <cfRule type="expression" dxfId="1547" priority="14">
      <formula>AND(AX$9&gt;=14/24,AX$9&lt;20/24)</formula>
    </cfRule>
    <cfRule type="expression" dxfId="1546" priority="15">
      <formula>AND(AX$9&gt;=8/24,AX$9&lt;14/24)</formula>
    </cfRule>
    <cfRule type="expression" dxfId="1545" priority="16">
      <formula>AX$9&lt;8/24</formula>
    </cfRule>
  </conditionalFormatting>
  <conditionalFormatting sqref="AN87:AN90">
    <cfRule type="expression" dxfId="1544" priority="93">
      <formula>AN$9&gt;=20/24</formula>
    </cfRule>
    <cfRule type="expression" dxfId="1543" priority="94">
      <formula>AND(AN$9&gt;=14/24,AN$9&lt;20/24)</formula>
    </cfRule>
    <cfRule type="expression" dxfId="1542" priority="95">
      <formula>AND(AN$9&gt;=8/24,AN$9&lt;14/24)</formula>
    </cfRule>
    <cfRule type="expression" dxfId="1541" priority="96">
      <formula>AN$9&lt;8/24</formula>
    </cfRule>
  </conditionalFormatting>
  <conditionalFormatting sqref="AN15:AR15">
    <cfRule type="expression" dxfId="1540" priority="1">
      <formula>U$9&gt;=20/24</formula>
    </cfRule>
    <cfRule type="expression" dxfId="1539" priority="2">
      <formula>AND(U$9&gt;=14/24,U$9&lt;20/24)</formula>
    </cfRule>
    <cfRule type="expression" dxfId="1538" priority="3">
      <formula>AND(U$9&gt;=8/24,U$9&lt;14/24)</formula>
    </cfRule>
    <cfRule type="expression" dxfId="1537" priority="4">
      <formula>U$9&lt;8/24</formula>
    </cfRule>
  </conditionalFormatting>
  <conditionalFormatting sqref="AS15">
    <cfRule type="expression" dxfId="1536" priority="9">
      <formula>AA$9&gt;=20/24</formula>
    </cfRule>
    <cfRule type="expression" dxfId="1535" priority="10">
      <formula>AND(AA$9&gt;=14/24,AA$9&lt;20/24)</formula>
    </cfRule>
    <cfRule type="expression" dxfId="1534" priority="11">
      <formula>AND(AA$9&gt;=8/24,AA$9&lt;14/24)</formula>
    </cfRule>
    <cfRule type="expression" dxfId="1533" priority="12">
      <formula>AA$9&lt;8/24</formula>
    </cfRule>
  </conditionalFormatting>
  <conditionalFormatting sqref="AS16:AS21">
    <cfRule type="expression" dxfId="1532" priority="17">
      <formula>BE$9&gt;=20/24</formula>
    </cfRule>
    <cfRule type="expression" dxfId="1531" priority="18">
      <formula>AND(BE$9&gt;=14/24,BE$9&lt;20/24)</formula>
    </cfRule>
    <cfRule type="expression" dxfId="1530" priority="19">
      <formula>AND(BE$9&gt;=8/24,BE$9&lt;14/24)</formula>
    </cfRule>
    <cfRule type="expression" dxfId="1529" priority="20">
      <formula>BE$9&lt;8/24</formula>
    </cfRule>
  </conditionalFormatting>
  <conditionalFormatting sqref="AT15 AX15:BJ15">
    <cfRule type="expression" dxfId="1528" priority="21">
      <formula>AC$9&gt;=20/24</formula>
    </cfRule>
    <cfRule type="expression" dxfId="1527" priority="22">
      <formula>AND(AC$9&gt;=14/24,AC$9&lt;20/24)</formula>
    </cfRule>
    <cfRule type="expression" dxfId="1526" priority="23">
      <formula>AND(AC$9&gt;=8/24,AC$9&lt;14/24)</formula>
    </cfRule>
    <cfRule type="expression" dxfId="1525" priority="24">
      <formula>AC$9&lt;8/24</formula>
    </cfRule>
  </conditionalFormatting>
  <conditionalFormatting sqref="AT16:AT21">
    <cfRule type="expression" dxfId="1524" priority="25">
      <formula>BG$9&gt;=20/24</formula>
    </cfRule>
    <cfRule type="expression" dxfId="1523" priority="26">
      <formula>AND(BG$9&gt;=14/24,BG$9&lt;20/24)</formula>
    </cfRule>
    <cfRule type="expression" dxfId="1522" priority="27">
      <formula>AND(BG$9&gt;=8/24,BG$9&lt;14/24)</formula>
    </cfRule>
    <cfRule type="expression" dxfId="1521" priority="28">
      <formula>BG$9&lt;8/24</formula>
    </cfRule>
  </conditionalFormatting>
  <conditionalFormatting sqref="AU15:AV15">
    <cfRule type="expression" dxfId="1520" priority="29">
      <formula>AE$9&gt;=20/24</formula>
    </cfRule>
    <cfRule type="expression" dxfId="1519" priority="30">
      <formula>AND(AE$9&gt;=14/24,AE$9&lt;20/24)</formula>
    </cfRule>
    <cfRule type="expression" dxfId="1518" priority="31">
      <formula>AND(AE$9&gt;=8/24,AE$9&lt;14/24)</formula>
    </cfRule>
    <cfRule type="expression" dxfId="1517" priority="32">
      <formula>AE$9&lt;8/24</formula>
    </cfRule>
  </conditionalFormatting>
  <conditionalFormatting sqref="AU16:BJ21">
    <cfRule type="expression" dxfId="1516" priority="33">
      <formula>BI$9&gt;=20/24</formula>
    </cfRule>
    <cfRule type="expression" dxfId="1515" priority="34">
      <formula>AND(BI$9&gt;=14/24,BI$9&lt;20/24)</formula>
    </cfRule>
    <cfRule type="expression" dxfId="1514" priority="35">
      <formula>AND(BI$9&gt;=8/24,BI$9&lt;14/24)</formula>
    </cfRule>
    <cfRule type="expression" dxfId="1513" priority="36">
      <formula>BI$9&lt;8/24</formula>
    </cfRule>
  </conditionalFormatting>
  <conditionalFormatting sqref="AW15">
    <cfRule type="expression" dxfId="1512" priority="5">
      <formula>B$9&gt;=20/24</formula>
    </cfRule>
    <cfRule type="expression" dxfId="1511" priority="6">
      <formula>AND(B$9&gt;=14/24,B$9&lt;20/24)</formula>
    </cfRule>
    <cfRule type="expression" dxfId="1510" priority="7">
      <formula>AND(B$9&gt;=8/24,B$9&lt;14/24)</formula>
    </cfRule>
    <cfRule type="expression" dxfId="150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CC1F-AB58-40EB-B889-C738987B8812}">
  <dimension ref="A1:CJ297"/>
  <sheetViews>
    <sheetView zoomScale="110" zoomScaleNormal="110" workbookViewId="0">
      <pane xSplit="1" ySplit="10" topLeftCell="E77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C86" sqref="AC8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5703125" style="1" bestFit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6.5703125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.285156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2080/10/23</v>
      </c>
      <c r="C4" s="189"/>
      <c r="D4" s="189"/>
      <c r="E4" s="190" t="str">
        <f ca="1">"2080/"&amp;"10/"&amp;INT(MID(CELL("filename",G6),FIND("]",CELL("filename",G6))+1,200))</f>
        <v>2080/10/23</v>
      </c>
      <c r="F4" s="190"/>
      <c r="G4" s="190"/>
      <c r="H4" s="190" t="str">
        <f ca="1">TEXT(E4,"dddd")</f>
        <v>Wednesday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20.5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13</v>
      </c>
      <c r="V5" s="30">
        <f t="shared" si="0"/>
        <v>15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2129MW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Load=1266</v>
      </c>
      <c r="B7" s="35">
        <f t="shared" ref="B7:AF7" si="1">B103</f>
        <v>1287.6399999999999</v>
      </c>
      <c r="C7" s="35">
        <f t="shared" si="1"/>
        <v>1278.2400000000002</v>
      </c>
      <c r="D7" s="35">
        <f t="shared" si="1"/>
        <v>1294.0400000000002</v>
      </c>
      <c r="E7" s="35">
        <f t="shared" si="1"/>
        <v>1297.24</v>
      </c>
      <c r="F7" s="35">
        <f t="shared" si="1"/>
        <v>1266.24</v>
      </c>
      <c r="G7" s="35">
        <f t="shared" si="1"/>
        <v>1285.24</v>
      </c>
      <c r="H7" s="35">
        <f t="shared" si="1"/>
        <v>1368.74</v>
      </c>
      <c r="I7" s="35">
        <f t="shared" si="1"/>
        <v>1330.64</v>
      </c>
      <c r="J7" s="35">
        <f t="shared" si="1"/>
        <v>1334.94</v>
      </c>
      <c r="K7" s="35">
        <f t="shared" si="1"/>
        <v>1343.64</v>
      </c>
      <c r="L7" s="35">
        <f t="shared" si="1"/>
        <v>1355.64</v>
      </c>
      <c r="M7" s="35">
        <f t="shared" si="1"/>
        <v>1468.54</v>
      </c>
      <c r="N7" s="35">
        <f t="shared" si="1"/>
        <v>1474.94</v>
      </c>
      <c r="O7" s="35">
        <f t="shared" si="1"/>
        <v>1481.7399999999998</v>
      </c>
      <c r="P7" s="35">
        <f t="shared" si="1"/>
        <v>1441.7399999999998</v>
      </c>
      <c r="Q7" s="35">
        <f t="shared" si="1"/>
        <v>1429.8400000000001</v>
      </c>
      <c r="R7" s="35">
        <f t="shared" si="1"/>
        <v>1429.8400000000001</v>
      </c>
      <c r="S7" s="35">
        <f t="shared" si="1"/>
        <v>1398.8400000000001</v>
      </c>
      <c r="T7" s="35">
        <f t="shared" si="1"/>
        <v>1459.4399999999998</v>
      </c>
      <c r="U7" s="35">
        <f t="shared" si="1"/>
        <v>1396.14</v>
      </c>
      <c r="V7" s="35">
        <f t="shared" si="1"/>
        <v>1387.24</v>
      </c>
      <c r="W7" s="35">
        <f t="shared" si="1"/>
        <v>1398.24</v>
      </c>
      <c r="X7" s="35">
        <f t="shared" si="1"/>
        <v>1501.7399999999998</v>
      </c>
      <c r="Y7" s="35">
        <f t="shared" si="1"/>
        <v>1535.6999999999998</v>
      </c>
      <c r="Z7" s="35">
        <f t="shared" si="1"/>
        <v>1572.9</v>
      </c>
      <c r="AA7" s="35">
        <f t="shared" si="1"/>
        <v>1685.94</v>
      </c>
      <c r="AB7" s="35">
        <f t="shared" si="1"/>
        <v>1578.1399999999999</v>
      </c>
      <c r="AC7" s="35">
        <f t="shared" si="1"/>
        <v>1581.8399999999997</v>
      </c>
      <c r="AD7" s="35">
        <f t="shared" si="1"/>
        <v>1542.9400000000003</v>
      </c>
      <c r="AE7" s="35">
        <f t="shared" si="1"/>
        <v>1491.04</v>
      </c>
      <c r="AF7" s="35">
        <f t="shared" si="1"/>
        <v>1386.44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2213.64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1578.14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86.8</v>
      </c>
      <c r="C11" s="46">
        <v>86.8</v>
      </c>
      <c r="D11" s="46">
        <v>86.8</v>
      </c>
      <c r="E11" s="46">
        <v>86.8</v>
      </c>
      <c r="F11" s="46">
        <v>86.8</v>
      </c>
      <c r="G11" s="46">
        <v>86.8</v>
      </c>
      <c r="H11" s="46">
        <v>86.8</v>
      </c>
      <c r="I11" s="46">
        <v>86.8</v>
      </c>
      <c r="J11" s="46">
        <v>86.8</v>
      </c>
      <c r="K11" s="46">
        <v>86.8</v>
      </c>
      <c r="L11" s="46">
        <v>86.8</v>
      </c>
      <c r="M11" s="46">
        <v>86.8</v>
      </c>
      <c r="N11" s="46">
        <v>86.8</v>
      </c>
      <c r="O11" s="46">
        <v>86.8</v>
      </c>
      <c r="P11" s="46">
        <v>86.8</v>
      </c>
      <c r="Q11" s="46">
        <v>86.8</v>
      </c>
      <c r="R11" s="46">
        <v>86.8</v>
      </c>
      <c r="S11" s="46">
        <v>86.8</v>
      </c>
      <c r="T11" s="46">
        <v>86.8</v>
      </c>
      <c r="U11" s="46">
        <v>86.8</v>
      </c>
      <c r="V11" s="46">
        <v>86.8</v>
      </c>
      <c r="W11" s="46">
        <v>86.8</v>
      </c>
      <c r="X11" s="46">
        <v>86.8</v>
      </c>
      <c r="Y11" s="46">
        <v>86.8</v>
      </c>
      <c r="Z11" s="46">
        <v>86.8</v>
      </c>
      <c r="AA11" s="46">
        <v>86.8</v>
      </c>
      <c r="AB11" s="46">
        <v>86.8</v>
      </c>
      <c r="AC11" s="46">
        <v>86.8</v>
      </c>
      <c r="AD11" s="46">
        <v>86.8</v>
      </c>
      <c r="AE11" s="46">
        <v>86.8</v>
      </c>
      <c r="AF11" s="46">
        <v>86.8</v>
      </c>
      <c r="AG11" s="47">
        <v>86</v>
      </c>
      <c r="AH11" s="48">
        <f t="shared" ref="AH11:AH74" si="2">MAX(B11:AF11)</f>
        <v>86.8</v>
      </c>
      <c r="AI11" s="49">
        <f t="shared" ref="AI11:AI74" si="3">MIN(B11:AF11)</f>
        <v>86.8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52.2</v>
      </c>
      <c r="C12" s="46">
        <v>52.8</v>
      </c>
      <c r="D12" s="46">
        <v>52.8</v>
      </c>
      <c r="E12" s="46">
        <v>47.3</v>
      </c>
      <c r="F12" s="46">
        <v>47.3</v>
      </c>
      <c r="G12" s="46">
        <v>47.3</v>
      </c>
      <c r="H12" s="46">
        <v>47.3</v>
      </c>
      <c r="I12" s="46">
        <v>47.3</v>
      </c>
      <c r="J12" s="46">
        <v>47.3</v>
      </c>
      <c r="K12" s="46">
        <v>47.3</v>
      </c>
      <c r="L12" s="46">
        <v>47.3</v>
      </c>
      <c r="M12" s="46">
        <v>47.3</v>
      </c>
      <c r="N12" s="46">
        <v>47.3</v>
      </c>
      <c r="O12" s="46">
        <v>47.3</v>
      </c>
      <c r="P12" s="46">
        <v>47.3</v>
      </c>
      <c r="Q12" s="46">
        <v>61</v>
      </c>
      <c r="R12" s="46">
        <v>61</v>
      </c>
      <c r="S12" s="46">
        <v>82</v>
      </c>
      <c r="T12" s="46">
        <v>82</v>
      </c>
      <c r="U12" s="46">
        <v>82</v>
      </c>
      <c r="V12" s="46">
        <v>83.7</v>
      </c>
      <c r="W12" s="46">
        <v>83.7</v>
      </c>
      <c r="X12" s="46">
        <v>83.7</v>
      </c>
      <c r="Y12" s="46">
        <v>83.7</v>
      </c>
      <c r="Z12" s="46">
        <v>83.7</v>
      </c>
      <c r="AA12" s="46">
        <v>83.7</v>
      </c>
      <c r="AB12" s="46">
        <v>83.7</v>
      </c>
      <c r="AC12" s="46">
        <v>83.7</v>
      </c>
      <c r="AD12" s="46">
        <v>83.7</v>
      </c>
      <c r="AE12" s="46">
        <v>83.7</v>
      </c>
      <c r="AF12" s="46">
        <v>61.6</v>
      </c>
      <c r="AG12" s="50">
        <v>77</v>
      </c>
      <c r="AH12" s="48">
        <f t="shared" si="2"/>
        <v>83.7</v>
      </c>
      <c r="AI12" s="49">
        <f t="shared" si="3"/>
        <v>47.3</v>
      </c>
      <c r="AK12" s="51"/>
      <c r="AL12" s="52" t="str">
        <f ca="1">MID(CELL("filename",C7),FIND("]",CELL("filename",C7))+1,600)</f>
        <v>23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48</v>
      </c>
      <c r="C13" s="46">
        <v>35</v>
      </c>
      <c r="D13" s="46">
        <v>35</v>
      </c>
      <c r="E13" s="46">
        <v>30</v>
      </c>
      <c r="F13" s="46">
        <v>30</v>
      </c>
      <c r="G13" s="46">
        <v>30</v>
      </c>
      <c r="H13" s="46">
        <v>30</v>
      </c>
      <c r="I13" s="46">
        <v>30</v>
      </c>
      <c r="J13" s="46">
        <v>30</v>
      </c>
      <c r="K13" s="46">
        <v>30</v>
      </c>
      <c r="L13" s="46">
        <v>30</v>
      </c>
      <c r="M13" s="46">
        <v>54</v>
      </c>
      <c r="N13" s="46">
        <v>54</v>
      </c>
      <c r="O13" s="46">
        <v>54</v>
      </c>
      <c r="P13" s="46">
        <v>54</v>
      </c>
      <c r="Q13" s="46">
        <v>54</v>
      </c>
      <c r="R13" s="46">
        <v>54</v>
      </c>
      <c r="S13" s="46">
        <v>54</v>
      </c>
      <c r="T13" s="46">
        <v>54</v>
      </c>
      <c r="U13" s="46">
        <v>54</v>
      </c>
      <c r="V13" s="46">
        <v>60</v>
      </c>
      <c r="W13" s="46">
        <v>60</v>
      </c>
      <c r="X13" s="46">
        <v>60</v>
      </c>
      <c r="Y13" s="46">
        <v>60</v>
      </c>
      <c r="Z13" s="46">
        <v>60</v>
      </c>
      <c r="AA13" s="46">
        <v>56</v>
      </c>
      <c r="AB13" s="46">
        <v>56</v>
      </c>
      <c r="AC13" s="46">
        <v>56</v>
      </c>
      <c r="AD13" s="46">
        <v>56</v>
      </c>
      <c r="AE13" s="46">
        <v>56</v>
      </c>
      <c r="AF13" s="46">
        <v>56</v>
      </c>
      <c r="AG13" s="50">
        <v>73</v>
      </c>
      <c r="AH13" s="48">
        <f t="shared" si="2"/>
        <v>60</v>
      </c>
      <c r="AI13" s="49">
        <f t="shared" si="3"/>
        <v>30</v>
      </c>
      <c r="AK13" s="51"/>
      <c r="AL13" s="52" t="str">
        <f ca="1">"Daily Load Curve(Excluding of Export) of Nepal ("&amp;A4&amp;" "&amp;B4&amp;")"</f>
        <v>Daily Load Curve(Excluding of Export) of Nepal (Nepali Date: 2080/10/23)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5.4</v>
      </c>
      <c r="C14" s="46">
        <v>5.3</v>
      </c>
      <c r="D14" s="46">
        <v>5.3</v>
      </c>
      <c r="E14" s="46">
        <v>9.1</v>
      </c>
      <c r="F14" s="46">
        <v>9.1</v>
      </c>
      <c r="G14" s="46">
        <v>9.1</v>
      </c>
      <c r="H14" s="46">
        <v>9.1</v>
      </c>
      <c r="I14" s="46">
        <v>9.1</v>
      </c>
      <c r="J14" s="46">
        <v>9.1</v>
      </c>
      <c r="K14" s="46">
        <v>9.1</v>
      </c>
      <c r="L14" s="46">
        <v>9.1</v>
      </c>
      <c r="M14" s="46">
        <v>16</v>
      </c>
      <c r="N14" s="46">
        <v>16</v>
      </c>
      <c r="O14" s="46">
        <v>16</v>
      </c>
      <c r="P14" s="46">
        <v>16</v>
      </c>
      <c r="Q14" s="46">
        <v>24</v>
      </c>
      <c r="R14" s="46">
        <v>24</v>
      </c>
      <c r="S14" s="46">
        <v>24</v>
      </c>
      <c r="T14" s="46">
        <v>24</v>
      </c>
      <c r="U14" s="46">
        <v>24</v>
      </c>
      <c r="V14" s="46">
        <v>24</v>
      </c>
      <c r="W14" s="46">
        <v>24</v>
      </c>
      <c r="X14" s="46">
        <v>15</v>
      </c>
      <c r="Y14" s="46">
        <v>15</v>
      </c>
      <c r="Z14" s="46">
        <v>15</v>
      </c>
      <c r="AA14" s="46">
        <v>15</v>
      </c>
      <c r="AB14" s="46">
        <v>21.3</v>
      </c>
      <c r="AC14" s="46">
        <v>21.3</v>
      </c>
      <c r="AD14" s="46">
        <v>25.2</v>
      </c>
      <c r="AE14" s="46">
        <v>25.2</v>
      </c>
      <c r="AF14" s="46">
        <v>25.2</v>
      </c>
      <c r="AG14" s="50">
        <v>71</v>
      </c>
      <c r="AH14" s="48">
        <f t="shared" si="2"/>
        <v>25.2</v>
      </c>
      <c r="AI14" s="49">
        <f t="shared" si="3"/>
        <v>5.3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31</v>
      </c>
      <c r="C15" s="46">
        <v>31</v>
      </c>
      <c r="D15" s="46">
        <v>31</v>
      </c>
      <c r="E15" s="46">
        <v>31</v>
      </c>
      <c r="F15" s="46">
        <v>31</v>
      </c>
      <c r="G15" s="46">
        <v>31</v>
      </c>
      <c r="H15" s="46">
        <v>31</v>
      </c>
      <c r="I15" s="46">
        <v>31</v>
      </c>
      <c r="J15" s="46">
        <v>31</v>
      </c>
      <c r="K15" s="46">
        <v>31</v>
      </c>
      <c r="L15" s="46">
        <v>31</v>
      </c>
      <c r="M15" s="46">
        <v>31</v>
      </c>
      <c r="N15" s="46">
        <v>31</v>
      </c>
      <c r="O15" s="46">
        <v>31</v>
      </c>
      <c r="P15" s="46">
        <v>31</v>
      </c>
      <c r="Q15" s="46">
        <v>41.5</v>
      </c>
      <c r="R15" s="46">
        <v>41.5</v>
      </c>
      <c r="S15" s="46">
        <v>41.5</v>
      </c>
      <c r="T15" s="46">
        <v>41.5</v>
      </c>
      <c r="U15" s="46">
        <v>41.5</v>
      </c>
      <c r="V15" s="46">
        <v>41.5</v>
      </c>
      <c r="W15" s="46">
        <v>41.5</v>
      </c>
      <c r="X15" s="46">
        <v>58.6</v>
      </c>
      <c r="Y15" s="46">
        <v>58.6</v>
      </c>
      <c r="Z15" s="46">
        <v>58.6</v>
      </c>
      <c r="AA15" s="46">
        <v>58.6</v>
      </c>
      <c r="AB15" s="46">
        <v>58.6</v>
      </c>
      <c r="AC15" s="46">
        <v>58.6</v>
      </c>
      <c r="AD15" s="46">
        <v>58.6</v>
      </c>
      <c r="AE15" s="46">
        <v>58.6</v>
      </c>
      <c r="AF15" s="46">
        <v>46.5</v>
      </c>
      <c r="AG15" s="50">
        <v>54</v>
      </c>
      <c r="AH15" s="48">
        <f t="shared" si="2"/>
        <v>58.6</v>
      </c>
      <c r="AI15" s="49">
        <f t="shared" si="3"/>
        <v>31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15</v>
      </c>
      <c r="C16" s="46">
        <v>14.9</v>
      </c>
      <c r="D16" s="46">
        <v>10.5</v>
      </c>
      <c r="E16" s="46">
        <v>10.5</v>
      </c>
      <c r="F16" s="46">
        <v>10.5</v>
      </c>
      <c r="G16" s="46">
        <v>10.5</v>
      </c>
      <c r="H16" s="46">
        <v>10.5</v>
      </c>
      <c r="I16" s="46">
        <v>10.5</v>
      </c>
      <c r="J16" s="46">
        <v>10.5</v>
      </c>
      <c r="K16" s="46">
        <v>10.5</v>
      </c>
      <c r="L16" s="46">
        <v>10.5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27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1190.1999999999998</v>
      </c>
      <c r="AN16" s="59">
        <f t="shared" si="4"/>
        <v>1172.8000000000002</v>
      </c>
      <c r="AO16" s="59">
        <f t="shared" si="4"/>
        <v>1146.1000000000001</v>
      </c>
      <c r="AP16" s="59">
        <f t="shared" si="4"/>
        <v>1129.8</v>
      </c>
      <c r="AQ16" s="59">
        <f t="shared" si="4"/>
        <v>1129.8</v>
      </c>
      <c r="AR16" s="59">
        <f t="shared" si="4"/>
        <v>1129.8</v>
      </c>
      <c r="AS16" s="59">
        <f>I61</f>
        <v>1129.8</v>
      </c>
      <c r="AT16" s="59">
        <f>K61</f>
        <v>1129.8</v>
      </c>
      <c r="AU16" s="59">
        <f t="shared" ref="AU16:BD16" si="5">M61</f>
        <v>1220.5999999999999</v>
      </c>
      <c r="AV16" s="59">
        <f t="shared" si="5"/>
        <v>1220.5999999999999</v>
      </c>
      <c r="AW16" s="59">
        <f t="shared" si="5"/>
        <v>1170.5999999999999</v>
      </c>
      <c r="AX16" s="59">
        <f t="shared" si="5"/>
        <v>1170.5999999999999</v>
      </c>
      <c r="AY16" s="59">
        <f t="shared" si="5"/>
        <v>1202.8</v>
      </c>
      <c r="AZ16" s="59">
        <f t="shared" si="5"/>
        <v>1202.8</v>
      </c>
      <c r="BA16" s="59">
        <f t="shared" si="5"/>
        <v>1199.8</v>
      </c>
      <c r="BB16" s="59">
        <f t="shared" si="5"/>
        <v>1199.8</v>
      </c>
      <c r="BC16" s="59">
        <f t="shared" si="5"/>
        <v>1144.8</v>
      </c>
      <c r="BD16" s="59">
        <f t="shared" si="5"/>
        <v>1152.5</v>
      </c>
      <c r="BE16" s="60">
        <f>X61</f>
        <v>1297.5999999999999</v>
      </c>
      <c r="BF16" s="60">
        <f>Z61</f>
        <v>1297.5999999999999</v>
      </c>
      <c r="BG16" s="60">
        <f>AB61</f>
        <v>1267.9000000000001</v>
      </c>
      <c r="BH16" s="60">
        <f>AD61</f>
        <v>1257.9000000000001</v>
      </c>
      <c r="BI16" s="60">
        <f>AE61</f>
        <v>1257.9000000000001</v>
      </c>
      <c r="BJ16" s="60">
        <f>AF61</f>
        <v>1175.5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53</v>
      </c>
      <c r="C17" s="46">
        <v>53</v>
      </c>
      <c r="D17" s="46">
        <v>53</v>
      </c>
      <c r="E17" s="46">
        <v>53.1</v>
      </c>
      <c r="F17" s="46">
        <v>53.1</v>
      </c>
      <c r="G17" s="46">
        <v>53.1</v>
      </c>
      <c r="H17" s="46">
        <v>53.1</v>
      </c>
      <c r="I17" s="46">
        <v>53.1</v>
      </c>
      <c r="J17" s="46">
        <v>53.1</v>
      </c>
      <c r="K17" s="46">
        <v>53.1</v>
      </c>
      <c r="L17" s="46">
        <v>53.1</v>
      </c>
      <c r="M17" s="46">
        <v>53.1</v>
      </c>
      <c r="N17" s="46">
        <v>53.1</v>
      </c>
      <c r="O17" s="46">
        <v>53.1</v>
      </c>
      <c r="P17" s="46">
        <v>53.1</v>
      </c>
      <c r="Q17" s="46">
        <v>53.1</v>
      </c>
      <c r="R17" s="46">
        <v>53.1</v>
      </c>
      <c r="S17" s="46">
        <v>53.1</v>
      </c>
      <c r="T17" s="46">
        <v>53.1</v>
      </c>
      <c r="U17" s="46">
        <v>53.1</v>
      </c>
      <c r="V17" s="46">
        <v>53.1</v>
      </c>
      <c r="W17" s="46">
        <v>53.1</v>
      </c>
      <c r="X17" s="46">
        <v>55.6</v>
      </c>
      <c r="Y17" s="46">
        <v>55.6</v>
      </c>
      <c r="Z17" s="46">
        <v>55.6</v>
      </c>
      <c r="AA17" s="46">
        <v>55.6</v>
      </c>
      <c r="AB17" s="46">
        <v>55.6</v>
      </c>
      <c r="AC17" s="46">
        <v>55.6</v>
      </c>
      <c r="AD17" s="46">
        <v>55.6</v>
      </c>
      <c r="AE17" s="46">
        <v>55.6</v>
      </c>
      <c r="AF17" s="46">
        <v>55.6</v>
      </c>
      <c r="AG17" s="47">
        <v>52.4</v>
      </c>
      <c r="AH17" s="48">
        <f t="shared" si="2"/>
        <v>55.6</v>
      </c>
      <c r="AI17" s="49">
        <f t="shared" si="3"/>
        <v>53</v>
      </c>
      <c r="AK17" s="51"/>
      <c r="AL17" s="54" t="s">
        <v>27</v>
      </c>
      <c r="AM17" s="59">
        <f t="shared" ref="AM17:AR17" si="6">B65</f>
        <v>543.70000000000005</v>
      </c>
      <c r="AN17" s="59">
        <f t="shared" si="6"/>
        <v>543.70000000000005</v>
      </c>
      <c r="AO17" s="59">
        <f t="shared" si="6"/>
        <v>543.70000000000005</v>
      </c>
      <c r="AP17" s="59">
        <f t="shared" si="6"/>
        <v>543.70000000000005</v>
      </c>
      <c r="AQ17" s="59">
        <f t="shared" si="6"/>
        <v>543.70000000000005</v>
      </c>
      <c r="AR17" s="59">
        <f t="shared" si="6"/>
        <v>543.70000000000005</v>
      </c>
      <c r="AS17" s="59">
        <f>I65</f>
        <v>543.70000000000005</v>
      </c>
      <c r="AT17" s="59">
        <f>K65</f>
        <v>543.70000000000005</v>
      </c>
      <c r="AU17" s="59">
        <f t="shared" ref="AU17:BD17" si="7">M65</f>
        <v>543.70000000000005</v>
      </c>
      <c r="AV17" s="59">
        <f t="shared" si="7"/>
        <v>543.70000000000005</v>
      </c>
      <c r="AW17" s="59">
        <f t="shared" si="7"/>
        <v>543.70000000000005</v>
      </c>
      <c r="AX17" s="59">
        <f t="shared" si="7"/>
        <v>543.70000000000005</v>
      </c>
      <c r="AY17" s="59">
        <f t="shared" si="7"/>
        <v>543.70000000000005</v>
      </c>
      <c r="AZ17" s="59">
        <f t="shared" si="7"/>
        <v>543.70000000000005</v>
      </c>
      <c r="BA17" s="59">
        <f t="shared" si="7"/>
        <v>543.70000000000005</v>
      </c>
      <c r="BB17" s="59">
        <f t="shared" si="7"/>
        <v>543.70000000000005</v>
      </c>
      <c r="BC17" s="59">
        <f t="shared" si="7"/>
        <v>540.6</v>
      </c>
      <c r="BD17" s="59">
        <f t="shared" si="7"/>
        <v>540.6</v>
      </c>
      <c r="BE17" s="60">
        <f>X65</f>
        <v>540.6</v>
      </c>
      <c r="BF17" s="60">
        <f>Z65</f>
        <v>533</v>
      </c>
      <c r="BG17" s="60">
        <f>AB65</f>
        <v>533</v>
      </c>
      <c r="BH17" s="60">
        <f>AD65</f>
        <v>533</v>
      </c>
      <c r="BI17" s="60">
        <f>AE65</f>
        <v>533</v>
      </c>
      <c r="BJ17" s="60">
        <f>AF65</f>
        <v>533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</v>
      </c>
      <c r="F18" s="46">
        <v>50</v>
      </c>
      <c r="G18" s="46">
        <v>50</v>
      </c>
      <c r="H18" s="46">
        <v>50</v>
      </c>
      <c r="I18" s="46">
        <v>50</v>
      </c>
      <c r="J18" s="46">
        <v>50</v>
      </c>
      <c r="K18" s="46">
        <v>50</v>
      </c>
      <c r="L18" s="46">
        <v>50</v>
      </c>
      <c r="M18" s="46">
        <v>50</v>
      </c>
      <c r="N18" s="46">
        <v>50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6">
        <v>0</v>
      </c>
      <c r="U18" s="46">
        <v>0</v>
      </c>
      <c r="V18" s="46">
        <v>0</v>
      </c>
      <c r="W18" s="46">
        <v>0</v>
      </c>
      <c r="X18" s="46">
        <v>50.5</v>
      </c>
      <c r="Y18" s="46">
        <v>50.5</v>
      </c>
      <c r="Z18" s="46">
        <v>50.5</v>
      </c>
      <c r="AA18" s="46">
        <v>50.5</v>
      </c>
      <c r="AB18" s="46">
        <v>0</v>
      </c>
      <c r="AC18" s="46">
        <v>0</v>
      </c>
      <c r="AD18" s="46">
        <v>0</v>
      </c>
      <c r="AE18" s="46">
        <v>0</v>
      </c>
      <c r="AF18" s="46">
        <v>0</v>
      </c>
      <c r="AG18" s="50">
        <v>50</v>
      </c>
      <c r="AH18" s="48">
        <f t="shared" si="2"/>
        <v>50.5</v>
      </c>
      <c r="AI18" s="49">
        <f t="shared" si="3"/>
        <v>0</v>
      </c>
      <c r="AK18" s="51"/>
      <c r="AL18" s="54" t="s">
        <v>29</v>
      </c>
      <c r="AM18" s="59">
        <f t="shared" ref="AM18:AR18" si="8">B79</f>
        <v>280.54000000000002</v>
      </c>
      <c r="AN18" s="59">
        <f t="shared" si="8"/>
        <v>305.74</v>
      </c>
      <c r="AO18" s="59">
        <f t="shared" si="8"/>
        <v>340.74</v>
      </c>
      <c r="AP18" s="59">
        <f t="shared" si="8"/>
        <v>340.74</v>
      </c>
      <c r="AQ18" s="59">
        <f t="shared" si="8"/>
        <v>340.74</v>
      </c>
      <c r="AR18" s="59">
        <f t="shared" si="8"/>
        <v>315.74</v>
      </c>
      <c r="AS18" s="59">
        <f>I79</f>
        <v>345.14000000000004</v>
      </c>
      <c r="AT18" s="59">
        <f>K79</f>
        <v>345.14000000000004</v>
      </c>
      <c r="AU18" s="59">
        <f t="shared" ref="AU18:BD18" si="9">M79</f>
        <v>323.44000000000005</v>
      </c>
      <c r="AV18" s="59">
        <f t="shared" si="9"/>
        <v>343.84000000000003</v>
      </c>
      <c r="AW18" s="59">
        <f t="shared" si="9"/>
        <v>309.24</v>
      </c>
      <c r="AX18" s="59">
        <f t="shared" si="9"/>
        <v>309.24</v>
      </c>
      <c r="AY18" s="59">
        <f t="shared" si="9"/>
        <v>280.64</v>
      </c>
      <c r="AZ18" s="59">
        <f t="shared" si="9"/>
        <v>280.64</v>
      </c>
      <c r="BA18" s="59">
        <f t="shared" si="9"/>
        <v>280.64</v>
      </c>
      <c r="BB18" s="59">
        <f t="shared" si="9"/>
        <v>297.14</v>
      </c>
      <c r="BC18" s="59">
        <f t="shared" si="9"/>
        <v>270.14000000000004</v>
      </c>
      <c r="BD18" s="59">
        <f t="shared" si="9"/>
        <v>270.14000000000004</v>
      </c>
      <c r="BE18" s="60">
        <f>X79</f>
        <v>338.14000000000004</v>
      </c>
      <c r="BF18" s="60">
        <f>Z79</f>
        <v>337.3</v>
      </c>
      <c r="BG18" s="60">
        <f>AB79</f>
        <v>348.94</v>
      </c>
      <c r="BH18" s="60">
        <f>AD79</f>
        <v>348.94</v>
      </c>
      <c r="BI18" s="60">
        <f>AE79</f>
        <v>348.94</v>
      </c>
      <c r="BJ18" s="60">
        <f>AF79</f>
        <v>348.94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35</v>
      </c>
      <c r="F19" s="46">
        <v>35</v>
      </c>
      <c r="G19" s="46">
        <v>35</v>
      </c>
      <c r="H19" s="46">
        <v>35</v>
      </c>
      <c r="I19" s="46">
        <v>35</v>
      </c>
      <c r="J19" s="46">
        <v>35</v>
      </c>
      <c r="K19" s="46">
        <v>35</v>
      </c>
      <c r="L19" s="46">
        <v>35</v>
      </c>
      <c r="M19" s="46">
        <v>35</v>
      </c>
      <c r="N19" s="46">
        <v>35</v>
      </c>
      <c r="O19" s="46">
        <v>35</v>
      </c>
      <c r="P19" s="46">
        <v>35</v>
      </c>
      <c r="Q19" s="46">
        <v>35</v>
      </c>
      <c r="R19" s="46">
        <v>35</v>
      </c>
      <c r="S19" s="46">
        <v>35</v>
      </c>
      <c r="T19" s="46">
        <v>35</v>
      </c>
      <c r="U19" s="46">
        <v>35</v>
      </c>
      <c r="V19" s="46">
        <v>35</v>
      </c>
      <c r="W19" s="46">
        <v>35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>
        <v>44</v>
      </c>
      <c r="AE19" s="46">
        <v>44</v>
      </c>
      <c r="AF19" s="46">
        <v>44</v>
      </c>
      <c r="AG19" s="50">
        <v>45</v>
      </c>
      <c r="AH19" s="48">
        <f t="shared" si="2"/>
        <v>45</v>
      </c>
      <c r="AI19" s="49">
        <f t="shared" si="3"/>
        <v>35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13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44.8</v>
      </c>
      <c r="C20" s="46">
        <v>44.8</v>
      </c>
      <c r="D20" s="46">
        <v>44.8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44.8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20.799999999999997</v>
      </c>
      <c r="AV20" s="59">
        <f t="shared" si="13"/>
        <v>20.799999999999997</v>
      </c>
      <c r="AW20" s="59">
        <f t="shared" si="13"/>
        <v>51.2</v>
      </c>
      <c r="AX20" s="59">
        <f t="shared" si="13"/>
        <v>51.2</v>
      </c>
      <c r="AY20" s="59">
        <f t="shared" si="13"/>
        <v>20.7</v>
      </c>
      <c r="AZ20" s="59">
        <f t="shared" si="13"/>
        <v>20.7</v>
      </c>
      <c r="BA20" s="59">
        <f t="shared" si="13"/>
        <v>20.7</v>
      </c>
      <c r="BB20" s="59">
        <f t="shared" si="13"/>
        <v>50.6</v>
      </c>
      <c r="BC20" s="59">
        <f t="shared" si="13"/>
        <v>50.6</v>
      </c>
      <c r="BD20" s="59">
        <f t="shared" si="13"/>
        <v>20</v>
      </c>
      <c r="BE20" s="60">
        <f>X83</f>
        <v>6.4</v>
      </c>
      <c r="BF20" s="60">
        <f>Z83</f>
        <v>0</v>
      </c>
      <c r="BG20" s="60">
        <f>AB83</f>
        <v>63.8</v>
      </c>
      <c r="BH20" s="60">
        <f>AD83</f>
        <v>19.399999999999999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27</v>
      </c>
      <c r="Y22" s="46">
        <v>27</v>
      </c>
      <c r="Z22" s="46">
        <v>27</v>
      </c>
      <c r="AA22" s="46">
        <v>27</v>
      </c>
      <c r="AB22" s="46">
        <v>27</v>
      </c>
      <c r="AC22" s="46">
        <v>28.1</v>
      </c>
      <c r="AD22" s="46">
        <v>28.1</v>
      </c>
      <c r="AE22" s="46">
        <v>28.1</v>
      </c>
      <c r="AF22" s="46">
        <v>28.1</v>
      </c>
      <c r="AG22" s="50">
        <v>38.46</v>
      </c>
      <c r="AH22" s="48">
        <f t="shared" si="2"/>
        <v>28.1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2014.4399999999998</v>
      </c>
      <c r="AN22" s="63">
        <f t="shared" si="16"/>
        <v>2022.2400000000002</v>
      </c>
      <c r="AO22" s="63">
        <f t="shared" si="16"/>
        <v>2030.5400000000002</v>
      </c>
      <c r="AP22" s="63">
        <f t="shared" si="16"/>
        <v>2014.24</v>
      </c>
      <c r="AQ22" s="63">
        <f t="shared" si="16"/>
        <v>2014.24</v>
      </c>
      <c r="AR22" s="63">
        <f t="shared" si="16"/>
        <v>1989.24</v>
      </c>
      <c r="AS22" s="63">
        <f t="shared" si="16"/>
        <v>2018.64</v>
      </c>
      <c r="AT22" s="63">
        <f t="shared" si="16"/>
        <v>2018.64</v>
      </c>
      <c r="AU22" s="63">
        <f t="shared" si="16"/>
        <v>2108.54</v>
      </c>
      <c r="AV22" s="63">
        <f t="shared" si="16"/>
        <v>2128.94</v>
      </c>
      <c r="AW22" s="63">
        <f t="shared" si="16"/>
        <v>2074.7399999999998</v>
      </c>
      <c r="AX22" s="63">
        <f t="shared" si="16"/>
        <v>2074.7399999999998</v>
      </c>
      <c r="AY22" s="63">
        <f t="shared" si="16"/>
        <v>2047.84</v>
      </c>
      <c r="AZ22" s="63">
        <f t="shared" si="16"/>
        <v>2047.84</v>
      </c>
      <c r="BA22" s="63">
        <f t="shared" si="16"/>
        <v>2044.84</v>
      </c>
      <c r="BB22" s="63">
        <f t="shared" si="16"/>
        <v>2091.2399999999998</v>
      </c>
      <c r="BC22" s="63">
        <f t="shared" si="16"/>
        <v>2006.14</v>
      </c>
      <c r="BD22" s="63">
        <f t="shared" si="16"/>
        <v>1996.24</v>
      </c>
      <c r="BE22" s="63">
        <f t="shared" si="16"/>
        <v>2182.7399999999998</v>
      </c>
      <c r="BF22" s="63">
        <f t="shared" si="16"/>
        <v>2167.9</v>
      </c>
      <c r="BG22" s="63">
        <f t="shared" si="16"/>
        <v>2213.6400000000003</v>
      </c>
      <c r="BH22" s="63">
        <f t="shared" si="16"/>
        <v>2159.2400000000002</v>
      </c>
      <c r="BI22" s="63">
        <f t="shared" si="16"/>
        <v>2139.84</v>
      </c>
      <c r="BJ22" s="63">
        <f t="shared" si="16"/>
        <v>2057.44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35</v>
      </c>
      <c r="C23" s="46">
        <v>35</v>
      </c>
      <c r="D23" s="46">
        <v>35</v>
      </c>
      <c r="E23" s="46">
        <v>38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>
        <v>38</v>
      </c>
      <c r="O23" s="46">
        <v>38</v>
      </c>
      <c r="P23" s="46">
        <v>38</v>
      </c>
      <c r="Q23" s="46">
        <v>38</v>
      </c>
      <c r="R23" s="46">
        <v>38</v>
      </c>
      <c r="S23" s="46">
        <v>38</v>
      </c>
      <c r="T23" s="46">
        <v>38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50">
        <v>38.46</v>
      </c>
      <c r="AH23" s="48">
        <f t="shared" si="2"/>
        <v>38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-726.8</v>
      </c>
      <c r="AN23" s="63">
        <f t="shared" si="17"/>
        <v>-744</v>
      </c>
      <c r="AO23" s="63">
        <f t="shared" si="17"/>
        <v>-736.5</v>
      </c>
      <c r="AP23" s="63">
        <f t="shared" si="17"/>
        <v>-717</v>
      </c>
      <c r="AQ23" s="63">
        <f t="shared" si="17"/>
        <v>-748</v>
      </c>
      <c r="AR23" s="63">
        <f t="shared" si="17"/>
        <v>-704</v>
      </c>
      <c r="AS23" s="63">
        <f>I110*-1</f>
        <v>-688</v>
      </c>
      <c r="AT23" s="63">
        <f>K110*-1</f>
        <v>-675</v>
      </c>
      <c r="AU23" s="63">
        <f t="shared" ref="AU23:BD23" si="18">M110*-1</f>
        <v>-640</v>
      </c>
      <c r="AV23" s="63">
        <f t="shared" si="18"/>
        <v>-654</v>
      </c>
      <c r="AW23" s="63">
        <f t="shared" si="18"/>
        <v>-593</v>
      </c>
      <c r="AX23" s="63">
        <f t="shared" si="18"/>
        <v>-633</v>
      </c>
      <c r="AY23" s="63">
        <f t="shared" si="18"/>
        <v>-618</v>
      </c>
      <c r="AZ23" s="63">
        <f t="shared" si="18"/>
        <v>-618</v>
      </c>
      <c r="BA23" s="63">
        <f t="shared" si="18"/>
        <v>-646</v>
      </c>
      <c r="BB23" s="63">
        <f t="shared" si="18"/>
        <v>-631.79999999999995</v>
      </c>
      <c r="BC23" s="63">
        <f t="shared" si="18"/>
        <v>-610</v>
      </c>
      <c r="BD23" s="63">
        <f t="shared" si="18"/>
        <v>-609</v>
      </c>
      <c r="BE23" s="63">
        <f>X110*-1</f>
        <v>-681</v>
      </c>
      <c r="BF23" s="63">
        <f>Z110*-1</f>
        <v>-595</v>
      </c>
      <c r="BG23" s="63">
        <f>AB110*-1</f>
        <v>-635.5</v>
      </c>
      <c r="BH23" s="63">
        <f>AD110*-1</f>
        <v>-616.29999999999995</v>
      </c>
      <c r="BI23" s="63">
        <f>AE110*-1</f>
        <v>-648.80000000000007</v>
      </c>
      <c r="BJ23" s="63">
        <f>AF110*-1</f>
        <v>-671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0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>
        <v>36</v>
      </c>
      <c r="R24" s="46">
        <v>36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0</v>
      </c>
      <c r="AD24" s="46">
        <v>0</v>
      </c>
      <c r="AE24" s="46">
        <v>0</v>
      </c>
      <c r="AF24" s="46">
        <v>0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1287.6399999999999</v>
      </c>
      <c r="AN24" s="63">
        <f t="shared" si="19"/>
        <v>1278.2400000000002</v>
      </c>
      <c r="AO24" s="63">
        <f t="shared" si="19"/>
        <v>1294.0400000000002</v>
      </c>
      <c r="AP24" s="63">
        <f t="shared" si="19"/>
        <v>1297.24</v>
      </c>
      <c r="AQ24" s="63">
        <f t="shared" si="19"/>
        <v>1266.24</v>
      </c>
      <c r="AR24" s="63">
        <f t="shared" si="19"/>
        <v>1285.24</v>
      </c>
      <c r="AS24" s="63">
        <f t="shared" si="19"/>
        <v>1330.64</v>
      </c>
      <c r="AT24" s="63">
        <f t="shared" si="19"/>
        <v>1343.64</v>
      </c>
      <c r="AU24" s="63">
        <f t="shared" si="19"/>
        <v>1468.54</v>
      </c>
      <c r="AV24" s="63">
        <f t="shared" si="19"/>
        <v>1474.94</v>
      </c>
      <c r="AW24" s="63">
        <f t="shared" si="19"/>
        <v>1481.7399999999998</v>
      </c>
      <c r="AX24" s="63">
        <f t="shared" si="19"/>
        <v>1441.7399999999998</v>
      </c>
      <c r="AY24" s="63">
        <f t="shared" si="19"/>
        <v>1429.84</v>
      </c>
      <c r="AZ24" s="63">
        <f t="shared" si="19"/>
        <v>1429.84</v>
      </c>
      <c r="BA24" s="63">
        <f t="shared" si="19"/>
        <v>1398.84</v>
      </c>
      <c r="BB24" s="63">
        <f t="shared" si="19"/>
        <v>1459.4399999999998</v>
      </c>
      <c r="BC24" s="63">
        <f t="shared" si="19"/>
        <v>1396.14</v>
      </c>
      <c r="BD24" s="63">
        <f t="shared" si="19"/>
        <v>1387.24</v>
      </c>
      <c r="BE24" s="63">
        <f t="shared" si="19"/>
        <v>1501.7399999999998</v>
      </c>
      <c r="BF24" s="63">
        <f t="shared" si="19"/>
        <v>1572.9</v>
      </c>
      <c r="BG24" s="63">
        <f t="shared" si="19"/>
        <v>1578.1400000000003</v>
      </c>
      <c r="BH24" s="63">
        <f t="shared" si="19"/>
        <v>1542.9400000000003</v>
      </c>
      <c r="BI24" s="63">
        <f t="shared" si="19"/>
        <v>1491.04</v>
      </c>
      <c r="BJ24" s="63">
        <f t="shared" si="19"/>
        <v>1386.44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30.2</v>
      </c>
      <c r="C25" s="46">
        <v>15.6</v>
      </c>
      <c r="D25" s="46">
        <v>10.5</v>
      </c>
      <c r="E25" s="46">
        <v>10.199999999999999</v>
      </c>
      <c r="F25" s="46">
        <v>10.199999999999999</v>
      </c>
      <c r="G25" s="46">
        <v>10.199999999999999</v>
      </c>
      <c r="H25" s="46">
        <v>10.199999999999999</v>
      </c>
      <c r="I25" s="46">
        <v>10.199999999999999</v>
      </c>
      <c r="J25" s="46">
        <v>10.199999999999999</v>
      </c>
      <c r="K25" s="46">
        <v>10.199999999999999</v>
      </c>
      <c r="L25" s="46">
        <v>10.199999999999999</v>
      </c>
      <c r="M25" s="46">
        <v>30.4</v>
      </c>
      <c r="N25" s="46">
        <v>30.4</v>
      </c>
      <c r="O25" s="46">
        <v>30.4</v>
      </c>
      <c r="P25" s="46">
        <v>30.4</v>
      </c>
      <c r="Q25" s="46">
        <v>30.4</v>
      </c>
      <c r="R25" s="46">
        <v>30.4</v>
      </c>
      <c r="S25" s="46">
        <v>30.4</v>
      </c>
      <c r="T25" s="46">
        <v>30.4</v>
      </c>
      <c r="U25" s="46">
        <v>30.4</v>
      </c>
      <c r="V25" s="46">
        <v>30.4</v>
      </c>
      <c r="W25" s="46">
        <v>30.4</v>
      </c>
      <c r="X25" s="46">
        <v>30.1</v>
      </c>
      <c r="Y25" s="46">
        <v>30.1</v>
      </c>
      <c r="Z25" s="46">
        <v>30.1</v>
      </c>
      <c r="AA25" s="46">
        <v>30.1</v>
      </c>
      <c r="AB25" s="46">
        <v>30.1</v>
      </c>
      <c r="AC25" s="46">
        <v>30.1</v>
      </c>
      <c r="AD25" s="46">
        <v>30.1</v>
      </c>
      <c r="AE25" s="46">
        <v>30.1</v>
      </c>
      <c r="AF25" s="46">
        <v>15</v>
      </c>
      <c r="AG25" s="61">
        <v>30</v>
      </c>
      <c r="AH25" s="48">
        <f t="shared" si="2"/>
        <v>30.4</v>
      </c>
      <c r="AI25" s="49">
        <f t="shared" si="3"/>
        <v>10.199999999999999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>
        <v>30</v>
      </c>
      <c r="D26" s="46">
        <v>25</v>
      </c>
      <c r="E26" s="46">
        <v>25</v>
      </c>
      <c r="F26" s="46">
        <v>25</v>
      </c>
      <c r="G26" s="46">
        <v>25</v>
      </c>
      <c r="H26" s="46">
        <v>25</v>
      </c>
      <c r="I26" s="46">
        <v>25</v>
      </c>
      <c r="J26" s="46">
        <v>25</v>
      </c>
      <c r="K26" s="46">
        <v>25</v>
      </c>
      <c r="L26" s="46">
        <v>25</v>
      </c>
      <c r="M26" s="46">
        <v>25</v>
      </c>
      <c r="N26" s="46">
        <v>25</v>
      </c>
      <c r="O26" s="46">
        <v>25</v>
      </c>
      <c r="P26" s="46">
        <v>25</v>
      </c>
      <c r="Q26" s="46">
        <v>25</v>
      </c>
      <c r="R26" s="46">
        <v>25</v>
      </c>
      <c r="S26" s="46">
        <v>25</v>
      </c>
      <c r="T26" s="46">
        <v>25</v>
      </c>
      <c r="U26" s="46">
        <v>25</v>
      </c>
      <c r="V26" s="46">
        <v>25</v>
      </c>
      <c r="W26" s="46">
        <v>25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33</v>
      </c>
      <c r="AF26" s="46">
        <v>27.4</v>
      </c>
      <c r="AG26" s="50">
        <v>24.2</v>
      </c>
      <c r="AH26" s="48">
        <f t="shared" si="2"/>
        <v>33</v>
      </c>
      <c r="AI26" s="49">
        <f t="shared" si="3"/>
        <v>25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28.5</v>
      </c>
      <c r="C27" s="46">
        <v>28.5</v>
      </c>
      <c r="D27" s="46">
        <v>28.5</v>
      </c>
      <c r="E27" s="46">
        <v>28.5</v>
      </c>
      <c r="F27" s="46">
        <v>28.5</v>
      </c>
      <c r="G27" s="46">
        <v>28.5</v>
      </c>
      <c r="H27" s="46">
        <v>28.5</v>
      </c>
      <c r="I27" s="46">
        <v>28.5</v>
      </c>
      <c r="J27" s="46">
        <v>28.5</v>
      </c>
      <c r="K27" s="46">
        <v>28.5</v>
      </c>
      <c r="L27" s="46">
        <v>28.5</v>
      </c>
      <c r="M27" s="46">
        <v>28.5</v>
      </c>
      <c r="N27" s="46">
        <v>28.5</v>
      </c>
      <c r="O27" s="46">
        <v>28.5</v>
      </c>
      <c r="P27" s="46">
        <v>28.5</v>
      </c>
      <c r="Q27" s="46">
        <v>28.5</v>
      </c>
      <c r="R27" s="46">
        <v>28.5</v>
      </c>
      <c r="S27" s="46">
        <v>28.5</v>
      </c>
      <c r="T27" s="46">
        <v>28.5</v>
      </c>
      <c r="U27" s="46">
        <v>28.5</v>
      </c>
      <c r="V27" s="46">
        <v>28.5</v>
      </c>
      <c r="W27" s="46">
        <v>28.5</v>
      </c>
      <c r="X27" s="46">
        <v>27.8</v>
      </c>
      <c r="Y27" s="46">
        <v>27.8</v>
      </c>
      <c r="Z27" s="46">
        <v>27.8</v>
      </c>
      <c r="AA27" s="46">
        <v>27.8</v>
      </c>
      <c r="AB27" s="46">
        <v>27.8</v>
      </c>
      <c r="AC27" s="46">
        <v>27.8</v>
      </c>
      <c r="AD27" s="46">
        <v>27.8</v>
      </c>
      <c r="AE27" s="46">
        <v>27.8</v>
      </c>
      <c r="AF27" s="46">
        <v>27.8</v>
      </c>
      <c r="AG27" s="50">
        <v>28</v>
      </c>
      <c r="AH27" s="48">
        <f t="shared" si="2"/>
        <v>28.5</v>
      </c>
      <c r="AI27" s="49">
        <f t="shared" si="3"/>
        <v>27.8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25.9</v>
      </c>
      <c r="C28" s="46">
        <v>14.5</v>
      </c>
      <c r="D28" s="46">
        <v>9.1999999999999993</v>
      </c>
      <c r="E28" s="46">
        <v>9.3000000000000007</v>
      </c>
      <c r="F28" s="46">
        <v>9.3000000000000007</v>
      </c>
      <c r="G28" s="46">
        <v>9.3000000000000007</v>
      </c>
      <c r="H28" s="46">
        <v>9.3000000000000007</v>
      </c>
      <c r="I28" s="46">
        <v>9.3000000000000007</v>
      </c>
      <c r="J28" s="46">
        <v>9.3000000000000007</v>
      </c>
      <c r="K28" s="46">
        <v>9.3000000000000007</v>
      </c>
      <c r="L28" s="46">
        <v>9.3000000000000007</v>
      </c>
      <c r="M28" s="46">
        <v>27</v>
      </c>
      <c r="N28" s="46">
        <v>27</v>
      </c>
      <c r="O28" s="46">
        <v>27</v>
      </c>
      <c r="P28" s="46">
        <v>27</v>
      </c>
      <c r="Q28" s="46">
        <v>27</v>
      </c>
      <c r="R28" s="46">
        <v>27</v>
      </c>
      <c r="S28" s="46">
        <v>27</v>
      </c>
      <c r="T28" s="46">
        <v>27</v>
      </c>
      <c r="U28" s="46">
        <v>27</v>
      </c>
      <c r="V28" s="46">
        <v>27</v>
      </c>
      <c r="W28" s="46">
        <v>27</v>
      </c>
      <c r="X28" s="46">
        <v>26</v>
      </c>
      <c r="Y28" s="46">
        <v>26</v>
      </c>
      <c r="Z28" s="46">
        <v>26</v>
      </c>
      <c r="AA28" s="46">
        <v>26</v>
      </c>
      <c r="AB28" s="46">
        <v>26</v>
      </c>
      <c r="AC28" s="46">
        <v>26</v>
      </c>
      <c r="AD28" s="46">
        <v>26</v>
      </c>
      <c r="AE28" s="46">
        <v>26</v>
      </c>
      <c r="AF28" s="46">
        <v>13.5</v>
      </c>
      <c r="AG28" s="61">
        <v>30</v>
      </c>
      <c r="AH28" s="48">
        <f t="shared" si="2"/>
        <v>27</v>
      </c>
      <c r="AI28" s="49">
        <f t="shared" si="3"/>
        <v>9.1999999999999993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26.1</v>
      </c>
      <c r="C29" s="46">
        <v>26.1</v>
      </c>
      <c r="D29" s="46">
        <v>26.1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25.9</v>
      </c>
      <c r="Y29" s="46">
        <v>25.9</v>
      </c>
      <c r="Z29" s="46">
        <v>25.9</v>
      </c>
      <c r="AA29" s="46">
        <v>25.9</v>
      </c>
      <c r="AB29" s="46">
        <v>25.9</v>
      </c>
      <c r="AC29" s="46">
        <v>25.9</v>
      </c>
      <c r="AD29" s="46">
        <v>25.9</v>
      </c>
      <c r="AE29" s="46">
        <v>25.9</v>
      </c>
      <c r="AF29" s="46">
        <v>25.9</v>
      </c>
      <c r="AG29" s="50">
        <v>25</v>
      </c>
      <c r="AH29" s="48">
        <f t="shared" si="2"/>
        <v>26.1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23</v>
      </c>
      <c r="C30" s="46">
        <v>23</v>
      </c>
      <c r="D30" s="46">
        <v>23</v>
      </c>
      <c r="E30" s="46">
        <v>23</v>
      </c>
      <c r="F30" s="46">
        <v>23</v>
      </c>
      <c r="G30" s="46">
        <v>23</v>
      </c>
      <c r="H30" s="46">
        <v>23</v>
      </c>
      <c r="I30" s="46">
        <v>23</v>
      </c>
      <c r="J30" s="46">
        <v>23</v>
      </c>
      <c r="K30" s="46">
        <v>23</v>
      </c>
      <c r="L30" s="46">
        <v>23</v>
      </c>
      <c r="M30" s="46">
        <v>23</v>
      </c>
      <c r="N30" s="46">
        <v>23</v>
      </c>
      <c r="O30" s="46">
        <v>23</v>
      </c>
      <c r="P30" s="46">
        <v>23</v>
      </c>
      <c r="Q30" s="46">
        <v>23</v>
      </c>
      <c r="R30" s="46">
        <v>23</v>
      </c>
      <c r="S30" s="46">
        <v>23</v>
      </c>
      <c r="T30" s="46">
        <v>23</v>
      </c>
      <c r="U30" s="46">
        <v>23</v>
      </c>
      <c r="V30" s="46">
        <v>23</v>
      </c>
      <c r="W30" s="46">
        <v>23</v>
      </c>
      <c r="X30" s="46">
        <v>23</v>
      </c>
      <c r="Y30" s="46">
        <v>23</v>
      </c>
      <c r="Z30" s="46">
        <v>23</v>
      </c>
      <c r="AA30" s="46">
        <v>23</v>
      </c>
      <c r="AB30" s="46">
        <v>23</v>
      </c>
      <c r="AC30" s="46">
        <v>23</v>
      </c>
      <c r="AD30" s="46">
        <v>23</v>
      </c>
      <c r="AE30" s="46">
        <v>23</v>
      </c>
      <c r="AF30" s="46">
        <v>23</v>
      </c>
      <c r="AG30" s="50">
        <v>25</v>
      </c>
      <c r="AH30" s="48">
        <f t="shared" si="2"/>
        <v>23</v>
      </c>
      <c r="AI30" s="49">
        <f t="shared" si="3"/>
        <v>23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50">
        <v>25</v>
      </c>
      <c r="AH31" s="48">
        <f t="shared" si="2"/>
        <v>0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18</v>
      </c>
      <c r="C32" s="46">
        <v>13.4</v>
      </c>
      <c r="D32" s="46">
        <v>8.5</v>
      </c>
      <c r="E32" s="46">
        <v>8.5</v>
      </c>
      <c r="F32" s="46">
        <v>8.5</v>
      </c>
      <c r="G32" s="46">
        <v>8.5</v>
      </c>
      <c r="H32" s="46">
        <v>8.5</v>
      </c>
      <c r="I32" s="46">
        <v>8.5</v>
      </c>
      <c r="J32" s="46">
        <v>8.5</v>
      </c>
      <c r="K32" s="46">
        <v>8.5</v>
      </c>
      <c r="L32" s="46">
        <v>8.5</v>
      </c>
      <c r="M32" s="46">
        <v>17</v>
      </c>
      <c r="N32" s="46">
        <v>17</v>
      </c>
      <c r="O32" s="46">
        <v>17</v>
      </c>
      <c r="P32" s="46">
        <v>17</v>
      </c>
      <c r="Q32" s="46">
        <v>17</v>
      </c>
      <c r="R32" s="46">
        <v>17</v>
      </c>
      <c r="S32" s="46">
        <v>17</v>
      </c>
      <c r="T32" s="46">
        <v>17</v>
      </c>
      <c r="U32" s="46">
        <v>0</v>
      </c>
      <c r="V32" s="46">
        <v>0</v>
      </c>
      <c r="W32" s="46">
        <v>0</v>
      </c>
      <c r="X32" s="46">
        <v>10</v>
      </c>
      <c r="Y32" s="46">
        <v>10</v>
      </c>
      <c r="Z32" s="46">
        <v>10</v>
      </c>
      <c r="AA32" s="46">
        <v>10</v>
      </c>
      <c r="AB32" s="46">
        <v>25.5</v>
      </c>
      <c r="AC32" s="46">
        <v>25.5</v>
      </c>
      <c r="AD32" s="46">
        <v>25.5</v>
      </c>
      <c r="AE32" s="46">
        <v>25.5</v>
      </c>
      <c r="AF32" s="46">
        <v>12.5</v>
      </c>
      <c r="AG32" s="50">
        <v>25</v>
      </c>
      <c r="AH32" s="48">
        <f t="shared" si="2"/>
        <v>25.5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23.8</v>
      </c>
      <c r="C33" s="46">
        <v>21.6</v>
      </c>
      <c r="D33" s="46">
        <v>21.6</v>
      </c>
      <c r="E33" s="46">
        <v>21.5</v>
      </c>
      <c r="F33" s="46">
        <v>21.5</v>
      </c>
      <c r="G33" s="46">
        <v>21.5</v>
      </c>
      <c r="H33" s="46">
        <v>21.5</v>
      </c>
      <c r="I33" s="46">
        <v>21.5</v>
      </c>
      <c r="J33" s="46">
        <v>21.5</v>
      </c>
      <c r="K33" s="46">
        <v>21.5</v>
      </c>
      <c r="L33" s="46">
        <v>21.5</v>
      </c>
      <c r="M33" s="46">
        <v>21.5</v>
      </c>
      <c r="N33" s="46">
        <v>21.5</v>
      </c>
      <c r="O33" s="46">
        <v>21.5</v>
      </c>
      <c r="P33" s="46">
        <v>21.5</v>
      </c>
      <c r="Q33" s="46">
        <v>21.5</v>
      </c>
      <c r="R33" s="46">
        <v>21.5</v>
      </c>
      <c r="S33" s="46">
        <v>21.5</v>
      </c>
      <c r="T33" s="46">
        <v>21.5</v>
      </c>
      <c r="U33" s="46">
        <v>21.5</v>
      </c>
      <c r="V33" s="46">
        <v>21.5</v>
      </c>
      <c r="W33" s="46">
        <v>21.5</v>
      </c>
      <c r="X33" s="46">
        <v>25.4</v>
      </c>
      <c r="Y33" s="46">
        <v>25.4</v>
      </c>
      <c r="Z33" s="46">
        <v>25.4</v>
      </c>
      <c r="AA33" s="46">
        <v>25.4</v>
      </c>
      <c r="AB33" s="46">
        <v>25.4</v>
      </c>
      <c r="AC33" s="46">
        <v>25.4</v>
      </c>
      <c r="AD33" s="46">
        <v>25.4</v>
      </c>
      <c r="AE33" s="46">
        <v>25.4</v>
      </c>
      <c r="AF33" s="46">
        <v>25.4</v>
      </c>
      <c r="AG33" s="50">
        <v>23.5</v>
      </c>
      <c r="AH33" s="48">
        <f t="shared" si="2"/>
        <v>25.4</v>
      </c>
      <c r="AI33" s="49">
        <f t="shared" si="3"/>
        <v>21.5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18</v>
      </c>
      <c r="C35" s="46">
        <v>18</v>
      </c>
      <c r="D35" s="46">
        <v>18</v>
      </c>
      <c r="E35" s="46">
        <v>18</v>
      </c>
      <c r="F35" s="46">
        <v>18</v>
      </c>
      <c r="G35" s="46">
        <v>18</v>
      </c>
      <c r="H35" s="46">
        <v>18</v>
      </c>
      <c r="I35" s="46">
        <v>18</v>
      </c>
      <c r="J35" s="46">
        <v>18</v>
      </c>
      <c r="K35" s="46">
        <v>18</v>
      </c>
      <c r="L35" s="46">
        <v>18</v>
      </c>
      <c r="M35" s="46">
        <v>18</v>
      </c>
      <c r="N35" s="46">
        <v>18</v>
      </c>
      <c r="O35" s="46">
        <v>18</v>
      </c>
      <c r="P35" s="46">
        <v>18</v>
      </c>
      <c r="Q35" s="46">
        <v>18</v>
      </c>
      <c r="R35" s="46">
        <v>18</v>
      </c>
      <c r="S35" s="46">
        <v>18</v>
      </c>
      <c r="T35" s="46">
        <v>18</v>
      </c>
      <c r="U35" s="46">
        <v>18</v>
      </c>
      <c r="V35" s="46">
        <v>18</v>
      </c>
      <c r="W35" s="46">
        <v>18</v>
      </c>
      <c r="X35" s="46">
        <v>18</v>
      </c>
      <c r="Y35" s="46">
        <v>18</v>
      </c>
      <c r="Z35" s="46">
        <v>18</v>
      </c>
      <c r="AA35" s="46">
        <v>18</v>
      </c>
      <c r="AB35" s="46">
        <v>18</v>
      </c>
      <c r="AC35" s="46">
        <v>18</v>
      </c>
      <c r="AD35" s="46">
        <v>18</v>
      </c>
      <c r="AE35" s="46">
        <v>18</v>
      </c>
      <c r="AF35" s="46">
        <v>18</v>
      </c>
      <c r="AG35" s="50">
        <v>22.1</v>
      </c>
      <c r="AH35" s="48">
        <f t="shared" si="2"/>
        <v>18</v>
      </c>
      <c r="AI35" s="49">
        <f t="shared" si="3"/>
        <v>18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0</v>
      </c>
      <c r="C37" s="46">
        <v>0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24</v>
      </c>
      <c r="N37" s="46">
        <v>24</v>
      </c>
      <c r="O37" s="46">
        <v>24</v>
      </c>
      <c r="P37" s="46">
        <v>24</v>
      </c>
      <c r="Q37" s="46">
        <v>24</v>
      </c>
      <c r="R37" s="46">
        <v>24</v>
      </c>
      <c r="S37" s="46">
        <v>24</v>
      </c>
      <c r="T37" s="46">
        <v>24</v>
      </c>
      <c r="U37" s="46">
        <v>24</v>
      </c>
      <c r="V37" s="46">
        <v>24</v>
      </c>
      <c r="W37" s="46">
        <v>24</v>
      </c>
      <c r="X37" s="46">
        <v>24</v>
      </c>
      <c r="Y37" s="46">
        <v>24</v>
      </c>
      <c r="Z37" s="46">
        <v>24</v>
      </c>
      <c r="AA37" s="46">
        <v>24</v>
      </c>
      <c r="AB37" s="46">
        <v>24</v>
      </c>
      <c r="AC37" s="46">
        <v>24</v>
      </c>
      <c r="AD37" s="46">
        <v>24</v>
      </c>
      <c r="AE37" s="46">
        <v>24</v>
      </c>
      <c r="AF37" s="46">
        <v>24</v>
      </c>
      <c r="AG37" s="50">
        <v>22</v>
      </c>
      <c r="AH37" s="48">
        <f t="shared" si="2"/>
        <v>24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18</v>
      </c>
      <c r="AH40" s="48">
        <f t="shared" si="2"/>
        <v>0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15</v>
      </c>
      <c r="C41" s="46">
        <v>15</v>
      </c>
      <c r="D41" s="46">
        <v>15</v>
      </c>
      <c r="E41" s="46">
        <v>15</v>
      </c>
      <c r="F41" s="46">
        <v>15</v>
      </c>
      <c r="G41" s="46">
        <v>15</v>
      </c>
      <c r="H41" s="46">
        <v>15</v>
      </c>
      <c r="I41" s="46">
        <v>15</v>
      </c>
      <c r="J41" s="46">
        <v>15</v>
      </c>
      <c r="K41" s="46">
        <v>15</v>
      </c>
      <c r="L41" s="46">
        <v>15</v>
      </c>
      <c r="M41" s="46">
        <v>15</v>
      </c>
      <c r="N41" s="46">
        <v>15</v>
      </c>
      <c r="O41" s="46">
        <v>15</v>
      </c>
      <c r="P41" s="46">
        <v>15</v>
      </c>
      <c r="Q41" s="46">
        <v>15</v>
      </c>
      <c r="R41" s="46">
        <v>15</v>
      </c>
      <c r="S41" s="46">
        <v>15</v>
      </c>
      <c r="T41" s="46">
        <v>15</v>
      </c>
      <c r="U41" s="46">
        <v>15</v>
      </c>
      <c r="V41" s="46">
        <v>15</v>
      </c>
      <c r="W41" s="46">
        <v>15</v>
      </c>
      <c r="X41" s="46">
        <v>15</v>
      </c>
      <c r="Y41" s="46">
        <v>15</v>
      </c>
      <c r="Z41" s="46">
        <v>15</v>
      </c>
      <c r="AA41" s="46">
        <v>15</v>
      </c>
      <c r="AB41" s="46">
        <v>15</v>
      </c>
      <c r="AC41" s="46">
        <v>15</v>
      </c>
      <c r="AD41" s="46">
        <v>13</v>
      </c>
      <c r="AE41" s="46">
        <v>13</v>
      </c>
      <c r="AF41" s="46">
        <v>13</v>
      </c>
      <c r="AG41" s="50">
        <v>15.33</v>
      </c>
      <c r="AH41" s="48">
        <f t="shared" si="2"/>
        <v>15</v>
      </c>
      <c r="AI41" s="49">
        <f t="shared" si="3"/>
        <v>13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0</v>
      </c>
      <c r="C46" s="46">
        <v>0</v>
      </c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50">
        <v>14</v>
      </c>
      <c r="AH46" s="48">
        <f t="shared" si="2"/>
        <v>0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11</v>
      </c>
      <c r="C49" s="46">
        <v>6</v>
      </c>
      <c r="D49" s="46">
        <v>4</v>
      </c>
      <c r="E49" s="46">
        <v>4</v>
      </c>
      <c r="F49" s="46">
        <v>4</v>
      </c>
      <c r="G49" s="46">
        <v>4</v>
      </c>
      <c r="H49" s="46">
        <v>4</v>
      </c>
      <c r="I49" s="46">
        <v>4</v>
      </c>
      <c r="J49" s="46">
        <v>4</v>
      </c>
      <c r="K49" s="46">
        <v>4</v>
      </c>
      <c r="L49" s="46">
        <v>4</v>
      </c>
      <c r="M49" s="46">
        <v>4</v>
      </c>
      <c r="N49" s="46">
        <v>4</v>
      </c>
      <c r="O49" s="46">
        <v>4</v>
      </c>
      <c r="P49" s="46">
        <v>4</v>
      </c>
      <c r="Q49" s="46">
        <v>4</v>
      </c>
      <c r="R49" s="46">
        <v>4</v>
      </c>
      <c r="S49" s="46">
        <v>4</v>
      </c>
      <c r="T49" s="46">
        <v>4</v>
      </c>
      <c r="U49" s="46">
        <v>4</v>
      </c>
      <c r="V49" s="46">
        <v>4</v>
      </c>
      <c r="W49" s="46">
        <v>4</v>
      </c>
      <c r="X49" s="46">
        <v>4</v>
      </c>
      <c r="Y49" s="46">
        <v>4</v>
      </c>
      <c r="Z49" s="46">
        <v>4</v>
      </c>
      <c r="AA49" s="46">
        <v>4</v>
      </c>
      <c r="AB49" s="46">
        <v>7</v>
      </c>
      <c r="AC49" s="46">
        <v>7</v>
      </c>
      <c r="AD49" s="46">
        <v>7</v>
      </c>
      <c r="AE49" s="46">
        <v>7</v>
      </c>
      <c r="AF49" s="46">
        <v>5</v>
      </c>
      <c r="AG49" s="50">
        <v>12</v>
      </c>
      <c r="AH49" s="48">
        <f t="shared" si="2"/>
        <v>11</v>
      </c>
      <c r="AI49" s="49">
        <f t="shared" si="3"/>
        <v>4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81">
        <f>28+13+9</f>
        <v>50</v>
      </c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>
        <v>12</v>
      </c>
      <c r="R53" s="46">
        <v>12</v>
      </c>
      <c r="S53" s="46">
        <v>12</v>
      </c>
      <c r="T53" s="46">
        <v>12</v>
      </c>
      <c r="U53" s="46">
        <v>12</v>
      </c>
      <c r="V53" s="46">
        <v>12</v>
      </c>
      <c r="W53" s="46">
        <v>12</v>
      </c>
      <c r="X53" s="46">
        <v>12</v>
      </c>
      <c r="Y53" s="46">
        <v>12</v>
      </c>
      <c r="Z53" s="46">
        <v>12</v>
      </c>
      <c r="AA53" s="46">
        <v>12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12</v>
      </c>
      <c r="AK53" s="81">
        <f>30+11+15</f>
        <v>56</v>
      </c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11</v>
      </c>
      <c r="AH54" s="48">
        <f t="shared" si="2"/>
        <v>0</v>
      </c>
      <c r="AI54" s="49">
        <f t="shared" si="3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10</v>
      </c>
      <c r="C55" s="46">
        <v>10</v>
      </c>
      <c r="D55" s="46">
        <v>10</v>
      </c>
      <c r="E55" s="46">
        <v>10</v>
      </c>
      <c r="F55" s="46">
        <v>10</v>
      </c>
      <c r="G55" s="46">
        <v>10</v>
      </c>
      <c r="H55" s="46">
        <v>10</v>
      </c>
      <c r="I55" s="46">
        <v>10</v>
      </c>
      <c r="J55" s="46">
        <v>10</v>
      </c>
      <c r="K55" s="46">
        <v>10</v>
      </c>
      <c r="L55" s="46">
        <v>10</v>
      </c>
      <c r="M55" s="46">
        <v>10</v>
      </c>
      <c r="N55" s="46">
        <v>10</v>
      </c>
      <c r="O55" s="46">
        <v>10</v>
      </c>
      <c r="P55" s="46">
        <v>10</v>
      </c>
      <c r="Q55" s="46">
        <v>10</v>
      </c>
      <c r="R55" s="46">
        <v>10</v>
      </c>
      <c r="S55" s="46">
        <v>10</v>
      </c>
      <c r="T55" s="46">
        <v>10</v>
      </c>
      <c r="U55" s="46">
        <v>10</v>
      </c>
      <c r="V55" s="46">
        <v>10</v>
      </c>
      <c r="W55" s="46">
        <v>10</v>
      </c>
      <c r="X55" s="46">
        <v>10</v>
      </c>
      <c r="Y55" s="46">
        <v>10</v>
      </c>
      <c r="Z55" s="46">
        <v>10</v>
      </c>
      <c r="AA55" s="46">
        <v>10</v>
      </c>
      <c r="AB55" s="46">
        <v>10</v>
      </c>
      <c r="AC55" s="46">
        <v>10</v>
      </c>
      <c r="AD55" s="46">
        <v>9</v>
      </c>
      <c r="AE55" s="46">
        <v>9</v>
      </c>
      <c r="AF55" s="46">
        <v>9</v>
      </c>
      <c r="AG55" s="66">
        <v>11</v>
      </c>
      <c r="AH55" s="48">
        <f t="shared" si="2"/>
        <v>10</v>
      </c>
      <c r="AI55" s="49">
        <f t="shared" si="3"/>
        <v>9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168</v>
      </c>
      <c r="C60" s="68">
        <v>168</v>
      </c>
      <c r="D60" s="68">
        <v>168</v>
      </c>
      <c r="E60" s="68">
        <v>145.19999999999999</v>
      </c>
      <c r="F60" s="68">
        <v>145.19999999999999</v>
      </c>
      <c r="G60" s="68">
        <v>145.19999999999999</v>
      </c>
      <c r="H60" s="68">
        <v>145.19999999999999</v>
      </c>
      <c r="I60" s="68">
        <v>158.6</v>
      </c>
      <c r="J60" s="68">
        <v>158.6</v>
      </c>
      <c r="K60" s="68">
        <v>158.6</v>
      </c>
      <c r="L60" s="68">
        <v>158.6</v>
      </c>
      <c r="M60" s="68">
        <f t="shared" ref="M60:S60" si="20">61+87</f>
        <v>148</v>
      </c>
      <c r="N60" s="68">
        <f t="shared" si="20"/>
        <v>148</v>
      </c>
      <c r="O60" s="68">
        <f t="shared" si="20"/>
        <v>148</v>
      </c>
      <c r="P60" s="68">
        <f t="shared" si="20"/>
        <v>148</v>
      </c>
      <c r="Q60" s="68">
        <f t="shared" si="20"/>
        <v>148</v>
      </c>
      <c r="R60" s="68">
        <f t="shared" si="20"/>
        <v>148</v>
      </c>
      <c r="S60" s="68">
        <f t="shared" si="20"/>
        <v>148</v>
      </c>
      <c r="T60" s="68">
        <f>97.6+74</f>
        <v>171.6</v>
      </c>
      <c r="U60" s="68">
        <f>97.6+74</f>
        <v>171.6</v>
      </c>
      <c r="V60" s="68">
        <f>97.6+74</f>
        <v>171.6</v>
      </c>
      <c r="W60" s="68">
        <f>97.6+74</f>
        <v>171.6</v>
      </c>
      <c r="X60" s="53">
        <f>97.3+63.3</f>
        <v>160.6</v>
      </c>
      <c r="Y60" s="68">
        <f>96.6+76.5</f>
        <v>173.1</v>
      </c>
      <c r="Z60" s="68">
        <f>95.9+76.5</f>
        <v>172.4</v>
      </c>
      <c r="AA60" s="68">
        <f>95.6+75.4</f>
        <v>171</v>
      </c>
      <c r="AB60" s="68">
        <f>95.6+75.4</f>
        <v>171</v>
      </c>
      <c r="AC60" s="68">
        <v>176.3</v>
      </c>
      <c r="AD60" s="68">
        <v>176.3</v>
      </c>
      <c r="AE60" s="68">
        <v>176.3</v>
      </c>
      <c r="AF60" s="68">
        <v>176.3</v>
      </c>
      <c r="AG60" s="66">
        <v>240</v>
      </c>
      <c r="AH60" s="48">
        <f t="shared" si="2"/>
        <v>176.3</v>
      </c>
      <c r="AI60" s="49">
        <f t="shared" si="3"/>
        <v>145.19999999999999</v>
      </c>
      <c r="AK60" s="51"/>
    </row>
    <row r="61" spans="1:88" ht="15.75" thickBot="1" x14ac:dyDescent="0.3">
      <c r="A61" s="70" t="s">
        <v>75</v>
      </c>
      <c r="B61" s="71">
        <f>SUM(B11:B59)</f>
        <v>1190.1999999999998</v>
      </c>
      <c r="C61" s="71">
        <f t="shared" ref="C61:AG61" si="21">SUM(C11:C59)</f>
        <v>1172.8000000000002</v>
      </c>
      <c r="D61" s="71">
        <f t="shared" si="21"/>
        <v>1146.1000000000001</v>
      </c>
      <c r="E61" s="71">
        <f t="shared" si="21"/>
        <v>1129.8</v>
      </c>
      <c r="F61" s="71">
        <f t="shared" ref="F61:G61" si="22">SUM(F11:F59)</f>
        <v>1129.8</v>
      </c>
      <c r="G61" s="71">
        <f t="shared" si="22"/>
        <v>1129.8</v>
      </c>
      <c r="H61" s="71">
        <f t="shared" ref="H61:L61" si="23">SUM(H11:H59)</f>
        <v>1129.8</v>
      </c>
      <c r="I61" s="181">
        <f t="shared" si="23"/>
        <v>1129.8</v>
      </c>
      <c r="J61" s="181">
        <f t="shared" si="23"/>
        <v>1129.8</v>
      </c>
      <c r="K61" s="181">
        <f t="shared" si="23"/>
        <v>1129.8</v>
      </c>
      <c r="L61" s="181">
        <f t="shared" si="23"/>
        <v>1129.8</v>
      </c>
      <c r="M61" s="181">
        <f t="shared" ref="M61:S61" si="24">SUM(M11:M59)</f>
        <v>1220.5999999999999</v>
      </c>
      <c r="N61" s="181">
        <f t="shared" si="24"/>
        <v>1220.5999999999999</v>
      </c>
      <c r="O61" s="181">
        <f t="shared" si="24"/>
        <v>1170.5999999999999</v>
      </c>
      <c r="P61" s="181">
        <f t="shared" si="24"/>
        <v>1170.5999999999999</v>
      </c>
      <c r="Q61" s="181">
        <f t="shared" si="24"/>
        <v>1202.8</v>
      </c>
      <c r="R61" s="181">
        <f t="shared" si="24"/>
        <v>1202.8</v>
      </c>
      <c r="S61" s="181">
        <f t="shared" si="24"/>
        <v>1199.8</v>
      </c>
      <c r="T61" s="71">
        <f t="shared" si="21"/>
        <v>1199.8</v>
      </c>
      <c r="U61" s="71">
        <f t="shared" ref="U61:V61" si="25">SUM(U11:U59)</f>
        <v>1144.8</v>
      </c>
      <c r="V61" s="71">
        <f t="shared" si="25"/>
        <v>1152.5</v>
      </c>
      <c r="W61" s="71">
        <f t="shared" ref="W61" si="26">SUM(W11:W59)</f>
        <v>1179.5</v>
      </c>
      <c r="X61" s="71">
        <f t="shared" si="21"/>
        <v>1297.5999999999999</v>
      </c>
      <c r="Y61" s="71">
        <f t="shared" si="21"/>
        <v>1297.5999999999999</v>
      </c>
      <c r="Z61" s="71">
        <f t="shared" si="21"/>
        <v>1297.5999999999999</v>
      </c>
      <c r="AA61" s="71">
        <f t="shared" si="21"/>
        <v>1293.5999999999999</v>
      </c>
      <c r="AB61" s="71">
        <f t="shared" ref="AB61:AC61" si="27">SUM(AB11:AB59)</f>
        <v>1267.9000000000001</v>
      </c>
      <c r="AC61" s="71">
        <f t="shared" si="27"/>
        <v>1257</v>
      </c>
      <c r="AD61" s="71">
        <f t="shared" ref="AD61:AE61" si="28">SUM(AD11:AD59)</f>
        <v>1257.9000000000001</v>
      </c>
      <c r="AE61" s="71">
        <f t="shared" si="28"/>
        <v>1257.9000000000001</v>
      </c>
      <c r="AF61" s="71">
        <f t="shared" ref="AF61" si="29">SUM(AF11:AF59)</f>
        <v>1175.5</v>
      </c>
      <c r="AG61" s="71">
        <f t="shared" si="21"/>
        <v>1466.0300000000002</v>
      </c>
      <c r="AH61" s="48">
        <f t="shared" si="2"/>
        <v>1297.5999999999999</v>
      </c>
      <c r="AI61" s="49">
        <f t="shared" si="3"/>
        <v>1129.8</v>
      </c>
      <c r="AK61" s="51"/>
    </row>
    <row r="62" spans="1:88" x14ac:dyDescent="0.25">
      <c r="A62" s="73" t="s">
        <v>76</v>
      </c>
      <c r="B62" s="46">
        <v>461.1</v>
      </c>
      <c r="C62" s="46">
        <v>461.1</v>
      </c>
      <c r="D62" s="46">
        <v>461.1</v>
      </c>
      <c r="E62" s="46">
        <v>461.1</v>
      </c>
      <c r="F62" s="46">
        <v>461.1</v>
      </c>
      <c r="G62" s="46">
        <v>461.1</v>
      </c>
      <c r="H62" s="46">
        <v>461.1</v>
      </c>
      <c r="I62" s="46">
        <v>461.1</v>
      </c>
      <c r="J62" s="46">
        <v>461.1</v>
      </c>
      <c r="K62" s="46">
        <v>461.1</v>
      </c>
      <c r="L62" s="46">
        <v>461.1</v>
      </c>
      <c r="M62" s="46">
        <v>461.1</v>
      </c>
      <c r="N62" s="46">
        <v>461.1</v>
      </c>
      <c r="O62" s="46">
        <v>461.1</v>
      </c>
      <c r="P62" s="46">
        <v>461.1</v>
      </c>
      <c r="Q62" s="46">
        <v>461.1</v>
      </c>
      <c r="R62" s="46">
        <v>461.1</v>
      </c>
      <c r="S62" s="46">
        <v>461.1</v>
      </c>
      <c r="T62" s="46">
        <v>461.1</v>
      </c>
      <c r="U62" s="46">
        <v>458</v>
      </c>
      <c r="V62" s="46">
        <v>458</v>
      </c>
      <c r="W62" s="46">
        <v>458</v>
      </c>
      <c r="X62" s="46">
        <v>458</v>
      </c>
      <c r="Y62" s="46">
        <v>458</v>
      </c>
      <c r="Z62" s="46">
        <v>458</v>
      </c>
      <c r="AA62" s="46">
        <v>458</v>
      </c>
      <c r="AB62" s="46">
        <v>458</v>
      </c>
      <c r="AC62" s="46">
        <v>458</v>
      </c>
      <c r="AD62" s="46">
        <v>458</v>
      </c>
      <c r="AE62" s="46">
        <v>458</v>
      </c>
      <c r="AF62" s="46">
        <v>458</v>
      </c>
      <c r="AG62" s="61">
        <v>456</v>
      </c>
      <c r="AH62" s="48">
        <f t="shared" si="2"/>
        <v>461.1</v>
      </c>
      <c r="AI62" s="49">
        <f t="shared" si="3"/>
        <v>458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15</v>
      </c>
      <c r="AA64" s="78">
        <v>15</v>
      </c>
      <c r="AB64" s="78">
        <v>15</v>
      </c>
      <c r="AC64" s="78">
        <v>15</v>
      </c>
      <c r="AD64" s="78">
        <v>15</v>
      </c>
      <c r="AE64" s="78">
        <v>15</v>
      </c>
      <c r="AF64" s="78">
        <v>15</v>
      </c>
      <c r="AG64" s="79">
        <v>22.1</v>
      </c>
      <c r="AH64" s="48">
        <f t="shared" si="2"/>
        <v>22.6</v>
      </c>
      <c r="AI64" s="49">
        <f t="shared" si="3"/>
        <v>15</v>
      </c>
      <c r="AK64" s="51"/>
    </row>
    <row r="65" spans="1:75" ht="15.75" thickBot="1" x14ac:dyDescent="0.3">
      <c r="A65" s="80" t="s">
        <v>79</v>
      </c>
      <c r="B65" s="71">
        <f t="shared" ref="B65:AG65" si="30">SUM(B62:B64)</f>
        <v>543.70000000000005</v>
      </c>
      <c r="C65" s="71">
        <f t="shared" si="30"/>
        <v>543.70000000000005</v>
      </c>
      <c r="D65" s="71">
        <f t="shared" si="30"/>
        <v>543.70000000000005</v>
      </c>
      <c r="E65" s="71">
        <f t="shared" si="30"/>
        <v>543.70000000000005</v>
      </c>
      <c r="F65" s="71">
        <f t="shared" ref="F65:G65" si="31">SUM(F62:F64)</f>
        <v>543.70000000000005</v>
      </c>
      <c r="G65" s="71">
        <f t="shared" si="31"/>
        <v>543.70000000000005</v>
      </c>
      <c r="H65" s="71">
        <f t="shared" ref="H65" si="32">SUM(H62:H64)</f>
        <v>543.70000000000005</v>
      </c>
      <c r="I65" s="71">
        <f t="shared" si="30"/>
        <v>543.70000000000005</v>
      </c>
      <c r="J65" s="71">
        <f t="shared" ref="J65:K65" si="33">SUM(J62:J64)</f>
        <v>543.70000000000005</v>
      </c>
      <c r="K65" s="71">
        <f t="shared" si="33"/>
        <v>543.70000000000005</v>
      </c>
      <c r="L65" s="71">
        <f t="shared" ref="L65:M65" si="34">SUM(L62:L64)</f>
        <v>543.70000000000005</v>
      </c>
      <c r="M65" s="71">
        <f t="shared" si="34"/>
        <v>543.70000000000005</v>
      </c>
      <c r="N65" s="71">
        <f t="shared" ref="N65:O65" si="35">SUM(N62:N64)</f>
        <v>543.70000000000005</v>
      </c>
      <c r="O65" s="71">
        <f t="shared" si="35"/>
        <v>543.70000000000005</v>
      </c>
      <c r="P65" s="71">
        <f t="shared" ref="P65:Q65" si="36">SUM(P62:P64)</f>
        <v>543.70000000000005</v>
      </c>
      <c r="Q65" s="71">
        <f t="shared" si="36"/>
        <v>543.70000000000005</v>
      </c>
      <c r="R65" s="71">
        <f t="shared" ref="R65:S65" si="37">SUM(R62:R64)</f>
        <v>543.70000000000005</v>
      </c>
      <c r="S65" s="71">
        <f t="shared" si="37"/>
        <v>543.70000000000005</v>
      </c>
      <c r="T65" s="71">
        <f t="shared" si="30"/>
        <v>543.70000000000005</v>
      </c>
      <c r="U65" s="71">
        <f t="shared" ref="U65:V65" si="38">SUM(U62:U64)</f>
        <v>540.6</v>
      </c>
      <c r="V65" s="71">
        <f t="shared" si="38"/>
        <v>540.6</v>
      </c>
      <c r="W65" s="71">
        <f t="shared" ref="W65" si="39">SUM(W62:W64)</f>
        <v>540.6</v>
      </c>
      <c r="X65" s="71">
        <f t="shared" si="30"/>
        <v>540.6</v>
      </c>
      <c r="Y65" s="71">
        <f t="shared" si="30"/>
        <v>540.6</v>
      </c>
      <c r="Z65" s="71">
        <f t="shared" si="30"/>
        <v>533</v>
      </c>
      <c r="AA65" s="71">
        <f t="shared" si="30"/>
        <v>533</v>
      </c>
      <c r="AB65" s="71">
        <f t="shared" ref="AB65:AC65" si="40">SUM(AB62:AB64)</f>
        <v>533</v>
      </c>
      <c r="AC65" s="71">
        <f t="shared" si="40"/>
        <v>533</v>
      </c>
      <c r="AD65" s="71">
        <f t="shared" ref="AD65:AE65" si="41">SUM(AD62:AD64)</f>
        <v>533</v>
      </c>
      <c r="AE65" s="71">
        <f t="shared" si="41"/>
        <v>533</v>
      </c>
      <c r="AF65" s="71">
        <f t="shared" ref="AF65" si="42">SUM(AF62:AF64)</f>
        <v>533</v>
      </c>
      <c r="AG65" s="72">
        <f t="shared" si="30"/>
        <v>538.1</v>
      </c>
      <c r="AH65" s="48">
        <f t="shared" si="2"/>
        <v>543.70000000000005</v>
      </c>
      <c r="AI65" s="49">
        <f t="shared" si="3"/>
        <v>533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76.900000000000006</v>
      </c>
      <c r="C66" s="46">
        <v>86.9</v>
      </c>
      <c r="D66" s="46">
        <v>86.9</v>
      </c>
      <c r="E66" s="46">
        <v>86.9</v>
      </c>
      <c r="F66" s="46">
        <v>86.9</v>
      </c>
      <c r="G66" s="46">
        <v>86.9</v>
      </c>
      <c r="H66" s="46">
        <v>86.9</v>
      </c>
      <c r="I66" s="46">
        <v>87.2</v>
      </c>
      <c r="J66" s="46">
        <v>87.2</v>
      </c>
      <c r="K66" s="46">
        <v>87.2</v>
      </c>
      <c r="L66" s="46">
        <v>87.2</v>
      </c>
      <c r="M66" s="46">
        <v>87.2</v>
      </c>
      <c r="N66" s="46">
        <v>87.2</v>
      </c>
      <c r="O66" s="46">
        <v>51</v>
      </c>
      <c r="P66" s="46">
        <v>51</v>
      </c>
      <c r="Q66" s="46">
        <v>71</v>
      </c>
      <c r="R66" s="46">
        <v>71</v>
      </c>
      <c r="S66" s="46">
        <v>71</v>
      </c>
      <c r="T66" s="46">
        <v>81</v>
      </c>
      <c r="U66" s="46">
        <v>81</v>
      </c>
      <c r="V66" s="46">
        <v>81</v>
      </c>
      <c r="W66" s="46">
        <v>81</v>
      </c>
      <c r="X66" s="46">
        <v>81</v>
      </c>
      <c r="Y66" s="46">
        <v>81</v>
      </c>
      <c r="Z66" s="46">
        <v>81</v>
      </c>
      <c r="AA66" s="46">
        <v>81</v>
      </c>
      <c r="AB66" s="46">
        <v>81</v>
      </c>
      <c r="AC66" s="46">
        <v>81</v>
      </c>
      <c r="AD66" s="46">
        <v>81</v>
      </c>
      <c r="AE66" s="46">
        <v>81</v>
      </c>
      <c r="AF66" s="46">
        <v>81</v>
      </c>
      <c r="AG66" s="61">
        <v>144</v>
      </c>
      <c r="AH66" s="48">
        <f t="shared" si="2"/>
        <v>87.2</v>
      </c>
      <c r="AI66" s="49">
        <f t="shared" si="3"/>
        <v>51</v>
      </c>
      <c r="AK66" s="51"/>
      <c r="AY66" s="1" t="s">
        <v>86</v>
      </c>
      <c r="AZ66" s="82">
        <f>ROUND(C84,0)</f>
        <v>-35</v>
      </c>
      <c r="BA66" s="81">
        <f t="shared" ref="BA66:BD70" si="43">D84</f>
        <v>-21.5</v>
      </c>
      <c r="BB66" s="81">
        <f t="shared" si="43"/>
        <v>-58</v>
      </c>
      <c r="BC66" s="81">
        <f t="shared" si="43"/>
        <v>-59</v>
      </c>
      <c r="BD66" s="81">
        <f t="shared" si="43"/>
        <v>-51</v>
      </c>
      <c r="BE66" s="82">
        <f>I84</f>
        <v>-35</v>
      </c>
      <c r="BF66" s="82">
        <f>K84</f>
        <v>-58</v>
      </c>
      <c r="BG66" s="82">
        <f t="shared" ref="BG66:BP70" si="44">M84</f>
        <v>-21</v>
      </c>
      <c r="BH66" s="82">
        <f t="shared" si="44"/>
        <v>-60</v>
      </c>
      <c r="BI66" s="82">
        <f t="shared" si="44"/>
        <v>-36</v>
      </c>
      <c r="BJ66" s="82">
        <f t="shared" si="44"/>
        <v>-30</v>
      </c>
      <c r="BK66" s="82">
        <f t="shared" si="44"/>
        <v>-25</v>
      </c>
      <c r="BL66" s="82">
        <f t="shared" si="44"/>
        <v>-25</v>
      </c>
      <c r="BM66" s="82">
        <f t="shared" si="44"/>
        <v>-48</v>
      </c>
      <c r="BN66" s="82">
        <f t="shared" si="44"/>
        <v>-43</v>
      </c>
      <c r="BO66" s="82">
        <f t="shared" si="44"/>
        <v>-10</v>
      </c>
      <c r="BP66" s="82">
        <f t="shared" si="44"/>
        <v>13</v>
      </c>
      <c r="BQ66" s="82">
        <f>X84</f>
        <v>-1</v>
      </c>
      <c r="BR66" s="82">
        <f>Z84</f>
        <v>-15</v>
      </c>
      <c r="BS66" s="81">
        <f>AB84</f>
        <v>-11.6</v>
      </c>
      <c r="BT66" s="81">
        <f t="shared" ref="BT66:BV70" si="45">AD84</f>
        <v>-9</v>
      </c>
      <c r="BU66" s="81">
        <f t="shared" si="45"/>
        <v>-24.1</v>
      </c>
      <c r="BV66" s="81">
        <f t="shared" si="45"/>
        <v>-31.5</v>
      </c>
      <c r="BW66" s="81">
        <f>B84</f>
        <v>-33.799999999999997</v>
      </c>
    </row>
    <row r="67" spans="1:75" x14ac:dyDescent="0.25">
      <c r="A67" s="65" t="s">
        <v>81</v>
      </c>
      <c r="B67" s="76">
        <v>35</v>
      </c>
      <c r="C67" s="76">
        <v>35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60</v>
      </c>
      <c r="N67" s="76">
        <v>69</v>
      </c>
      <c r="O67" s="76">
        <v>69</v>
      </c>
      <c r="P67" s="76">
        <v>69</v>
      </c>
      <c r="Q67" s="76">
        <v>69</v>
      </c>
      <c r="R67" s="76">
        <v>69</v>
      </c>
      <c r="S67" s="76">
        <v>69</v>
      </c>
      <c r="T67" s="76">
        <v>69</v>
      </c>
      <c r="U67" s="76">
        <v>69</v>
      </c>
      <c r="V67" s="76">
        <v>69</v>
      </c>
      <c r="W67" s="76">
        <v>69</v>
      </c>
      <c r="X67" s="76">
        <v>69</v>
      </c>
      <c r="Y67" s="76">
        <v>69</v>
      </c>
      <c r="Z67" s="76">
        <v>69</v>
      </c>
      <c r="AA67" s="76">
        <v>69</v>
      </c>
      <c r="AB67" s="76">
        <v>69</v>
      </c>
      <c r="AC67" s="76">
        <v>69</v>
      </c>
      <c r="AD67" s="76">
        <v>69</v>
      </c>
      <c r="AE67" s="76">
        <v>69</v>
      </c>
      <c r="AF67" s="76">
        <v>69</v>
      </c>
      <c r="AG67" s="66">
        <v>70</v>
      </c>
      <c r="AH67" s="48">
        <f t="shared" si="2"/>
        <v>70</v>
      </c>
      <c r="AI67" s="49">
        <f t="shared" si="3"/>
        <v>35</v>
      </c>
      <c r="AK67" s="51"/>
      <c r="AY67" s="1" t="s">
        <v>88</v>
      </c>
      <c r="AZ67" s="82">
        <f>ROUND(C85,0)</f>
        <v>0</v>
      </c>
      <c r="BA67" s="81">
        <f t="shared" si="43"/>
        <v>0</v>
      </c>
      <c r="BB67" s="81">
        <f t="shared" si="43"/>
        <v>0</v>
      </c>
      <c r="BC67" s="81">
        <f t="shared" si="43"/>
        <v>0</v>
      </c>
      <c r="BD67" s="81">
        <f t="shared" si="43"/>
        <v>0</v>
      </c>
      <c r="BE67" s="82">
        <f>I85</f>
        <v>0</v>
      </c>
      <c r="BF67" s="82">
        <f>K85</f>
        <v>0</v>
      </c>
      <c r="BG67" s="82">
        <f t="shared" si="44"/>
        <v>0</v>
      </c>
      <c r="BH67" s="82">
        <f t="shared" si="44"/>
        <v>0</v>
      </c>
      <c r="BI67" s="82">
        <f t="shared" si="44"/>
        <v>0</v>
      </c>
      <c r="BJ67" s="82">
        <f t="shared" si="44"/>
        <v>0</v>
      </c>
      <c r="BK67" s="82">
        <f t="shared" si="44"/>
        <v>0</v>
      </c>
      <c r="BL67" s="82">
        <f t="shared" si="44"/>
        <v>0</v>
      </c>
      <c r="BM67" s="82">
        <f t="shared" si="44"/>
        <v>0</v>
      </c>
      <c r="BN67" s="82">
        <f t="shared" si="44"/>
        <v>0</v>
      </c>
      <c r="BO67" s="82">
        <f t="shared" si="44"/>
        <v>0</v>
      </c>
      <c r="BP67" s="82">
        <f t="shared" si="44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5"/>
        <v>0</v>
      </c>
      <c r="BU67" s="81">
        <f t="shared" si="45"/>
        <v>0</v>
      </c>
      <c r="BV67" s="81">
        <f t="shared" si="45"/>
        <v>0</v>
      </c>
      <c r="BW67" s="81">
        <f>B85</f>
        <v>0</v>
      </c>
    </row>
    <row r="68" spans="1:75" x14ac:dyDescent="0.25">
      <c r="A68" s="65" t="s">
        <v>82</v>
      </c>
      <c r="B68" s="76">
        <v>55</v>
      </c>
      <c r="C68" s="76">
        <v>55</v>
      </c>
      <c r="D68" s="76">
        <v>55</v>
      </c>
      <c r="E68" s="76">
        <v>55</v>
      </c>
      <c r="F68" s="76">
        <v>55</v>
      </c>
      <c r="G68" s="76">
        <v>30</v>
      </c>
      <c r="H68" s="76">
        <v>55</v>
      </c>
      <c r="I68" s="76">
        <v>55</v>
      </c>
      <c r="J68" s="76">
        <v>55</v>
      </c>
      <c r="K68" s="76">
        <v>55</v>
      </c>
      <c r="L68" s="76">
        <v>55</v>
      </c>
      <c r="M68" s="76">
        <v>55</v>
      </c>
      <c r="N68" s="76">
        <v>55</v>
      </c>
      <c r="O68" s="76">
        <v>51</v>
      </c>
      <c r="P68" s="76">
        <v>51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49.4</v>
      </c>
      <c r="Y68" s="76">
        <v>49.4</v>
      </c>
      <c r="Z68" s="76">
        <v>49.4</v>
      </c>
      <c r="AA68" s="76">
        <v>61</v>
      </c>
      <c r="AB68" s="76">
        <v>61</v>
      </c>
      <c r="AC68" s="76">
        <v>61</v>
      </c>
      <c r="AD68" s="76">
        <v>61</v>
      </c>
      <c r="AE68" s="76">
        <v>61</v>
      </c>
      <c r="AF68" s="76">
        <v>61</v>
      </c>
      <c r="AG68" s="66">
        <v>69</v>
      </c>
      <c r="AH68" s="48">
        <f t="shared" si="2"/>
        <v>61</v>
      </c>
      <c r="AI68" s="49">
        <f t="shared" si="3"/>
        <v>0</v>
      </c>
      <c r="AK68" s="51"/>
      <c r="AL68" s="83"/>
      <c r="AO68" s="83"/>
      <c r="AY68" s="1" t="s">
        <v>90</v>
      </c>
      <c r="AZ68" s="82">
        <f>ROUND(C86,0)</f>
        <v>-709</v>
      </c>
      <c r="BA68" s="81">
        <f t="shared" si="43"/>
        <v>-715</v>
      </c>
      <c r="BB68" s="81">
        <f t="shared" si="43"/>
        <v>-659</v>
      </c>
      <c r="BC68" s="81">
        <f t="shared" si="43"/>
        <v>-689</v>
      </c>
      <c r="BD68" s="81">
        <f t="shared" si="43"/>
        <v>-653</v>
      </c>
      <c r="BE68" s="82">
        <f>I86</f>
        <v>-653</v>
      </c>
      <c r="BF68" s="82">
        <f>K86</f>
        <v>-617</v>
      </c>
      <c r="BG68" s="82">
        <f t="shared" si="44"/>
        <v>-619</v>
      </c>
      <c r="BH68" s="82">
        <f t="shared" si="44"/>
        <v>-594</v>
      </c>
      <c r="BI68" s="82">
        <f t="shared" si="44"/>
        <v>-557</v>
      </c>
      <c r="BJ68" s="82">
        <f t="shared" si="44"/>
        <v>-603</v>
      </c>
      <c r="BK68" s="82">
        <f t="shared" si="44"/>
        <v>-593</v>
      </c>
      <c r="BL68" s="82">
        <f t="shared" si="44"/>
        <v>-593</v>
      </c>
      <c r="BM68" s="82">
        <f t="shared" si="44"/>
        <v>-598</v>
      </c>
      <c r="BN68" s="82">
        <f t="shared" si="44"/>
        <v>-588.79999999999995</v>
      </c>
      <c r="BO68" s="82">
        <f t="shared" si="44"/>
        <v>-600</v>
      </c>
      <c r="BP68" s="82">
        <f t="shared" si="44"/>
        <v>-609</v>
      </c>
      <c r="BQ68" s="82">
        <f>X86</f>
        <v>-680</v>
      </c>
      <c r="BR68" s="82">
        <f>Z86</f>
        <v>-580</v>
      </c>
      <c r="BS68" s="81">
        <f>AB86</f>
        <v>-623.9</v>
      </c>
      <c r="BT68" s="81">
        <f t="shared" si="45"/>
        <v>-607.29999999999995</v>
      </c>
      <c r="BU68" s="81">
        <f t="shared" si="45"/>
        <v>-624.70000000000005</v>
      </c>
      <c r="BV68" s="81">
        <f t="shared" si="45"/>
        <v>-639.5</v>
      </c>
      <c r="BW68" s="81">
        <f>B86</f>
        <v>-693</v>
      </c>
    </row>
    <row r="69" spans="1:75" s="83" customFormat="1" x14ac:dyDescent="0.25">
      <c r="A69" s="65" t="s">
        <v>83</v>
      </c>
      <c r="B69" s="76">
        <v>41.8</v>
      </c>
      <c r="C69" s="76">
        <v>56.4</v>
      </c>
      <c r="D69" s="76">
        <v>56.4</v>
      </c>
      <c r="E69" s="76">
        <v>56.4</v>
      </c>
      <c r="F69" s="76">
        <v>56.4</v>
      </c>
      <c r="G69" s="76">
        <v>56.4</v>
      </c>
      <c r="H69" s="76">
        <v>56.4</v>
      </c>
      <c r="I69" s="76">
        <v>60.7</v>
      </c>
      <c r="J69" s="76">
        <v>60.7</v>
      </c>
      <c r="K69" s="76">
        <v>60.7</v>
      </c>
      <c r="L69" s="76">
        <v>60.7</v>
      </c>
      <c r="M69" s="76">
        <v>60.7</v>
      </c>
      <c r="N69" s="76">
        <v>60.7</v>
      </c>
      <c r="O69" s="76">
        <v>60.7</v>
      </c>
      <c r="P69" s="76">
        <v>60.7</v>
      </c>
      <c r="Q69" s="76">
        <v>60.7</v>
      </c>
      <c r="R69" s="76">
        <v>60.7</v>
      </c>
      <c r="S69" s="76">
        <v>60.7</v>
      </c>
      <c r="T69" s="76">
        <v>60.7</v>
      </c>
      <c r="U69" s="76">
        <v>60.7</v>
      </c>
      <c r="V69" s="76">
        <v>60.7</v>
      </c>
      <c r="W69" s="76">
        <v>60.7</v>
      </c>
      <c r="X69" s="76">
        <v>60.7</v>
      </c>
      <c r="Y69" s="76">
        <v>60.7</v>
      </c>
      <c r="Z69" s="76">
        <v>60.7</v>
      </c>
      <c r="AA69" s="76">
        <v>60.7</v>
      </c>
      <c r="AB69" s="76">
        <v>60.7</v>
      </c>
      <c r="AC69" s="76">
        <v>60.7</v>
      </c>
      <c r="AD69" s="76">
        <v>60.7</v>
      </c>
      <c r="AE69" s="76">
        <v>60.7</v>
      </c>
      <c r="AF69" s="76">
        <v>60.7</v>
      </c>
      <c r="AG69" s="66">
        <v>60</v>
      </c>
      <c r="AH69" s="48">
        <f t="shared" si="2"/>
        <v>60.7</v>
      </c>
      <c r="AI69" s="49">
        <f t="shared" si="3"/>
        <v>41.8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43"/>
        <v>0</v>
      </c>
      <c r="BB69" s="81">
        <f t="shared" si="43"/>
        <v>0</v>
      </c>
      <c r="BC69" s="81">
        <f t="shared" si="43"/>
        <v>0</v>
      </c>
      <c r="BD69" s="81">
        <f t="shared" si="43"/>
        <v>0</v>
      </c>
      <c r="BE69" s="82">
        <f>I87</f>
        <v>0</v>
      </c>
      <c r="BF69" s="82">
        <f>K87</f>
        <v>0</v>
      </c>
      <c r="BG69" s="82">
        <f t="shared" si="44"/>
        <v>0</v>
      </c>
      <c r="BH69" s="82">
        <f t="shared" si="44"/>
        <v>0</v>
      </c>
      <c r="BI69" s="82">
        <f t="shared" si="44"/>
        <v>0</v>
      </c>
      <c r="BJ69" s="82">
        <f t="shared" si="44"/>
        <v>0</v>
      </c>
      <c r="BK69" s="82">
        <f t="shared" si="44"/>
        <v>0</v>
      </c>
      <c r="BL69" s="82">
        <f t="shared" si="44"/>
        <v>0</v>
      </c>
      <c r="BM69" s="82">
        <f t="shared" si="44"/>
        <v>0</v>
      </c>
      <c r="BN69" s="82">
        <f t="shared" si="44"/>
        <v>0</v>
      </c>
      <c r="BO69" s="82">
        <f t="shared" si="44"/>
        <v>0</v>
      </c>
      <c r="BP69" s="82">
        <f t="shared" si="44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5"/>
        <v>0</v>
      </c>
      <c r="BU69" s="81">
        <f t="shared" si="45"/>
        <v>0</v>
      </c>
      <c r="BV69" s="81">
        <f t="shared" si="45"/>
        <v>0</v>
      </c>
      <c r="BW69" s="81">
        <f>B87</f>
        <v>0</v>
      </c>
    </row>
    <row r="70" spans="1:75" x14ac:dyDescent="0.25">
      <c r="A70" s="65" t="s">
        <v>84</v>
      </c>
      <c r="B70" s="46">
        <v>26.6</v>
      </c>
      <c r="C70" s="46">
        <v>27.2</v>
      </c>
      <c r="D70" s="46">
        <v>27.2</v>
      </c>
      <c r="E70" s="46">
        <v>27.2</v>
      </c>
      <c r="F70" s="46">
        <v>27.2</v>
      </c>
      <c r="G70" s="46">
        <v>27.2</v>
      </c>
      <c r="H70" s="46">
        <v>27.2</v>
      </c>
      <c r="I70" s="46">
        <v>27</v>
      </c>
      <c r="J70" s="46">
        <v>27</v>
      </c>
      <c r="K70" s="46">
        <v>27</v>
      </c>
      <c r="L70" s="46">
        <v>27</v>
      </c>
      <c r="M70" s="46">
        <v>13</v>
      </c>
      <c r="N70" s="46">
        <v>24</v>
      </c>
      <c r="O70" s="46">
        <v>27</v>
      </c>
      <c r="P70" s="46">
        <v>27</v>
      </c>
      <c r="Q70" s="46">
        <v>27</v>
      </c>
      <c r="R70" s="46">
        <v>27</v>
      </c>
      <c r="S70" s="46">
        <v>27</v>
      </c>
      <c r="T70" s="46">
        <v>27</v>
      </c>
      <c r="U70" s="46">
        <v>0</v>
      </c>
      <c r="V70" s="46">
        <v>0</v>
      </c>
      <c r="W70" s="46">
        <v>0</v>
      </c>
      <c r="X70" s="46">
        <v>27.3</v>
      </c>
      <c r="Y70" s="46">
        <v>27.3</v>
      </c>
      <c r="Z70" s="46">
        <v>27.3</v>
      </c>
      <c r="AA70" s="46">
        <v>27.3</v>
      </c>
      <c r="AB70" s="46">
        <v>27.3</v>
      </c>
      <c r="AC70" s="46">
        <v>27.3</v>
      </c>
      <c r="AD70" s="46">
        <v>27.3</v>
      </c>
      <c r="AE70" s="46">
        <v>27.3</v>
      </c>
      <c r="AF70" s="46">
        <v>27.3</v>
      </c>
      <c r="AG70" s="66">
        <v>30</v>
      </c>
      <c r="AH70" s="48">
        <f t="shared" si="2"/>
        <v>27.3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43"/>
        <v>0</v>
      </c>
      <c r="BB70" s="81">
        <f t="shared" si="43"/>
        <v>0</v>
      </c>
      <c r="BC70" s="81">
        <f t="shared" si="43"/>
        <v>0</v>
      </c>
      <c r="BD70" s="81">
        <f t="shared" si="43"/>
        <v>0</v>
      </c>
      <c r="BE70" s="82">
        <f>I88</f>
        <v>0</v>
      </c>
      <c r="BF70" s="82">
        <f>K88</f>
        <v>0</v>
      </c>
      <c r="BG70" s="82">
        <f t="shared" si="44"/>
        <v>0</v>
      </c>
      <c r="BH70" s="82">
        <f t="shared" si="44"/>
        <v>0</v>
      </c>
      <c r="BI70" s="82">
        <f t="shared" si="44"/>
        <v>0</v>
      </c>
      <c r="BJ70" s="82">
        <f t="shared" si="44"/>
        <v>0</v>
      </c>
      <c r="BK70" s="82">
        <f t="shared" si="44"/>
        <v>0</v>
      </c>
      <c r="BL70" s="82">
        <f t="shared" si="44"/>
        <v>0</v>
      </c>
      <c r="BM70" s="82">
        <f t="shared" si="44"/>
        <v>0</v>
      </c>
      <c r="BN70" s="82">
        <f t="shared" si="44"/>
        <v>0</v>
      </c>
      <c r="BO70" s="82">
        <f t="shared" si="44"/>
        <v>0</v>
      </c>
      <c r="BP70" s="82">
        <f t="shared" si="44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5"/>
        <v>0</v>
      </c>
      <c r="BU70" s="81">
        <f t="shared" si="45"/>
        <v>0</v>
      </c>
      <c r="BV70" s="81">
        <f t="shared" si="45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2.2999999999999998</v>
      </c>
      <c r="N71" s="46">
        <v>2.7</v>
      </c>
      <c r="O71" s="46">
        <v>1.7</v>
      </c>
      <c r="P71" s="46">
        <v>1.7</v>
      </c>
      <c r="Q71" s="46">
        <v>4.0999999999999996</v>
      </c>
      <c r="R71" s="46">
        <v>4.0999999999999996</v>
      </c>
      <c r="S71" s="46">
        <v>4.0999999999999996</v>
      </c>
      <c r="T71" s="46">
        <v>5.5</v>
      </c>
      <c r="U71" s="46">
        <v>5.5</v>
      </c>
      <c r="V71" s="46">
        <v>5.5</v>
      </c>
      <c r="W71" s="46">
        <v>5.5</v>
      </c>
      <c r="X71" s="46">
        <v>0.8</v>
      </c>
      <c r="Y71" s="46">
        <v>0.8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5.5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6">M94</f>
        <v>0</v>
      </c>
      <c r="BH71" s="82">
        <f t="shared" si="46"/>
        <v>0</v>
      </c>
      <c r="BI71" s="82">
        <f t="shared" si="46"/>
        <v>0</v>
      </c>
      <c r="BJ71" s="82">
        <f t="shared" si="46"/>
        <v>0</v>
      </c>
      <c r="BK71" s="82">
        <f t="shared" si="46"/>
        <v>0</v>
      </c>
      <c r="BL71" s="82">
        <f t="shared" si="46"/>
        <v>0</v>
      </c>
      <c r="BM71" s="82">
        <f t="shared" si="46"/>
        <v>0</v>
      </c>
      <c r="BN71" s="82">
        <f t="shared" si="46"/>
        <v>0</v>
      </c>
      <c r="BO71" s="82">
        <f t="shared" si="46"/>
        <v>0</v>
      </c>
      <c r="BP71" s="82">
        <f t="shared" si="46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12.3</v>
      </c>
      <c r="C72" s="76">
        <v>12.3</v>
      </c>
      <c r="D72" s="76">
        <v>12.3</v>
      </c>
      <c r="E72" s="76">
        <v>12.3</v>
      </c>
      <c r="F72" s="76">
        <v>12.3</v>
      </c>
      <c r="G72" s="76">
        <v>12.3</v>
      </c>
      <c r="H72" s="76">
        <v>12.3</v>
      </c>
      <c r="I72" s="76">
        <v>12.1</v>
      </c>
      <c r="J72" s="76">
        <v>12.1</v>
      </c>
      <c r="K72" s="76">
        <v>12.1</v>
      </c>
      <c r="L72" s="76">
        <v>12.1</v>
      </c>
      <c r="M72" s="76">
        <v>12.1</v>
      </c>
      <c r="N72" s="76">
        <v>12.1</v>
      </c>
      <c r="O72" s="76">
        <v>8.8000000000000007</v>
      </c>
      <c r="P72" s="76">
        <v>8.8000000000000007</v>
      </c>
      <c r="Q72" s="76">
        <v>8.8000000000000007</v>
      </c>
      <c r="R72" s="76">
        <v>8.8000000000000007</v>
      </c>
      <c r="S72" s="76">
        <v>8.8000000000000007</v>
      </c>
      <c r="T72" s="76">
        <v>14.7</v>
      </c>
      <c r="U72" s="76">
        <v>14.7</v>
      </c>
      <c r="V72" s="76">
        <v>14.7</v>
      </c>
      <c r="W72" s="76">
        <v>14.7</v>
      </c>
      <c r="X72" s="76">
        <v>14.7</v>
      </c>
      <c r="Y72" s="76">
        <v>14.7</v>
      </c>
      <c r="Z72" s="76">
        <v>14.7</v>
      </c>
      <c r="AA72" s="76">
        <v>14.7</v>
      </c>
      <c r="AB72" s="76">
        <v>14.7</v>
      </c>
      <c r="AC72" s="76">
        <v>14.7</v>
      </c>
      <c r="AD72" s="76">
        <v>14.7</v>
      </c>
      <c r="AE72" s="76">
        <v>14.7</v>
      </c>
      <c r="AF72" s="76">
        <v>14.7</v>
      </c>
      <c r="AG72" s="66">
        <v>24</v>
      </c>
      <c r="AH72" s="48">
        <f t="shared" si="2"/>
        <v>14.7</v>
      </c>
      <c r="AI72" s="49">
        <f t="shared" si="3"/>
        <v>8.8000000000000007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4</v>
      </c>
      <c r="C73" s="76">
        <v>4</v>
      </c>
      <c r="D73" s="76">
        <v>4</v>
      </c>
      <c r="E73" s="76">
        <v>4</v>
      </c>
      <c r="F73" s="76">
        <v>4</v>
      </c>
      <c r="G73" s="76">
        <v>4</v>
      </c>
      <c r="H73" s="76">
        <v>4</v>
      </c>
      <c r="I73" s="76">
        <v>4</v>
      </c>
      <c r="J73" s="76">
        <v>4</v>
      </c>
      <c r="K73" s="76">
        <v>4</v>
      </c>
      <c r="L73" s="76">
        <v>4</v>
      </c>
      <c r="M73" s="76">
        <v>4</v>
      </c>
      <c r="N73" s="76">
        <v>4</v>
      </c>
      <c r="O73" s="76">
        <v>4</v>
      </c>
      <c r="P73" s="76">
        <v>4</v>
      </c>
      <c r="Q73" s="76">
        <v>4</v>
      </c>
      <c r="R73" s="76">
        <v>4</v>
      </c>
      <c r="S73" s="76">
        <v>4</v>
      </c>
      <c r="T73" s="76">
        <v>4</v>
      </c>
      <c r="U73" s="76">
        <v>4</v>
      </c>
      <c r="V73" s="76">
        <v>4</v>
      </c>
      <c r="W73" s="76">
        <v>4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66">
        <v>15</v>
      </c>
      <c r="AH73" s="48">
        <f t="shared" si="2"/>
        <v>4</v>
      </c>
      <c r="AI73" s="49">
        <f t="shared" si="3"/>
        <v>0</v>
      </c>
      <c r="AK73" s="51"/>
      <c r="AZ73" s="82">
        <f t="shared" ref="AZ73:BW78" si="47">VALUE(AZ66)</f>
        <v>-35</v>
      </c>
      <c r="BA73" s="82">
        <f t="shared" si="47"/>
        <v>-21.5</v>
      </c>
      <c r="BB73" s="82">
        <f t="shared" si="47"/>
        <v>-58</v>
      </c>
      <c r="BC73" s="82">
        <f t="shared" si="47"/>
        <v>-59</v>
      </c>
      <c r="BD73" s="82">
        <f t="shared" si="47"/>
        <v>-51</v>
      </c>
      <c r="BE73" s="82">
        <f t="shared" si="47"/>
        <v>-35</v>
      </c>
      <c r="BF73" s="82">
        <f t="shared" si="47"/>
        <v>-58</v>
      </c>
      <c r="BG73" s="82">
        <f t="shared" si="47"/>
        <v>-21</v>
      </c>
      <c r="BH73" s="82">
        <f t="shared" si="47"/>
        <v>-60</v>
      </c>
      <c r="BI73" s="82">
        <f t="shared" si="47"/>
        <v>-36</v>
      </c>
      <c r="BJ73" s="82">
        <f t="shared" si="47"/>
        <v>-30</v>
      </c>
      <c r="BK73" s="82">
        <f t="shared" si="47"/>
        <v>-25</v>
      </c>
      <c r="BL73" s="82">
        <f t="shared" si="47"/>
        <v>-25</v>
      </c>
      <c r="BM73" s="82">
        <f t="shared" si="47"/>
        <v>-48</v>
      </c>
      <c r="BN73" s="82">
        <f t="shared" si="47"/>
        <v>-43</v>
      </c>
      <c r="BO73" s="82">
        <f t="shared" si="47"/>
        <v>-10</v>
      </c>
      <c r="BP73" s="82">
        <f t="shared" si="47"/>
        <v>13</v>
      </c>
      <c r="BQ73" s="82">
        <f t="shared" si="47"/>
        <v>-1</v>
      </c>
      <c r="BR73" s="82">
        <f t="shared" si="47"/>
        <v>-15</v>
      </c>
      <c r="BS73" s="82">
        <f t="shared" si="47"/>
        <v>-11.6</v>
      </c>
      <c r="BT73" s="82">
        <f t="shared" si="47"/>
        <v>-9</v>
      </c>
      <c r="BU73" s="82">
        <f t="shared" si="47"/>
        <v>-24.1</v>
      </c>
      <c r="BV73" s="82">
        <f t="shared" si="47"/>
        <v>-31.5</v>
      </c>
      <c r="BW73" s="82">
        <f t="shared" si="47"/>
        <v>-33.799999999999997</v>
      </c>
    </row>
    <row r="74" spans="1:75" x14ac:dyDescent="0.25">
      <c r="A74" s="65" t="s">
        <v>91</v>
      </c>
      <c r="B74" s="76">
        <v>9.4</v>
      </c>
      <c r="C74" s="76">
        <v>9.4</v>
      </c>
      <c r="D74" s="76">
        <v>9.4</v>
      </c>
      <c r="E74" s="76">
        <v>9.4</v>
      </c>
      <c r="F74" s="76">
        <v>9.4</v>
      </c>
      <c r="G74" s="76">
        <v>9.4</v>
      </c>
      <c r="H74" s="76">
        <v>9.4</v>
      </c>
      <c r="I74" s="76">
        <v>9.6</v>
      </c>
      <c r="J74" s="76">
        <v>9.6</v>
      </c>
      <c r="K74" s="76">
        <v>9.6</v>
      </c>
      <c r="L74" s="76">
        <v>9.6</v>
      </c>
      <c r="M74" s="76">
        <v>9.6</v>
      </c>
      <c r="N74" s="76">
        <v>9.6</v>
      </c>
      <c r="O74" s="76">
        <v>9.6</v>
      </c>
      <c r="P74" s="76">
        <v>9.6</v>
      </c>
      <c r="Q74" s="76">
        <v>9.6</v>
      </c>
      <c r="R74" s="76">
        <v>9.6</v>
      </c>
      <c r="S74" s="76">
        <v>9.6</v>
      </c>
      <c r="T74" s="76">
        <v>8.8000000000000007</v>
      </c>
      <c r="U74" s="76">
        <v>8.8000000000000007</v>
      </c>
      <c r="V74" s="76">
        <v>8.8000000000000007</v>
      </c>
      <c r="W74" s="76">
        <v>8.8000000000000007</v>
      </c>
      <c r="X74" s="76">
        <v>8.8000000000000007</v>
      </c>
      <c r="Y74" s="76">
        <v>8.8000000000000007</v>
      </c>
      <c r="Z74" s="76">
        <v>8.8000000000000007</v>
      </c>
      <c r="AA74" s="76">
        <v>8.8000000000000007</v>
      </c>
      <c r="AB74" s="76">
        <v>8.8000000000000007</v>
      </c>
      <c r="AC74" s="76">
        <v>8.8000000000000007</v>
      </c>
      <c r="AD74" s="76">
        <v>8.8000000000000007</v>
      </c>
      <c r="AE74" s="76">
        <v>8.8000000000000007</v>
      </c>
      <c r="AF74" s="76">
        <v>8.8000000000000007</v>
      </c>
      <c r="AG74" s="66">
        <v>14.1</v>
      </c>
      <c r="AH74" s="48">
        <f t="shared" si="2"/>
        <v>9.6</v>
      </c>
      <c r="AI74" s="49">
        <f t="shared" si="3"/>
        <v>8.8000000000000007</v>
      </c>
      <c r="AK74" s="51"/>
      <c r="AZ74" s="82">
        <f t="shared" si="47"/>
        <v>0</v>
      </c>
      <c r="BA74" s="82">
        <f t="shared" si="47"/>
        <v>0</v>
      </c>
      <c r="BB74" s="82">
        <f t="shared" si="47"/>
        <v>0</v>
      </c>
      <c r="BC74" s="82">
        <f t="shared" si="47"/>
        <v>0</v>
      </c>
      <c r="BD74" s="82">
        <f t="shared" si="47"/>
        <v>0</v>
      </c>
      <c r="BE74" s="82">
        <f t="shared" si="47"/>
        <v>0</v>
      </c>
      <c r="BF74" s="82">
        <f t="shared" si="47"/>
        <v>0</v>
      </c>
      <c r="BG74" s="82">
        <f t="shared" si="47"/>
        <v>0</v>
      </c>
      <c r="BH74" s="82">
        <f t="shared" si="47"/>
        <v>0</v>
      </c>
      <c r="BI74" s="82">
        <f t="shared" si="47"/>
        <v>0</v>
      </c>
      <c r="BJ74" s="82">
        <f t="shared" si="47"/>
        <v>0</v>
      </c>
      <c r="BK74" s="82">
        <f t="shared" si="47"/>
        <v>0</v>
      </c>
      <c r="BL74" s="82">
        <f t="shared" si="47"/>
        <v>0</v>
      </c>
      <c r="BM74" s="82">
        <f t="shared" si="47"/>
        <v>0</v>
      </c>
      <c r="BN74" s="82">
        <f t="shared" si="47"/>
        <v>0</v>
      </c>
      <c r="BO74" s="82">
        <f t="shared" si="47"/>
        <v>0</v>
      </c>
      <c r="BP74" s="82">
        <f t="shared" si="47"/>
        <v>0</v>
      </c>
      <c r="BQ74" s="82">
        <f t="shared" si="47"/>
        <v>0</v>
      </c>
      <c r="BR74" s="82">
        <f t="shared" si="47"/>
        <v>0</v>
      </c>
      <c r="BS74" s="82">
        <f t="shared" si="47"/>
        <v>0</v>
      </c>
      <c r="BT74" s="82">
        <f t="shared" si="47"/>
        <v>0</v>
      </c>
      <c r="BU74" s="82">
        <f t="shared" si="47"/>
        <v>0</v>
      </c>
      <c r="BV74" s="82">
        <f t="shared" si="47"/>
        <v>0</v>
      </c>
      <c r="BW74" s="82">
        <f t="shared" si="47"/>
        <v>0</v>
      </c>
    </row>
    <row r="75" spans="1:75" x14ac:dyDescent="0.25">
      <c r="A75" s="84" t="s">
        <v>93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6.9</v>
      </c>
      <c r="P75" s="76">
        <v>6.9</v>
      </c>
      <c r="Q75" s="76">
        <v>6.9</v>
      </c>
      <c r="R75" s="76">
        <v>6.9</v>
      </c>
      <c r="S75" s="76">
        <v>6.9</v>
      </c>
      <c r="T75" s="76">
        <v>6.9</v>
      </c>
      <c r="U75" s="76">
        <v>6.9</v>
      </c>
      <c r="V75" s="76">
        <v>6.9</v>
      </c>
      <c r="W75" s="76">
        <v>6.9</v>
      </c>
      <c r="X75" s="76">
        <v>6.9</v>
      </c>
      <c r="Y75" s="76">
        <v>6.9</v>
      </c>
      <c r="Z75" s="76">
        <v>6.9</v>
      </c>
      <c r="AA75" s="76">
        <v>6.9</v>
      </c>
      <c r="AB75" s="76">
        <v>6.9</v>
      </c>
      <c r="AC75" s="76">
        <v>6.9</v>
      </c>
      <c r="AD75" s="76">
        <v>6.9</v>
      </c>
      <c r="AE75" s="76">
        <v>6.9</v>
      </c>
      <c r="AF75" s="76">
        <v>6.9</v>
      </c>
      <c r="AG75" s="66">
        <v>14</v>
      </c>
      <c r="AH75" s="48">
        <f t="shared" ref="AH75:AH126" si="48">MAX(B75:AF75)</f>
        <v>6.9</v>
      </c>
      <c r="AI75" s="49">
        <f t="shared" ref="AI75:AI126" si="49">MIN(B75:AF75)</f>
        <v>0</v>
      </c>
      <c r="AK75" s="51"/>
      <c r="AZ75" s="82">
        <f t="shared" si="47"/>
        <v>-709</v>
      </c>
      <c r="BA75" s="82">
        <f t="shared" si="47"/>
        <v>-715</v>
      </c>
      <c r="BB75" s="82">
        <f t="shared" si="47"/>
        <v>-659</v>
      </c>
      <c r="BC75" s="82">
        <f t="shared" si="47"/>
        <v>-689</v>
      </c>
      <c r="BD75" s="82">
        <f t="shared" si="47"/>
        <v>-653</v>
      </c>
      <c r="BE75" s="82">
        <f t="shared" si="47"/>
        <v>-653</v>
      </c>
      <c r="BF75" s="82">
        <f t="shared" si="47"/>
        <v>-617</v>
      </c>
      <c r="BG75" s="82">
        <f t="shared" si="47"/>
        <v>-619</v>
      </c>
      <c r="BH75" s="82">
        <f t="shared" si="47"/>
        <v>-594</v>
      </c>
      <c r="BI75" s="82">
        <f t="shared" si="47"/>
        <v>-557</v>
      </c>
      <c r="BJ75" s="82">
        <f t="shared" si="47"/>
        <v>-603</v>
      </c>
      <c r="BK75" s="82">
        <f t="shared" si="47"/>
        <v>-593</v>
      </c>
      <c r="BL75" s="82">
        <f t="shared" si="47"/>
        <v>-593</v>
      </c>
      <c r="BM75" s="82">
        <f t="shared" si="47"/>
        <v>-598</v>
      </c>
      <c r="BN75" s="82">
        <f t="shared" si="47"/>
        <v>-588.79999999999995</v>
      </c>
      <c r="BO75" s="82">
        <f t="shared" si="47"/>
        <v>-600</v>
      </c>
      <c r="BP75" s="82">
        <f t="shared" si="47"/>
        <v>-609</v>
      </c>
      <c r="BQ75" s="82">
        <f t="shared" si="47"/>
        <v>-680</v>
      </c>
      <c r="BR75" s="82">
        <f t="shared" si="47"/>
        <v>-580</v>
      </c>
      <c r="BS75" s="82">
        <f t="shared" si="47"/>
        <v>-623.9</v>
      </c>
      <c r="BT75" s="82">
        <f t="shared" si="47"/>
        <v>-607.29999999999995</v>
      </c>
      <c r="BU75" s="82">
        <f t="shared" si="47"/>
        <v>-624.70000000000005</v>
      </c>
      <c r="BV75" s="82">
        <f t="shared" si="47"/>
        <v>-639.5</v>
      </c>
      <c r="BW75" s="82">
        <f t="shared" si="47"/>
        <v>-693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8"/>
        <v>10</v>
      </c>
      <c r="AI76" s="49">
        <f t="shared" si="49"/>
        <v>10</v>
      </c>
      <c r="AK76" s="51"/>
      <c r="AZ76" s="82">
        <f t="shared" si="47"/>
        <v>0</v>
      </c>
      <c r="BA76" s="82">
        <f t="shared" si="47"/>
        <v>0</v>
      </c>
      <c r="BB76" s="82">
        <f t="shared" si="47"/>
        <v>0</v>
      </c>
      <c r="BC76" s="82">
        <f t="shared" si="47"/>
        <v>0</v>
      </c>
      <c r="BD76" s="82">
        <f t="shared" si="47"/>
        <v>0</v>
      </c>
      <c r="BE76" s="82">
        <f t="shared" si="47"/>
        <v>0</v>
      </c>
      <c r="BF76" s="82">
        <f t="shared" si="47"/>
        <v>0</v>
      </c>
      <c r="BG76" s="82">
        <f t="shared" si="47"/>
        <v>0</v>
      </c>
      <c r="BH76" s="82">
        <f t="shared" si="47"/>
        <v>0</v>
      </c>
      <c r="BI76" s="82">
        <f t="shared" si="47"/>
        <v>0</v>
      </c>
      <c r="BJ76" s="82">
        <f t="shared" si="47"/>
        <v>0</v>
      </c>
      <c r="BK76" s="82">
        <f t="shared" si="47"/>
        <v>0</v>
      </c>
      <c r="BL76" s="82">
        <f t="shared" si="47"/>
        <v>0</v>
      </c>
      <c r="BM76" s="82">
        <f t="shared" si="47"/>
        <v>0</v>
      </c>
      <c r="BN76" s="82">
        <f t="shared" si="47"/>
        <v>0</v>
      </c>
      <c r="BO76" s="82">
        <f t="shared" si="47"/>
        <v>0</v>
      </c>
      <c r="BP76" s="82">
        <f t="shared" si="47"/>
        <v>0</v>
      </c>
      <c r="BQ76" s="82">
        <f t="shared" si="47"/>
        <v>0</v>
      </c>
      <c r="BR76" s="82">
        <f t="shared" si="47"/>
        <v>0</v>
      </c>
      <c r="BS76" s="82">
        <f t="shared" si="47"/>
        <v>0</v>
      </c>
      <c r="BT76" s="82">
        <f t="shared" si="47"/>
        <v>0</v>
      </c>
      <c r="BU76" s="82">
        <f t="shared" si="47"/>
        <v>0</v>
      </c>
      <c r="BV76" s="82">
        <f t="shared" si="47"/>
        <v>0</v>
      </c>
      <c r="BW76" s="82">
        <f t="shared" si="47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8"/>
        <v>6</v>
      </c>
      <c r="AI77" s="49">
        <f t="shared" si="49"/>
        <v>6</v>
      </c>
      <c r="AK77" s="51"/>
      <c r="AZ77" s="82">
        <f t="shared" si="47"/>
        <v>0</v>
      </c>
      <c r="BA77" s="82">
        <f t="shared" si="47"/>
        <v>0</v>
      </c>
      <c r="BB77" s="82">
        <f t="shared" si="47"/>
        <v>0</v>
      </c>
      <c r="BC77" s="82">
        <f t="shared" si="47"/>
        <v>0</v>
      </c>
      <c r="BD77" s="82">
        <f t="shared" si="47"/>
        <v>0</v>
      </c>
      <c r="BE77" s="82">
        <f t="shared" si="47"/>
        <v>0</v>
      </c>
      <c r="BF77" s="82">
        <f t="shared" si="47"/>
        <v>0</v>
      </c>
      <c r="BG77" s="82">
        <f t="shared" si="47"/>
        <v>0</v>
      </c>
      <c r="BH77" s="82">
        <f t="shared" si="47"/>
        <v>0</v>
      </c>
      <c r="BI77" s="82">
        <f t="shared" si="47"/>
        <v>0</v>
      </c>
      <c r="BJ77" s="82">
        <f t="shared" si="47"/>
        <v>0</v>
      </c>
      <c r="BK77" s="82">
        <f t="shared" si="47"/>
        <v>0</v>
      </c>
      <c r="BL77" s="82">
        <f t="shared" si="47"/>
        <v>0</v>
      </c>
      <c r="BM77" s="82">
        <f t="shared" si="47"/>
        <v>0</v>
      </c>
      <c r="BN77" s="82">
        <f t="shared" si="47"/>
        <v>0</v>
      </c>
      <c r="BO77" s="82">
        <f t="shared" si="47"/>
        <v>0</v>
      </c>
      <c r="BP77" s="82">
        <f t="shared" si="47"/>
        <v>0</v>
      </c>
      <c r="BQ77" s="82">
        <f t="shared" si="47"/>
        <v>0</v>
      </c>
      <c r="BR77" s="82">
        <f t="shared" si="47"/>
        <v>0</v>
      </c>
      <c r="BS77" s="82">
        <f t="shared" si="47"/>
        <v>0</v>
      </c>
      <c r="BT77" s="82">
        <f t="shared" si="47"/>
        <v>0</v>
      </c>
      <c r="BU77" s="82">
        <f t="shared" si="47"/>
        <v>0</v>
      </c>
      <c r="BV77" s="82">
        <f t="shared" si="47"/>
        <v>0</v>
      </c>
      <c r="BW77" s="82">
        <f t="shared" si="47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3.5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8"/>
        <v>3.54</v>
      </c>
      <c r="AI78" s="49">
        <f t="shared" si="49"/>
        <v>3.5</v>
      </c>
      <c r="AK78" s="51"/>
      <c r="AZ78" s="82">
        <f t="shared" si="47"/>
        <v>0</v>
      </c>
      <c r="BA78" s="82">
        <f t="shared" si="47"/>
        <v>0</v>
      </c>
      <c r="BB78" s="82">
        <f t="shared" si="47"/>
        <v>0</v>
      </c>
      <c r="BC78" s="82">
        <f t="shared" si="47"/>
        <v>0</v>
      </c>
      <c r="BD78" s="82">
        <f t="shared" si="47"/>
        <v>0</v>
      </c>
      <c r="BE78" s="82">
        <f t="shared" si="47"/>
        <v>0</v>
      </c>
      <c r="BF78" s="82">
        <f t="shared" si="47"/>
        <v>0</v>
      </c>
      <c r="BG78" s="82">
        <f t="shared" si="47"/>
        <v>0</v>
      </c>
      <c r="BH78" s="82">
        <f t="shared" si="47"/>
        <v>0</v>
      </c>
      <c r="BI78" s="82">
        <f t="shared" si="47"/>
        <v>0</v>
      </c>
      <c r="BJ78" s="82">
        <f t="shared" si="47"/>
        <v>0</v>
      </c>
      <c r="BK78" s="82">
        <f t="shared" si="47"/>
        <v>0</v>
      </c>
      <c r="BL78" s="82">
        <f t="shared" si="47"/>
        <v>0</v>
      </c>
      <c r="BM78" s="82">
        <f t="shared" si="47"/>
        <v>0</v>
      </c>
      <c r="BN78" s="82">
        <f t="shared" si="47"/>
        <v>0</v>
      </c>
      <c r="BO78" s="82">
        <f t="shared" si="47"/>
        <v>0</v>
      </c>
      <c r="BP78" s="82">
        <f t="shared" si="47"/>
        <v>0</v>
      </c>
      <c r="BQ78" s="82">
        <f t="shared" si="47"/>
        <v>0</v>
      </c>
      <c r="BR78" s="82">
        <f t="shared" si="47"/>
        <v>0</v>
      </c>
      <c r="BS78" s="82">
        <f t="shared" si="47"/>
        <v>0</v>
      </c>
      <c r="BT78" s="82">
        <f t="shared" si="47"/>
        <v>0</v>
      </c>
      <c r="BU78" s="82">
        <f t="shared" si="47"/>
        <v>0</v>
      </c>
      <c r="BV78" s="82">
        <f t="shared" si="47"/>
        <v>0</v>
      </c>
      <c r="BW78" s="82">
        <f t="shared" si="47"/>
        <v>0</v>
      </c>
    </row>
    <row r="79" spans="1:75" ht="15.75" thickBot="1" x14ac:dyDescent="0.3">
      <c r="A79" s="87" t="s">
        <v>99</v>
      </c>
      <c r="B79" s="71">
        <f t="shared" ref="B79:AG79" si="50">SUM(B66:B78)</f>
        <v>280.54000000000002</v>
      </c>
      <c r="C79" s="71">
        <f t="shared" si="50"/>
        <v>305.74</v>
      </c>
      <c r="D79" s="71">
        <f t="shared" si="50"/>
        <v>340.74</v>
      </c>
      <c r="E79" s="71">
        <f t="shared" si="50"/>
        <v>340.74</v>
      </c>
      <c r="F79" s="71">
        <f t="shared" si="50"/>
        <v>340.74</v>
      </c>
      <c r="G79" s="71">
        <f t="shared" si="50"/>
        <v>315.74</v>
      </c>
      <c r="H79" s="71">
        <f t="shared" ref="H79" si="51">SUM(H66:H78)</f>
        <v>340.74</v>
      </c>
      <c r="I79" s="71">
        <f t="shared" si="50"/>
        <v>345.14000000000004</v>
      </c>
      <c r="J79" s="71">
        <f t="shared" si="50"/>
        <v>345.14000000000004</v>
      </c>
      <c r="K79" s="71">
        <f t="shared" si="50"/>
        <v>345.14000000000004</v>
      </c>
      <c r="L79" s="71">
        <f t="shared" ref="L79:M79" si="52">SUM(L66:L78)</f>
        <v>345.14000000000004</v>
      </c>
      <c r="M79" s="71">
        <f t="shared" si="52"/>
        <v>323.44000000000005</v>
      </c>
      <c r="N79" s="71">
        <f t="shared" ref="N79:O79" si="53">SUM(N66:N78)</f>
        <v>343.84000000000003</v>
      </c>
      <c r="O79" s="71">
        <f t="shared" si="53"/>
        <v>309.24</v>
      </c>
      <c r="P79" s="71">
        <f t="shared" ref="P79:Q79" si="54">SUM(P66:P78)</f>
        <v>309.24</v>
      </c>
      <c r="Q79" s="71">
        <f t="shared" si="54"/>
        <v>280.64</v>
      </c>
      <c r="R79" s="71">
        <f t="shared" ref="R79:S79" si="55">SUM(R66:R78)</f>
        <v>280.64</v>
      </c>
      <c r="S79" s="71">
        <f t="shared" si="55"/>
        <v>280.64</v>
      </c>
      <c r="T79" s="71">
        <f t="shared" si="50"/>
        <v>297.14</v>
      </c>
      <c r="U79" s="71">
        <f t="shared" ref="U79:V79" si="56">SUM(U66:U78)</f>
        <v>270.14000000000004</v>
      </c>
      <c r="V79" s="71">
        <f t="shared" si="56"/>
        <v>270.14000000000004</v>
      </c>
      <c r="W79" s="71">
        <f t="shared" ref="W79" si="57">SUM(W66:W78)</f>
        <v>270.14000000000004</v>
      </c>
      <c r="X79" s="71">
        <f t="shared" si="50"/>
        <v>338.14000000000004</v>
      </c>
      <c r="Y79" s="71">
        <f t="shared" si="50"/>
        <v>338.1</v>
      </c>
      <c r="Z79" s="71">
        <f t="shared" si="50"/>
        <v>337.3</v>
      </c>
      <c r="AA79" s="71">
        <f t="shared" si="50"/>
        <v>348.94</v>
      </c>
      <c r="AB79" s="71">
        <f t="shared" ref="AB79:AC79" si="58">SUM(AB66:AB78)</f>
        <v>348.94</v>
      </c>
      <c r="AC79" s="71">
        <f t="shared" si="58"/>
        <v>348.94</v>
      </c>
      <c r="AD79" s="71">
        <f t="shared" ref="AD79:AE79" si="59">SUM(AD66:AD78)</f>
        <v>348.94</v>
      </c>
      <c r="AE79" s="71">
        <f t="shared" si="59"/>
        <v>348.94</v>
      </c>
      <c r="AF79" s="71">
        <f t="shared" ref="AF79" si="60">SUM(AF66:AF78)</f>
        <v>348.94</v>
      </c>
      <c r="AG79" s="72">
        <f t="shared" si="50"/>
        <v>489.91</v>
      </c>
      <c r="AH79" s="48">
        <f t="shared" si="48"/>
        <v>348.94</v>
      </c>
      <c r="AI79" s="49">
        <f t="shared" si="49"/>
        <v>270.14000000000004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/>
      <c r="K80" s="46"/>
      <c r="L80" s="46"/>
      <c r="M80" s="46">
        <v>13.7</v>
      </c>
      <c r="N80" s="46">
        <v>13.7</v>
      </c>
      <c r="O80" s="46">
        <v>29.8</v>
      </c>
      <c r="P80" s="46">
        <v>29.8</v>
      </c>
      <c r="Q80" s="46">
        <v>14</v>
      </c>
      <c r="R80" s="46">
        <v>14</v>
      </c>
      <c r="S80" s="46">
        <v>14</v>
      </c>
      <c r="T80" s="46">
        <v>29.8</v>
      </c>
      <c r="U80" s="46">
        <v>29.8</v>
      </c>
      <c r="V80" s="46">
        <v>13.5</v>
      </c>
      <c r="W80" s="46">
        <v>13.5</v>
      </c>
      <c r="X80" s="46">
        <v>0</v>
      </c>
      <c r="Y80" s="46">
        <v>0</v>
      </c>
      <c r="Z80" s="46"/>
      <c r="AA80" s="46">
        <v>59.6</v>
      </c>
      <c r="AB80" s="46">
        <v>39.4</v>
      </c>
      <c r="AC80" s="46">
        <v>39.4</v>
      </c>
      <c r="AD80" s="46">
        <v>0</v>
      </c>
      <c r="AE80" s="46">
        <v>0</v>
      </c>
      <c r="AF80" s="46">
        <v>0</v>
      </c>
      <c r="AG80" s="61">
        <v>60</v>
      </c>
      <c r="AH80" s="48">
        <f t="shared" si="48"/>
        <v>59.6</v>
      </c>
      <c r="AI80" s="49">
        <f t="shared" si="49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/>
      <c r="K81" s="76"/>
      <c r="L81" s="76"/>
      <c r="M81" s="76">
        <v>5.2</v>
      </c>
      <c r="N81" s="76">
        <v>5.2</v>
      </c>
      <c r="O81" s="76">
        <v>15.7</v>
      </c>
      <c r="P81" s="76">
        <v>15.7</v>
      </c>
      <c r="Q81" s="76">
        <v>4.9000000000000004</v>
      </c>
      <c r="R81" s="76">
        <v>4.9000000000000004</v>
      </c>
      <c r="S81" s="76">
        <v>4.9000000000000004</v>
      </c>
      <c r="T81" s="76">
        <v>15.2</v>
      </c>
      <c r="U81" s="76">
        <v>15.2</v>
      </c>
      <c r="V81" s="76">
        <v>4.8</v>
      </c>
      <c r="W81" s="76">
        <v>4.8</v>
      </c>
      <c r="X81" s="76">
        <v>4.7</v>
      </c>
      <c r="Y81" s="76">
        <v>0</v>
      </c>
      <c r="Z81" s="76"/>
      <c r="AA81" s="76">
        <v>21.1</v>
      </c>
      <c r="AB81" s="76">
        <v>17.899999999999999</v>
      </c>
      <c r="AC81" s="76">
        <v>17.899999999999999</v>
      </c>
      <c r="AD81" s="76">
        <v>14.2</v>
      </c>
      <c r="AE81" s="76">
        <v>0</v>
      </c>
      <c r="AF81" s="76">
        <v>0</v>
      </c>
      <c r="AG81" s="66">
        <v>32</v>
      </c>
      <c r="AH81" s="48">
        <f t="shared" si="48"/>
        <v>21.1</v>
      </c>
      <c r="AI81" s="49">
        <f t="shared" si="49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/>
      <c r="K82" s="78"/>
      <c r="L82" s="78"/>
      <c r="M82" s="78">
        <v>1.9</v>
      </c>
      <c r="N82" s="78">
        <v>1.9</v>
      </c>
      <c r="O82" s="78">
        <v>5.7</v>
      </c>
      <c r="P82" s="78">
        <v>5.7</v>
      </c>
      <c r="Q82" s="78">
        <v>1.8</v>
      </c>
      <c r="R82" s="78">
        <v>1.8</v>
      </c>
      <c r="S82" s="78">
        <v>1.8</v>
      </c>
      <c r="T82" s="78">
        <v>5.6</v>
      </c>
      <c r="U82" s="78">
        <v>5.6</v>
      </c>
      <c r="V82" s="78">
        <v>1.7</v>
      </c>
      <c r="W82" s="78">
        <v>1.7</v>
      </c>
      <c r="X82" s="78">
        <v>1.7</v>
      </c>
      <c r="Y82" s="78">
        <v>0</v>
      </c>
      <c r="Z82" s="78"/>
      <c r="AA82" s="78">
        <v>7.7</v>
      </c>
      <c r="AB82" s="78">
        <v>6.5</v>
      </c>
      <c r="AC82" s="78">
        <v>6.5</v>
      </c>
      <c r="AD82" s="78">
        <v>5.2</v>
      </c>
      <c r="AE82" s="78">
        <v>0</v>
      </c>
      <c r="AF82" s="78">
        <v>0</v>
      </c>
      <c r="AG82" s="79">
        <v>14</v>
      </c>
      <c r="AH82" s="48">
        <f t="shared" si="48"/>
        <v>7.7</v>
      </c>
      <c r="AI82" s="49">
        <f t="shared" si="49"/>
        <v>0</v>
      </c>
      <c r="AK82" s="51"/>
      <c r="AY82" s="82"/>
      <c r="BF82" s="81"/>
      <c r="BG82" s="82">
        <f t="array" ref="BG82:BL105">TRANSPOSE(AZ66:BW71)</f>
        <v>-35</v>
      </c>
      <c r="BH82" s="82">
        <v>0</v>
      </c>
      <c r="BI82" s="82">
        <v>-709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A83" si="61">B80+B81+B82</f>
        <v>0</v>
      </c>
      <c r="C83" s="71">
        <f t="shared" si="61"/>
        <v>0</v>
      </c>
      <c r="D83" s="71">
        <f t="shared" si="61"/>
        <v>0</v>
      </c>
      <c r="E83" s="71">
        <f t="shared" si="61"/>
        <v>0</v>
      </c>
      <c r="F83" s="71">
        <f t="shared" si="61"/>
        <v>0</v>
      </c>
      <c r="G83" s="71">
        <f t="shared" si="61"/>
        <v>0</v>
      </c>
      <c r="H83" s="71">
        <f t="shared" ref="H83" si="62">H80+H81+H82</f>
        <v>0</v>
      </c>
      <c r="I83" s="71">
        <f t="shared" si="61"/>
        <v>0</v>
      </c>
      <c r="J83" s="71">
        <f t="shared" si="61"/>
        <v>0</v>
      </c>
      <c r="K83" s="71">
        <f t="shared" si="61"/>
        <v>0</v>
      </c>
      <c r="L83" s="71">
        <f t="shared" ref="L83:M83" si="63">L80+L81+L82</f>
        <v>0</v>
      </c>
      <c r="M83" s="71">
        <f t="shared" si="63"/>
        <v>20.799999999999997</v>
      </c>
      <c r="N83" s="71">
        <f t="shared" ref="N83:O83" si="64">N80+N81+N82</f>
        <v>20.799999999999997</v>
      </c>
      <c r="O83" s="71">
        <f t="shared" si="64"/>
        <v>51.2</v>
      </c>
      <c r="P83" s="71">
        <f t="shared" ref="P83:Q83" si="65">P80+P81+P82</f>
        <v>51.2</v>
      </c>
      <c r="Q83" s="71">
        <f t="shared" si="65"/>
        <v>20.7</v>
      </c>
      <c r="R83" s="71">
        <f t="shared" ref="R83:S83" si="66">R80+R81+R82</f>
        <v>20.7</v>
      </c>
      <c r="S83" s="71">
        <f t="shared" si="66"/>
        <v>20.7</v>
      </c>
      <c r="T83" s="71">
        <f t="shared" si="61"/>
        <v>50.6</v>
      </c>
      <c r="U83" s="71">
        <f t="shared" ref="U83:V83" si="67">U80+U81+U82</f>
        <v>50.6</v>
      </c>
      <c r="V83" s="71">
        <f t="shared" si="67"/>
        <v>20</v>
      </c>
      <c r="W83" s="71">
        <f t="shared" ref="W83" si="68">W80+W81+W82</f>
        <v>20</v>
      </c>
      <c r="X83" s="71">
        <f t="shared" si="61"/>
        <v>6.4</v>
      </c>
      <c r="Y83" s="71">
        <f t="shared" si="61"/>
        <v>0</v>
      </c>
      <c r="Z83" s="71">
        <f t="shared" si="61"/>
        <v>0</v>
      </c>
      <c r="AA83" s="71">
        <f t="shared" si="61"/>
        <v>88.4</v>
      </c>
      <c r="AB83" s="71">
        <f t="shared" ref="AB83:AC83" si="69">AB80+AB81+AB82</f>
        <v>63.8</v>
      </c>
      <c r="AC83" s="71">
        <f t="shared" si="69"/>
        <v>63.8</v>
      </c>
      <c r="AD83" s="71">
        <f t="shared" ref="AD83:AE83" si="70">AD80+AD81+AD82</f>
        <v>19.399999999999999</v>
      </c>
      <c r="AE83" s="71">
        <f t="shared" si="70"/>
        <v>0</v>
      </c>
      <c r="AF83" s="71">
        <f t="shared" ref="AF83" si="71">AF80+AF81+AF82</f>
        <v>0</v>
      </c>
      <c r="AG83" s="72">
        <f>SUM(AG80:AG82)</f>
        <v>106</v>
      </c>
      <c r="AH83" s="48">
        <f t="shared" si="48"/>
        <v>88.4</v>
      </c>
      <c r="AI83" s="49">
        <f t="shared" si="49"/>
        <v>0</v>
      </c>
      <c r="AK83" s="51"/>
      <c r="AY83" s="82"/>
      <c r="BF83" s="81"/>
      <c r="BG83" s="82">
        <v>-21.5</v>
      </c>
      <c r="BH83" s="82">
        <v>0</v>
      </c>
      <c r="BI83" s="82">
        <v>-715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-33.799999999999997</v>
      </c>
      <c r="C84" s="46">
        <v>-35</v>
      </c>
      <c r="D84" s="46">
        <v>-21.5</v>
      </c>
      <c r="E84" s="46">
        <v>-58</v>
      </c>
      <c r="F84" s="46">
        <v>-59</v>
      </c>
      <c r="G84" s="46">
        <v>-51</v>
      </c>
      <c r="H84" s="46">
        <v>20.5</v>
      </c>
      <c r="I84" s="46">
        <v>-35</v>
      </c>
      <c r="J84" s="46">
        <v>-62.7</v>
      </c>
      <c r="K84" s="46">
        <v>-58</v>
      </c>
      <c r="L84" s="46">
        <v>-60</v>
      </c>
      <c r="M84" s="46">
        <v>-21</v>
      </c>
      <c r="N84" s="46">
        <v>-60</v>
      </c>
      <c r="O84" s="46">
        <v>-36</v>
      </c>
      <c r="P84" s="46">
        <v>-30</v>
      </c>
      <c r="Q84" s="46">
        <v>-25</v>
      </c>
      <c r="R84" s="46">
        <v>-25</v>
      </c>
      <c r="S84" s="46">
        <v>-48</v>
      </c>
      <c r="T84" s="46">
        <v>-43</v>
      </c>
      <c r="U84" s="46">
        <v>-10</v>
      </c>
      <c r="V84" s="46">
        <v>13</v>
      </c>
      <c r="W84" s="46">
        <v>15</v>
      </c>
      <c r="X84" s="46">
        <v>-1</v>
      </c>
      <c r="Y84" s="46">
        <v>-26</v>
      </c>
      <c r="Z84" s="46">
        <v>-15</v>
      </c>
      <c r="AA84" s="46">
        <v>-18</v>
      </c>
      <c r="AB84" s="46">
        <v>-11.6</v>
      </c>
      <c r="AC84" s="46">
        <v>-18.7</v>
      </c>
      <c r="AD84" s="46">
        <v>-9</v>
      </c>
      <c r="AE84" s="46">
        <v>-24.1</v>
      </c>
      <c r="AF84" s="46">
        <v>-31.5</v>
      </c>
      <c r="AG84" s="61"/>
      <c r="AH84" s="48">
        <f t="shared" si="48"/>
        <v>20.5</v>
      </c>
      <c r="AI84" s="49">
        <f t="shared" si="49"/>
        <v>-62.7</v>
      </c>
      <c r="AK84" s="51"/>
      <c r="AY84" s="82"/>
      <c r="BF84" s="81"/>
      <c r="BG84" s="82">
        <v>-58</v>
      </c>
      <c r="BH84" s="82">
        <v>0</v>
      </c>
      <c r="BI84" s="82">
        <v>-659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8"/>
        <v>0</v>
      </c>
      <c r="AI85" s="49">
        <f t="shared" si="49"/>
        <v>0</v>
      </c>
      <c r="AK85" s="51"/>
      <c r="AL85" s="91" t="s">
        <v>111</v>
      </c>
      <c r="AM85" s="91"/>
      <c r="AY85" s="82"/>
      <c r="BF85" s="82"/>
      <c r="BG85" s="82">
        <v>-59</v>
      </c>
      <c r="BH85" s="82">
        <v>0</v>
      </c>
      <c r="BI85" s="82">
        <v>-689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-693</v>
      </c>
      <c r="C86" s="76">
        <v>-709</v>
      </c>
      <c r="D86" s="76">
        <v>-715</v>
      </c>
      <c r="E86" s="76">
        <v>-659</v>
      </c>
      <c r="F86" s="76">
        <v>-689</v>
      </c>
      <c r="G86" s="76">
        <v>-653</v>
      </c>
      <c r="H86" s="76">
        <v>-666</v>
      </c>
      <c r="I86" s="76">
        <v>-653</v>
      </c>
      <c r="J86" s="76">
        <v>-621</v>
      </c>
      <c r="K86" s="76">
        <v>-617</v>
      </c>
      <c r="L86" s="76">
        <v>-603</v>
      </c>
      <c r="M86" s="76">
        <v>-619</v>
      </c>
      <c r="N86" s="76">
        <v>-594</v>
      </c>
      <c r="O86" s="76">
        <v>-557</v>
      </c>
      <c r="P86" s="76">
        <v>-603</v>
      </c>
      <c r="Q86" s="76">
        <v>-593</v>
      </c>
      <c r="R86" s="76">
        <v>-593</v>
      </c>
      <c r="S86" s="76">
        <v>-598</v>
      </c>
      <c r="T86" s="76">
        <v>-588.79999999999995</v>
      </c>
      <c r="U86" s="76">
        <v>-600</v>
      </c>
      <c r="V86" s="76">
        <v>-609</v>
      </c>
      <c r="W86" s="76">
        <v>-627</v>
      </c>
      <c r="X86" s="76">
        <v>-680</v>
      </c>
      <c r="Y86" s="76">
        <v>-614.6</v>
      </c>
      <c r="Z86" s="76">
        <v>-580</v>
      </c>
      <c r="AA86" s="76">
        <v>-560</v>
      </c>
      <c r="AB86" s="76">
        <v>-623.9</v>
      </c>
      <c r="AC86" s="76">
        <v>-602.20000000000005</v>
      </c>
      <c r="AD86" s="76">
        <v>-607.29999999999995</v>
      </c>
      <c r="AE86" s="76">
        <v>-624.70000000000005</v>
      </c>
      <c r="AF86" s="76">
        <v>-639.5</v>
      </c>
      <c r="AG86" s="88"/>
      <c r="AH86" s="48">
        <f t="shared" si="48"/>
        <v>-557</v>
      </c>
      <c r="AI86" s="49">
        <f t="shared" si="49"/>
        <v>-715</v>
      </c>
      <c r="AK86" s="92"/>
      <c r="AL86" s="93"/>
      <c r="AM86" s="93"/>
      <c r="AN86" s="94"/>
      <c r="AY86" s="82"/>
      <c r="BF86" s="82"/>
      <c r="BG86" s="82">
        <v>-51</v>
      </c>
      <c r="BH86" s="82">
        <v>0</v>
      </c>
      <c r="BI86" s="82">
        <v>-653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8"/>
        <v>0</v>
      </c>
      <c r="AI87" s="49">
        <f t="shared" si="49"/>
        <v>0</v>
      </c>
      <c r="AK87" s="95" t="s">
        <v>114</v>
      </c>
      <c r="AL87" s="76"/>
      <c r="AM87" s="89"/>
      <c r="AN87" s="96"/>
      <c r="AY87" s="82"/>
      <c r="BF87" s="82"/>
      <c r="BG87" s="82">
        <v>-35</v>
      </c>
      <c r="BH87" s="82">
        <v>0</v>
      </c>
      <c r="BI87" s="82">
        <v>-653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8"/>
        <v>0</v>
      </c>
      <c r="AI88" s="49">
        <f t="shared" si="49"/>
        <v>0</v>
      </c>
      <c r="AK88" s="95" t="s">
        <v>116</v>
      </c>
      <c r="AL88" s="89"/>
      <c r="AM88" s="89"/>
      <c r="AN88" s="96"/>
      <c r="AY88" s="82"/>
      <c r="BF88" s="82"/>
      <c r="BG88" s="82">
        <v>-58</v>
      </c>
      <c r="BH88" s="82">
        <v>0</v>
      </c>
      <c r="BI88" s="82">
        <v>-617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9"/>
        <v>0</v>
      </c>
      <c r="AK89" s="99"/>
      <c r="AL89" s="46"/>
      <c r="AM89" s="46"/>
      <c r="AN89" s="100"/>
      <c r="AY89" s="82"/>
      <c r="BF89" s="82"/>
      <c r="BG89" s="82">
        <v>-21</v>
      </c>
      <c r="BH89" s="82">
        <v>0</v>
      </c>
      <c r="BI89" s="82">
        <v>-619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8"/>
        <v>0</v>
      </c>
      <c r="AI90" s="49">
        <f t="shared" si="49"/>
        <v>0</v>
      </c>
      <c r="AK90" s="99"/>
      <c r="AL90" s="90"/>
      <c r="AM90" s="102"/>
      <c r="AN90" s="204"/>
      <c r="AY90" s="82"/>
      <c r="BF90" s="82"/>
      <c r="BG90" s="82">
        <v>-60</v>
      </c>
      <c r="BH90" s="82">
        <v>0</v>
      </c>
      <c r="BI90" s="82">
        <v>-594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8"/>
        <v>0</v>
      </c>
      <c r="AI91" s="49">
        <f t="shared" si="49"/>
        <v>0</v>
      </c>
      <c r="AK91" s="99"/>
      <c r="AL91" s="90"/>
      <c r="AM91" s="90"/>
      <c r="AN91" s="205"/>
      <c r="BF91" s="82"/>
      <c r="BG91" s="82">
        <v>-36</v>
      </c>
      <c r="BH91" s="82">
        <v>0</v>
      </c>
      <c r="BI91" s="82">
        <v>-557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8"/>
        <v>0</v>
      </c>
      <c r="AI92" s="49">
        <f t="shared" si="49"/>
        <v>0</v>
      </c>
      <c r="AK92" s="104"/>
      <c r="AL92" s="105"/>
      <c r="AM92" s="105"/>
      <c r="AN92" s="106"/>
      <c r="BF92" s="82"/>
      <c r="BG92" s="82">
        <v>-30</v>
      </c>
      <c r="BH92" s="82">
        <v>0</v>
      </c>
      <c r="BI92" s="82">
        <v>-603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8"/>
        <v>0</v>
      </c>
      <c r="AI93" s="49">
        <f t="shared" si="49"/>
        <v>0</v>
      </c>
      <c r="BF93" s="82"/>
      <c r="BG93" s="82">
        <v>-25</v>
      </c>
      <c r="BH93" s="82">
        <v>0</v>
      </c>
      <c r="BI93" s="82">
        <v>-593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8"/>
        <v>0</v>
      </c>
      <c r="AI94" s="49">
        <f t="shared" si="49"/>
        <v>0</v>
      </c>
      <c r="BF94" s="82"/>
      <c r="BG94" s="82">
        <v>-25</v>
      </c>
      <c r="BH94" s="82">
        <v>0</v>
      </c>
      <c r="BI94" s="82">
        <v>-593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A95" si="72">SUMIF(D84:D94,"&gt;0")</f>
        <v>0</v>
      </c>
      <c r="E95" s="71">
        <f t="shared" si="72"/>
        <v>0</v>
      </c>
      <c r="F95" s="71">
        <f t="shared" si="72"/>
        <v>0</v>
      </c>
      <c r="G95" s="71">
        <f t="shared" si="72"/>
        <v>0</v>
      </c>
      <c r="H95" s="71">
        <f t="shared" si="72"/>
        <v>20.5</v>
      </c>
      <c r="I95" s="71">
        <f t="shared" si="72"/>
        <v>0</v>
      </c>
      <c r="J95" s="71">
        <f t="shared" si="72"/>
        <v>0</v>
      </c>
      <c r="K95" s="71">
        <f t="shared" si="72"/>
        <v>0</v>
      </c>
      <c r="L95" s="71">
        <f t="shared" si="72"/>
        <v>0</v>
      </c>
      <c r="M95" s="71">
        <f t="shared" si="72"/>
        <v>0</v>
      </c>
      <c r="N95" s="71">
        <f t="shared" si="72"/>
        <v>0</v>
      </c>
      <c r="O95" s="71">
        <f t="shared" si="72"/>
        <v>0</v>
      </c>
      <c r="P95" s="71">
        <f t="shared" si="72"/>
        <v>0</v>
      </c>
      <c r="Q95" s="71">
        <f t="shared" si="72"/>
        <v>0</v>
      </c>
      <c r="R95" s="71">
        <f t="shared" si="72"/>
        <v>0</v>
      </c>
      <c r="S95" s="71">
        <f t="shared" ref="S95" si="73">SUMIF(S84:S94,"&gt;0")</f>
        <v>0</v>
      </c>
      <c r="T95" s="71">
        <f t="shared" si="72"/>
        <v>0</v>
      </c>
      <c r="U95" s="71">
        <f t="shared" ref="U95:V95" si="74">SUMIF(U84:U94,"&gt;0")</f>
        <v>0</v>
      </c>
      <c r="V95" s="71">
        <f t="shared" si="74"/>
        <v>13</v>
      </c>
      <c r="W95" s="71">
        <f t="shared" ref="W95" si="75">SUMIF(W84:W94,"&gt;0")</f>
        <v>15</v>
      </c>
      <c r="X95" s="71">
        <f t="shared" si="72"/>
        <v>0</v>
      </c>
      <c r="Y95" s="71">
        <f t="shared" si="72"/>
        <v>0</v>
      </c>
      <c r="Z95" s="71">
        <f t="shared" si="72"/>
        <v>0</v>
      </c>
      <c r="AA95" s="71">
        <f t="shared" si="72"/>
        <v>0</v>
      </c>
      <c r="AB95" s="71">
        <f t="shared" ref="AB95:AC95" si="76">SUMIF(AB84:AB94,"&gt;0")</f>
        <v>0</v>
      </c>
      <c r="AC95" s="71">
        <f t="shared" si="76"/>
        <v>0</v>
      </c>
      <c r="AD95" s="71">
        <f t="shared" ref="AD95:AE95" si="77">SUMIF(AD84:AD94,"&gt;0")</f>
        <v>0</v>
      </c>
      <c r="AE95" s="71">
        <f t="shared" si="77"/>
        <v>0</v>
      </c>
      <c r="AF95" s="71">
        <f t="shared" ref="AF95" si="78">SUMIF(AF84:AF94,"&gt;0")</f>
        <v>0</v>
      </c>
      <c r="AG95" s="101">
        <f>SUM(AG84:AG94)</f>
        <v>0</v>
      </c>
      <c r="AH95" s="48">
        <f t="shared" si="48"/>
        <v>20.5</v>
      </c>
      <c r="AI95" s="49">
        <f t="shared" si="49"/>
        <v>0</v>
      </c>
      <c r="BF95" s="82"/>
      <c r="BG95" s="82">
        <v>-48</v>
      </c>
      <c r="BH95" s="82">
        <v>0</v>
      </c>
      <c r="BI95" s="82">
        <v>-598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8"/>
        <v>0</v>
      </c>
      <c r="AI96" s="49">
        <f t="shared" si="49"/>
        <v>0</v>
      </c>
      <c r="BF96" s="82"/>
      <c r="BG96" s="82">
        <v>-43</v>
      </c>
      <c r="BH96" s="82">
        <v>0</v>
      </c>
      <c r="BI96" s="82">
        <v>-588.79999999999995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8"/>
        <v>0</v>
      </c>
      <c r="AI97" s="49">
        <f t="shared" si="49"/>
        <v>0</v>
      </c>
      <c r="BF97" s="82"/>
      <c r="BG97" s="82">
        <v>-10</v>
      </c>
      <c r="BH97" s="82">
        <v>0</v>
      </c>
      <c r="BI97" s="82">
        <v>-600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8"/>
        <v>0</v>
      </c>
      <c r="AI98" s="49">
        <f t="shared" si="49"/>
        <v>0</v>
      </c>
      <c r="BF98" s="82"/>
      <c r="BG98" s="82">
        <v>13</v>
      </c>
      <c r="BH98" s="82">
        <v>0</v>
      </c>
      <c r="BI98" s="82">
        <v>-609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8"/>
        <v>0</v>
      </c>
      <c r="AI99" s="49">
        <f t="shared" si="49"/>
        <v>0</v>
      </c>
      <c r="BF99" s="81"/>
      <c r="BG99" s="82">
        <v>-1</v>
      </c>
      <c r="BH99" s="82">
        <v>0</v>
      </c>
      <c r="BI99" s="82">
        <v>-680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79">B61+B65+B83+B79+B95+B99</f>
        <v>2014.4399999999998</v>
      </c>
      <c r="C100" s="108">
        <f t="shared" si="79"/>
        <v>2022.2400000000002</v>
      </c>
      <c r="D100" s="108">
        <f t="shared" si="79"/>
        <v>2030.5400000000002</v>
      </c>
      <c r="E100" s="108">
        <f t="shared" si="79"/>
        <v>2014.24</v>
      </c>
      <c r="F100" s="108">
        <f t="shared" si="79"/>
        <v>2014.24</v>
      </c>
      <c r="G100" s="108">
        <f t="shared" si="79"/>
        <v>1989.24</v>
      </c>
      <c r="H100" s="108">
        <f t="shared" si="79"/>
        <v>2034.74</v>
      </c>
      <c r="I100" s="108">
        <f t="shared" si="79"/>
        <v>2018.64</v>
      </c>
      <c r="J100" s="108">
        <f t="shared" si="79"/>
        <v>2018.64</v>
      </c>
      <c r="K100" s="108">
        <f t="shared" si="79"/>
        <v>2018.64</v>
      </c>
      <c r="L100" s="108">
        <f t="shared" si="79"/>
        <v>2018.64</v>
      </c>
      <c r="M100" s="108">
        <f t="shared" si="79"/>
        <v>2108.54</v>
      </c>
      <c r="N100" s="108">
        <f t="shared" si="79"/>
        <v>2128.94</v>
      </c>
      <c r="O100" s="108">
        <f t="shared" si="79"/>
        <v>2074.7399999999998</v>
      </c>
      <c r="P100" s="108">
        <f t="shared" si="79"/>
        <v>2074.7399999999998</v>
      </c>
      <c r="Q100" s="108">
        <f t="shared" si="79"/>
        <v>2047.8400000000001</v>
      </c>
      <c r="R100" s="108">
        <f t="shared" si="79"/>
        <v>2047.8400000000001</v>
      </c>
      <c r="S100" s="108">
        <f t="shared" ref="S100" si="80">S61+S65+S83+S79+S95+S99</f>
        <v>2044.8400000000001</v>
      </c>
      <c r="T100" s="108">
        <f t="shared" si="79"/>
        <v>2091.2399999999998</v>
      </c>
      <c r="U100" s="108">
        <f t="shared" ref="U100:V100" si="81">U61+U65+U83+U79+U95+U99</f>
        <v>2006.14</v>
      </c>
      <c r="V100" s="108">
        <f t="shared" si="81"/>
        <v>1996.24</v>
      </c>
      <c r="W100" s="108">
        <f t="shared" ref="W100" si="82">W61+W65+W83+W79+W95+W99</f>
        <v>2025.24</v>
      </c>
      <c r="X100" s="108">
        <f t="shared" si="79"/>
        <v>2182.7399999999998</v>
      </c>
      <c r="Y100" s="108">
        <f t="shared" si="79"/>
        <v>2176.2999999999997</v>
      </c>
      <c r="Z100" s="108">
        <f t="shared" si="79"/>
        <v>2167.9</v>
      </c>
      <c r="AA100" s="108">
        <f t="shared" si="79"/>
        <v>2263.94</v>
      </c>
      <c r="AB100" s="108">
        <f t="shared" ref="AB100:AC100" si="83">AB61+AB65+AB83+AB79+AB95+AB99</f>
        <v>2213.64</v>
      </c>
      <c r="AC100" s="108">
        <f t="shared" si="83"/>
        <v>2202.7399999999998</v>
      </c>
      <c r="AD100" s="108">
        <f t="shared" ref="AD100:AE100" si="84">AD61+AD65+AD83+AD79+AD95+AD99</f>
        <v>2159.2400000000002</v>
      </c>
      <c r="AE100" s="108">
        <f t="shared" si="84"/>
        <v>2139.84</v>
      </c>
      <c r="AF100" s="108">
        <f t="shared" ref="AF100" si="85">AF61+AF65+AF83+AF79+AF95+AF99</f>
        <v>2057.44</v>
      </c>
      <c r="AG100" s="72">
        <f t="shared" si="79"/>
        <v>2655.44</v>
      </c>
      <c r="AH100" s="48">
        <f t="shared" si="48"/>
        <v>2263.94</v>
      </c>
      <c r="AI100" s="49">
        <f t="shared" si="49"/>
        <v>1989.24</v>
      </c>
      <c r="BF100" s="81"/>
      <c r="BG100" s="82">
        <v>-15</v>
      </c>
      <c r="BH100" s="82">
        <v>0</v>
      </c>
      <c r="BI100" s="82">
        <v>-580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8"/>
        <v>0</v>
      </c>
      <c r="AI101" s="49">
        <f t="shared" si="49"/>
        <v>0</v>
      </c>
      <c r="BF101" s="81"/>
      <c r="BG101" s="82">
        <v>-11.6</v>
      </c>
      <c r="BH101" s="82">
        <v>0</v>
      </c>
      <c r="BI101" s="82">
        <v>-623.9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2014.4399999999998</v>
      </c>
      <c r="C102" s="108">
        <f t="shared" ref="C102:AA102" si="86">C100+C101</f>
        <v>2022.2400000000002</v>
      </c>
      <c r="D102" s="108">
        <f t="shared" si="86"/>
        <v>2030.5400000000002</v>
      </c>
      <c r="E102" s="108">
        <f t="shared" si="86"/>
        <v>2014.24</v>
      </c>
      <c r="F102" s="108">
        <f t="shared" si="86"/>
        <v>2014.24</v>
      </c>
      <c r="G102" s="108">
        <f t="shared" si="86"/>
        <v>1989.24</v>
      </c>
      <c r="H102" s="108">
        <f t="shared" si="86"/>
        <v>2034.74</v>
      </c>
      <c r="I102" s="108">
        <f t="shared" si="86"/>
        <v>2018.64</v>
      </c>
      <c r="J102" s="108">
        <f t="shared" si="86"/>
        <v>2018.64</v>
      </c>
      <c r="K102" s="108">
        <f t="shared" si="86"/>
        <v>2018.64</v>
      </c>
      <c r="L102" s="108">
        <f t="shared" si="86"/>
        <v>2018.64</v>
      </c>
      <c r="M102" s="108">
        <f t="shared" si="86"/>
        <v>2108.54</v>
      </c>
      <c r="N102" s="108">
        <f t="shared" si="86"/>
        <v>2128.94</v>
      </c>
      <c r="O102" s="108">
        <f t="shared" si="86"/>
        <v>2074.7399999999998</v>
      </c>
      <c r="P102" s="108">
        <f t="shared" si="86"/>
        <v>2074.7399999999998</v>
      </c>
      <c r="Q102" s="108">
        <f t="shared" si="86"/>
        <v>2047.8400000000001</v>
      </c>
      <c r="R102" s="108">
        <f t="shared" si="86"/>
        <v>2047.8400000000001</v>
      </c>
      <c r="S102" s="108">
        <f t="shared" ref="S102" si="87">S100+S101</f>
        <v>2044.8400000000001</v>
      </c>
      <c r="T102" s="108">
        <f t="shared" si="86"/>
        <v>2091.2399999999998</v>
      </c>
      <c r="U102" s="108">
        <f t="shared" ref="U102:V102" si="88">U100+U101</f>
        <v>2006.14</v>
      </c>
      <c r="V102" s="108">
        <f t="shared" si="88"/>
        <v>1996.24</v>
      </c>
      <c r="W102" s="108">
        <f t="shared" ref="W102" si="89">W100+W101</f>
        <v>2025.24</v>
      </c>
      <c r="X102" s="108">
        <f t="shared" si="86"/>
        <v>2182.7399999999998</v>
      </c>
      <c r="Y102" s="108">
        <f t="shared" si="86"/>
        <v>2176.2999999999997</v>
      </c>
      <c r="Z102" s="108">
        <f t="shared" si="86"/>
        <v>2167.9</v>
      </c>
      <c r="AA102" s="108">
        <f t="shared" si="86"/>
        <v>2263.94</v>
      </c>
      <c r="AB102" s="108">
        <f t="shared" ref="AB102:AC102" si="90">AB100+AB101</f>
        <v>2213.64</v>
      </c>
      <c r="AC102" s="108">
        <f t="shared" si="90"/>
        <v>2202.7399999999998</v>
      </c>
      <c r="AD102" s="108">
        <f t="shared" ref="AD102:AE102" si="91">AD100+AD101</f>
        <v>2159.2400000000002</v>
      </c>
      <c r="AE102" s="108">
        <f t="shared" si="91"/>
        <v>2139.84</v>
      </c>
      <c r="AF102" s="108">
        <f t="shared" ref="AF102" si="92">AF100+AF101</f>
        <v>2057.44</v>
      </c>
      <c r="AG102" s="101">
        <f>AG99+AG95+AG83+AG79+AG61+AG101</f>
        <v>2117.34</v>
      </c>
      <c r="AH102" s="48">
        <f t="shared" si="48"/>
        <v>2263.94</v>
      </c>
      <c r="AI102" s="49">
        <f t="shared" si="49"/>
        <v>1989.24</v>
      </c>
      <c r="BF102" s="81"/>
      <c r="BG102" s="82">
        <v>-9</v>
      </c>
      <c r="BH102" s="82">
        <v>0</v>
      </c>
      <c r="BI102" s="82">
        <v>-607.29999999999995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1287.6399999999999</v>
      </c>
      <c r="C103" s="108">
        <f t="shared" ref="C103:AA103" si="93">C102-(C110)</f>
        <v>1278.2400000000002</v>
      </c>
      <c r="D103" s="108">
        <f t="shared" si="93"/>
        <v>1294.0400000000002</v>
      </c>
      <c r="E103" s="108">
        <f t="shared" si="93"/>
        <v>1297.24</v>
      </c>
      <c r="F103" s="108">
        <f t="shared" si="93"/>
        <v>1266.24</v>
      </c>
      <c r="G103" s="108">
        <f t="shared" si="93"/>
        <v>1285.24</v>
      </c>
      <c r="H103" s="108">
        <f t="shared" si="93"/>
        <v>1368.74</v>
      </c>
      <c r="I103" s="108">
        <f t="shared" si="93"/>
        <v>1330.64</v>
      </c>
      <c r="J103" s="108">
        <f t="shared" si="93"/>
        <v>1334.94</v>
      </c>
      <c r="K103" s="108">
        <f t="shared" si="93"/>
        <v>1343.64</v>
      </c>
      <c r="L103" s="108">
        <f t="shared" si="93"/>
        <v>1355.64</v>
      </c>
      <c r="M103" s="108">
        <f t="shared" si="93"/>
        <v>1468.54</v>
      </c>
      <c r="N103" s="108">
        <f t="shared" si="93"/>
        <v>1474.94</v>
      </c>
      <c r="O103" s="108">
        <f t="shared" si="93"/>
        <v>1481.7399999999998</v>
      </c>
      <c r="P103" s="108">
        <f t="shared" si="93"/>
        <v>1441.7399999999998</v>
      </c>
      <c r="Q103" s="108">
        <f t="shared" si="93"/>
        <v>1429.8400000000001</v>
      </c>
      <c r="R103" s="108">
        <f t="shared" si="93"/>
        <v>1429.8400000000001</v>
      </c>
      <c r="S103" s="108">
        <f t="shared" ref="S103" si="94">S102-(S110)</f>
        <v>1398.8400000000001</v>
      </c>
      <c r="T103" s="108">
        <f t="shared" si="93"/>
        <v>1459.4399999999998</v>
      </c>
      <c r="U103" s="108">
        <f t="shared" ref="U103:V103" si="95">U102-(U110)</f>
        <v>1396.14</v>
      </c>
      <c r="V103" s="108">
        <f t="shared" si="95"/>
        <v>1387.24</v>
      </c>
      <c r="W103" s="108">
        <f t="shared" ref="W103" si="96">W102-(W110)</f>
        <v>1398.24</v>
      </c>
      <c r="X103" s="108">
        <f t="shared" si="93"/>
        <v>1501.7399999999998</v>
      </c>
      <c r="Y103" s="108">
        <f t="shared" si="93"/>
        <v>1535.6999999999998</v>
      </c>
      <c r="Z103" s="108">
        <f t="shared" si="93"/>
        <v>1572.9</v>
      </c>
      <c r="AA103" s="108">
        <f t="shared" si="93"/>
        <v>1685.94</v>
      </c>
      <c r="AB103" s="108">
        <f t="shared" ref="AB103:AC103" si="97">AB102-(AB110)</f>
        <v>1578.1399999999999</v>
      </c>
      <c r="AC103" s="108">
        <f t="shared" si="97"/>
        <v>1581.8399999999997</v>
      </c>
      <c r="AD103" s="108">
        <f t="shared" ref="AD103:AE103" si="98">AD102-(AD110)</f>
        <v>1542.9400000000003</v>
      </c>
      <c r="AE103" s="108">
        <f t="shared" si="98"/>
        <v>1491.04</v>
      </c>
      <c r="AF103" s="108">
        <f t="shared" ref="AF103" si="99">AF102-(AF110)</f>
        <v>1386.44</v>
      </c>
      <c r="AG103" s="101"/>
      <c r="AH103" s="48">
        <f t="shared" si="48"/>
        <v>1685.94</v>
      </c>
      <c r="AI103" s="49">
        <f t="shared" si="49"/>
        <v>1266.24</v>
      </c>
      <c r="BF103" s="81"/>
      <c r="BG103" s="82">
        <v>-24.1</v>
      </c>
      <c r="BH103" s="82">
        <v>0</v>
      </c>
      <c r="BI103" s="82">
        <v>-624.70000000000005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A109" si="100">IF(B84&lt;0,B84*-1,0)</f>
        <v>33.799999999999997</v>
      </c>
      <c r="C104" s="89">
        <f t="shared" si="100"/>
        <v>35</v>
      </c>
      <c r="D104" s="89">
        <f t="shared" si="100"/>
        <v>21.5</v>
      </c>
      <c r="E104" s="89">
        <f t="shared" si="100"/>
        <v>58</v>
      </c>
      <c r="F104" s="89">
        <f t="shared" si="100"/>
        <v>59</v>
      </c>
      <c r="G104" s="89">
        <f t="shared" si="100"/>
        <v>51</v>
      </c>
      <c r="H104" s="89">
        <f t="shared" si="100"/>
        <v>0</v>
      </c>
      <c r="I104" s="89">
        <f t="shared" si="100"/>
        <v>35</v>
      </c>
      <c r="J104" s="89">
        <f t="shared" si="100"/>
        <v>62.7</v>
      </c>
      <c r="K104" s="89">
        <f t="shared" si="100"/>
        <v>58</v>
      </c>
      <c r="L104" s="89">
        <f t="shared" si="100"/>
        <v>60</v>
      </c>
      <c r="M104" s="89">
        <f t="shared" si="100"/>
        <v>21</v>
      </c>
      <c r="N104" s="89">
        <f t="shared" si="100"/>
        <v>60</v>
      </c>
      <c r="O104" s="89">
        <f t="shared" si="100"/>
        <v>36</v>
      </c>
      <c r="P104" s="89">
        <f t="shared" si="100"/>
        <v>30</v>
      </c>
      <c r="Q104" s="89">
        <f t="shared" si="100"/>
        <v>25</v>
      </c>
      <c r="R104" s="89">
        <f t="shared" si="100"/>
        <v>25</v>
      </c>
      <c r="S104" s="89">
        <f t="shared" ref="S104" si="101">IF(S84&lt;0,S84*-1,0)</f>
        <v>48</v>
      </c>
      <c r="T104" s="89">
        <f t="shared" si="100"/>
        <v>43</v>
      </c>
      <c r="U104" s="89">
        <f t="shared" ref="U104:V104" si="102">IF(U84&lt;0,U84*-1,0)</f>
        <v>10</v>
      </c>
      <c r="V104" s="89">
        <f t="shared" si="102"/>
        <v>0</v>
      </c>
      <c r="W104" s="89">
        <f t="shared" ref="W104" si="103">IF(W84&lt;0,W84*-1,0)</f>
        <v>0</v>
      </c>
      <c r="X104" s="89">
        <f t="shared" si="100"/>
        <v>1</v>
      </c>
      <c r="Y104" s="89">
        <f t="shared" si="100"/>
        <v>26</v>
      </c>
      <c r="Z104" s="89">
        <f t="shared" si="100"/>
        <v>15</v>
      </c>
      <c r="AA104" s="89">
        <f t="shared" si="100"/>
        <v>18</v>
      </c>
      <c r="AB104" s="89">
        <f t="shared" ref="AB104:AC104" si="104">IF(AB84&lt;0,AB84*-1,0)</f>
        <v>11.6</v>
      </c>
      <c r="AC104" s="89">
        <f t="shared" si="104"/>
        <v>18.7</v>
      </c>
      <c r="AD104" s="89">
        <f t="shared" ref="AD104:AE104" si="105">IF(AD84&lt;0,AD84*-1,0)</f>
        <v>9</v>
      </c>
      <c r="AE104" s="89">
        <f t="shared" si="105"/>
        <v>24.1</v>
      </c>
      <c r="AF104" s="89">
        <f t="shared" ref="AF104" si="106">IF(AF84&lt;0,AF84*-1,0)</f>
        <v>31.5</v>
      </c>
      <c r="AG104" s="61"/>
      <c r="AH104" s="48">
        <f t="shared" si="48"/>
        <v>62.7</v>
      </c>
      <c r="AI104" s="49">
        <f t="shared" si="49"/>
        <v>0</v>
      </c>
      <c r="BG104" s="82">
        <v>-31.5</v>
      </c>
      <c r="BH104" s="82">
        <v>0</v>
      </c>
      <c r="BI104" s="82">
        <v>-639.5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100"/>
        <v>0</v>
      </c>
      <c r="C105" s="89">
        <f t="shared" si="100"/>
        <v>0</v>
      </c>
      <c r="D105" s="89">
        <f t="shared" si="100"/>
        <v>0</v>
      </c>
      <c r="E105" s="89">
        <f t="shared" si="100"/>
        <v>0</v>
      </c>
      <c r="F105" s="89">
        <f t="shared" si="100"/>
        <v>0</v>
      </c>
      <c r="G105" s="89">
        <f t="shared" si="100"/>
        <v>0</v>
      </c>
      <c r="H105" s="89">
        <f t="shared" si="100"/>
        <v>0</v>
      </c>
      <c r="I105" s="89">
        <f t="shared" si="100"/>
        <v>0</v>
      </c>
      <c r="J105" s="89">
        <f t="shared" si="100"/>
        <v>0</v>
      </c>
      <c r="K105" s="89">
        <f t="shared" si="100"/>
        <v>0</v>
      </c>
      <c r="L105" s="89">
        <f t="shared" si="100"/>
        <v>0</v>
      </c>
      <c r="M105" s="89">
        <f t="shared" si="100"/>
        <v>0</v>
      </c>
      <c r="N105" s="89">
        <f t="shared" si="100"/>
        <v>0</v>
      </c>
      <c r="O105" s="89">
        <f t="shared" si="100"/>
        <v>0</v>
      </c>
      <c r="P105" s="89">
        <f t="shared" si="100"/>
        <v>0</v>
      </c>
      <c r="Q105" s="89">
        <f t="shared" si="100"/>
        <v>0</v>
      </c>
      <c r="R105" s="89">
        <f t="shared" si="100"/>
        <v>0</v>
      </c>
      <c r="S105" s="89">
        <f t="shared" ref="S105" si="107">IF(S85&lt;0,S85*-1,0)</f>
        <v>0</v>
      </c>
      <c r="T105" s="89">
        <f t="shared" si="100"/>
        <v>0</v>
      </c>
      <c r="U105" s="89">
        <f t="shared" ref="U105:V105" si="108">IF(U85&lt;0,U85*-1,0)</f>
        <v>0</v>
      </c>
      <c r="V105" s="89">
        <f t="shared" si="108"/>
        <v>0</v>
      </c>
      <c r="W105" s="89">
        <f t="shared" ref="W105" si="109">IF(W85&lt;0,W85*-1,0)</f>
        <v>0</v>
      </c>
      <c r="X105" s="89">
        <f t="shared" si="100"/>
        <v>0</v>
      </c>
      <c r="Y105" s="89">
        <f t="shared" si="100"/>
        <v>0</v>
      </c>
      <c r="Z105" s="89">
        <f t="shared" si="100"/>
        <v>0</v>
      </c>
      <c r="AA105" s="89">
        <f t="shared" si="100"/>
        <v>0</v>
      </c>
      <c r="AB105" s="89">
        <f t="shared" ref="AB105:AC105" si="110">IF(AB85&lt;0,AB85*-1,0)</f>
        <v>0</v>
      </c>
      <c r="AC105" s="89">
        <f t="shared" si="110"/>
        <v>0</v>
      </c>
      <c r="AD105" s="89">
        <f t="shared" ref="AD105:AE105" si="111">IF(AD85&lt;0,AD85*-1,0)</f>
        <v>0</v>
      </c>
      <c r="AE105" s="89">
        <f t="shared" si="111"/>
        <v>0</v>
      </c>
      <c r="AF105" s="89">
        <f t="shared" ref="AF105" si="112">IF(AF85&lt;0,AF85*-1,0)</f>
        <v>0</v>
      </c>
      <c r="AG105" s="66"/>
      <c r="AH105" s="48">
        <f t="shared" si="48"/>
        <v>0</v>
      </c>
      <c r="AI105" s="49">
        <f t="shared" si="49"/>
        <v>0</v>
      </c>
      <c r="AK105" s="51"/>
      <c r="BG105" s="82">
        <v>-33.799999999999997</v>
      </c>
      <c r="BH105" s="82">
        <v>0</v>
      </c>
      <c r="BI105" s="82">
        <v>-693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100"/>
        <v>693</v>
      </c>
      <c r="C106" s="89">
        <f t="shared" si="100"/>
        <v>709</v>
      </c>
      <c r="D106" s="89">
        <f t="shared" si="100"/>
        <v>715</v>
      </c>
      <c r="E106" s="89">
        <f t="shared" si="100"/>
        <v>659</v>
      </c>
      <c r="F106" s="89">
        <f t="shared" si="100"/>
        <v>689</v>
      </c>
      <c r="G106" s="89">
        <f t="shared" si="100"/>
        <v>653</v>
      </c>
      <c r="H106" s="89">
        <f t="shared" si="100"/>
        <v>666</v>
      </c>
      <c r="I106" s="89">
        <f t="shared" si="100"/>
        <v>653</v>
      </c>
      <c r="J106" s="89">
        <f t="shared" si="100"/>
        <v>621</v>
      </c>
      <c r="K106" s="89">
        <f t="shared" si="100"/>
        <v>617</v>
      </c>
      <c r="L106" s="89">
        <f t="shared" si="100"/>
        <v>603</v>
      </c>
      <c r="M106" s="89">
        <f t="shared" si="100"/>
        <v>619</v>
      </c>
      <c r="N106" s="89">
        <f t="shared" si="100"/>
        <v>594</v>
      </c>
      <c r="O106" s="89">
        <f t="shared" si="100"/>
        <v>557</v>
      </c>
      <c r="P106" s="89">
        <f t="shared" si="100"/>
        <v>603</v>
      </c>
      <c r="Q106" s="89">
        <f t="shared" si="100"/>
        <v>593</v>
      </c>
      <c r="R106" s="89">
        <f t="shared" si="100"/>
        <v>593</v>
      </c>
      <c r="S106" s="89">
        <f t="shared" ref="S106" si="113">IF(S86&lt;0,S86*-1,0)</f>
        <v>598</v>
      </c>
      <c r="T106" s="89">
        <f t="shared" si="100"/>
        <v>588.79999999999995</v>
      </c>
      <c r="U106" s="89">
        <f t="shared" ref="U106:V106" si="114">IF(U86&lt;0,U86*-1,0)</f>
        <v>600</v>
      </c>
      <c r="V106" s="89">
        <f t="shared" si="114"/>
        <v>609</v>
      </c>
      <c r="W106" s="89">
        <f t="shared" ref="W106" si="115">IF(W86&lt;0,W86*-1,0)</f>
        <v>627</v>
      </c>
      <c r="X106" s="89">
        <f t="shared" si="100"/>
        <v>680</v>
      </c>
      <c r="Y106" s="89">
        <f t="shared" si="100"/>
        <v>614.6</v>
      </c>
      <c r="Z106" s="89">
        <f t="shared" si="100"/>
        <v>580</v>
      </c>
      <c r="AA106" s="89">
        <f t="shared" si="100"/>
        <v>560</v>
      </c>
      <c r="AB106" s="89">
        <f t="shared" ref="AB106:AC106" si="116">IF(AB86&lt;0,AB86*-1,0)</f>
        <v>623.9</v>
      </c>
      <c r="AC106" s="89">
        <f t="shared" si="116"/>
        <v>602.20000000000005</v>
      </c>
      <c r="AD106" s="89">
        <f t="shared" ref="AD106:AE106" si="117">IF(AD86&lt;0,AD86*-1,0)</f>
        <v>607.29999999999995</v>
      </c>
      <c r="AE106" s="89">
        <f t="shared" si="117"/>
        <v>624.70000000000005</v>
      </c>
      <c r="AF106" s="89">
        <f t="shared" ref="AF106" si="118">IF(AF86&lt;0,AF86*-1,0)</f>
        <v>639.5</v>
      </c>
      <c r="AG106" s="111"/>
      <c r="AH106" s="48">
        <f t="shared" si="48"/>
        <v>715</v>
      </c>
      <c r="AI106" s="49">
        <f t="shared" si="49"/>
        <v>557</v>
      </c>
    </row>
    <row r="107" spans="1:64" x14ac:dyDescent="0.25">
      <c r="A107" s="97" t="s">
        <v>107</v>
      </c>
      <c r="B107" s="89">
        <f t="shared" si="100"/>
        <v>0</v>
      </c>
      <c r="C107" s="89">
        <f t="shared" si="100"/>
        <v>0</v>
      </c>
      <c r="D107" s="89">
        <f t="shared" si="100"/>
        <v>0</v>
      </c>
      <c r="E107" s="89">
        <f t="shared" si="100"/>
        <v>0</v>
      </c>
      <c r="F107" s="89">
        <f t="shared" si="100"/>
        <v>0</v>
      </c>
      <c r="G107" s="89">
        <f t="shared" si="100"/>
        <v>0</v>
      </c>
      <c r="H107" s="89">
        <f t="shared" si="100"/>
        <v>0</v>
      </c>
      <c r="I107" s="89">
        <f t="shared" si="100"/>
        <v>0</v>
      </c>
      <c r="J107" s="89">
        <f t="shared" si="100"/>
        <v>0</v>
      </c>
      <c r="K107" s="89">
        <f t="shared" si="100"/>
        <v>0</v>
      </c>
      <c r="L107" s="89">
        <f t="shared" si="100"/>
        <v>0</v>
      </c>
      <c r="M107" s="89">
        <f t="shared" si="100"/>
        <v>0</v>
      </c>
      <c r="N107" s="89">
        <f t="shared" si="100"/>
        <v>0</v>
      </c>
      <c r="O107" s="89">
        <f t="shared" si="100"/>
        <v>0</v>
      </c>
      <c r="P107" s="89">
        <f t="shared" si="100"/>
        <v>0</v>
      </c>
      <c r="Q107" s="89">
        <f t="shared" si="100"/>
        <v>0</v>
      </c>
      <c r="R107" s="89">
        <f t="shared" si="100"/>
        <v>0</v>
      </c>
      <c r="S107" s="89">
        <f t="shared" ref="S107" si="119">IF(S87&lt;0,S87*-1,0)</f>
        <v>0</v>
      </c>
      <c r="T107" s="89">
        <f t="shared" si="100"/>
        <v>0</v>
      </c>
      <c r="U107" s="89">
        <f t="shared" ref="U107:V107" si="120">IF(U87&lt;0,U87*-1,0)</f>
        <v>0</v>
      </c>
      <c r="V107" s="89">
        <f t="shared" si="120"/>
        <v>0</v>
      </c>
      <c r="W107" s="89">
        <f t="shared" ref="W107" si="121">IF(W87&lt;0,W87*-1,0)</f>
        <v>0</v>
      </c>
      <c r="X107" s="89">
        <f t="shared" si="100"/>
        <v>0</v>
      </c>
      <c r="Y107" s="89">
        <f t="shared" si="100"/>
        <v>0</v>
      </c>
      <c r="Z107" s="89">
        <f t="shared" si="100"/>
        <v>0</v>
      </c>
      <c r="AA107" s="89">
        <f t="shared" si="100"/>
        <v>0</v>
      </c>
      <c r="AB107" s="89">
        <f t="shared" ref="AB107:AC107" si="122">IF(AB87&lt;0,AB87*-1,0)</f>
        <v>0</v>
      </c>
      <c r="AC107" s="89">
        <f t="shared" si="122"/>
        <v>0</v>
      </c>
      <c r="AD107" s="89">
        <f t="shared" ref="AD107:AE107" si="123">IF(AD87&lt;0,AD87*-1,0)</f>
        <v>0</v>
      </c>
      <c r="AE107" s="89">
        <f t="shared" si="123"/>
        <v>0</v>
      </c>
      <c r="AF107" s="89">
        <f t="shared" ref="AF107" si="124">IF(AF87&lt;0,AF87*-1,0)</f>
        <v>0</v>
      </c>
      <c r="AG107" s="111"/>
      <c r="AH107" s="48">
        <f t="shared" si="48"/>
        <v>0</v>
      </c>
      <c r="AI107" s="49">
        <f t="shared" si="49"/>
        <v>0</v>
      </c>
    </row>
    <row r="108" spans="1:64" x14ac:dyDescent="0.25">
      <c r="A108" s="97" t="s">
        <v>108</v>
      </c>
      <c r="B108" s="89">
        <f t="shared" si="100"/>
        <v>0</v>
      </c>
      <c r="C108" s="89">
        <f t="shared" si="100"/>
        <v>0</v>
      </c>
      <c r="D108" s="89">
        <f t="shared" si="100"/>
        <v>0</v>
      </c>
      <c r="E108" s="89">
        <f t="shared" si="100"/>
        <v>0</v>
      </c>
      <c r="F108" s="89">
        <f t="shared" si="100"/>
        <v>0</v>
      </c>
      <c r="G108" s="89">
        <f t="shared" si="100"/>
        <v>0</v>
      </c>
      <c r="H108" s="89">
        <f t="shared" si="100"/>
        <v>0</v>
      </c>
      <c r="I108" s="89">
        <f t="shared" si="100"/>
        <v>0</v>
      </c>
      <c r="J108" s="89">
        <f t="shared" si="100"/>
        <v>0</v>
      </c>
      <c r="K108" s="89">
        <f t="shared" si="100"/>
        <v>0</v>
      </c>
      <c r="L108" s="89">
        <f t="shared" si="100"/>
        <v>0</v>
      </c>
      <c r="M108" s="89">
        <f t="shared" si="100"/>
        <v>0</v>
      </c>
      <c r="N108" s="89">
        <f t="shared" si="100"/>
        <v>0</v>
      </c>
      <c r="O108" s="89">
        <f t="shared" si="100"/>
        <v>0</v>
      </c>
      <c r="P108" s="89">
        <f t="shared" si="100"/>
        <v>0</v>
      </c>
      <c r="Q108" s="89">
        <f t="shared" si="100"/>
        <v>0</v>
      </c>
      <c r="R108" s="89">
        <f t="shared" si="100"/>
        <v>0</v>
      </c>
      <c r="S108" s="89">
        <f t="shared" ref="S108" si="125">IF(S88&lt;0,S88*-1,0)</f>
        <v>0</v>
      </c>
      <c r="T108" s="89">
        <f t="shared" si="100"/>
        <v>0</v>
      </c>
      <c r="U108" s="89">
        <f t="shared" ref="U108:V108" si="126">IF(U88&lt;0,U88*-1,0)</f>
        <v>0</v>
      </c>
      <c r="V108" s="89">
        <f t="shared" si="126"/>
        <v>0</v>
      </c>
      <c r="W108" s="89">
        <f t="shared" ref="W108" si="127">IF(W88&lt;0,W88*-1,0)</f>
        <v>0</v>
      </c>
      <c r="X108" s="89">
        <f t="shared" si="100"/>
        <v>0</v>
      </c>
      <c r="Y108" s="89">
        <f t="shared" si="100"/>
        <v>0</v>
      </c>
      <c r="Z108" s="89">
        <f t="shared" si="100"/>
        <v>0</v>
      </c>
      <c r="AA108" s="89">
        <f t="shared" si="100"/>
        <v>0</v>
      </c>
      <c r="AB108" s="89">
        <f t="shared" ref="AB108:AC108" si="128">IF(AB88&lt;0,AB88*-1,0)</f>
        <v>0</v>
      </c>
      <c r="AC108" s="89">
        <f t="shared" si="128"/>
        <v>0</v>
      </c>
      <c r="AD108" s="89">
        <f t="shared" ref="AD108:AE108" si="129">IF(AD88&lt;0,AD88*-1,0)</f>
        <v>0</v>
      </c>
      <c r="AE108" s="89">
        <f t="shared" si="129"/>
        <v>0</v>
      </c>
      <c r="AF108" s="89">
        <f t="shared" ref="AF108" si="130">IF(AF88&lt;0,AF88*-1,0)</f>
        <v>0</v>
      </c>
      <c r="AG108" s="111"/>
      <c r="AH108" s="48">
        <f t="shared" si="48"/>
        <v>0</v>
      </c>
      <c r="AI108" s="49">
        <f t="shared" si="49"/>
        <v>0</v>
      </c>
    </row>
    <row r="109" spans="1:64" ht="15.75" thickBot="1" x14ac:dyDescent="0.3">
      <c r="A109" s="97" t="s">
        <v>117</v>
      </c>
      <c r="B109" s="89">
        <f t="shared" si="100"/>
        <v>0</v>
      </c>
      <c r="C109" s="89">
        <f t="shared" si="100"/>
        <v>0</v>
      </c>
      <c r="D109" s="89">
        <f t="shared" si="100"/>
        <v>0</v>
      </c>
      <c r="E109" s="89">
        <f t="shared" si="100"/>
        <v>0</v>
      </c>
      <c r="F109" s="89">
        <f t="shared" si="100"/>
        <v>0</v>
      </c>
      <c r="G109" s="89">
        <f t="shared" si="100"/>
        <v>0</v>
      </c>
      <c r="H109" s="89">
        <f t="shared" si="100"/>
        <v>0</v>
      </c>
      <c r="I109" s="89">
        <f t="shared" si="100"/>
        <v>0</v>
      </c>
      <c r="J109" s="89">
        <f t="shared" si="100"/>
        <v>0</v>
      </c>
      <c r="K109" s="89">
        <f t="shared" si="100"/>
        <v>0</v>
      </c>
      <c r="L109" s="89">
        <f t="shared" si="100"/>
        <v>0</v>
      </c>
      <c r="M109" s="89">
        <f t="shared" si="100"/>
        <v>0</v>
      </c>
      <c r="N109" s="89">
        <f t="shared" si="100"/>
        <v>0</v>
      </c>
      <c r="O109" s="89">
        <f t="shared" si="100"/>
        <v>0</v>
      </c>
      <c r="P109" s="89">
        <f t="shared" si="100"/>
        <v>0</v>
      </c>
      <c r="Q109" s="89">
        <f t="shared" si="100"/>
        <v>0</v>
      </c>
      <c r="R109" s="89">
        <f t="shared" si="100"/>
        <v>0</v>
      </c>
      <c r="S109" s="89">
        <f t="shared" ref="S109" si="131">IF(S89&lt;0,S89*-1,0)</f>
        <v>0</v>
      </c>
      <c r="T109" s="89">
        <f t="shared" si="100"/>
        <v>0</v>
      </c>
      <c r="U109" s="89">
        <f t="shared" ref="U109:V109" si="132">IF(U89&lt;0,U89*-1,0)</f>
        <v>0</v>
      </c>
      <c r="V109" s="89">
        <f t="shared" si="132"/>
        <v>0</v>
      </c>
      <c r="W109" s="89">
        <f t="shared" ref="W109" si="133">IF(W89&lt;0,W89*-1,0)</f>
        <v>0</v>
      </c>
      <c r="X109" s="89">
        <f t="shared" si="100"/>
        <v>0</v>
      </c>
      <c r="Y109" s="89">
        <f t="shared" si="100"/>
        <v>0</v>
      </c>
      <c r="Z109" s="89">
        <f t="shared" si="100"/>
        <v>0</v>
      </c>
      <c r="AA109" s="89">
        <f t="shared" si="100"/>
        <v>0</v>
      </c>
      <c r="AB109" s="89">
        <f t="shared" ref="AB109:AC109" si="134">IF(AB89&lt;0,AB89*-1,0)</f>
        <v>0</v>
      </c>
      <c r="AC109" s="89">
        <f t="shared" si="134"/>
        <v>0</v>
      </c>
      <c r="AD109" s="89">
        <f t="shared" ref="AD109:AE109" si="135">IF(AD89&lt;0,AD89*-1,0)</f>
        <v>0</v>
      </c>
      <c r="AE109" s="89">
        <f t="shared" si="135"/>
        <v>0</v>
      </c>
      <c r="AF109" s="89">
        <f t="shared" ref="AF109" si="136">IF(AF89&lt;0,AF89*-1,0)</f>
        <v>0</v>
      </c>
      <c r="AG109" s="98"/>
      <c r="AH109" s="48">
        <f t="shared" si="48"/>
        <v>0</v>
      </c>
      <c r="AI109" s="49">
        <f t="shared" si="49"/>
        <v>0</v>
      </c>
    </row>
    <row r="110" spans="1:64" ht="15.75" thickBot="1" x14ac:dyDescent="0.3">
      <c r="A110" s="112" t="s">
        <v>130</v>
      </c>
      <c r="B110" s="71">
        <f>SUM(B104:B109)</f>
        <v>726.8</v>
      </c>
      <c r="C110" s="71">
        <f t="shared" ref="C110:AA110" si="137">SUM(C104:C109)</f>
        <v>744</v>
      </c>
      <c r="D110" s="71">
        <f t="shared" si="137"/>
        <v>736.5</v>
      </c>
      <c r="E110" s="71">
        <f t="shared" si="137"/>
        <v>717</v>
      </c>
      <c r="F110" s="71">
        <f t="shared" si="137"/>
        <v>748</v>
      </c>
      <c r="G110" s="71">
        <f t="shared" si="137"/>
        <v>704</v>
      </c>
      <c r="H110" s="71">
        <f t="shared" si="137"/>
        <v>666</v>
      </c>
      <c r="I110" s="71">
        <f t="shared" si="137"/>
        <v>688</v>
      </c>
      <c r="J110" s="71">
        <f t="shared" si="137"/>
        <v>683.7</v>
      </c>
      <c r="K110" s="71">
        <f t="shared" si="137"/>
        <v>675</v>
      </c>
      <c r="L110" s="71">
        <f t="shared" si="137"/>
        <v>663</v>
      </c>
      <c r="M110" s="71">
        <f t="shared" si="137"/>
        <v>640</v>
      </c>
      <c r="N110" s="71">
        <f t="shared" si="137"/>
        <v>654</v>
      </c>
      <c r="O110" s="71">
        <f t="shared" si="137"/>
        <v>593</v>
      </c>
      <c r="P110" s="71">
        <f t="shared" si="137"/>
        <v>633</v>
      </c>
      <c r="Q110" s="71">
        <f t="shared" si="137"/>
        <v>618</v>
      </c>
      <c r="R110" s="71">
        <f t="shared" si="137"/>
        <v>618</v>
      </c>
      <c r="S110" s="71">
        <f t="shared" ref="S110" si="138">SUM(S104:S109)</f>
        <v>646</v>
      </c>
      <c r="T110" s="71">
        <f t="shared" si="137"/>
        <v>631.79999999999995</v>
      </c>
      <c r="U110" s="71">
        <f t="shared" ref="U110:V110" si="139">SUM(U104:U109)</f>
        <v>610</v>
      </c>
      <c r="V110" s="71">
        <f t="shared" si="139"/>
        <v>609</v>
      </c>
      <c r="W110" s="71">
        <f t="shared" ref="W110" si="140">SUM(W104:W109)</f>
        <v>627</v>
      </c>
      <c r="X110" s="71">
        <f t="shared" si="137"/>
        <v>681</v>
      </c>
      <c r="Y110" s="71">
        <f t="shared" si="137"/>
        <v>640.6</v>
      </c>
      <c r="Z110" s="71">
        <f t="shared" si="137"/>
        <v>595</v>
      </c>
      <c r="AA110" s="71">
        <f t="shared" si="137"/>
        <v>578</v>
      </c>
      <c r="AB110" s="71">
        <f t="shared" ref="AB110:AC110" si="141">SUM(AB104:AB109)</f>
        <v>635.5</v>
      </c>
      <c r="AC110" s="71">
        <f t="shared" si="141"/>
        <v>620.90000000000009</v>
      </c>
      <c r="AD110" s="71">
        <f t="shared" ref="AD110:AE110" si="142">SUM(AD104:AD109)</f>
        <v>616.29999999999995</v>
      </c>
      <c r="AE110" s="71">
        <f t="shared" si="142"/>
        <v>648.80000000000007</v>
      </c>
      <c r="AF110" s="71">
        <f t="shared" ref="AF110" si="143">SUM(AF104:AF109)</f>
        <v>671</v>
      </c>
      <c r="AG110" s="101"/>
      <c r="AH110" s="48">
        <f t="shared" si="48"/>
        <v>748</v>
      </c>
      <c r="AI110" s="49">
        <f t="shared" si="49"/>
        <v>578</v>
      </c>
    </row>
    <row r="111" spans="1:64" ht="15.75" thickBot="1" x14ac:dyDescent="0.3">
      <c r="A111" s="87" t="s">
        <v>131</v>
      </c>
      <c r="B111" s="71">
        <f t="shared" ref="B111:AA111" si="144">B95-B110</f>
        <v>-726.8</v>
      </c>
      <c r="C111" s="71">
        <f t="shared" si="144"/>
        <v>-744</v>
      </c>
      <c r="D111" s="71">
        <f t="shared" si="144"/>
        <v>-736.5</v>
      </c>
      <c r="E111" s="71">
        <f t="shared" si="144"/>
        <v>-717</v>
      </c>
      <c r="F111" s="71">
        <f t="shared" si="144"/>
        <v>-748</v>
      </c>
      <c r="G111" s="71">
        <f t="shared" si="144"/>
        <v>-704</v>
      </c>
      <c r="H111" s="71">
        <f t="shared" si="144"/>
        <v>-645.5</v>
      </c>
      <c r="I111" s="71">
        <f t="shared" si="144"/>
        <v>-688</v>
      </c>
      <c r="J111" s="71">
        <f t="shared" si="144"/>
        <v>-683.7</v>
      </c>
      <c r="K111" s="71">
        <f t="shared" si="144"/>
        <v>-675</v>
      </c>
      <c r="L111" s="71">
        <f t="shared" si="144"/>
        <v>-663</v>
      </c>
      <c r="M111" s="71">
        <f t="shared" si="144"/>
        <v>-640</v>
      </c>
      <c r="N111" s="71">
        <f t="shared" si="144"/>
        <v>-654</v>
      </c>
      <c r="O111" s="71">
        <f t="shared" si="144"/>
        <v>-593</v>
      </c>
      <c r="P111" s="71">
        <f t="shared" si="144"/>
        <v>-633</v>
      </c>
      <c r="Q111" s="71">
        <f t="shared" si="144"/>
        <v>-618</v>
      </c>
      <c r="R111" s="71">
        <f t="shared" si="144"/>
        <v>-618</v>
      </c>
      <c r="S111" s="71">
        <f t="shared" ref="S111" si="145">S95-S110</f>
        <v>-646</v>
      </c>
      <c r="T111" s="71">
        <f t="shared" si="144"/>
        <v>-631.79999999999995</v>
      </c>
      <c r="U111" s="71">
        <f t="shared" ref="U111:V111" si="146">U95-U110</f>
        <v>-610</v>
      </c>
      <c r="V111" s="71">
        <f t="shared" si="146"/>
        <v>-596</v>
      </c>
      <c r="W111" s="71">
        <f t="shared" ref="W111" si="147">W95-W110</f>
        <v>-612</v>
      </c>
      <c r="X111" s="71">
        <f t="shared" si="144"/>
        <v>-681</v>
      </c>
      <c r="Y111" s="71">
        <f t="shared" si="144"/>
        <v>-640.6</v>
      </c>
      <c r="Z111" s="71">
        <f t="shared" si="144"/>
        <v>-595</v>
      </c>
      <c r="AA111" s="71">
        <f t="shared" si="144"/>
        <v>-578</v>
      </c>
      <c r="AB111" s="71">
        <f t="shared" ref="AB111:AC111" si="148">AB95-AB110</f>
        <v>-635.5</v>
      </c>
      <c r="AC111" s="71">
        <f t="shared" si="148"/>
        <v>-620.90000000000009</v>
      </c>
      <c r="AD111" s="71">
        <f t="shared" ref="AD111:AE111" si="149">AD95-AD110</f>
        <v>-616.29999999999995</v>
      </c>
      <c r="AE111" s="71">
        <f t="shared" si="149"/>
        <v>-648.80000000000007</v>
      </c>
      <c r="AF111" s="71">
        <f t="shared" ref="AF111" si="150">AF95-AF110</f>
        <v>-671</v>
      </c>
      <c r="AG111" s="101"/>
      <c r="AH111" s="48">
        <f t="shared" si="48"/>
        <v>-578</v>
      </c>
      <c r="AI111" s="49">
        <f t="shared" si="49"/>
        <v>-748</v>
      </c>
    </row>
    <row r="112" spans="1:64" x14ac:dyDescent="0.25">
      <c r="A112" s="113" t="s">
        <v>132</v>
      </c>
      <c r="B112" s="114">
        <v>49.994999999999997</v>
      </c>
      <c r="C112" s="114">
        <v>50.012999999999998</v>
      </c>
      <c r="D112" s="114">
        <v>49.945</v>
      </c>
      <c r="E112" s="114">
        <v>50.014000000000003</v>
      </c>
      <c r="F112" s="114">
        <v>49.973999999999997</v>
      </c>
      <c r="G112" s="114">
        <v>49.973999999999997</v>
      </c>
      <c r="H112" s="114">
        <v>49.972000000000001</v>
      </c>
      <c r="I112" s="114">
        <v>50.027000000000001</v>
      </c>
      <c r="J112" s="114">
        <v>50.027000000000001</v>
      </c>
      <c r="K112" s="114">
        <v>50.027000000000001</v>
      </c>
      <c r="L112" s="114">
        <v>50.03</v>
      </c>
      <c r="M112" s="114">
        <v>50.027000000000001</v>
      </c>
      <c r="N112" s="114">
        <v>50</v>
      </c>
      <c r="O112" s="114">
        <v>49.966000000000001</v>
      </c>
      <c r="P112" s="114">
        <v>49.930999999999997</v>
      </c>
      <c r="Q112" s="114">
        <v>50.042000000000002</v>
      </c>
      <c r="R112" s="114">
        <v>50.040999999999997</v>
      </c>
      <c r="S112" s="114">
        <v>50.06</v>
      </c>
      <c r="T112" s="114">
        <v>50.036000000000001</v>
      </c>
      <c r="U112" s="114">
        <v>49.99</v>
      </c>
      <c r="V112" s="114">
        <v>49.97</v>
      </c>
      <c r="W112" s="114">
        <v>49.98</v>
      </c>
      <c r="X112" s="114">
        <v>49.95</v>
      </c>
      <c r="Y112" s="114">
        <v>49.997</v>
      </c>
      <c r="Z112" s="114">
        <v>49.811999999999998</v>
      </c>
      <c r="AA112" s="114">
        <v>49.966999999999999</v>
      </c>
      <c r="AB112" s="114">
        <v>50.03</v>
      </c>
      <c r="AC112" s="114">
        <v>49.99</v>
      </c>
      <c r="AD112" s="114">
        <v>49.96</v>
      </c>
      <c r="AE112" s="114">
        <v>49.94</v>
      </c>
      <c r="AF112" s="114">
        <v>49.94</v>
      </c>
      <c r="AG112" s="115"/>
      <c r="AH112" s="48">
        <f t="shared" si="48"/>
        <v>50.06</v>
      </c>
      <c r="AI112" s="49">
        <f t="shared" si="49"/>
        <v>49.811999999999998</v>
      </c>
    </row>
    <row r="113" spans="1:35" x14ac:dyDescent="0.25">
      <c r="A113" s="116" t="s">
        <v>133</v>
      </c>
      <c r="B113" s="76">
        <v>121.3</v>
      </c>
      <c r="C113" s="76">
        <v>122.8</v>
      </c>
      <c r="D113" s="76">
        <v>121.5</v>
      </c>
      <c r="E113" s="76">
        <v>125.1</v>
      </c>
      <c r="F113" s="76">
        <v>124.6</v>
      </c>
      <c r="G113" s="76">
        <v>124.6</v>
      </c>
      <c r="H113" s="76">
        <v>124.5</v>
      </c>
      <c r="I113" s="76">
        <v>124.3</v>
      </c>
      <c r="J113" s="76">
        <v>124.3</v>
      </c>
      <c r="K113" s="76">
        <v>124.3</v>
      </c>
      <c r="L113" s="76">
        <v>121.8</v>
      </c>
      <c r="M113" s="76">
        <v>121.5</v>
      </c>
      <c r="N113" s="76">
        <v>118</v>
      </c>
      <c r="O113" s="76">
        <v>119</v>
      </c>
      <c r="P113" s="76">
        <v>123.3</v>
      </c>
      <c r="Q113" s="76">
        <v>122.7</v>
      </c>
      <c r="R113" s="76">
        <v>121.1</v>
      </c>
      <c r="S113" s="76">
        <v>121.1</v>
      </c>
      <c r="T113" s="76">
        <v>120.7</v>
      </c>
      <c r="U113" s="76">
        <v>121.5</v>
      </c>
      <c r="V113" s="76">
        <v>121.5</v>
      </c>
      <c r="W113" s="76">
        <v>121.5</v>
      </c>
      <c r="X113" s="76">
        <v>121.3</v>
      </c>
      <c r="Y113" s="76">
        <v>120.7</v>
      </c>
      <c r="Z113" s="76">
        <v>120.3</v>
      </c>
      <c r="AA113" s="76">
        <v>123.4</v>
      </c>
      <c r="AB113" s="76">
        <v>125.1</v>
      </c>
      <c r="AC113" s="76">
        <v>123.9</v>
      </c>
      <c r="AD113" s="76">
        <v>122.2</v>
      </c>
      <c r="AE113" s="76">
        <v>120.8</v>
      </c>
      <c r="AF113" s="76">
        <v>120.8</v>
      </c>
      <c r="AG113" s="117"/>
      <c r="AH113" s="48">
        <f t="shared" si="48"/>
        <v>125.1</v>
      </c>
      <c r="AI113" s="49">
        <f t="shared" si="49"/>
        <v>118</v>
      </c>
    </row>
    <row r="114" spans="1:35" x14ac:dyDescent="0.25">
      <c r="A114" s="116" t="s">
        <v>134</v>
      </c>
      <c r="B114" s="76">
        <v>126.5</v>
      </c>
      <c r="C114" s="76">
        <v>127.8</v>
      </c>
      <c r="D114" s="76">
        <v>127.1</v>
      </c>
      <c r="E114" s="76">
        <v>129.19999999999999</v>
      </c>
      <c r="F114" s="76">
        <v>128.5</v>
      </c>
      <c r="G114" s="76">
        <v>128.5</v>
      </c>
      <c r="H114" s="76">
        <v>128.6</v>
      </c>
      <c r="I114" s="76">
        <v>128.19999999999999</v>
      </c>
      <c r="J114" s="76">
        <v>128.19999999999999</v>
      </c>
      <c r="K114" s="76">
        <v>128.19999999999999</v>
      </c>
      <c r="L114" s="76">
        <v>125.3</v>
      </c>
      <c r="M114" s="76">
        <v>125.3</v>
      </c>
      <c r="N114" s="76">
        <v>123</v>
      </c>
      <c r="O114" s="76">
        <v>123.2</v>
      </c>
      <c r="P114" s="76">
        <v>126.8</v>
      </c>
      <c r="Q114" s="76">
        <v>126.2</v>
      </c>
      <c r="R114" s="76">
        <v>125.9</v>
      </c>
      <c r="S114" s="76">
        <v>125.9</v>
      </c>
      <c r="T114" s="76">
        <v>124.7</v>
      </c>
      <c r="U114" s="76">
        <v>125</v>
      </c>
      <c r="V114" s="76">
        <v>125</v>
      </c>
      <c r="W114" s="76">
        <v>125</v>
      </c>
      <c r="X114" s="76">
        <v>125.5</v>
      </c>
      <c r="Y114" s="76">
        <v>124.4</v>
      </c>
      <c r="Z114" s="76">
        <v>124.4</v>
      </c>
      <c r="AA114" s="76">
        <v>126.6</v>
      </c>
      <c r="AB114" s="76">
        <v>128.30000000000001</v>
      </c>
      <c r="AC114" s="76">
        <v>127.7</v>
      </c>
      <c r="AD114" s="76">
        <v>126.5</v>
      </c>
      <c r="AE114" s="76">
        <v>126.6</v>
      </c>
      <c r="AF114" s="76">
        <v>126.6</v>
      </c>
      <c r="AG114" s="117"/>
      <c r="AH114" s="48">
        <f t="shared" si="48"/>
        <v>129.19999999999999</v>
      </c>
      <c r="AI114" s="49">
        <f t="shared" si="49"/>
        <v>123</v>
      </c>
    </row>
    <row r="115" spans="1:35" x14ac:dyDescent="0.25">
      <c r="A115" s="116" t="s">
        <v>135</v>
      </c>
      <c r="B115" s="76">
        <v>128.4</v>
      </c>
      <c r="C115" s="76">
        <v>129.4</v>
      </c>
      <c r="D115" s="76">
        <v>129</v>
      </c>
      <c r="E115" s="76">
        <v>129.6</v>
      </c>
      <c r="F115" s="76">
        <v>129.9</v>
      </c>
      <c r="G115" s="76">
        <v>129.9</v>
      </c>
      <c r="H115" s="76">
        <v>130.5</v>
      </c>
      <c r="I115" s="76">
        <v>130.30000000000001</v>
      </c>
      <c r="J115" s="76">
        <v>130.30000000000001</v>
      </c>
      <c r="K115" s="76">
        <v>130.30000000000001</v>
      </c>
      <c r="L115" s="76">
        <v>129.19999999999999</v>
      </c>
      <c r="M115" s="76">
        <v>127.7</v>
      </c>
      <c r="N115" s="76">
        <v>128</v>
      </c>
      <c r="O115" s="76">
        <v>129</v>
      </c>
      <c r="P115" s="76">
        <v>130.19999999999999</v>
      </c>
      <c r="Q115" s="76">
        <v>130.19999999999999</v>
      </c>
      <c r="R115" s="76">
        <v>130</v>
      </c>
      <c r="S115" s="76">
        <v>130</v>
      </c>
      <c r="T115" s="76">
        <v>126.8</v>
      </c>
      <c r="U115" s="76">
        <v>128</v>
      </c>
      <c r="V115" s="76">
        <v>128</v>
      </c>
      <c r="W115" s="76">
        <v>130</v>
      </c>
      <c r="X115" s="76">
        <v>130.4</v>
      </c>
      <c r="Y115" s="76">
        <v>130.1</v>
      </c>
      <c r="Z115" s="76">
        <v>129.6</v>
      </c>
      <c r="AA115" s="76">
        <v>129.19999999999999</v>
      </c>
      <c r="AB115" s="76">
        <v>129.19999999999999</v>
      </c>
      <c r="AC115" s="76">
        <v>129</v>
      </c>
      <c r="AD115" s="76">
        <v>128.80000000000001</v>
      </c>
      <c r="AE115" s="76">
        <v>128.4</v>
      </c>
      <c r="AF115" s="76">
        <v>128.4</v>
      </c>
      <c r="AG115" s="117"/>
      <c r="AH115" s="48">
        <f t="shared" si="48"/>
        <v>130.5</v>
      </c>
      <c r="AI115" s="49">
        <f t="shared" si="49"/>
        <v>126.8</v>
      </c>
    </row>
    <row r="116" spans="1:35" x14ac:dyDescent="0.25">
      <c r="A116" s="118" t="s">
        <v>136</v>
      </c>
      <c r="B116" s="76">
        <v>130.4</v>
      </c>
      <c r="C116" s="76">
        <v>131.19999999999999</v>
      </c>
      <c r="D116" s="76">
        <v>130.9</v>
      </c>
      <c r="E116" s="76">
        <v>132.4</v>
      </c>
      <c r="F116" s="76">
        <v>132.69999999999999</v>
      </c>
      <c r="G116" s="76">
        <v>132.69999999999999</v>
      </c>
      <c r="H116" s="76">
        <v>133.1</v>
      </c>
      <c r="I116" s="76">
        <v>132.9</v>
      </c>
      <c r="J116" s="76">
        <v>132.9</v>
      </c>
      <c r="K116" s="76">
        <v>132.9</v>
      </c>
      <c r="L116" s="76">
        <v>129.6</v>
      </c>
      <c r="M116" s="76">
        <v>127.9</v>
      </c>
      <c r="N116" s="76">
        <v>132.6</v>
      </c>
      <c r="O116" s="76">
        <v>132.1</v>
      </c>
      <c r="P116" s="76">
        <v>133.80000000000001</v>
      </c>
      <c r="Q116" s="76">
        <v>131.69999999999999</v>
      </c>
      <c r="R116" s="76">
        <v>131.80000000000001</v>
      </c>
      <c r="S116" s="76">
        <v>131.80000000000001</v>
      </c>
      <c r="T116" s="76">
        <v>127.5</v>
      </c>
      <c r="U116" s="76">
        <v>128.69999999999999</v>
      </c>
      <c r="V116" s="76">
        <v>128.69999999999999</v>
      </c>
      <c r="W116" s="76">
        <v>130</v>
      </c>
      <c r="X116" s="76">
        <v>130.4</v>
      </c>
      <c r="Y116" s="76">
        <v>130.4</v>
      </c>
      <c r="Z116" s="76">
        <v>128.69999999999999</v>
      </c>
      <c r="AA116" s="76">
        <v>128.69999999999999</v>
      </c>
      <c r="AB116" s="76">
        <v>131.80000000000001</v>
      </c>
      <c r="AC116" s="76">
        <v>131.19999999999999</v>
      </c>
      <c r="AD116" s="76">
        <v>129.30000000000001</v>
      </c>
      <c r="AE116" s="76">
        <v>129.9</v>
      </c>
      <c r="AF116" s="76">
        <v>129.9</v>
      </c>
      <c r="AG116" s="117"/>
      <c r="AH116" s="48">
        <f t="shared" si="48"/>
        <v>133.80000000000001</v>
      </c>
      <c r="AI116" s="49">
        <f t="shared" si="49"/>
        <v>127.5</v>
      </c>
    </row>
    <row r="117" spans="1:35" x14ac:dyDescent="0.25">
      <c r="A117" s="118" t="s">
        <v>137</v>
      </c>
      <c r="B117" s="119">
        <v>129.5</v>
      </c>
      <c r="C117" s="119">
        <v>133.5</v>
      </c>
      <c r="D117" s="119">
        <v>131.69999999999999</v>
      </c>
      <c r="E117" s="119">
        <v>132</v>
      </c>
      <c r="F117" s="119">
        <v>130.69999999999999</v>
      </c>
      <c r="G117" s="119">
        <v>130.69999999999999</v>
      </c>
      <c r="H117" s="119">
        <v>134.5</v>
      </c>
      <c r="I117" s="119">
        <v>133.4</v>
      </c>
      <c r="J117" s="119">
        <v>133.4</v>
      </c>
      <c r="K117" s="119">
        <v>133.4</v>
      </c>
      <c r="L117" s="119">
        <v>133.19999999999999</v>
      </c>
      <c r="M117" s="119">
        <v>133</v>
      </c>
      <c r="N117" s="119">
        <v>132.30000000000001</v>
      </c>
      <c r="O117" s="119">
        <v>131.19999999999999</v>
      </c>
      <c r="P117" s="119">
        <v>131.5</v>
      </c>
      <c r="Q117" s="119">
        <v>131.19999999999999</v>
      </c>
      <c r="R117" s="119">
        <v>134.6</v>
      </c>
      <c r="S117" s="119">
        <v>134.6</v>
      </c>
      <c r="T117" s="119">
        <v>132.80000000000001</v>
      </c>
      <c r="U117" s="119">
        <v>133</v>
      </c>
      <c r="V117" s="119">
        <v>133</v>
      </c>
      <c r="W117" s="119">
        <v>134</v>
      </c>
      <c r="X117" s="119">
        <v>136</v>
      </c>
      <c r="Y117" s="119">
        <v>136</v>
      </c>
      <c r="Z117" s="119">
        <v>133.19999999999999</v>
      </c>
      <c r="AA117" s="119">
        <v>133.1</v>
      </c>
      <c r="AB117" s="119">
        <v>134.6</v>
      </c>
      <c r="AC117" s="119">
        <v>133.9</v>
      </c>
      <c r="AD117" s="119">
        <v>134</v>
      </c>
      <c r="AE117" s="119">
        <v>132.19999999999999</v>
      </c>
      <c r="AF117" s="119">
        <v>132.19999999999999</v>
      </c>
      <c r="AG117" s="120"/>
      <c r="AH117" s="48">
        <f t="shared" si="48"/>
        <v>136</v>
      </c>
      <c r="AI117" s="49">
        <f t="shared" si="49"/>
        <v>129.5</v>
      </c>
    </row>
    <row r="118" spans="1:35" x14ac:dyDescent="0.25">
      <c r="A118" s="116" t="s">
        <v>138</v>
      </c>
      <c r="B118" s="76">
        <v>127.7</v>
      </c>
      <c r="C118" s="76">
        <v>129.4</v>
      </c>
      <c r="D118" s="76">
        <v>131.80000000000001</v>
      </c>
      <c r="E118" s="76">
        <v>131.19999999999999</v>
      </c>
      <c r="F118" s="76">
        <v>125.7</v>
      </c>
      <c r="G118" s="76">
        <v>125.7</v>
      </c>
      <c r="H118" s="76">
        <v>132.19999999999999</v>
      </c>
      <c r="I118" s="76">
        <v>130.4</v>
      </c>
      <c r="J118" s="76">
        <v>130.4</v>
      </c>
      <c r="K118" s="76">
        <v>130.4</v>
      </c>
      <c r="L118" s="76">
        <v>132.5</v>
      </c>
      <c r="M118" s="76">
        <v>131.19999999999999</v>
      </c>
      <c r="N118" s="76">
        <v>133.6</v>
      </c>
      <c r="O118" s="76">
        <v>126</v>
      </c>
      <c r="P118" s="76">
        <v>133.1</v>
      </c>
      <c r="Q118" s="76">
        <v>133.9</v>
      </c>
      <c r="R118" s="76">
        <v>132.69999999999999</v>
      </c>
      <c r="S118" s="76">
        <v>132.69999999999999</v>
      </c>
      <c r="T118" s="76">
        <v>128.1</v>
      </c>
      <c r="U118" s="76">
        <v>133</v>
      </c>
      <c r="V118" s="76">
        <v>133</v>
      </c>
      <c r="W118" s="76">
        <v>128</v>
      </c>
      <c r="X118" s="76">
        <v>126.3</v>
      </c>
      <c r="Y118" s="76">
        <v>126.3</v>
      </c>
      <c r="Z118" s="76">
        <v>126.4</v>
      </c>
      <c r="AA118" s="76">
        <v>122.4</v>
      </c>
      <c r="AB118" s="76">
        <v>129</v>
      </c>
      <c r="AC118" s="76">
        <v>131.1</v>
      </c>
      <c r="AD118" s="76">
        <v>123.8</v>
      </c>
      <c r="AE118" s="76">
        <v>131.30000000000001</v>
      </c>
      <c r="AF118" s="76">
        <v>131.30000000000001</v>
      </c>
      <c r="AG118" s="117"/>
      <c r="AH118" s="48">
        <f t="shared" si="48"/>
        <v>133.9</v>
      </c>
      <c r="AI118" s="49">
        <f t="shared" si="49"/>
        <v>122.4</v>
      </c>
    </row>
    <row r="119" spans="1:35" ht="15.75" thickBot="1" x14ac:dyDescent="0.3">
      <c r="A119" s="116" t="s">
        <v>139</v>
      </c>
      <c r="B119" s="105">
        <v>63.7</v>
      </c>
      <c r="C119" s="105">
        <v>64.599999999999994</v>
      </c>
      <c r="D119" s="105">
        <v>64.099999999999994</v>
      </c>
      <c r="E119" s="105">
        <v>65.2</v>
      </c>
      <c r="F119" s="105">
        <v>64.900000000000006</v>
      </c>
      <c r="G119" s="105">
        <v>64.900000000000006</v>
      </c>
      <c r="H119" s="105">
        <v>64.8</v>
      </c>
      <c r="I119" s="105">
        <v>64.400000000000006</v>
      </c>
      <c r="J119" s="105">
        <v>64.400000000000006</v>
      </c>
      <c r="K119" s="105">
        <v>64.400000000000006</v>
      </c>
      <c r="L119" s="105">
        <v>63.2</v>
      </c>
      <c r="M119" s="105">
        <v>63.2</v>
      </c>
      <c r="N119" s="105">
        <v>62.2</v>
      </c>
      <c r="O119" s="105">
        <v>62.4</v>
      </c>
      <c r="P119" s="105">
        <v>64.2</v>
      </c>
      <c r="Q119" s="105">
        <v>63.9</v>
      </c>
      <c r="R119" s="105">
        <v>63.7</v>
      </c>
      <c r="S119" s="105">
        <v>63.7</v>
      </c>
      <c r="T119" s="105">
        <v>62.8</v>
      </c>
      <c r="U119" s="105">
        <v>63.2</v>
      </c>
      <c r="V119" s="105">
        <v>63.2</v>
      </c>
      <c r="W119" s="105">
        <v>63.2</v>
      </c>
      <c r="X119" s="105">
        <v>63.2</v>
      </c>
      <c r="Y119" s="105">
        <v>63.2</v>
      </c>
      <c r="Z119" s="105">
        <v>62.6</v>
      </c>
      <c r="AA119" s="105">
        <v>64.3</v>
      </c>
      <c r="AB119" s="105">
        <v>64.8</v>
      </c>
      <c r="AC119" s="105">
        <v>64.599999999999994</v>
      </c>
      <c r="AD119" s="105">
        <v>63.8</v>
      </c>
      <c r="AE119" s="105">
        <v>63.5</v>
      </c>
      <c r="AF119" s="105">
        <v>63.5</v>
      </c>
      <c r="AG119" s="121"/>
      <c r="AH119" s="48">
        <f t="shared" si="48"/>
        <v>65.2</v>
      </c>
      <c r="AI119" s="49">
        <f t="shared" si="49"/>
        <v>62.2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8"/>
        <v>0</v>
      </c>
      <c r="AI120" s="49">
        <f t="shared" si="49"/>
        <v>0</v>
      </c>
    </row>
    <row r="121" spans="1:35" ht="15.75" thickBot="1" x14ac:dyDescent="0.3">
      <c r="A121" s="123" t="s">
        <v>141</v>
      </c>
      <c r="B121" s="124">
        <f t="shared" ref="B121:O121" si="151">SUM(B25,B31,B34:B35,B69,B71:B72,B74,B76,B122:B126,B158,B164,B170,B179,B181,B193,B200,B203:B204,B211,B213,B215,B219:B221,B223:B225,B230,B236:B237,B239:B241,B249,B254)</f>
        <v>105.64</v>
      </c>
      <c r="C121" s="124">
        <f t="shared" si="151"/>
        <v>94.439999999999969</v>
      </c>
      <c r="D121" s="124">
        <f t="shared" si="151"/>
        <v>83.740000000000038</v>
      </c>
      <c r="E121" s="124">
        <f t="shared" si="151"/>
        <v>150.54000000000002</v>
      </c>
      <c r="F121" s="124">
        <f t="shared" si="151"/>
        <v>124.33999999999999</v>
      </c>
      <c r="G121" s="124">
        <f t="shared" si="151"/>
        <v>68.94</v>
      </c>
      <c r="H121" s="124">
        <f t="shared" si="151"/>
        <v>59.640000000000022</v>
      </c>
      <c r="I121" s="124">
        <f t="shared" si="151"/>
        <v>64.739999999999995</v>
      </c>
      <c r="J121" s="124">
        <f t="shared" si="151"/>
        <v>143.24</v>
      </c>
      <c r="K121" s="124">
        <f t="shared" si="151"/>
        <v>85.179999999999993</v>
      </c>
      <c r="L121" s="124">
        <f t="shared" si="151"/>
        <v>158.83999999999997</v>
      </c>
      <c r="M121" s="124">
        <f t="shared" si="151"/>
        <v>178.84000000000003</v>
      </c>
      <c r="N121" s="124">
        <f t="shared" si="151"/>
        <v>225.64</v>
      </c>
      <c r="O121" s="124">
        <f t="shared" si="151"/>
        <v>340.84000000000003</v>
      </c>
      <c r="P121" s="124">
        <v>42</v>
      </c>
      <c r="Q121" s="124">
        <f t="shared" ref="Q121:X121" si="152">SUM(Q25,Q31,Q34:Q35,Q69,Q71:Q72,Q74,Q76,Q122:Q126,Q158,Q164,Q170,Q179,Q181,Q193,Q200,Q203:Q204,Q211,Q213,Q215,Q219:Q221,Q223:Q225,Q230,Q236:Q237,Q239:Q241,Q249,Q254)</f>
        <v>138.84</v>
      </c>
      <c r="R121" s="124">
        <f t="shared" si="152"/>
        <v>110.44</v>
      </c>
      <c r="S121" s="124">
        <f t="shared" ref="S121" si="153">SUM(S25,S31,S34:S35,S69,S71:S72,S74,S76,S122:S126,S158,S164,S170,S179,S181,S193,S200,S203:S204,S211,S213,S215,S219:S221,S223:S225,S230,S236:S237,S239:S241,S249,S254)</f>
        <v>110.44</v>
      </c>
      <c r="T121" s="124">
        <f t="shared" si="152"/>
        <v>127.73999999999998</v>
      </c>
      <c r="U121" s="124">
        <f t="shared" ref="U121:V121" si="154">SUM(U25,U31,U34:U35,U69,U71:U72,U74,U76,U122:U126,U158,U164,U170,U179,U181,U193,U200,U203:U204,U211,U213,U215,U219:U221,U223:U225,U230,U236:U237,U239:U241,U249,U254)</f>
        <v>124.03999999999999</v>
      </c>
      <c r="V121" s="124">
        <f t="shared" si="154"/>
        <v>141.04</v>
      </c>
      <c r="W121" s="124">
        <f t="shared" ref="W121" si="155">SUM(W25,W31,W34:W35,W69,W71:W72,W74,W76,W122:W126,W158,W164,W170,W179,W181,W193,W200,W203:W204,W211,W213,W215,W219:W221,W223:W225,W230,W236:W237,W239:W241,W249,W254)</f>
        <v>128.04000000000002</v>
      </c>
      <c r="X121" s="124">
        <f t="shared" si="152"/>
        <v>155.24000000000004</v>
      </c>
      <c r="Y121" s="124">
        <f>SUM(Y23,Y29,Y40:Y41,Y69,Y71:Y72,Y74,Y76,Y122:Y126,Y151,Y157,Y163,Y172,Y174,Y186,Y193,Y196:Y197,Y204,Y206,Y208,Y212:Y214,Y216:Y218,Y223,Y229:Y230,Y232:Y234,Y242,Y247)</f>
        <v>168.59999999999994</v>
      </c>
      <c r="Z121" s="124">
        <f>SUM(Z23,Z29,Z40:Z41,Z69,Z71:Z72,Z74,Z76,Z122:Z126,Z151,Z157,Z163,Z172,Z174,Z186,Z193,Z196:Z197,Z204,Z206,Z208,Z212:Z214,Z216:Z218,Z223,Z229:Z230,Z232:Z234,Z242,Z247)</f>
        <v>139.89999999999998</v>
      </c>
      <c r="AA121" s="124">
        <f t="shared" ref="AA121" si="156">SUM(AA25,AA31,AA34:AA35,AA69,AA71:AA72,AA74,AA76,AA122:AA126,AA158,AA164,AA170,AA179,AA181,AA193,AA200,AA203:AA204,AA211,AA213,AA215,AA219:AA221,AA223:AA225,AA230,AA236:AA237,AA239:AA241,AA249,AA254)</f>
        <v>314.54000000000002</v>
      </c>
      <c r="AB121" s="124">
        <f t="shared" ref="AB121:AC121" si="157">SUM(AB25,AB31,AB34:AB35,AB69,AB71:AB72,AB74,AB76,AB122:AB126,AB158,AB164,AB170,AB179,AB181,AB193,AB200,AB203:AB204,AB211,AB213,AB215,AB219:AB221,AB223:AB225,AB230,AB236:AB237,AB239:AB241,AB249,AB254)</f>
        <v>289.03999999999996</v>
      </c>
      <c r="AC121" s="124">
        <f t="shared" si="157"/>
        <v>275.83999999999997</v>
      </c>
      <c r="AD121" s="124">
        <f t="shared" ref="AD121:AE121" si="158">SUM(AD25,AD31,AD34:AD35,AD69,AD71:AD72,AD74,AD76,AD122:AD126,AD158,AD164,AD170,AD179,AD181,AD193,AD200,AD203:AD204,AD211,AD213,AD215,AD219:AD221,AD223:AD225,AD230,AD236:AD237,AD239:AD241,AD249,AD254)</f>
        <v>239.64000000000004</v>
      </c>
      <c r="AE121" s="124">
        <f t="shared" si="158"/>
        <v>155.84</v>
      </c>
      <c r="AF121" s="124">
        <f t="shared" ref="AF121" si="159">SUM(AF25,AF31,AF34:AF35,AF69,AF71:AF72,AF74,AF76,AF122:AF126,AF158,AF164,AF170,AF179,AF181,AF193,AF200,AF203:AF204,AF211,AF213,AF215,AF219:AF221,AF223:AF225,AF230,AF236:AF237,AF239:AF241,AF249,AF254)</f>
        <v>123.74000000000001</v>
      </c>
      <c r="AG121" s="125"/>
      <c r="AH121" s="48">
        <f t="shared" si="48"/>
        <v>340.84000000000003</v>
      </c>
      <c r="AI121" s="49">
        <f t="shared" si="49"/>
        <v>42</v>
      </c>
    </row>
    <row r="122" spans="1:35" x14ac:dyDescent="0.25">
      <c r="A122" s="126" t="s">
        <v>142</v>
      </c>
      <c r="B122" s="127">
        <v>71.900000000000006</v>
      </c>
      <c r="C122" s="127">
        <v>52.9</v>
      </c>
      <c r="D122" s="127">
        <v>58.5</v>
      </c>
      <c r="E122" s="127">
        <v>51.7</v>
      </c>
      <c r="F122" s="127">
        <v>46.4</v>
      </c>
      <c r="G122" s="127">
        <v>40</v>
      </c>
      <c r="H122" s="127">
        <v>35.1</v>
      </c>
      <c r="I122" s="127">
        <v>27.6</v>
      </c>
      <c r="J122" s="127">
        <v>61</v>
      </c>
      <c r="K122" s="127" t="s">
        <v>359</v>
      </c>
      <c r="L122" s="127">
        <v>58.3</v>
      </c>
      <c r="M122" s="127">
        <v>60</v>
      </c>
      <c r="N122" s="127">
        <v>74</v>
      </c>
      <c r="O122" s="127">
        <v>46</v>
      </c>
      <c r="P122" s="127">
        <v>27</v>
      </c>
      <c r="Q122" s="127">
        <v>28</v>
      </c>
      <c r="R122" s="127">
        <v>24.3</v>
      </c>
      <c r="S122" s="127">
        <v>24.3</v>
      </c>
      <c r="T122" s="127">
        <v>20.8</v>
      </c>
      <c r="U122" s="127">
        <v>35</v>
      </c>
      <c r="V122" s="127">
        <v>55</v>
      </c>
      <c r="W122" s="127">
        <v>64</v>
      </c>
      <c r="X122" s="127">
        <v>64.5</v>
      </c>
      <c r="Y122" s="127">
        <v>66.5</v>
      </c>
      <c r="Z122" s="127">
        <v>46.8</v>
      </c>
      <c r="AA122" s="127">
        <v>49.1</v>
      </c>
      <c r="AB122" s="127">
        <v>49.6</v>
      </c>
      <c r="AC122" s="127">
        <v>45.6</v>
      </c>
      <c r="AD122" s="127">
        <v>52</v>
      </c>
      <c r="AE122" s="127">
        <v>39.200000000000003</v>
      </c>
      <c r="AF122" s="127">
        <v>44.5</v>
      </c>
      <c r="AG122" s="128">
        <v>75</v>
      </c>
      <c r="AH122" s="48">
        <f t="shared" si="48"/>
        <v>74</v>
      </c>
      <c r="AI122" s="49">
        <f t="shared" si="49"/>
        <v>20.8</v>
      </c>
    </row>
    <row r="123" spans="1:35" x14ac:dyDescent="0.25">
      <c r="A123" s="129" t="s">
        <v>143</v>
      </c>
      <c r="B123" s="130">
        <v>104.4</v>
      </c>
      <c r="C123" s="130">
        <v>75.8</v>
      </c>
      <c r="D123" s="130">
        <v>84.3</v>
      </c>
      <c r="E123" s="130">
        <v>75.400000000000006</v>
      </c>
      <c r="F123" s="130">
        <v>69.5</v>
      </c>
      <c r="G123" s="130">
        <v>55.6</v>
      </c>
      <c r="H123" s="130">
        <v>52.2</v>
      </c>
      <c r="I123" s="130">
        <v>40.299999999999997</v>
      </c>
      <c r="J123" s="130">
        <v>86.9</v>
      </c>
      <c r="K123" s="130">
        <v>83.34</v>
      </c>
      <c r="L123" s="130">
        <v>82</v>
      </c>
      <c r="M123" s="130">
        <v>89</v>
      </c>
      <c r="N123" s="130">
        <v>109</v>
      </c>
      <c r="O123" s="130">
        <v>69.400000000000006</v>
      </c>
      <c r="P123" s="130">
        <v>47</v>
      </c>
      <c r="Q123" s="130">
        <v>49</v>
      </c>
      <c r="R123" s="130">
        <v>46.6</v>
      </c>
      <c r="S123" s="130">
        <v>46.6</v>
      </c>
      <c r="T123" s="130">
        <v>38.799999999999997</v>
      </c>
      <c r="U123" s="130">
        <v>18</v>
      </c>
      <c r="V123" s="130">
        <v>31</v>
      </c>
      <c r="W123" s="130">
        <v>38</v>
      </c>
      <c r="X123" s="130">
        <v>96.6</v>
      </c>
      <c r="Y123" s="130">
        <v>98.4</v>
      </c>
      <c r="Z123" s="130">
        <v>70.5</v>
      </c>
      <c r="AA123" s="130">
        <v>71.2</v>
      </c>
      <c r="AB123" s="130">
        <v>75.5</v>
      </c>
      <c r="AC123" s="130">
        <v>70</v>
      </c>
      <c r="AD123" s="130">
        <v>77.900000000000006</v>
      </c>
      <c r="AE123" s="130">
        <v>61.5</v>
      </c>
      <c r="AF123" s="130">
        <v>66.900000000000006</v>
      </c>
      <c r="AG123" s="128">
        <v>240</v>
      </c>
      <c r="AH123" s="48">
        <f t="shared" si="48"/>
        <v>109</v>
      </c>
      <c r="AI123" s="49">
        <f t="shared" si="49"/>
        <v>18</v>
      </c>
    </row>
    <row r="124" spans="1:35" x14ac:dyDescent="0.25">
      <c r="A124" s="129" t="s">
        <v>144</v>
      </c>
      <c r="B124" s="130">
        <v>-170</v>
      </c>
      <c r="C124" s="130">
        <v>-174</v>
      </c>
      <c r="D124" s="130">
        <v>-182</v>
      </c>
      <c r="E124" s="130">
        <v>-140.6</v>
      </c>
      <c r="F124" s="130">
        <v>-140.1</v>
      </c>
      <c r="G124" s="130">
        <v>-136.9</v>
      </c>
      <c r="H124" s="130">
        <v>-138</v>
      </c>
      <c r="I124" s="130">
        <v>-119.2</v>
      </c>
      <c r="J124" s="130">
        <v>-125</v>
      </c>
      <c r="K124" s="130">
        <v>-129</v>
      </c>
      <c r="L124" s="130">
        <v>-116.2</v>
      </c>
      <c r="M124" s="130">
        <v>-127</v>
      </c>
      <c r="N124" s="130">
        <v>-118</v>
      </c>
      <c r="O124" s="130">
        <v>-76</v>
      </c>
      <c r="P124" s="130">
        <v>-100</v>
      </c>
      <c r="Q124" s="130">
        <v>-100</v>
      </c>
      <c r="R124" s="130">
        <v>-114</v>
      </c>
      <c r="S124" s="130">
        <v>-114</v>
      </c>
      <c r="T124" s="130">
        <f>-45-53</f>
        <v>-98</v>
      </c>
      <c r="U124" s="130">
        <f>-45-53</f>
        <v>-98</v>
      </c>
      <c r="V124" s="130">
        <v>-114</v>
      </c>
      <c r="W124" s="130">
        <v>-125</v>
      </c>
      <c r="X124" s="130">
        <f>-69-75</f>
        <v>-144</v>
      </c>
      <c r="Y124" s="130">
        <f>-60-63.8</f>
        <v>-123.8</v>
      </c>
      <c r="Z124" s="130">
        <f>-52-57</f>
        <v>-109</v>
      </c>
      <c r="AA124" s="130">
        <f>-43-52</f>
        <v>-95</v>
      </c>
      <c r="AB124" s="130">
        <v>-106.9</v>
      </c>
      <c r="AC124" s="130">
        <v>-106.9</v>
      </c>
      <c r="AD124" s="130">
        <v>-129.80000000000001</v>
      </c>
      <c r="AE124" s="130">
        <v>-154.6</v>
      </c>
      <c r="AF124" s="130">
        <v>-169.8</v>
      </c>
      <c r="AG124" s="128">
        <v>240</v>
      </c>
      <c r="AH124" s="48">
        <f t="shared" si="48"/>
        <v>-76</v>
      </c>
      <c r="AI124" s="49">
        <f t="shared" si="49"/>
        <v>-182</v>
      </c>
    </row>
    <row r="125" spans="1:35" ht="15.75" thickBot="1" x14ac:dyDescent="0.3">
      <c r="A125" s="129" t="s">
        <v>145</v>
      </c>
      <c r="B125" s="130">
        <v>-34.299999999999997</v>
      </c>
      <c r="C125" s="130">
        <v>-33.4</v>
      </c>
      <c r="D125" s="130">
        <v>-36</v>
      </c>
      <c r="E125" s="130">
        <v>-27</v>
      </c>
      <c r="F125" s="130">
        <v>-19.2</v>
      </c>
      <c r="G125" s="130">
        <v>-18</v>
      </c>
      <c r="H125" s="130">
        <v>-17.899999999999999</v>
      </c>
      <c r="I125" s="130">
        <v>-16.5</v>
      </c>
      <c r="J125" s="130">
        <v>-12.2</v>
      </c>
      <c r="K125" s="130">
        <v>-1.7</v>
      </c>
      <c r="L125" s="130">
        <v>2.2000000000000002</v>
      </c>
      <c r="M125" s="130">
        <v>1.8</v>
      </c>
      <c r="N125" s="130">
        <v>5.2</v>
      </c>
      <c r="O125" s="130">
        <v>15</v>
      </c>
      <c r="P125" s="130">
        <v>10</v>
      </c>
      <c r="Q125" s="130">
        <v>8.3000000000000007</v>
      </c>
      <c r="R125" s="130">
        <v>0</v>
      </c>
      <c r="S125" s="130">
        <v>0</v>
      </c>
      <c r="T125" s="130">
        <v>6.1</v>
      </c>
      <c r="U125" s="130">
        <v>9</v>
      </c>
      <c r="V125" s="130">
        <v>9</v>
      </c>
      <c r="W125" s="130">
        <v>-9</v>
      </c>
      <c r="X125" s="130">
        <v>-16.899999999999999</v>
      </c>
      <c r="Y125" s="130">
        <v>-8.4</v>
      </c>
      <c r="Z125" s="130">
        <v>-3.5</v>
      </c>
      <c r="AA125" s="130">
        <v>22.9</v>
      </c>
      <c r="AB125" s="130">
        <v>17</v>
      </c>
      <c r="AC125" s="130">
        <v>15.4</v>
      </c>
      <c r="AD125" s="130">
        <v>-6.2</v>
      </c>
      <c r="AE125" s="130">
        <v>-16.100000000000001</v>
      </c>
      <c r="AF125" s="130">
        <v>-21.3</v>
      </c>
      <c r="AG125" s="128">
        <v>60</v>
      </c>
      <c r="AH125" s="48">
        <f t="shared" si="48"/>
        <v>22.9</v>
      </c>
      <c r="AI125" s="49">
        <f t="shared" si="49"/>
        <v>-36</v>
      </c>
    </row>
    <row r="126" spans="1:35" x14ac:dyDescent="0.25">
      <c r="A126" s="126" t="s">
        <v>146</v>
      </c>
      <c r="B126" s="131"/>
      <c r="C126" s="131">
        <v>39.5</v>
      </c>
      <c r="D126" s="131">
        <v>30.4</v>
      </c>
      <c r="E126" s="131">
        <v>62.8</v>
      </c>
      <c r="F126" s="131">
        <v>39.5</v>
      </c>
      <c r="G126" s="131"/>
      <c r="H126" s="131"/>
      <c r="I126" s="131"/>
      <c r="J126" s="131"/>
      <c r="K126" s="131"/>
      <c r="L126" s="131"/>
      <c r="M126" s="131"/>
      <c r="N126" s="131"/>
      <c r="O126" s="131">
        <v>135.30000000000001</v>
      </c>
      <c r="P126" s="131">
        <v>109</v>
      </c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>
        <v>112.1</v>
      </c>
      <c r="AB126" s="131">
        <v>99.6</v>
      </c>
      <c r="AC126" s="131">
        <v>97.5</v>
      </c>
      <c r="AD126" s="131">
        <v>91.5</v>
      </c>
      <c r="AE126" s="131">
        <v>71.599999999999994</v>
      </c>
      <c r="AF126" s="131">
        <v>64.3</v>
      </c>
      <c r="AG126" s="132">
        <v>120</v>
      </c>
      <c r="AH126" s="48">
        <f t="shared" si="48"/>
        <v>135.30000000000001</v>
      </c>
      <c r="AI126" s="49">
        <f t="shared" si="49"/>
        <v>30.4</v>
      </c>
    </row>
    <row r="127" spans="1:35" x14ac:dyDescent="0.25">
      <c r="A127" s="129" t="s">
        <v>147</v>
      </c>
      <c r="B127" s="131">
        <v>47.5</v>
      </c>
      <c r="C127" s="131">
        <v>57.1</v>
      </c>
      <c r="D127" s="131">
        <v>52.5</v>
      </c>
      <c r="E127" s="131">
        <v>81.599999999999994</v>
      </c>
      <c r="F127" s="131">
        <v>62.2</v>
      </c>
      <c r="G127" s="131">
        <v>65</v>
      </c>
      <c r="H127" s="131">
        <v>71.099999999999994</v>
      </c>
      <c r="I127" s="131">
        <v>78.400000000000006</v>
      </c>
      <c r="J127" s="131">
        <v>80</v>
      </c>
      <c r="K127" s="131">
        <v>83.1</v>
      </c>
      <c r="L127" s="131">
        <v>41.9</v>
      </c>
      <c r="M127" s="131">
        <v>87</v>
      </c>
      <c r="N127" s="131">
        <v>91.3</v>
      </c>
      <c r="O127" s="131">
        <v>106.4</v>
      </c>
      <c r="P127" s="131">
        <v>95</v>
      </c>
      <c r="Q127" s="131">
        <v>95</v>
      </c>
      <c r="R127" s="131">
        <v>96</v>
      </c>
      <c r="S127" s="131">
        <v>96</v>
      </c>
      <c r="T127" s="131">
        <v>98</v>
      </c>
      <c r="U127" s="131">
        <v>97</v>
      </c>
      <c r="V127" s="131">
        <v>98</v>
      </c>
      <c r="W127" s="131">
        <v>94</v>
      </c>
      <c r="X127" s="131">
        <v>84</v>
      </c>
      <c r="Y127" s="131">
        <v>105.5</v>
      </c>
      <c r="Z127" s="131">
        <v>102.1</v>
      </c>
      <c r="AA127" s="131">
        <v>96.4</v>
      </c>
      <c r="AB127" s="131">
        <v>90.8</v>
      </c>
      <c r="AC127" s="131">
        <v>84.2</v>
      </c>
      <c r="AD127" s="131">
        <v>81.599999999999994</v>
      </c>
      <c r="AE127" s="131">
        <v>32.299999999999997</v>
      </c>
      <c r="AF127" s="131">
        <v>30</v>
      </c>
      <c r="AG127" s="132"/>
      <c r="AH127" s="48"/>
      <c r="AI127" s="49"/>
    </row>
    <row r="128" spans="1:35" x14ac:dyDescent="0.25">
      <c r="A128" s="129" t="s">
        <v>148</v>
      </c>
      <c r="B128" s="131">
        <v>23.9</v>
      </c>
      <c r="C128" s="131">
        <v>47</v>
      </c>
      <c r="D128" s="131">
        <v>40.9</v>
      </c>
      <c r="E128" s="131">
        <v>64.099999999999994</v>
      </c>
      <c r="F128" s="131">
        <v>67.2</v>
      </c>
      <c r="G128" s="131">
        <v>56.9</v>
      </c>
      <c r="H128" s="131">
        <v>52.1</v>
      </c>
      <c r="I128" s="131">
        <v>56.9</v>
      </c>
      <c r="J128" s="131">
        <v>32.6</v>
      </c>
      <c r="K128" s="131">
        <v>10.8</v>
      </c>
      <c r="L128" s="131">
        <v>14.7</v>
      </c>
      <c r="M128" s="131">
        <v>12</v>
      </c>
      <c r="N128" s="131">
        <v>30</v>
      </c>
      <c r="O128" s="131">
        <v>52.3</v>
      </c>
      <c r="P128" s="131">
        <v>46</v>
      </c>
      <c r="Q128" s="131">
        <v>46</v>
      </c>
      <c r="R128" s="131">
        <v>58</v>
      </c>
      <c r="S128" s="131">
        <v>58</v>
      </c>
      <c r="T128" s="131">
        <v>53</v>
      </c>
      <c r="U128" s="131">
        <v>58</v>
      </c>
      <c r="V128" s="131">
        <v>52</v>
      </c>
      <c r="W128" s="131">
        <v>52</v>
      </c>
      <c r="X128" s="131">
        <v>18.7</v>
      </c>
      <c r="Y128" s="131">
        <v>24.5</v>
      </c>
      <c r="Z128" s="131">
        <v>28.1</v>
      </c>
      <c r="AA128" s="131">
        <v>3.6</v>
      </c>
      <c r="AB128" s="131">
        <v>8</v>
      </c>
      <c r="AC128" s="131">
        <v>8</v>
      </c>
      <c r="AD128" s="131">
        <v>19.8</v>
      </c>
      <c r="AE128" s="131">
        <v>51.7</v>
      </c>
      <c r="AF128" s="131">
        <v>52.7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32.299999999999997</v>
      </c>
      <c r="C129" s="131">
        <v>30.6</v>
      </c>
      <c r="D129" s="131">
        <v>25.4</v>
      </c>
      <c r="E129" s="131">
        <v>29.6</v>
      </c>
      <c r="F129" s="131">
        <v>31.3</v>
      </c>
      <c r="G129" s="131">
        <v>40.200000000000003</v>
      </c>
      <c r="H129" s="131">
        <v>44.5</v>
      </c>
      <c r="I129" s="131">
        <v>50.6</v>
      </c>
      <c r="J129" s="131">
        <v>46.3</v>
      </c>
      <c r="K129" s="131">
        <v>45.3</v>
      </c>
      <c r="L129" s="131">
        <v>56.8</v>
      </c>
      <c r="M129" s="131">
        <v>47</v>
      </c>
      <c r="N129" s="131">
        <v>60.3</v>
      </c>
      <c r="O129" s="131">
        <v>81</v>
      </c>
      <c r="P129" s="131">
        <v>68</v>
      </c>
      <c r="Q129" s="131">
        <v>60</v>
      </c>
      <c r="R129" s="131">
        <v>65</v>
      </c>
      <c r="S129" s="131">
        <v>65</v>
      </c>
      <c r="T129" s="131">
        <v>63.4</v>
      </c>
      <c r="U129" s="131">
        <v>67</v>
      </c>
      <c r="V129" s="131">
        <v>68</v>
      </c>
      <c r="W129" s="131">
        <v>68</v>
      </c>
      <c r="X129" s="131">
        <v>42.8</v>
      </c>
      <c r="Y129" s="131">
        <v>58.4</v>
      </c>
      <c r="Z129" s="131">
        <v>67.400000000000006</v>
      </c>
      <c r="AA129" s="131">
        <v>52</v>
      </c>
      <c r="AB129" s="131">
        <v>45.9</v>
      </c>
      <c r="AC129" s="131">
        <v>49.3</v>
      </c>
      <c r="AD129" s="131">
        <v>47.7</v>
      </c>
      <c r="AE129" s="131">
        <v>48.1</v>
      </c>
      <c r="AF129" s="131">
        <v>45.9</v>
      </c>
      <c r="AG129" s="128"/>
      <c r="AH129" s="48">
        <f>MAX(B129:AF129)</f>
        <v>81</v>
      </c>
      <c r="AI129" s="49">
        <f>MIN(B129:AF129)</f>
        <v>25.4</v>
      </c>
    </row>
    <row r="130" spans="1:37" x14ac:dyDescent="0.25">
      <c r="A130" s="126" t="s">
        <v>150</v>
      </c>
      <c r="B130" s="131">
        <v>-332.7</v>
      </c>
      <c r="C130" s="131">
        <v>-337.3</v>
      </c>
      <c r="D130" s="131">
        <v>-342.8</v>
      </c>
      <c r="E130" s="131">
        <v>-333</v>
      </c>
      <c r="F130" s="131">
        <v>-327.5</v>
      </c>
      <c r="G130" s="131">
        <v>-320.2</v>
      </c>
      <c r="H130" s="131">
        <v>-316.3</v>
      </c>
      <c r="I130" s="131">
        <v>-312.8</v>
      </c>
      <c r="J130" s="131">
        <v>-319</v>
      </c>
      <c r="K130" s="131">
        <v>-316.8</v>
      </c>
      <c r="L130" s="131">
        <v>-309.2</v>
      </c>
      <c r="M130" s="131">
        <v>-316</v>
      </c>
      <c r="N130" s="131">
        <v>-312</v>
      </c>
      <c r="O130" s="131">
        <v>-316</v>
      </c>
      <c r="P130" s="131">
        <v>-314</v>
      </c>
      <c r="Q130" s="131">
        <v>-315</v>
      </c>
      <c r="R130" s="131">
        <v>-329</v>
      </c>
      <c r="S130" s="131">
        <v>-329</v>
      </c>
      <c r="T130" s="131">
        <v>-319.5</v>
      </c>
      <c r="U130" s="131">
        <v>-330</v>
      </c>
      <c r="V130" s="131">
        <v>-330</v>
      </c>
      <c r="W130" s="131">
        <v>-330</v>
      </c>
      <c r="X130" s="131">
        <v>-345</v>
      </c>
      <c r="Y130" s="131">
        <v>-332</v>
      </c>
      <c r="Z130" s="131">
        <v>-324.5</v>
      </c>
      <c r="AA130" s="131">
        <v>-329</v>
      </c>
      <c r="AB130" s="131">
        <v>-336.3</v>
      </c>
      <c r="AC130" s="131">
        <v>-338.6</v>
      </c>
      <c r="AD130" s="131">
        <v>-340.8</v>
      </c>
      <c r="AE130" s="131">
        <v>-333.2</v>
      </c>
      <c r="AF130" s="131">
        <v>-338.3</v>
      </c>
      <c r="AG130" s="128"/>
      <c r="AH130" s="48">
        <f>MAX(B130:AF130)</f>
        <v>-309.2</v>
      </c>
      <c r="AI130" s="49">
        <f>MIN(B130:AF130)</f>
        <v>-345</v>
      </c>
    </row>
    <row r="131" spans="1:37" x14ac:dyDescent="0.25">
      <c r="A131" s="129" t="s">
        <v>151</v>
      </c>
      <c r="B131" s="119">
        <v>120.2</v>
      </c>
      <c r="C131" s="119">
        <v>123</v>
      </c>
      <c r="D131" s="119">
        <v>124.2</v>
      </c>
      <c r="E131" s="119">
        <v>112.3</v>
      </c>
      <c r="F131" s="119">
        <v>115.6</v>
      </c>
      <c r="G131" s="119">
        <v>116.2</v>
      </c>
      <c r="H131" s="119">
        <v>121.2</v>
      </c>
      <c r="I131" s="119">
        <v>128</v>
      </c>
      <c r="J131" s="119">
        <v>123</v>
      </c>
      <c r="K131" s="119">
        <v>110.2</v>
      </c>
      <c r="L131" s="119">
        <v>110.6</v>
      </c>
      <c r="M131" s="119">
        <v>99</v>
      </c>
      <c r="N131" s="119">
        <v>106</v>
      </c>
      <c r="O131" s="119">
        <v>111.1</v>
      </c>
      <c r="P131" s="119">
        <v>107</v>
      </c>
      <c r="Q131" s="119">
        <v>110</v>
      </c>
      <c r="R131" s="119">
        <v>92</v>
      </c>
      <c r="S131" s="119">
        <v>92</v>
      </c>
      <c r="T131" s="119">
        <v>113.9</v>
      </c>
      <c r="U131" s="119">
        <v>115</v>
      </c>
      <c r="V131" s="119">
        <v>111</v>
      </c>
      <c r="W131" s="119">
        <v>111</v>
      </c>
      <c r="X131" s="119">
        <v>92</v>
      </c>
      <c r="Y131" s="119">
        <v>99.4</v>
      </c>
      <c r="Z131" s="119">
        <v>94.9</v>
      </c>
      <c r="AA131" s="119">
        <v>88</v>
      </c>
      <c r="AB131" s="119">
        <v>98.3</v>
      </c>
      <c r="AC131" s="119">
        <v>93.5</v>
      </c>
      <c r="AD131" s="119">
        <v>-340.8</v>
      </c>
      <c r="AE131" s="119">
        <v>110.3</v>
      </c>
      <c r="AF131" s="119">
        <v>111.3</v>
      </c>
      <c r="AG131" s="128"/>
      <c r="AH131" s="48">
        <f>MAX(B131:AF131)</f>
        <v>128</v>
      </c>
      <c r="AI131" s="49">
        <f>MIN(B131:AF131)</f>
        <v>-340.8</v>
      </c>
    </row>
    <row r="132" spans="1:37" x14ac:dyDescent="0.25">
      <c r="A132" s="129" t="s">
        <v>152</v>
      </c>
      <c r="B132" s="119">
        <v>-30.5</v>
      </c>
      <c r="C132" s="119">
        <v>-33.6</v>
      </c>
      <c r="D132" s="119">
        <v>-30.7</v>
      </c>
      <c r="E132" s="119">
        <v>-34.1</v>
      </c>
      <c r="F132" s="119">
        <v>-33.5</v>
      </c>
      <c r="G132" s="119">
        <v>-35.200000000000003</v>
      </c>
      <c r="H132" s="119">
        <v>-35.799999999999997</v>
      </c>
      <c r="I132" s="119">
        <v>-41.9</v>
      </c>
      <c r="J132" s="119">
        <v>-32</v>
      </c>
      <c r="K132" s="119">
        <v>-28.6</v>
      </c>
      <c r="L132" s="119">
        <v>-33.200000000000003</v>
      </c>
      <c r="M132" s="119">
        <v>-33</v>
      </c>
      <c r="N132" s="119">
        <v>-35</v>
      </c>
      <c r="O132" s="119">
        <v>-34</v>
      </c>
      <c r="P132" s="119">
        <v>-37</v>
      </c>
      <c r="Q132" s="119">
        <v>-37</v>
      </c>
      <c r="R132" s="119">
        <v>-33</v>
      </c>
      <c r="S132" s="119">
        <v>-33</v>
      </c>
      <c r="T132" s="119">
        <v>-36.4</v>
      </c>
      <c r="U132" s="119">
        <v>-36.4</v>
      </c>
      <c r="V132" s="119">
        <v>-35</v>
      </c>
      <c r="W132" s="119">
        <v>-35</v>
      </c>
      <c r="X132" s="119">
        <v>-33</v>
      </c>
      <c r="Y132" s="119">
        <v>-33</v>
      </c>
      <c r="Z132" s="119">
        <v>-33.1</v>
      </c>
      <c r="AA132" s="119">
        <v>-26.8</v>
      </c>
      <c r="AB132" s="119">
        <v>-29.6</v>
      </c>
      <c r="AC132" s="119">
        <v>-27.9</v>
      </c>
      <c r="AD132" s="119">
        <v>-28.6</v>
      </c>
      <c r="AE132" s="119">
        <v>-31.2</v>
      </c>
      <c r="AF132" s="119">
        <v>-31.4</v>
      </c>
      <c r="AG132" s="128"/>
      <c r="AH132" s="48">
        <f>MAX(B132:AF132)</f>
        <v>-26.8</v>
      </c>
      <c r="AI132" s="49">
        <f>MIN(B132:AF132)</f>
        <v>-41.9</v>
      </c>
    </row>
    <row r="133" spans="1:37" ht="15.75" thickBot="1" x14ac:dyDescent="0.3">
      <c r="A133" s="129" t="s">
        <v>153</v>
      </c>
      <c r="B133" s="119">
        <v>32.700000000000003</v>
      </c>
      <c r="C133" s="119">
        <v>32.200000000000003</v>
      </c>
      <c r="D133" s="119">
        <v>33.200000000000003</v>
      </c>
      <c r="E133" s="119">
        <v>34.5</v>
      </c>
      <c r="F133" s="119">
        <v>33.299999999999997</v>
      </c>
      <c r="G133" s="119">
        <v>30.2</v>
      </c>
      <c r="H133" s="119">
        <v>26.7</v>
      </c>
      <c r="I133" s="119">
        <v>28.4</v>
      </c>
      <c r="J133" s="119">
        <v>35</v>
      </c>
      <c r="K133" s="119">
        <v>32</v>
      </c>
      <c r="L133" s="119">
        <v>29.6</v>
      </c>
      <c r="M133" s="119">
        <v>36</v>
      </c>
      <c r="N133" s="119">
        <v>31</v>
      </c>
      <c r="O133" s="119">
        <v>28</v>
      </c>
      <c r="P133" s="119">
        <v>32</v>
      </c>
      <c r="Q133" s="119">
        <v>31</v>
      </c>
      <c r="R133" s="119">
        <v>35</v>
      </c>
      <c r="S133" s="119">
        <v>35</v>
      </c>
      <c r="T133" s="119">
        <v>35.1</v>
      </c>
      <c r="U133" s="119">
        <v>35.1</v>
      </c>
      <c r="V133" s="119">
        <v>33</v>
      </c>
      <c r="W133" s="119">
        <v>33</v>
      </c>
      <c r="X133" s="119">
        <v>37.1</v>
      </c>
      <c r="Y133" s="119">
        <v>35.299999999999997</v>
      </c>
      <c r="Z133" s="119">
        <v>35.4</v>
      </c>
      <c r="AA133" s="119">
        <v>42.7</v>
      </c>
      <c r="AB133" s="119">
        <v>44.7</v>
      </c>
      <c r="AC133" s="119">
        <v>44.6</v>
      </c>
      <c r="AD133" s="119">
        <v>43.6</v>
      </c>
      <c r="AE133" s="119">
        <v>40.9</v>
      </c>
      <c r="AF133" s="119">
        <v>40.6</v>
      </c>
      <c r="AG133" s="128"/>
      <c r="AH133" s="48">
        <f>MAX(B133:AF133)</f>
        <v>44.7</v>
      </c>
      <c r="AI133" s="49">
        <f>MIN(B133:AF133)</f>
        <v>26.7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1485.1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60">SUM(B142:B246)</f>
        <v>0</v>
      </c>
      <c r="C247" s="161">
        <f t="shared" si="160"/>
        <v>0</v>
      </c>
      <c r="D247" s="161">
        <f t="shared" si="160"/>
        <v>0</v>
      </c>
      <c r="E247" s="161">
        <f t="shared" si="160"/>
        <v>0</v>
      </c>
      <c r="F247" s="161">
        <f t="shared" si="160"/>
        <v>0</v>
      </c>
      <c r="G247" s="161">
        <f t="shared" si="160"/>
        <v>0</v>
      </c>
      <c r="H247" s="161">
        <f t="shared" si="160"/>
        <v>0</v>
      </c>
      <c r="I247" s="161">
        <f t="shared" si="160"/>
        <v>0</v>
      </c>
      <c r="J247" s="161">
        <f t="shared" si="160"/>
        <v>0</v>
      </c>
      <c r="K247" s="161">
        <f t="shared" si="160"/>
        <v>0</v>
      </c>
      <c r="L247" s="161">
        <f t="shared" si="160"/>
        <v>0</v>
      </c>
      <c r="M247" s="161">
        <f t="shared" si="160"/>
        <v>0</v>
      </c>
      <c r="N247" s="161">
        <f t="shared" si="160"/>
        <v>0</v>
      </c>
      <c r="O247" s="161">
        <f t="shared" si="160"/>
        <v>0</v>
      </c>
      <c r="P247" s="161">
        <f t="shared" si="160"/>
        <v>0</v>
      </c>
      <c r="Q247" s="161">
        <f t="shared" si="160"/>
        <v>0</v>
      </c>
      <c r="R247" s="161">
        <f t="shared" si="160"/>
        <v>0</v>
      </c>
      <c r="S247" s="161">
        <f t="shared" si="160"/>
        <v>0</v>
      </c>
      <c r="T247" s="161">
        <f t="shared" si="160"/>
        <v>0</v>
      </c>
      <c r="U247" s="161">
        <f t="shared" si="160"/>
        <v>0</v>
      </c>
      <c r="V247" s="161">
        <f t="shared" si="160"/>
        <v>0</v>
      </c>
      <c r="W247" s="161">
        <f t="shared" si="160"/>
        <v>0</v>
      </c>
      <c r="X247" s="161">
        <f t="shared" si="160"/>
        <v>0</v>
      </c>
      <c r="Y247" s="161">
        <f t="shared" si="160"/>
        <v>0</v>
      </c>
      <c r="Z247" s="161">
        <f t="shared" si="160"/>
        <v>0</v>
      </c>
      <c r="AA247" s="161">
        <f t="shared" si="160"/>
        <v>0</v>
      </c>
      <c r="AB247" s="161">
        <f t="shared" si="160"/>
        <v>0</v>
      </c>
      <c r="AC247" s="161">
        <f t="shared" si="160"/>
        <v>0</v>
      </c>
      <c r="AD247" s="161">
        <f t="shared" si="160"/>
        <v>0</v>
      </c>
      <c r="AE247" s="161">
        <f t="shared" si="160"/>
        <v>0</v>
      </c>
      <c r="AF247" s="162">
        <f t="shared" si="160"/>
        <v>0</v>
      </c>
      <c r="AG247" s="163">
        <f t="shared" si="160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61">AF249</f>
        <v>0.3</v>
      </c>
      <c r="C249" s="166">
        <v>0.3</v>
      </c>
      <c r="D249" s="166">
        <f t="shared" ref="D249:S254" si="162">C249</f>
        <v>0.3</v>
      </c>
      <c r="E249" s="166">
        <f t="shared" si="162"/>
        <v>0.3</v>
      </c>
      <c r="F249" s="166">
        <f t="shared" si="162"/>
        <v>0.3</v>
      </c>
      <c r="G249" s="166">
        <f t="shared" si="162"/>
        <v>0.3</v>
      </c>
      <c r="H249" s="166">
        <f t="shared" si="162"/>
        <v>0.3</v>
      </c>
      <c r="I249" s="166">
        <f t="shared" si="162"/>
        <v>0.3</v>
      </c>
      <c r="J249" s="166">
        <f t="shared" si="162"/>
        <v>0.3</v>
      </c>
      <c r="K249" s="166">
        <f t="shared" si="162"/>
        <v>0.3</v>
      </c>
      <c r="L249" s="166">
        <f t="shared" si="162"/>
        <v>0.3</v>
      </c>
      <c r="M249" s="166">
        <f t="shared" si="162"/>
        <v>0.3</v>
      </c>
      <c r="N249" s="166">
        <f t="shared" si="162"/>
        <v>0.3</v>
      </c>
      <c r="O249" s="166">
        <f t="shared" si="162"/>
        <v>0.3</v>
      </c>
      <c r="P249" s="166">
        <f t="shared" si="162"/>
        <v>0.3</v>
      </c>
      <c r="Q249" s="166">
        <f t="shared" si="162"/>
        <v>0.3</v>
      </c>
      <c r="R249" s="166">
        <f t="shared" si="162"/>
        <v>0.3</v>
      </c>
      <c r="S249" s="166">
        <f t="shared" si="162"/>
        <v>0.3</v>
      </c>
      <c r="T249" s="166">
        <f t="shared" ref="T249:AF254" si="163">S249</f>
        <v>0.3</v>
      </c>
      <c r="U249" s="166">
        <f t="shared" si="163"/>
        <v>0.3</v>
      </c>
      <c r="V249" s="166">
        <f t="shared" si="163"/>
        <v>0.3</v>
      </c>
      <c r="W249" s="166">
        <f t="shared" si="163"/>
        <v>0.3</v>
      </c>
      <c r="X249" s="166">
        <f t="shared" si="163"/>
        <v>0.3</v>
      </c>
      <c r="Y249" s="166">
        <f t="shared" si="163"/>
        <v>0.3</v>
      </c>
      <c r="Z249" s="166">
        <f t="shared" si="163"/>
        <v>0.3</v>
      </c>
      <c r="AA249" s="166">
        <f t="shared" si="163"/>
        <v>0.3</v>
      </c>
      <c r="AB249" s="166">
        <f t="shared" si="163"/>
        <v>0.3</v>
      </c>
      <c r="AC249" s="166">
        <f t="shared" si="163"/>
        <v>0.3</v>
      </c>
      <c r="AD249" s="166">
        <f t="shared" si="163"/>
        <v>0.3</v>
      </c>
      <c r="AE249" s="166">
        <f t="shared" si="163"/>
        <v>0.3</v>
      </c>
      <c r="AF249" s="166">
        <f t="shared" si="163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61"/>
        <v>0.4</v>
      </c>
      <c r="C250" s="152">
        <v>0.4</v>
      </c>
      <c r="D250" s="152">
        <f t="shared" si="162"/>
        <v>0.4</v>
      </c>
      <c r="E250" s="152">
        <f t="shared" si="162"/>
        <v>0.4</v>
      </c>
      <c r="F250" s="152">
        <f t="shared" si="162"/>
        <v>0.4</v>
      </c>
      <c r="G250" s="152">
        <f t="shared" si="162"/>
        <v>0.4</v>
      </c>
      <c r="H250" s="152">
        <f t="shared" si="162"/>
        <v>0.4</v>
      </c>
      <c r="I250" s="152">
        <f t="shared" si="162"/>
        <v>0.4</v>
      </c>
      <c r="J250" s="152">
        <f t="shared" si="162"/>
        <v>0.4</v>
      </c>
      <c r="K250" s="152">
        <f t="shared" si="162"/>
        <v>0.4</v>
      </c>
      <c r="L250" s="152">
        <f t="shared" si="162"/>
        <v>0.4</v>
      </c>
      <c r="M250" s="152">
        <f t="shared" si="162"/>
        <v>0.4</v>
      </c>
      <c r="N250" s="152">
        <f t="shared" si="162"/>
        <v>0.4</v>
      </c>
      <c r="O250" s="152">
        <f t="shared" si="162"/>
        <v>0.4</v>
      </c>
      <c r="P250" s="152">
        <f t="shared" si="162"/>
        <v>0.4</v>
      </c>
      <c r="Q250" s="152">
        <f t="shared" si="162"/>
        <v>0.4</v>
      </c>
      <c r="R250" s="152">
        <f t="shared" si="162"/>
        <v>0.4</v>
      </c>
      <c r="S250" s="152">
        <f t="shared" si="162"/>
        <v>0.4</v>
      </c>
      <c r="T250" s="152">
        <f t="shared" si="163"/>
        <v>0.4</v>
      </c>
      <c r="U250" s="152">
        <f t="shared" si="163"/>
        <v>0.4</v>
      </c>
      <c r="V250" s="152">
        <f t="shared" si="163"/>
        <v>0.4</v>
      </c>
      <c r="W250" s="152">
        <f t="shared" si="163"/>
        <v>0.4</v>
      </c>
      <c r="X250" s="152">
        <f t="shared" si="163"/>
        <v>0.4</v>
      </c>
      <c r="Y250" s="152">
        <f t="shared" si="163"/>
        <v>0.4</v>
      </c>
      <c r="Z250" s="152">
        <f t="shared" si="163"/>
        <v>0.4</v>
      </c>
      <c r="AA250" s="152">
        <f t="shared" si="163"/>
        <v>0.4</v>
      </c>
      <c r="AB250" s="152">
        <f t="shared" si="163"/>
        <v>0.4</v>
      </c>
      <c r="AC250" s="152">
        <f t="shared" si="163"/>
        <v>0.4</v>
      </c>
      <c r="AD250" s="152">
        <f t="shared" si="163"/>
        <v>0.4</v>
      </c>
      <c r="AE250" s="152">
        <f t="shared" si="163"/>
        <v>0.4</v>
      </c>
      <c r="AF250" s="152">
        <f t="shared" si="163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61"/>
        <v>1.5</v>
      </c>
      <c r="C251" s="152">
        <v>1.5</v>
      </c>
      <c r="D251" s="152">
        <f t="shared" si="162"/>
        <v>1.5</v>
      </c>
      <c r="E251" s="152">
        <f t="shared" si="162"/>
        <v>1.5</v>
      </c>
      <c r="F251" s="152">
        <f t="shared" si="162"/>
        <v>1.5</v>
      </c>
      <c r="G251" s="152">
        <f t="shared" si="162"/>
        <v>1.5</v>
      </c>
      <c r="H251" s="152">
        <f t="shared" si="162"/>
        <v>1.5</v>
      </c>
      <c r="I251" s="152">
        <f t="shared" si="162"/>
        <v>1.5</v>
      </c>
      <c r="J251" s="152">
        <f t="shared" si="162"/>
        <v>1.5</v>
      </c>
      <c r="K251" s="152">
        <f t="shared" si="162"/>
        <v>1.5</v>
      </c>
      <c r="L251" s="152">
        <f t="shared" si="162"/>
        <v>1.5</v>
      </c>
      <c r="M251" s="152">
        <f t="shared" si="162"/>
        <v>1.5</v>
      </c>
      <c r="N251" s="152">
        <f t="shared" si="162"/>
        <v>1.5</v>
      </c>
      <c r="O251" s="152">
        <f t="shared" si="162"/>
        <v>1.5</v>
      </c>
      <c r="P251" s="152">
        <f t="shared" si="162"/>
        <v>1.5</v>
      </c>
      <c r="Q251" s="152">
        <f t="shared" si="162"/>
        <v>1.5</v>
      </c>
      <c r="R251" s="152">
        <f t="shared" si="162"/>
        <v>1.5</v>
      </c>
      <c r="S251" s="152">
        <f t="shared" si="162"/>
        <v>1.5</v>
      </c>
      <c r="T251" s="152">
        <f t="shared" si="163"/>
        <v>1.5</v>
      </c>
      <c r="U251" s="152">
        <f t="shared" si="163"/>
        <v>1.5</v>
      </c>
      <c r="V251" s="152">
        <f t="shared" si="163"/>
        <v>1.5</v>
      </c>
      <c r="W251" s="152">
        <f t="shared" si="163"/>
        <v>1.5</v>
      </c>
      <c r="X251" s="152">
        <f t="shared" si="163"/>
        <v>1.5</v>
      </c>
      <c r="Y251" s="152">
        <f t="shared" si="163"/>
        <v>1.5</v>
      </c>
      <c r="Z251" s="152">
        <f t="shared" si="163"/>
        <v>1.5</v>
      </c>
      <c r="AA251" s="152">
        <f t="shared" si="163"/>
        <v>1.5</v>
      </c>
      <c r="AB251" s="152">
        <f t="shared" si="163"/>
        <v>1.5</v>
      </c>
      <c r="AC251" s="152">
        <f t="shared" si="163"/>
        <v>1.5</v>
      </c>
      <c r="AD251" s="152">
        <f t="shared" si="163"/>
        <v>1.5</v>
      </c>
      <c r="AE251" s="152">
        <f t="shared" si="163"/>
        <v>1.5</v>
      </c>
      <c r="AF251" s="152">
        <f t="shared" si="163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61"/>
        <v>0.3</v>
      </c>
      <c r="C252" s="152">
        <v>0.3</v>
      </c>
      <c r="D252" s="152">
        <f t="shared" si="162"/>
        <v>0.3</v>
      </c>
      <c r="E252" s="152">
        <f t="shared" si="162"/>
        <v>0.3</v>
      </c>
      <c r="F252" s="152">
        <f t="shared" si="162"/>
        <v>0.3</v>
      </c>
      <c r="G252" s="152">
        <f t="shared" si="162"/>
        <v>0.3</v>
      </c>
      <c r="H252" s="152">
        <f t="shared" si="162"/>
        <v>0.3</v>
      </c>
      <c r="I252" s="152">
        <f t="shared" si="162"/>
        <v>0.3</v>
      </c>
      <c r="J252" s="152">
        <f t="shared" si="162"/>
        <v>0.3</v>
      </c>
      <c r="K252" s="152">
        <f t="shared" si="162"/>
        <v>0.3</v>
      </c>
      <c r="L252" s="152">
        <f t="shared" si="162"/>
        <v>0.3</v>
      </c>
      <c r="M252" s="152">
        <f t="shared" si="162"/>
        <v>0.3</v>
      </c>
      <c r="N252" s="152">
        <f t="shared" si="162"/>
        <v>0.3</v>
      </c>
      <c r="O252" s="152">
        <f t="shared" si="162"/>
        <v>0.3</v>
      </c>
      <c r="P252" s="152">
        <f t="shared" si="162"/>
        <v>0.3</v>
      </c>
      <c r="Q252" s="152">
        <f t="shared" si="162"/>
        <v>0.3</v>
      </c>
      <c r="R252" s="152">
        <f t="shared" si="162"/>
        <v>0.3</v>
      </c>
      <c r="S252" s="152">
        <f t="shared" si="162"/>
        <v>0.3</v>
      </c>
      <c r="T252" s="152">
        <f t="shared" si="163"/>
        <v>0.3</v>
      </c>
      <c r="U252" s="152">
        <f t="shared" si="163"/>
        <v>0.3</v>
      </c>
      <c r="V252" s="152">
        <f t="shared" si="163"/>
        <v>0.3</v>
      </c>
      <c r="W252" s="152">
        <f t="shared" si="163"/>
        <v>0.3</v>
      </c>
      <c r="X252" s="152">
        <f t="shared" si="163"/>
        <v>0.3</v>
      </c>
      <c r="Y252" s="152">
        <f t="shared" si="163"/>
        <v>0.3</v>
      </c>
      <c r="Z252" s="152">
        <f t="shared" si="163"/>
        <v>0.3</v>
      </c>
      <c r="AA252" s="152">
        <f t="shared" si="163"/>
        <v>0.3</v>
      </c>
      <c r="AB252" s="152">
        <f t="shared" si="163"/>
        <v>0.3</v>
      </c>
      <c r="AC252" s="152">
        <f t="shared" si="163"/>
        <v>0.3</v>
      </c>
      <c r="AD252" s="152">
        <f t="shared" si="163"/>
        <v>0.3</v>
      </c>
      <c r="AE252" s="152">
        <f t="shared" si="163"/>
        <v>0.3</v>
      </c>
      <c r="AF252" s="152">
        <f t="shared" si="163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61"/>
        <v>0.4</v>
      </c>
      <c r="C253" s="152">
        <v>0.4</v>
      </c>
      <c r="D253" s="152">
        <f t="shared" si="162"/>
        <v>0.4</v>
      </c>
      <c r="E253" s="152">
        <f t="shared" si="162"/>
        <v>0.4</v>
      </c>
      <c r="F253" s="152">
        <f t="shared" si="162"/>
        <v>0.4</v>
      </c>
      <c r="G253" s="152">
        <f t="shared" si="162"/>
        <v>0.4</v>
      </c>
      <c r="H253" s="152">
        <f t="shared" si="162"/>
        <v>0.4</v>
      </c>
      <c r="I253" s="152">
        <f t="shared" si="162"/>
        <v>0.4</v>
      </c>
      <c r="J253" s="152">
        <f t="shared" si="162"/>
        <v>0.4</v>
      </c>
      <c r="K253" s="152">
        <f t="shared" si="162"/>
        <v>0.4</v>
      </c>
      <c r="L253" s="152">
        <f t="shared" si="162"/>
        <v>0.4</v>
      </c>
      <c r="M253" s="152">
        <f t="shared" si="162"/>
        <v>0.4</v>
      </c>
      <c r="N253" s="152">
        <f t="shared" si="162"/>
        <v>0.4</v>
      </c>
      <c r="O253" s="152">
        <f t="shared" si="162"/>
        <v>0.4</v>
      </c>
      <c r="P253" s="152">
        <f t="shared" si="162"/>
        <v>0.4</v>
      </c>
      <c r="Q253" s="152">
        <f t="shared" si="162"/>
        <v>0.4</v>
      </c>
      <c r="R253" s="152">
        <f t="shared" si="162"/>
        <v>0.4</v>
      </c>
      <c r="S253" s="152">
        <f t="shared" si="162"/>
        <v>0.4</v>
      </c>
      <c r="T253" s="152">
        <f t="shared" si="163"/>
        <v>0.4</v>
      </c>
      <c r="U253" s="152">
        <f t="shared" si="163"/>
        <v>0.4</v>
      </c>
      <c r="V253" s="152">
        <f t="shared" si="163"/>
        <v>0.4</v>
      </c>
      <c r="W253" s="152">
        <f t="shared" si="163"/>
        <v>0.4</v>
      </c>
      <c r="X253" s="152">
        <f t="shared" si="163"/>
        <v>0.4</v>
      </c>
      <c r="Y253" s="152">
        <f t="shared" si="163"/>
        <v>0.4</v>
      </c>
      <c r="Z253" s="152">
        <f t="shared" si="163"/>
        <v>0.4</v>
      </c>
      <c r="AA253" s="152">
        <f t="shared" si="163"/>
        <v>0.4</v>
      </c>
      <c r="AB253" s="152">
        <f t="shared" si="163"/>
        <v>0.4</v>
      </c>
      <c r="AC253" s="152">
        <f t="shared" si="163"/>
        <v>0.4</v>
      </c>
      <c r="AD253" s="152">
        <f t="shared" si="163"/>
        <v>0.4</v>
      </c>
      <c r="AE253" s="152">
        <f t="shared" si="163"/>
        <v>0.4</v>
      </c>
      <c r="AF253" s="152">
        <f t="shared" si="163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61"/>
        <v>0.64</v>
      </c>
      <c r="C254" s="157">
        <v>0.64</v>
      </c>
      <c r="D254" s="157">
        <f t="shared" si="162"/>
        <v>0.64</v>
      </c>
      <c r="E254" s="157">
        <f t="shared" si="162"/>
        <v>0.64</v>
      </c>
      <c r="F254" s="157">
        <f t="shared" si="162"/>
        <v>0.64</v>
      </c>
      <c r="G254" s="157">
        <f t="shared" si="162"/>
        <v>0.64</v>
      </c>
      <c r="H254" s="157">
        <f t="shared" si="162"/>
        <v>0.64</v>
      </c>
      <c r="I254" s="157">
        <f t="shared" si="162"/>
        <v>0.64</v>
      </c>
      <c r="J254" s="157">
        <f t="shared" si="162"/>
        <v>0.64</v>
      </c>
      <c r="K254" s="157">
        <f t="shared" si="162"/>
        <v>0.64</v>
      </c>
      <c r="L254" s="157">
        <f t="shared" si="162"/>
        <v>0.64</v>
      </c>
      <c r="M254" s="157">
        <f t="shared" si="162"/>
        <v>0.64</v>
      </c>
      <c r="N254" s="157">
        <f t="shared" si="162"/>
        <v>0.64</v>
      </c>
      <c r="O254" s="157">
        <f t="shared" si="162"/>
        <v>0.64</v>
      </c>
      <c r="P254" s="157">
        <f t="shared" si="162"/>
        <v>0.64</v>
      </c>
      <c r="Q254" s="157">
        <f t="shared" si="162"/>
        <v>0.64</v>
      </c>
      <c r="R254" s="157">
        <f t="shared" si="162"/>
        <v>0.64</v>
      </c>
      <c r="S254" s="157">
        <f t="shared" si="162"/>
        <v>0.64</v>
      </c>
      <c r="T254" s="157">
        <f t="shared" si="163"/>
        <v>0.64</v>
      </c>
      <c r="U254" s="157">
        <f t="shared" si="163"/>
        <v>0.64</v>
      </c>
      <c r="V254" s="157">
        <f t="shared" si="163"/>
        <v>0.64</v>
      </c>
      <c r="W254" s="157">
        <f t="shared" si="163"/>
        <v>0.64</v>
      </c>
      <c r="X254" s="157">
        <f t="shared" si="163"/>
        <v>0.64</v>
      </c>
      <c r="Y254" s="157">
        <f t="shared" si="163"/>
        <v>0.64</v>
      </c>
      <c r="Z254" s="157">
        <f t="shared" si="163"/>
        <v>0.64</v>
      </c>
      <c r="AA254" s="157">
        <f t="shared" si="163"/>
        <v>0.64</v>
      </c>
      <c r="AB254" s="157">
        <f t="shared" si="163"/>
        <v>0.64</v>
      </c>
      <c r="AC254" s="157">
        <f t="shared" si="163"/>
        <v>0.64</v>
      </c>
      <c r="AD254" s="157">
        <f t="shared" si="163"/>
        <v>0.64</v>
      </c>
      <c r="AE254" s="157">
        <f t="shared" si="163"/>
        <v>0.64</v>
      </c>
      <c r="AF254" s="157">
        <f t="shared" si="163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64">SUM(B249:B254)</f>
        <v>3.54</v>
      </c>
      <c r="C255" s="161">
        <f t="shared" si="164"/>
        <v>3.54</v>
      </c>
      <c r="D255" s="161">
        <f t="shared" si="164"/>
        <v>3.54</v>
      </c>
      <c r="E255" s="161">
        <f t="shared" si="164"/>
        <v>3.54</v>
      </c>
      <c r="F255" s="161">
        <f t="shared" si="164"/>
        <v>3.54</v>
      </c>
      <c r="G255" s="161">
        <f t="shared" si="164"/>
        <v>3.54</v>
      </c>
      <c r="H255" s="161">
        <f t="shared" si="164"/>
        <v>3.54</v>
      </c>
      <c r="I255" s="161">
        <f t="shared" si="164"/>
        <v>3.54</v>
      </c>
      <c r="J255" s="161">
        <f t="shared" si="164"/>
        <v>3.54</v>
      </c>
      <c r="K255" s="161">
        <f t="shared" si="164"/>
        <v>3.54</v>
      </c>
      <c r="L255" s="161">
        <f t="shared" si="164"/>
        <v>3.54</v>
      </c>
      <c r="M255" s="161">
        <f t="shared" si="164"/>
        <v>3.54</v>
      </c>
      <c r="N255" s="161">
        <f t="shared" si="164"/>
        <v>3.54</v>
      </c>
      <c r="O255" s="161">
        <f t="shared" si="164"/>
        <v>3.54</v>
      </c>
      <c r="P255" s="161">
        <f t="shared" si="164"/>
        <v>3.54</v>
      </c>
      <c r="Q255" s="161">
        <f t="shared" si="164"/>
        <v>3.54</v>
      </c>
      <c r="R255" s="161">
        <f t="shared" si="164"/>
        <v>3.54</v>
      </c>
      <c r="S255" s="161">
        <f t="shared" si="164"/>
        <v>3.54</v>
      </c>
      <c r="T255" s="161">
        <f t="shared" si="164"/>
        <v>3.54</v>
      </c>
      <c r="U255" s="161">
        <f t="shared" si="164"/>
        <v>3.54</v>
      </c>
      <c r="V255" s="161">
        <f t="shared" si="164"/>
        <v>3.54</v>
      </c>
      <c r="W255" s="161">
        <f t="shared" si="164"/>
        <v>3.54</v>
      </c>
      <c r="X255" s="161">
        <f t="shared" si="164"/>
        <v>3.54</v>
      </c>
      <c r="Y255" s="161">
        <f t="shared" si="164"/>
        <v>3.54</v>
      </c>
      <c r="Z255" s="161">
        <f t="shared" si="164"/>
        <v>3.54</v>
      </c>
      <c r="AA255" s="161">
        <f t="shared" si="164"/>
        <v>3.54</v>
      </c>
      <c r="AB255" s="161">
        <f t="shared" si="164"/>
        <v>3.54</v>
      </c>
      <c r="AC255" s="161">
        <f t="shared" si="164"/>
        <v>3.54</v>
      </c>
      <c r="AD255" s="161">
        <f t="shared" si="164"/>
        <v>3.54</v>
      </c>
      <c r="AE255" s="161">
        <f t="shared" si="164"/>
        <v>3.54</v>
      </c>
      <c r="AF255" s="161">
        <f t="shared" si="164"/>
        <v>3.54</v>
      </c>
      <c r="AG255" s="171">
        <f t="shared" si="164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2128.94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2080/10/23)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508" priority="80">
      <formula>$AH11=0</formula>
    </cfRule>
  </conditionalFormatting>
  <conditionalFormatting sqref="A89">
    <cfRule type="expression" dxfId="1507" priority="138">
      <formula>$AH94=0</formula>
    </cfRule>
  </conditionalFormatting>
  <conditionalFormatting sqref="A90:A94">
    <cfRule type="expression" dxfId="1506" priority="81">
      <formula>$AH89=0</formula>
    </cfRule>
  </conditionalFormatting>
  <conditionalFormatting sqref="B8">
    <cfRule type="expression" dxfId="1505" priority="134">
      <formula>AND(C$9&gt;=14/24,C$9&lt;20/24)</formula>
    </cfRule>
    <cfRule type="expression" dxfId="1504" priority="135">
      <formula>AND(C$9&gt;=8/24,C$9&lt;14/24)</formula>
    </cfRule>
    <cfRule type="expression" dxfId="1503" priority="136">
      <formula>C$9&lt;8/24</formula>
    </cfRule>
    <cfRule type="expression" dxfId="1502" priority="137">
      <formula>C$9&gt;=20/24</formula>
    </cfRule>
  </conditionalFormatting>
  <conditionalFormatting sqref="B11:S57 T12:W57 X15:AF57 E62:AF64 B62:D77 E66:H77 I70:AF77 B80:AF102 B9:AF10 B104:AF120 B122:AF140 B247:AF247 B249:B255">
    <cfRule type="expression" dxfId="1501" priority="41">
      <formula>B$9&gt;=20/24</formula>
    </cfRule>
  </conditionalFormatting>
  <conditionalFormatting sqref="B11:S83 AB11:AF83 T12:W83 Y15:AA59 X15:X60 AA60 AG61 X61:AA83 AG65 AG83">
    <cfRule type="expression" dxfId="1500" priority="40">
      <formula>B11&gt;$AG11</formula>
    </cfRule>
  </conditionalFormatting>
  <conditionalFormatting sqref="B9:AF10 B11:S57 T12:W57 X15:AF57 E62:AF64 B62:D77 E66:H77 I70:AF77 B80:AF102 B104:AF120 B122:AF140 B247:AF247 B249:B255">
    <cfRule type="expression" dxfId="1499" priority="42">
      <formula>AND(B$9&gt;=14/24,B$9&lt;20/24)</formula>
    </cfRule>
    <cfRule type="expression" dxfId="1498" priority="43">
      <formula>AND(B$9&gt;=8/24,B$9&lt;14/24)</formula>
    </cfRule>
    <cfRule type="expression" dxfId="1497" priority="44">
      <formula>B$9&lt;8/24</formula>
    </cfRule>
  </conditionalFormatting>
  <conditionalFormatting sqref="B58:AF60">
    <cfRule type="expression" dxfId="1496" priority="37">
      <formula>B$9&gt;=20/24</formula>
    </cfRule>
    <cfRule type="expression" dxfId="1495" priority="38">
      <formula>AND(B$9&gt;=14/24,B$9&lt;20/24)</formula>
    </cfRule>
    <cfRule type="expression" dxfId="1494" priority="39">
      <formula>AND(B$9&gt;=8/24,B$9&lt;14/24)</formula>
    </cfRule>
    <cfRule type="expression" dxfId="1493" priority="49">
      <formula>B$9&lt;8/24</formula>
    </cfRule>
  </conditionalFormatting>
  <conditionalFormatting sqref="D249:AF255">
    <cfRule type="expression" dxfId="1492" priority="119">
      <formula>D$9&gt;=20/24</formula>
    </cfRule>
    <cfRule type="expression" dxfId="1491" priority="120">
      <formula>AND(D$9&gt;=14/24,D$9&lt;20/24)</formula>
    </cfRule>
    <cfRule type="expression" dxfId="1490" priority="121">
      <formula>AND(D$9&gt;=8/24,D$9&lt;14/24)</formula>
    </cfRule>
    <cfRule type="expression" dxfId="1489" priority="122">
      <formula>D$9&lt;8/24</formula>
    </cfRule>
  </conditionalFormatting>
  <conditionalFormatting sqref="E11:AA11 X12:AA14 AB11:AF14">
    <cfRule type="expression" dxfId="1488" priority="55">
      <formula>E$9&gt;=20/24</formula>
    </cfRule>
  </conditionalFormatting>
  <conditionalFormatting sqref="E11:AA11 X12:AA14">
    <cfRule type="expression" dxfId="1487" priority="54">
      <formula>E11&gt;$AG11</formula>
    </cfRule>
  </conditionalFormatting>
  <conditionalFormatting sqref="E11:AA11 AB11:AF14 X12:AA14">
    <cfRule type="expression" dxfId="1486" priority="56">
      <formula>AND(E$9&gt;=14/24,E$9&lt;20/24)</formula>
    </cfRule>
    <cfRule type="expression" dxfId="1485" priority="57">
      <formula>AND(E$9&gt;=8/24,E$9&lt;14/24)</formula>
    </cfRule>
    <cfRule type="expression" dxfId="1484" priority="58">
      <formula>E$9&lt;8/24</formula>
    </cfRule>
  </conditionalFormatting>
  <conditionalFormatting sqref="E62:AF71">
    <cfRule type="expression" dxfId="1483" priority="45">
      <formula>E$9&gt;=20/24</formula>
    </cfRule>
    <cfRule type="expression" dxfId="1482" priority="46">
      <formula>AND(E$9&gt;=14/24,E$9&lt;20/24)</formula>
    </cfRule>
    <cfRule type="expression" dxfId="1481" priority="47">
      <formula>AND(E$9&gt;=8/24,E$9&lt;14/24)</formula>
    </cfRule>
    <cfRule type="expression" dxfId="1480" priority="48">
      <formula>E$9&lt;8/24</formula>
    </cfRule>
  </conditionalFormatting>
  <conditionalFormatting sqref="I66:AF68">
    <cfRule type="expression" dxfId="1479" priority="72">
      <formula>I$9&gt;=20/24</formula>
    </cfRule>
    <cfRule type="expression" dxfId="1478" priority="73">
      <formula>AND(I$9&gt;=14/24,I$9&lt;20/24)</formula>
    </cfRule>
    <cfRule type="expression" dxfId="1477" priority="74">
      <formula>AND(I$9&gt;=8/24,I$9&lt;14/24)</formula>
    </cfRule>
    <cfRule type="expression" dxfId="1476" priority="75">
      <formula>I$9&lt;8/24</formula>
    </cfRule>
  </conditionalFormatting>
  <conditionalFormatting sqref="M8 S8 AB8">
    <cfRule type="expression" dxfId="1475" priority="126">
      <formula>AND(N$9&gt;=14/24,N$9&lt;20/24)</formula>
    </cfRule>
    <cfRule type="expression" dxfId="1474" priority="127">
      <formula>AND(N$9&gt;=8/24,N$9&lt;14/24)</formula>
    </cfRule>
    <cfRule type="expression" dxfId="1473" priority="128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472" priority="125">
      <formula>N$9&gt;=20/24</formula>
    </cfRule>
  </conditionalFormatting>
  <conditionalFormatting sqref="S8">
    <cfRule type="expression" dxfId="1471" priority="112">
      <formula>U$9&gt;=20/24</formula>
    </cfRule>
    <cfRule type="expression" dxfId="1470" priority="113">
      <formula>AND(U$9&gt;=14/24,U$9&lt;20/24)</formula>
    </cfRule>
    <cfRule type="expression" dxfId="1469" priority="114">
      <formula>AND(U$9&gt;=8/24,U$9&lt;14/24)</formula>
    </cfRule>
    <cfRule type="expression" dxfId="1468" priority="115">
      <formula>U$9&lt;8/24</formula>
    </cfRule>
  </conditionalFormatting>
  <conditionalFormatting sqref="T66:AF70">
    <cfRule type="expression" dxfId="1467" priority="76">
      <formula>T$9&gt;=20/24</formula>
    </cfRule>
    <cfRule type="expression" dxfId="1466" priority="77">
      <formula>AND(T$9&gt;=14/24,T$9&lt;20/24)</formula>
    </cfRule>
    <cfRule type="expression" dxfId="1465" priority="78">
      <formula>AND(T$9&gt;=8/24,T$9&lt;14/24)</formula>
    </cfRule>
    <cfRule type="expression" dxfId="1464" priority="79">
      <formula>T$9&lt;8/24</formula>
    </cfRule>
  </conditionalFormatting>
  <conditionalFormatting sqref="T71:AF71">
    <cfRule type="expression" dxfId="1463" priority="68">
      <formula>T$9&gt;=20/24</formula>
    </cfRule>
    <cfRule type="expression" dxfId="1462" priority="69">
      <formula>AND(T$9&gt;=14/24,T$9&lt;20/24)</formula>
    </cfRule>
    <cfRule type="expression" dxfId="1461" priority="70">
      <formula>AND(T$9&gt;=8/24,T$9&lt;14/24)</formula>
    </cfRule>
    <cfRule type="expression" dxfId="1460" priority="71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60:Z60">
    <cfRule type="expression" dxfId="1459" priority="59">
      <formula>Y60&gt;$AG60</formula>
    </cfRule>
  </conditionalFormatting>
  <conditionalFormatting sqref="Y66:AF71">
    <cfRule type="expression" dxfId="1458" priority="64">
      <formula>Y$9&gt;=20/24</formula>
    </cfRule>
    <cfRule type="expression" dxfId="1457" priority="65">
      <formula>AND(Y$9&gt;=14/24,Y$9&lt;20/24)</formula>
    </cfRule>
    <cfRule type="expression" dxfId="1456" priority="66">
      <formula>AND(Y$9&gt;=8/24,Y$9&lt;14/24)</formula>
    </cfRule>
    <cfRule type="expression" dxfId="1455" priority="67">
      <formula>Y$9&lt;8/24</formula>
    </cfRule>
  </conditionalFormatting>
  <conditionalFormatting sqref="AB8">
    <cfRule type="expression" dxfId="1454" priority="108">
      <formula>AD$9&gt;=20/24</formula>
    </cfRule>
    <cfRule type="expression" dxfId="1453" priority="109">
      <formula>AND(AD$9&gt;=14/24,AD$9&lt;20/24)</formula>
    </cfRule>
    <cfRule type="expression" dxfId="1452" priority="110">
      <formula>AND(AD$9&gt;=8/24,AD$9&lt;14/24)</formula>
    </cfRule>
    <cfRule type="expression" dxfId="1451" priority="111">
      <formula>AD$9&lt;8/24</formula>
    </cfRule>
  </conditionalFormatting>
  <conditionalFormatting sqref="AG65">
    <cfRule type="expression" dxfId="1450" priority="87">
      <formula>AG$9&gt;=20/24</formula>
    </cfRule>
    <cfRule type="expression" dxfId="1449" priority="88">
      <formula>AND(AG$9&gt;=14/24,AG$9&lt;20/24)</formula>
    </cfRule>
    <cfRule type="expression" dxfId="1448" priority="89">
      <formula>AND(AG$9&gt;=8/24,AG$9&lt;14/24)</formula>
    </cfRule>
    <cfRule type="expression" dxfId="1447" priority="90">
      <formula>AG$9&lt;8/24</formula>
    </cfRule>
  </conditionalFormatting>
  <conditionalFormatting sqref="AG78:AG79">
    <cfRule type="expression" dxfId="1446" priority="82">
      <formula>AG78&gt;$AG78</formula>
    </cfRule>
  </conditionalFormatting>
  <conditionalFormatting sqref="AG83">
    <cfRule type="expression" dxfId="1445" priority="83">
      <formula>AG$9&gt;=20/24</formula>
    </cfRule>
    <cfRule type="expression" dxfId="1444" priority="84">
      <formula>AND(AG$9&gt;=14/24,AG$9&lt;20/24)</formula>
    </cfRule>
    <cfRule type="expression" dxfId="1443" priority="85">
      <formula>AND(AG$9&gt;=8/24,AG$9&lt;14/24)</formula>
    </cfRule>
    <cfRule type="expression" dxfId="1442" priority="86">
      <formula>AG$9&lt;8/24</formula>
    </cfRule>
  </conditionalFormatting>
  <conditionalFormatting sqref="AG100">
    <cfRule type="expression" dxfId="1441" priority="104">
      <formula>AG$9&gt;=20/24</formula>
    </cfRule>
    <cfRule type="expression" dxfId="1440" priority="105">
      <formula>AND(AG$9&gt;=14/24,AG$9&lt;20/24)</formula>
    </cfRule>
    <cfRule type="expression" dxfId="1439" priority="106">
      <formula>AND(AG$9&gt;=8/24,AG$9&lt;14/24)</formula>
    </cfRule>
    <cfRule type="expression" dxfId="1438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437" priority="129">
      <formula>AJ$9&gt;=20/24</formula>
    </cfRule>
    <cfRule type="expression" dxfId="1436" priority="130">
      <formula>AND(AJ$9&gt;=14/24,AJ$9&lt;20/24)</formula>
    </cfRule>
    <cfRule type="expression" dxfId="1435" priority="131">
      <formula>AND(AJ$9&gt;=8/24,AJ$9&lt;14/24)</formula>
    </cfRule>
    <cfRule type="expression" dxfId="1434" priority="132">
      <formula>AJ$9&lt;8/24</formula>
    </cfRule>
  </conditionalFormatting>
  <conditionalFormatting sqref="AL86:AN86 AL92:AN92">
    <cfRule type="expression" dxfId="1433" priority="97">
      <formula>AL$9&gt;=20/24</formula>
    </cfRule>
    <cfRule type="expression" dxfId="1432" priority="98">
      <formula>AND(AL$9&gt;=14/24,AL$9&lt;20/24)</formula>
    </cfRule>
    <cfRule type="expression" dxfId="1431" priority="99">
      <formula>AND(AL$9&gt;=8/24,AL$9&lt;14/24)</formula>
    </cfRule>
    <cfRule type="expression" dxfId="1430" priority="100">
      <formula>AL$9&lt;8/24</formula>
    </cfRule>
  </conditionalFormatting>
  <conditionalFormatting sqref="AM15:AM21 AN16:AR21">
    <cfRule type="expression" dxfId="1429" priority="13">
      <formula>AX$9&gt;=20/24</formula>
    </cfRule>
    <cfRule type="expression" dxfId="1428" priority="14">
      <formula>AND(AX$9&gt;=14/24,AX$9&lt;20/24)</formula>
    </cfRule>
    <cfRule type="expression" dxfId="1427" priority="15">
      <formula>AND(AX$9&gt;=8/24,AX$9&lt;14/24)</formula>
    </cfRule>
    <cfRule type="expression" dxfId="1426" priority="16">
      <formula>AX$9&lt;8/24</formula>
    </cfRule>
  </conditionalFormatting>
  <conditionalFormatting sqref="AN87:AN90">
    <cfRule type="expression" dxfId="1425" priority="93">
      <formula>AN$9&gt;=20/24</formula>
    </cfRule>
    <cfRule type="expression" dxfId="1424" priority="94">
      <formula>AND(AN$9&gt;=14/24,AN$9&lt;20/24)</formula>
    </cfRule>
    <cfRule type="expression" dxfId="1423" priority="95">
      <formula>AND(AN$9&gt;=8/24,AN$9&lt;14/24)</formula>
    </cfRule>
    <cfRule type="expression" dxfId="1422" priority="96">
      <formula>AN$9&lt;8/24</formula>
    </cfRule>
  </conditionalFormatting>
  <conditionalFormatting sqref="AN15:AR15">
    <cfRule type="expression" dxfId="1421" priority="1">
      <formula>U$9&gt;=20/24</formula>
    </cfRule>
    <cfRule type="expression" dxfId="1420" priority="2">
      <formula>AND(U$9&gt;=14/24,U$9&lt;20/24)</formula>
    </cfRule>
    <cfRule type="expression" dxfId="1419" priority="3">
      <formula>AND(U$9&gt;=8/24,U$9&lt;14/24)</formula>
    </cfRule>
    <cfRule type="expression" dxfId="1418" priority="4">
      <formula>U$9&lt;8/24</formula>
    </cfRule>
  </conditionalFormatting>
  <conditionalFormatting sqref="AS15">
    <cfRule type="expression" dxfId="1417" priority="9">
      <formula>AA$9&gt;=20/24</formula>
    </cfRule>
    <cfRule type="expression" dxfId="1416" priority="10">
      <formula>AND(AA$9&gt;=14/24,AA$9&lt;20/24)</formula>
    </cfRule>
    <cfRule type="expression" dxfId="1415" priority="11">
      <formula>AND(AA$9&gt;=8/24,AA$9&lt;14/24)</formula>
    </cfRule>
    <cfRule type="expression" dxfId="1414" priority="12">
      <formula>AA$9&lt;8/24</formula>
    </cfRule>
  </conditionalFormatting>
  <conditionalFormatting sqref="AS16:AS21">
    <cfRule type="expression" dxfId="1413" priority="17">
      <formula>BE$9&gt;=20/24</formula>
    </cfRule>
    <cfRule type="expression" dxfId="1412" priority="18">
      <formula>AND(BE$9&gt;=14/24,BE$9&lt;20/24)</formula>
    </cfRule>
    <cfRule type="expression" dxfId="1411" priority="19">
      <formula>AND(BE$9&gt;=8/24,BE$9&lt;14/24)</formula>
    </cfRule>
    <cfRule type="expression" dxfId="1410" priority="20">
      <formula>BE$9&lt;8/24</formula>
    </cfRule>
  </conditionalFormatting>
  <conditionalFormatting sqref="AT15 AX15:BJ15">
    <cfRule type="expression" dxfId="1409" priority="21">
      <formula>AC$9&gt;=20/24</formula>
    </cfRule>
    <cfRule type="expression" dxfId="1408" priority="22">
      <formula>AND(AC$9&gt;=14/24,AC$9&lt;20/24)</formula>
    </cfRule>
    <cfRule type="expression" dxfId="1407" priority="23">
      <formula>AND(AC$9&gt;=8/24,AC$9&lt;14/24)</formula>
    </cfRule>
    <cfRule type="expression" dxfId="1406" priority="24">
      <formula>AC$9&lt;8/24</formula>
    </cfRule>
  </conditionalFormatting>
  <conditionalFormatting sqref="AT16:AT21">
    <cfRule type="expression" dxfId="1405" priority="25">
      <formula>BG$9&gt;=20/24</formula>
    </cfRule>
    <cfRule type="expression" dxfId="1404" priority="26">
      <formula>AND(BG$9&gt;=14/24,BG$9&lt;20/24)</formula>
    </cfRule>
    <cfRule type="expression" dxfId="1403" priority="27">
      <formula>AND(BG$9&gt;=8/24,BG$9&lt;14/24)</formula>
    </cfRule>
    <cfRule type="expression" dxfId="1402" priority="28">
      <formula>BG$9&lt;8/24</formula>
    </cfRule>
  </conditionalFormatting>
  <conditionalFormatting sqref="AU15:AV15">
    <cfRule type="expression" dxfId="1401" priority="29">
      <formula>AE$9&gt;=20/24</formula>
    </cfRule>
    <cfRule type="expression" dxfId="1400" priority="30">
      <formula>AND(AE$9&gt;=14/24,AE$9&lt;20/24)</formula>
    </cfRule>
    <cfRule type="expression" dxfId="1399" priority="31">
      <formula>AND(AE$9&gt;=8/24,AE$9&lt;14/24)</formula>
    </cfRule>
    <cfRule type="expression" dxfId="1398" priority="32">
      <formula>AE$9&lt;8/24</formula>
    </cfRule>
  </conditionalFormatting>
  <conditionalFormatting sqref="AU16:BJ21">
    <cfRule type="expression" dxfId="1397" priority="33">
      <formula>BI$9&gt;=20/24</formula>
    </cfRule>
    <cfRule type="expression" dxfId="1396" priority="34">
      <formula>AND(BI$9&gt;=14/24,BI$9&lt;20/24)</formula>
    </cfRule>
    <cfRule type="expression" dxfId="1395" priority="35">
      <formula>AND(BI$9&gt;=8/24,BI$9&lt;14/24)</formula>
    </cfRule>
    <cfRule type="expression" dxfId="1394" priority="36">
      <formula>BI$9&lt;8/24</formula>
    </cfRule>
  </conditionalFormatting>
  <conditionalFormatting sqref="AW15">
    <cfRule type="expression" dxfId="1393" priority="5">
      <formula>B$9&gt;=20/24</formula>
    </cfRule>
    <cfRule type="expression" dxfId="1392" priority="6">
      <formula>AND(B$9&gt;=14/24,B$9&lt;20/24)</formula>
    </cfRule>
    <cfRule type="expression" dxfId="1391" priority="7">
      <formula>AND(B$9&gt;=8/24,B$9&lt;14/24)</formula>
    </cfRule>
    <cfRule type="expression" dxfId="1390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F023-EE7E-4211-890E-3C9CC4C26A30}">
  <dimension ref="A1:CJ297"/>
  <sheetViews>
    <sheetView zoomScale="106" workbookViewId="0">
      <pane xSplit="1" ySplit="10" topLeftCell="B6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J84" sqref="J8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2080/10/24</v>
      </c>
      <c r="C4" s="189"/>
      <c r="D4" s="189"/>
      <c r="E4" s="190" t="str">
        <f ca="1">"2080/"&amp;"10/"&amp;INT(MID(CELL("filename",G6),FIND("]",CELL("filename",G6))+1,200))</f>
        <v>2080/10/24</v>
      </c>
      <c r="F4" s="190"/>
      <c r="G4" s="190"/>
      <c r="H4" s="190" t="str">
        <f ca="1">TEXT(E4,"dddd")</f>
        <v>Thursday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39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2230MW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Load=1250</v>
      </c>
      <c r="B7" s="35">
        <f t="shared" ref="B7:AF7" si="1">B103</f>
        <v>1415.5399999999997</v>
      </c>
      <c r="C7" s="35">
        <f t="shared" si="1"/>
        <v>1405.5400000000002</v>
      </c>
      <c r="D7" s="35">
        <f t="shared" si="1"/>
        <v>1428.3399999999997</v>
      </c>
      <c r="E7" s="35">
        <f t="shared" si="1"/>
        <v>1333.6399999999999</v>
      </c>
      <c r="F7" s="35">
        <f t="shared" si="1"/>
        <v>1334.84</v>
      </c>
      <c r="G7" s="35">
        <f t="shared" si="1"/>
        <v>1348.9400000000003</v>
      </c>
      <c r="H7" s="35">
        <f t="shared" si="1"/>
        <v>1336.3400000000001</v>
      </c>
      <c r="I7" s="35">
        <f t="shared" si="1"/>
        <v>1298.8400000000001</v>
      </c>
      <c r="J7" s="35">
        <f t="shared" si="1"/>
        <v>1249.8399999999999</v>
      </c>
      <c r="K7" s="35">
        <f t="shared" si="1"/>
        <v>1353.8400000000001</v>
      </c>
      <c r="L7" s="35">
        <f t="shared" si="1"/>
        <v>1392.54</v>
      </c>
      <c r="M7" s="35">
        <f t="shared" si="1"/>
        <v>1466.04</v>
      </c>
      <c r="N7" s="35">
        <f t="shared" si="1"/>
        <v>1734.0399999999997</v>
      </c>
      <c r="O7" s="35">
        <f t="shared" si="1"/>
        <v>1635.04</v>
      </c>
      <c r="P7" s="35">
        <f t="shared" si="1"/>
        <v>1580.3400000000001</v>
      </c>
      <c r="Q7" s="35">
        <f t="shared" si="1"/>
        <v>1605.44</v>
      </c>
      <c r="R7" s="35">
        <f t="shared" si="1"/>
        <v>1673.7399999999998</v>
      </c>
      <c r="S7" s="35">
        <f t="shared" si="1"/>
        <v>1647.7399999999998</v>
      </c>
      <c r="T7" s="35">
        <f t="shared" si="1"/>
        <v>1646.04</v>
      </c>
      <c r="U7" s="35">
        <f t="shared" si="1"/>
        <v>1636.04</v>
      </c>
      <c r="V7" s="35">
        <f t="shared" si="1"/>
        <v>1580.04</v>
      </c>
      <c r="W7" s="35">
        <f t="shared" si="1"/>
        <v>1591.04</v>
      </c>
      <c r="X7" s="35">
        <f t="shared" si="1"/>
        <v>1565.04</v>
      </c>
      <c r="Y7" s="35">
        <f t="shared" si="1"/>
        <v>1530.8400000000001</v>
      </c>
      <c r="Z7" s="35">
        <f t="shared" si="1"/>
        <v>1579.8400000000001</v>
      </c>
      <c r="AA7" s="35">
        <f t="shared" si="1"/>
        <v>1679.54</v>
      </c>
      <c r="AB7" s="35">
        <f t="shared" si="1"/>
        <v>1734.6400000000003</v>
      </c>
      <c r="AC7" s="35">
        <f t="shared" si="1"/>
        <v>1708.5400000000004</v>
      </c>
      <c r="AD7" s="35">
        <f t="shared" si="1"/>
        <v>1685.7400000000002</v>
      </c>
      <c r="AE7" s="35">
        <f t="shared" si="1"/>
        <v>1669.1400000000003</v>
      </c>
      <c r="AF7" s="35">
        <f t="shared" si="1"/>
        <v>1618.74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2388.64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1734.64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86.8</v>
      </c>
      <c r="C11" s="46">
        <v>86.8</v>
      </c>
      <c r="D11" s="46">
        <v>86.8</v>
      </c>
      <c r="E11" s="46">
        <v>86.8</v>
      </c>
      <c r="F11" s="46">
        <v>86.8</v>
      </c>
      <c r="G11" s="46">
        <v>86.8</v>
      </c>
      <c r="H11" s="46">
        <v>86.8</v>
      </c>
      <c r="I11" s="46">
        <v>86.8</v>
      </c>
      <c r="J11" s="46">
        <v>86.8</v>
      </c>
      <c r="K11" s="46">
        <v>86.8</v>
      </c>
      <c r="L11" s="46">
        <v>86.8</v>
      </c>
      <c r="M11" s="46">
        <v>86.7</v>
      </c>
      <c r="N11" s="46">
        <v>86.7</v>
      </c>
      <c r="O11" s="46">
        <v>86.7</v>
      </c>
      <c r="P11" s="46">
        <v>86.7</v>
      </c>
      <c r="Q11" s="46">
        <v>86.7</v>
      </c>
      <c r="R11" s="46">
        <v>86.7</v>
      </c>
      <c r="S11" s="46">
        <v>86.7</v>
      </c>
      <c r="T11" s="46">
        <v>86.7</v>
      </c>
      <c r="U11" s="46">
        <v>86.7</v>
      </c>
      <c r="V11" s="46">
        <v>86.7</v>
      </c>
      <c r="W11" s="46">
        <v>86.7</v>
      </c>
      <c r="X11" s="46">
        <v>86.7</v>
      </c>
      <c r="Y11" s="46">
        <v>86.7</v>
      </c>
      <c r="Z11" s="46">
        <v>86.7</v>
      </c>
      <c r="AA11" s="46">
        <v>86.7</v>
      </c>
      <c r="AB11" s="46">
        <v>86.8</v>
      </c>
      <c r="AC11" s="46">
        <v>86.8</v>
      </c>
      <c r="AD11" s="46">
        <v>86.9</v>
      </c>
      <c r="AE11" s="46">
        <v>86.8</v>
      </c>
      <c r="AF11" s="46">
        <v>86.8</v>
      </c>
      <c r="AG11" s="47">
        <v>86</v>
      </c>
      <c r="AH11" s="48">
        <f t="shared" ref="AH11:AH74" si="2">MAX(B11:AF11)</f>
        <v>86.9</v>
      </c>
      <c r="AI11" s="49">
        <f t="shared" ref="AI11:AI74" si="3">MIN(B11:AF11)</f>
        <v>86.7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46.6</v>
      </c>
      <c r="C12" s="46">
        <v>46.6</v>
      </c>
      <c r="D12" s="46">
        <v>46.6</v>
      </c>
      <c r="E12" s="46">
        <v>46.6</v>
      </c>
      <c r="F12" s="46">
        <v>46.6</v>
      </c>
      <c r="G12" s="46">
        <v>46.6</v>
      </c>
      <c r="H12" s="46">
        <v>46.6</v>
      </c>
      <c r="I12" s="46">
        <v>46.6</v>
      </c>
      <c r="J12" s="46">
        <v>46.6</v>
      </c>
      <c r="K12" s="46">
        <v>46.6</v>
      </c>
      <c r="L12" s="46">
        <v>46.6</v>
      </c>
      <c r="M12" s="46">
        <v>61.4</v>
      </c>
      <c r="N12" s="46">
        <v>83.2</v>
      </c>
      <c r="O12" s="46">
        <v>83.2</v>
      </c>
      <c r="P12" s="46">
        <v>83.2</v>
      </c>
      <c r="Q12" s="46">
        <v>57</v>
      </c>
      <c r="R12" s="46">
        <v>83</v>
      </c>
      <c r="S12" s="46">
        <v>83</v>
      </c>
      <c r="T12" s="46">
        <v>83</v>
      </c>
      <c r="U12" s="46">
        <v>83</v>
      </c>
      <c r="V12" s="46">
        <v>83</v>
      </c>
      <c r="W12" s="46">
        <v>55</v>
      </c>
      <c r="X12" s="46">
        <v>55</v>
      </c>
      <c r="Y12" s="46">
        <v>55</v>
      </c>
      <c r="Z12" s="46">
        <v>55</v>
      </c>
      <c r="AA12" s="46">
        <v>48</v>
      </c>
      <c r="AB12" s="46">
        <v>83.8</v>
      </c>
      <c r="AC12" s="46">
        <v>83.8</v>
      </c>
      <c r="AD12" s="46">
        <v>83.8</v>
      </c>
      <c r="AE12" s="46">
        <v>70</v>
      </c>
      <c r="AF12" s="46">
        <v>50</v>
      </c>
      <c r="AG12" s="50">
        <v>77</v>
      </c>
      <c r="AH12" s="48">
        <f t="shared" si="2"/>
        <v>83.8</v>
      </c>
      <c r="AI12" s="49">
        <f t="shared" si="3"/>
        <v>46.6</v>
      </c>
      <c r="AK12" s="51"/>
      <c r="AL12" s="52" t="str">
        <f ca="1">MID(CELL("filename",C7),FIND("]",CELL("filename",C7))+1,600)</f>
        <v>24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56</v>
      </c>
      <c r="C13" s="46">
        <v>56</v>
      </c>
      <c r="D13" s="46">
        <v>56</v>
      </c>
      <c r="E13" s="46">
        <v>51.6</v>
      </c>
      <c r="F13" s="46">
        <v>51.6</v>
      </c>
      <c r="G13" s="46">
        <v>51.6</v>
      </c>
      <c r="H13" s="46">
        <v>51.6</v>
      </c>
      <c r="I13" s="46">
        <v>51.6</v>
      </c>
      <c r="J13" s="46">
        <v>51.6</v>
      </c>
      <c r="K13" s="46">
        <v>10</v>
      </c>
      <c r="L13" s="46">
        <v>10</v>
      </c>
      <c r="M13" s="46">
        <v>0</v>
      </c>
      <c r="N13" s="46">
        <v>0</v>
      </c>
      <c r="O13" s="46">
        <v>0</v>
      </c>
      <c r="P13" s="46">
        <v>0</v>
      </c>
      <c r="Q13" s="46">
        <v>26.4</v>
      </c>
      <c r="R13" s="46">
        <v>56</v>
      </c>
      <c r="S13" s="46">
        <v>56</v>
      </c>
      <c r="T13" s="46">
        <v>67</v>
      </c>
      <c r="U13" s="46">
        <v>67</v>
      </c>
      <c r="V13" s="46">
        <v>67</v>
      </c>
      <c r="W13" s="46">
        <v>49.7</v>
      </c>
      <c r="X13" s="46">
        <v>42.2</v>
      </c>
      <c r="Y13" s="46">
        <v>42.2</v>
      </c>
      <c r="Z13" s="46">
        <v>42.2</v>
      </c>
      <c r="AA13" s="46">
        <v>58</v>
      </c>
      <c r="AB13" s="46">
        <v>58</v>
      </c>
      <c r="AC13" s="46">
        <v>58</v>
      </c>
      <c r="AD13" s="46">
        <v>58</v>
      </c>
      <c r="AE13" s="46">
        <v>60</v>
      </c>
      <c r="AF13" s="46">
        <v>50</v>
      </c>
      <c r="AG13" s="50">
        <v>73</v>
      </c>
      <c r="AH13" s="48">
        <f t="shared" si="2"/>
        <v>67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20.7</v>
      </c>
      <c r="C14" s="46">
        <v>20.7</v>
      </c>
      <c r="D14" s="46">
        <v>20.7</v>
      </c>
      <c r="E14" s="46">
        <v>20.7</v>
      </c>
      <c r="F14" s="46">
        <v>10.3</v>
      </c>
      <c r="G14" s="46">
        <v>10.3</v>
      </c>
      <c r="H14" s="46">
        <v>10.3</v>
      </c>
      <c r="I14" s="46">
        <v>10.3</v>
      </c>
      <c r="J14" s="46">
        <v>10.3</v>
      </c>
      <c r="K14" s="46">
        <v>10.4</v>
      </c>
      <c r="L14" s="46">
        <v>10.4</v>
      </c>
      <c r="M14" s="46">
        <v>16</v>
      </c>
      <c r="N14" s="46">
        <v>15.6</v>
      </c>
      <c r="O14" s="46">
        <v>15.6</v>
      </c>
      <c r="P14" s="46">
        <v>28.6</v>
      </c>
      <c r="Q14" s="46">
        <v>30.3</v>
      </c>
      <c r="R14" s="46">
        <v>33</v>
      </c>
      <c r="S14" s="46">
        <v>33</v>
      </c>
      <c r="T14" s="46">
        <v>33</v>
      </c>
      <c r="U14" s="46">
        <v>33</v>
      </c>
      <c r="V14" s="46">
        <v>33</v>
      </c>
      <c r="W14" s="46">
        <v>33</v>
      </c>
      <c r="X14" s="46">
        <v>35.1</v>
      </c>
      <c r="Y14" s="46">
        <v>20.5</v>
      </c>
      <c r="Z14" s="46">
        <v>20.5</v>
      </c>
      <c r="AA14" s="46">
        <v>35</v>
      </c>
      <c r="AB14" s="46">
        <v>37</v>
      </c>
      <c r="AC14" s="46">
        <v>37</v>
      </c>
      <c r="AD14" s="46">
        <v>37</v>
      </c>
      <c r="AE14" s="46">
        <v>32.299999999999997</v>
      </c>
      <c r="AF14" s="46">
        <v>33.299999999999997</v>
      </c>
      <c r="AG14" s="50">
        <v>71</v>
      </c>
      <c r="AH14" s="48">
        <f t="shared" si="2"/>
        <v>37</v>
      </c>
      <c r="AI14" s="49">
        <f t="shared" si="3"/>
        <v>10.3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30.9</v>
      </c>
      <c r="C15" s="46">
        <v>30.9</v>
      </c>
      <c r="D15" s="46">
        <v>30.9</v>
      </c>
      <c r="E15" s="46">
        <v>30.9</v>
      </c>
      <c r="F15" s="46">
        <v>30.9</v>
      </c>
      <c r="G15" s="46">
        <v>30.9</v>
      </c>
      <c r="H15" s="46">
        <v>30.9</v>
      </c>
      <c r="I15" s="46">
        <v>30.9</v>
      </c>
      <c r="J15" s="46">
        <v>30.9</v>
      </c>
      <c r="K15" s="46">
        <v>30.9</v>
      </c>
      <c r="L15" s="46">
        <v>30.9</v>
      </c>
      <c r="M15" s="46">
        <v>47</v>
      </c>
      <c r="N15" s="46">
        <v>59.7</v>
      </c>
      <c r="O15" s="46">
        <v>59.7</v>
      </c>
      <c r="P15" s="46">
        <v>59.7</v>
      </c>
      <c r="Q15" s="46">
        <v>35.799999999999997</v>
      </c>
      <c r="R15" s="46">
        <v>59</v>
      </c>
      <c r="S15" s="46">
        <v>59</v>
      </c>
      <c r="T15" s="46">
        <v>59</v>
      </c>
      <c r="U15" s="46">
        <v>59</v>
      </c>
      <c r="V15" s="46">
        <v>59</v>
      </c>
      <c r="W15" s="46">
        <v>34.6</v>
      </c>
      <c r="X15" s="46">
        <v>34.6</v>
      </c>
      <c r="Y15" s="46">
        <v>34.6</v>
      </c>
      <c r="Z15" s="46">
        <v>34.6</v>
      </c>
      <c r="AA15" s="46">
        <v>57</v>
      </c>
      <c r="AB15" s="46">
        <v>57</v>
      </c>
      <c r="AC15" s="46">
        <v>57</v>
      </c>
      <c r="AD15" s="46">
        <v>57</v>
      </c>
      <c r="AE15" s="46">
        <v>53</v>
      </c>
      <c r="AF15" s="46">
        <v>31.4</v>
      </c>
      <c r="AG15" s="50">
        <v>54</v>
      </c>
      <c r="AH15" s="48">
        <f t="shared" si="2"/>
        <v>59.7</v>
      </c>
      <c r="AI15" s="49">
        <f t="shared" si="3"/>
        <v>30.9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27.2</v>
      </c>
      <c r="C16" s="46">
        <v>27.2</v>
      </c>
      <c r="D16" s="46">
        <v>27.2</v>
      </c>
      <c r="E16" s="46">
        <v>27.2</v>
      </c>
      <c r="F16" s="46">
        <v>10.4</v>
      </c>
      <c r="G16" s="46">
        <v>10.4</v>
      </c>
      <c r="H16" s="46">
        <v>10.4</v>
      </c>
      <c r="I16" s="46">
        <v>10.4</v>
      </c>
      <c r="J16" s="46">
        <v>10.4</v>
      </c>
      <c r="K16" s="46">
        <v>27.1</v>
      </c>
      <c r="L16" s="46">
        <v>27.1</v>
      </c>
      <c r="M16" s="46">
        <v>27</v>
      </c>
      <c r="N16" s="46">
        <v>27</v>
      </c>
      <c r="O16" s="46">
        <v>27</v>
      </c>
      <c r="P16" s="46">
        <v>27</v>
      </c>
      <c r="Q16" s="46">
        <v>27</v>
      </c>
      <c r="R16" s="46">
        <v>27</v>
      </c>
      <c r="S16" s="46">
        <v>27</v>
      </c>
      <c r="T16" s="46">
        <v>27</v>
      </c>
      <c r="U16" s="46">
        <v>27</v>
      </c>
      <c r="V16" s="46">
        <v>27</v>
      </c>
      <c r="W16" s="46">
        <v>27</v>
      </c>
      <c r="X16" s="46">
        <v>27</v>
      </c>
      <c r="Y16" s="46">
        <v>27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27.1</v>
      </c>
      <c r="AF16" s="46">
        <v>27.1</v>
      </c>
      <c r="AG16" s="50">
        <v>54</v>
      </c>
      <c r="AH16" s="48">
        <f t="shared" si="2"/>
        <v>27.2</v>
      </c>
      <c r="AI16" s="49">
        <f t="shared" si="3"/>
        <v>10.4</v>
      </c>
      <c r="AK16" s="51"/>
      <c r="AL16" s="54" t="s">
        <v>7</v>
      </c>
      <c r="AM16" s="59">
        <f t="shared" ref="AM16:AR16" si="4">B61</f>
        <v>1168.8</v>
      </c>
      <c r="AN16" s="59">
        <f t="shared" si="4"/>
        <v>1172.4000000000001</v>
      </c>
      <c r="AO16" s="59">
        <f t="shared" si="4"/>
        <v>1223</v>
      </c>
      <c r="AP16" s="59">
        <f t="shared" si="4"/>
        <v>1152</v>
      </c>
      <c r="AQ16" s="59">
        <f t="shared" si="4"/>
        <v>1143</v>
      </c>
      <c r="AR16" s="59">
        <f t="shared" si="4"/>
        <v>1143.5</v>
      </c>
      <c r="AS16" s="59">
        <f>I61</f>
        <v>1106.5</v>
      </c>
      <c r="AT16" s="59">
        <f>K61</f>
        <v>1169.9000000000001</v>
      </c>
      <c r="AU16" s="59">
        <f t="shared" ref="AU16:BD16" si="5">M61</f>
        <v>1216.0000000000002</v>
      </c>
      <c r="AV16" s="59">
        <f t="shared" si="5"/>
        <v>1262.5</v>
      </c>
      <c r="AW16" s="59">
        <f t="shared" si="5"/>
        <v>1244.5</v>
      </c>
      <c r="AX16" s="59">
        <f t="shared" si="5"/>
        <v>1287.8000000000002</v>
      </c>
      <c r="AY16" s="59">
        <f t="shared" si="5"/>
        <v>1271.7</v>
      </c>
      <c r="AZ16" s="59">
        <f t="shared" si="5"/>
        <v>1353.2</v>
      </c>
      <c r="BA16" s="59">
        <f t="shared" si="5"/>
        <v>1353.2</v>
      </c>
      <c r="BB16" s="59">
        <f t="shared" si="5"/>
        <v>1337.3000000000002</v>
      </c>
      <c r="BC16" s="59">
        <f t="shared" si="5"/>
        <v>1337.3000000000002</v>
      </c>
      <c r="BD16" s="59">
        <f t="shared" si="5"/>
        <v>1337.3000000000002</v>
      </c>
      <c r="BE16" s="60">
        <f>X61</f>
        <v>1295.0999999999999</v>
      </c>
      <c r="BF16" s="60">
        <f>Z61</f>
        <v>1280.5</v>
      </c>
      <c r="BG16" s="60">
        <f>AB61</f>
        <v>1419.9</v>
      </c>
      <c r="BH16" s="60">
        <f>AD61</f>
        <v>1411.5000000000002</v>
      </c>
      <c r="BI16" s="60">
        <f>AE61</f>
        <v>1403.5000000000002</v>
      </c>
      <c r="BJ16" s="60">
        <f>AF61</f>
        <v>1339.5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55.6</v>
      </c>
      <c r="C17" s="46">
        <v>55.6</v>
      </c>
      <c r="D17" s="46">
        <v>55.6</v>
      </c>
      <c r="E17" s="46">
        <v>55.6</v>
      </c>
      <c r="F17" s="46">
        <v>55.6</v>
      </c>
      <c r="G17" s="46">
        <v>55.6</v>
      </c>
      <c r="H17" s="46">
        <v>55.6</v>
      </c>
      <c r="I17" s="46">
        <v>55.6</v>
      </c>
      <c r="J17" s="46">
        <v>55.6</v>
      </c>
      <c r="K17" s="46">
        <v>55.6</v>
      </c>
      <c r="L17" s="46">
        <v>55.6</v>
      </c>
      <c r="M17" s="46">
        <v>53.2</v>
      </c>
      <c r="N17" s="46">
        <v>55.4</v>
      </c>
      <c r="O17" s="46">
        <v>55.4</v>
      </c>
      <c r="P17" s="46">
        <v>55.4</v>
      </c>
      <c r="Q17" s="46">
        <v>55.4</v>
      </c>
      <c r="R17" s="46">
        <v>55.4</v>
      </c>
      <c r="S17" s="46">
        <v>55.4</v>
      </c>
      <c r="T17" s="46">
        <v>55.4</v>
      </c>
      <c r="U17" s="46">
        <v>55.4</v>
      </c>
      <c r="V17" s="46">
        <v>55.4</v>
      </c>
      <c r="W17" s="46">
        <v>55.4</v>
      </c>
      <c r="X17" s="46">
        <v>55.4</v>
      </c>
      <c r="Y17" s="46">
        <v>55.4</v>
      </c>
      <c r="Z17" s="46">
        <v>55.4</v>
      </c>
      <c r="AA17" s="46">
        <v>55.4</v>
      </c>
      <c r="AB17" s="46">
        <v>55.4</v>
      </c>
      <c r="AC17" s="46">
        <v>55.4</v>
      </c>
      <c r="AD17" s="46">
        <v>55.4</v>
      </c>
      <c r="AE17" s="46">
        <v>55.6</v>
      </c>
      <c r="AF17" s="46">
        <v>53.3</v>
      </c>
      <c r="AG17" s="47">
        <v>52.4</v>
      </c>
      <c r="AH17" s="48">
        <f t="shared" si="2"/>
        <v>55.6</v>
      </c>
      <c r="AI17" s="49">
        <f t="shared" si="3"/>
        <v>53.2</v>
      </c>
      <c r="AK17" s="51"/>
      <c r="AL17" s="54" t="s">
        <v>27</v>
      </c>
      <c r="AM17" s="59">
        <f t="shared" ref="AM17:AR17" si="6">B65</f>
        <v>533</v>
      </c>
      <c r="AN17" s="59">
        <f t="shared" si="6"/>
        <v>533</v>
      </c>
      <c r="AO17" s="59">
        <f t="shared" si="6"/>
        <v>534.1</v>
      </c>
      <c r="AP17" s="59">
        <f t="shared" si="6"/>
        <v>534.20000000000005</v>
      </c>
      <c r="AQ17" s="59">
        <f t="shared" si="6"/>
        <v>534.20000000000005</v>
      </c>
      <c r="AR17" s="59">
        <f t="shared" si="6"/>
        <v>534.40000000000009</v>
      </c>
      <c r="AS17" s="59">
        <f>I65</f>
        <v>532.5</v>
      </c>
      <c r="AT17" s="59">
        <f>K65</f>
        <v>534.70000000000005</v>
      </c>
      <c r="AU17" s="59">
        <f t="shared" ref="AU17:BD17" si="7">M65</f>
        <v>540</v>
      </c>
      <c r="AV17" s="59">
        <f t="shared" si="7"/>
        <v>540</v>
      </c>
      <c r="AW17" s="59">
        <f t="shared" si="7"/>
        <v>540</v>
      </c>
      <c r="AX17" s="59">
        <f t="shared" si="7"/>
        <v>540</v>
      </c>
      <c r="AY17" s="59">
        <f t="shared" si="7"/>
        <v>540</v>
      </c>
      <c r="AZ17" s="59">
        <f t="shared" si="7"/>
        <v>540</v>
      </c>
      <c r="BA17" s="59">
        <f t="shared" si="7"/>
        <v>540</v>
      </c>
      <c r="BB17" s="59">
        <f t="shared" si="7"/>
        <v>540</v>
      </c>
      <c r="BC17" s="59">
        <f t="shared" si="7"/>
        <v>540</v>
      </c>
      <c r="BD17" s="59">
        <f t="shared" si="7"/>
        <v>540</v>
      </c>
      <c r="BE17" s="60">
        <f>X65</f>
        <v>540</v>
      </c>
      <c r="BF17" s="60">
        <f>Z65</f>
        <v>540</v>
      </c>
      <c r="BG17" s="60">
        <f>AB65</f>
        <v>540</v>
      </c>
      <c r="BH17" s="60">
        <f>AD65</f>
        <v>540</v>
      </c>
      <c r="BI17" s="60">
        <f>AE65</f>
        <v>540</v>
      </c>
      <c r="BJ17" s="60">
        <f>AF65</f>
        <v>540.20000000000005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0</v>
      </c>
      <c r="C18" s="46">
        <v>0</v>
      </c>
      <c r="D18" s="46">
        <v>50.6</v>
      </c>
      <c r="E18" s="46">
        <v>50.6</v>
      </c>
      <c r="F18" s="46">
        <v>50.6</v>
      </c>
      <c r="G18" s="46">
        <v>50.6</v>
      </c>
      <c r="H18" s="46">
        <v>50.6</v>
      </c>
      <c r="I18" s="46">
        <v>50.6</v>
      </c>
      <c r="J18" s="46">
        <v>50.6</v>
      </c>
      <c r="K18" s="46">
        <v>50.6</v>
      </c>
      <c r="L18" s="46">
        <v>50.6</v>
      </c>
      <c r="M18" s="46">
        <v>50.6</v>
      </c>
      <c r="N18" s="46">
        <v>50.4</v>
      </c>
      <c r="O18" s="46">
        <v>50.4</v>
      </c>
      <c r="P18" s="46">
        <v>50.4</v>
      </c>
      <c r="Q18" s="46">
        <v>50.4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46">
        <v>50.4</v>
      </c>
      <c r="AB18" s="46">
        <v>50.4</v>
      </c>
      <c r="AC18" s="46">
        <v>50.4</v>
      </c>
      <c r="AD18" s="46">
        <v>50.4</v>
      </c>
      <c r="AE18" s="46">
        <v>50.4</v>
      </c>
      <c r="AF18" s="46">
        <v>50.5</v>
      </c>
      <c r="AG18" s="50">
        <v>50</v>
      </c>
      <c r="AH18" s="48">
        <f t="shared" si="2"/>
        <v>50.6</v>
      </c>
      <c r="AI18" s="49">
        <f t="shared" si="3"/>
        <v>0</v>
      </c>
      <c r="AK18" s="51"/>
      <c r="AL18" s="54" t="s">
        <v>29</v>
      </c>
      <c r="AM18" s="59">
        <f t="shared" ref="AM18:AR18" si="8">B79</f>
        <v>348.94</v>
      </c>
      <c r="AN18" s="59">
        <f t="shared" si="8"/>
        <v>348.94</v>
      </c>
      <c r="AO18" s="59">
        <f t="shared" si="8"/>
        <v>324.64000000000004</v>
      </c>
      <c r="AP18" s="59">
        <f t="shared" si="8"/>
        <v>339.84000000000003</v>
      </c>
      <c r="AQ18" s="59">
        <f t="shared" si="8"/>
        <v>359.34000000000003</v>
      </c>
      <c r="AR18" s="59">
        <f t="shared" si="8"/>
        <v>360.34000000000003</v>
      </c>
      <c r="AS18" s="59">
        <f>I79</f>
        <v>333.34000000000003</v>
      </c>
      <c r="AT18" s="59">
        <f>K79</f>
        <v>365.84</v>
      </c>
      <c r="AU18" s="59">
        <f t="shared" ref="AU18:BD18" si="9">M79</f>
        <v>375.44</v>
      </c>
      <c r="AV18" s="59">
        <f t="shared" si="9"/>
        <v>406.14</v>
      </c>
      <c r="AW18" s="59">
        <f t="shared" si="9"/>
        <v>406.14</v>
      </c>
      <c r="AX18" s="59">
        <f t="shared" si="9"/>
        <v>276.54000000000002</v>
      </c>
      <c r="AY18" s="59">
        <f t="shared" si="9"/>
        <v>350.93999999999988</v>
      </c>
      <c r="AZ18" s="59">
        <f t="shared" si="9"/>
        <v>350.93999999999988</v>
      </c>
      <c r="BA18" s="59">
        <f t="shared" si="9"/>
        <v>350.93999999999988</v>
      </c>
      <c r="BB18" s="59">
        <f t="shared" si="9"/>
        <v>410.03999999999996</v>
      </c>
      <c r="BC18" s="59">
        <f t="shared" si="9"/>
        <v>410.03999999999996</v>
      </c>
      <c r="BD18" s="59">
        <f t="shared" si="9"/>
        <v>403.03999999999991</v>
      </c>
      <c r="BE18" s="60">
        <f>X79</f>
        <v>401.93999999999994</v>
      </c>
      <c r="BF18" s="60">
        <f>Z79</f>
        <v>400.33999999999992</v>
      </c>
      <c r="BG18" s="60">
        <f>AB79</f>
        <v>399.33999999999992</v>
      </c>
      <c r="BH18" s="60">
        <f>AD79</f>
        <v>399.33999999999992</v>
      </c>
      <c r="BI18" s="60">
        <f>AE79</f>
        <v>402.63999999999993</v>
      </c>
      <c r="BJ18" s="60">
        <f>AF79</f>
        <v>405.34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</v>
      </c>
      <c r="C19" s="46">
        <v>44</v>
      </c>
      <c r="D19" s="46">
        <v>44</v>
      </c>
      <c r="E19" s="46">
        <v>44</v>
      </c>
      <c r="F19" s="46">
        <v>44</v>
      </c>
      <c r="G19" s="46">
        <v>44</v>
      </c>
      <c r="H19" s="46">
        <v>44</v>
      </c>
      <c r="I19" s="46">
        <v>44</v>
      </c>
      <c r="J19" s="46">
        <v>44</v>
      </c>
      <c r="K19" s="46">
        <v>44</v>
      </c>
      <c r="L19" s="46">
        <v>44</v>
      </c>
      <c r="M19" s="46">
        <v>44</v>
      </c>
      <c r="N19" s="46">
        <v>44</v>
      </c>
      <c r="O19" s="46">
        <v>44</v>
      </c>
      <c r="P19" s="46">
        <v>44</v>
      </c>
      <c r="Q19" s="46">
        <v>44</v>
      </c>
      <c r="R19" s="46">
        <v>44</v>
      </c>
      <c r="S19" s="46">
        <v>44</v>
      </c>
      <c r="T19" s="46">
        <v>44</v>
      </c>
      <c r="U19" s="46">
        <v>44</v>
      </c>
      <c r="V19" s="46">
        <v>44</v>
      </c>
      <c r="W19" s="46">
        <v>44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>
        <v>44</v>
      </c>
      <c r="AE19" s="46">
        <v>44</v>
      </c>
      <c r="AF19" s="46">
        <v>44</v>
      </c>
      <c r="AG19" s="50">
        <v>45</v>
      </c>
      <c r="AH19" s="48">
        <f t="shared" si="2"/>
        <v>44</v>
      </c>
      <c r="AI19" s="49">
        <f t="shared" si="3"/>
        <v>44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39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17.900000000000002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21.099999999999998</v>
      </c>
      <c r="AW20" s="59">
        <f t="shared" si="13"/>
        <v>21.099999999999998</v>
      </c>
      <c r="AX20" s="59">
        <f t="shared" si="13"/>
        <v>19.8</v>
      </c>
      <c r="AY20" s="59">
        <f t="shared" si="13"/>
        <v>14.799999999999999</v>
      </c>
      <c r="AZ20" s="59">
        <f t="shared" si="13"/>
        <v>26.599999999999998</v>
      </c>
      <c r="BA20" s="59">
        <f t="shared" si="13"/>
        <v>26.599999999999998</v>
      </c>
      <c r="BB20" s="59">
        <f t="shared" si="13"/>
        <v>16.7</v>
      </c>
      <c r="BC20" s="59">
        <f t="shared" si="13"/>
        <v>16.7</v>
      </c>
      <c r="BD20" s="59">
        <f t="shared" si="13"/>
        <v>16.7</v>
      </c>
      <c r="BE20" s="60">
        <f>X83</f>
        <v>0</v>
      </c>
      <c r="BF20" s="60">
        <f>Z83</f>
        <v>0</v>
      </c>
      <c r="BG20" s="60">
        <f>AB83</f>
        <v>29.4</v>
      </c>
      <c r="BH20" s="60">
        <f>AD83</f>
        <v>20.8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28.1</v>
      </c>
      <c r="C22" s="46">
        <v>28.1</v>
      </c>
      <c r="D22" s="46">
        <v>28.1</v>
      </c>
      <c r="E22" s="46">
        <v>22</v>
      </c>
      <c r="F22" s="46">
        <v>22</v>
      </c>
      <c r="G22" s="46">
        <v>22</v>
      </c>
      <c r="H22" s="46">
        <v>22</v>
      </c>
      <c r="I22" s="46">
        <v>22</v>
      </c>
      <c r="J22" s="46">
        <v>22</v>
      </c>
      <c r="K22" s="46">
        <v>22</v>
      </c>
      <c r="L22" s="46">
        <v>22</v>
      </c>
      <c r="M22" s="46">
        <v>22</v>
      </c>
      <c r="N22" s="46">
        <v>15</v>
      </c>
      <c r="O22" s="46">
        <v>15</v>
      </c>
      <c r="P22" s="46">
        <v>19.7</v>
      </c>
      <c r="Q22" s="46">
        <v>19.7</v>
      </c>
      <c r="R22" s="46">
        <v>19.7</v>
      </c>
      <c r="S22" s="46">
        <v>19.7</v>
      </c>
      <c r="T22" s="46">
        <v>14</v>
      </c>
      <c r="U22" s="46">
        <v>14</v>
      </c>
      <c r="V22" s="46">
        <v>14</v>
      </c>
      <c r="W22" s="46">
        <v>18.600000000000001</v>
      </c>
      <c r="X22" s="46">
        <v>19.5</v>
      </c>
      <c r="Y22" s="46">
        <v>19.5</v>
      </c>
      <c r="Z22" s="46">
        <v>19.5</v>
      </c>
      <c r="AA22" s="46">
        <v>19.5</v>
      </c>
      <c r="AB22" s="46">
        <v>19.5</v>
      </c>
      <c r="AC22" s="46">
        <v>19.5</v>
      </c>
      <c r="AD22" s="46">
        <v>19.5</v>
      </c>
      <c r="AE22" s="46">
        <v>28.1</v>
      </c>
      <c r="AF22" s="46">
        <v>27.6</v>
      </c>
      <c r="AG22" s="50">
        <v>38.46</v>
      </c>
      <c r="AH22" s="48">
        <f t="shared" si="2"/>
        <v>28.1</v>
      </c>
      <c r="AI22" s="49">
        <f t="shared" si="3"/>
        <v>14</v>
      </c>
      <c r="AK22" s="51"/>
      <c r="AL22" s="62" t="s">
        <v>37</v>
      </c>
      <c r="AM22" s="63">
        <f t="shared" ref="AM22:BJ22" si="16">SUM(AM16:AM21)</f>
        <v>2050.7399999999998</v>
      </c>
      <c r="AN22" s="63">
        <f t="shared" si="16"/>
        <v>2072.2400000000002</v>
      </c>
      <c r="AO22" s="63">
        <f t="shared" si="16"/>
        <v>2120.7399999999998</v>
      </c>
      <c r="AP22" s="63">
        <f t="shared" si="16"/>
        <v>2026.04</v>
      </c>
      <c r="AQ22" s="63">
        <f t="shared" si="16"/>
        <v>2036.54</v>
      </c>
      <c r="AR22" s="63">
        <f t="shared" si="16"/>
        <v>2038.2400000000002</v>
      </c>
      <c r="AS22" s="63">
        <f t="shared" si="16"/>
        <v>1972.3400000000001</v>
      </c>
      <c r="AT22" s="63">
        <f t="shared" si="16"/>
        <v>2070.44</v>
      </c>
      <c r="AU22" s="63">
        <f t="shared" si="16"/>
        <v>2131.44</v>
      </c>
      <c r="AV22" s="63">
        <f t="shared" si="16"/>
        <v>2229.7399999999998</v>
      </c>
      <c r="AW22" s="63">
        <f t="shared" si="16"/>
        <v>2211.7399999999998</v>
      </c>
      <c r="AX22" s="63">
        <f t="shared" si="16"/>
        <v>2124.1400000000003</v>
      </c>
      <c r="AY22" s="63">
        <f t="shared" si="16"/>
        <v>2177.44</v>
      </c>
      <c r="AZ22" s="63">
        <f t="shared" si="16"/>
        <v>2270.7399999999998</v>
      </c>
      <c r="BA22" s="63">
        <f t="shared" si="16"/>
        <v>2270.7399999999998</v>
      </c>
      <c r="BB22" s="63">
        <f t="shared" si="16"/>
        <v>2304.04</v>
      </c>
      <c r="BC22" s="63">
        <f t="shared" si="16"/>
        <v>2304.04</v>
      </c>
      <c r="BD22" s="63">
        <f t="shared" si="16"/>
        <v>2297.04</v>
      </c>
      <c r="BE22" s="63">
        <f t="shared" si="16"/>
        <v>2237.04</v>
      </c>
      <c r="BF22" s="63">
        <f t="shared" si="16"/>
        <v>2220.84</v>
      </c>
      <c r="BG22" s="63">
        <f t="shared" si="16"/>
        <v>2388.64</v>
      </c>
      <c r="BH22" s="63">
        <f t="shared" si="16"/>
        <v>2371.6400000000003</v>
      </c>
      <c r="BI22" s="63">
        <f t="shared" si="16"/>
        <v>2346.1400000000003</v>
      </c>
      <c r="BJ22" s="63">
        <f t="shared" si="16"/>
        <v>2285.04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0</v>
      </c>
      <c r="C23" s="46">
        <v>0</v>
      </c>
      <c r="D23" s="46">
        <v>0</v>
      </c>
      <c r="E23" s="46">
        <v>20</v>
      </c>
      <c r="F23" s="46">
        <v>20</v>
      </c>
      <c r="G23" s="46">
        <v>20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20</v>
      </c>
      <c r="N23" s="46">
        <v>36</v>
      </c>
      <c r="O23" s="46">
        <v>36</v>
      </c>
      <c r="P23" s="46">
        <v>32</v>
      </c>
      <c r="Q23" s="46">
        <v>32</v>
      </c>
      <c r="R23" s="46">
        <v>32</v>
      </c>
      <c r="S23" s="46">
        <v>32</v>
      </c>
      <c r="T23" s="46">
        <v>30</v>
      </c>
      <c r="U23" s="46">
        <v>30</v>
      </c>
      <c r="V23" s="46">
        <v>30</v>
      </c>
      <c r="W23" s="46">
        <v>28.4</v>
      </c>
      <c r="X23" s="46">
        <v>28.4</v>
      </c>
      <c r="Y23" s="46">
        <v>28.4</v>
      </c>
      <c r="Z23" s="46">
        <v>28.4</v>
      </c>
      <c r="AA23" s="46">
        <v>28.4</v>
      </c>
      <c r="AB23" s="46">
        <v>28.4</v>
      </c>
      <c r="AC23" s="46">
        <v>28.4</v>
      </c>
      <c r="AD23" s="46">
        <v>28.4</v>
      </c>
      <c r="AE23" s="46">
        <v>35.1</v>
      </c>
      <c r="AF23" s="46">
        <v>37.5</v>
      </c>
      <c r="AG23" s="50">
        <v>38.46</v>
      </c>
      <c r="AH23" s="48">
        <f t="shared" si="2"/>
        <v>37.5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-635.20000000000005</v>
      </c>
      <c r="AN23" s="63">
        <f t="shared" si="17"/>
        <v>-666.7</v>
      </c>
      <c r="AO23" s="63">
        <f t="shared" si="17"/>
        <v>-692.4</v>
      </c>
      <c r="AP23" s="63">
        <f t="shared" si="17"/>
        <v>-692.4</v>
      </c>
      <c r="AQ23" s="63">
        <f t="shared" si="17"/>
        <v>-701.7</v>
      </c>
      <c r="AR23" s="63">
        <f t="shared" si="17"/>
        <v>-689.3</v>
      </c>
      <c r="AS23" s="63">
        <f>I110*-1</f>
        <v>-673.5</v>
      </c>
      <c r="AT23" s="63">
        <f>K110*-1</f>
        <v>-716.6</v>
      </c>
      <c r="AU23" s="63">
        <f t="shared" ref="AU23:BD23" si="18">M110*-1</f>
        <v>-665.4</v>
      </c>
      <c r="AV23" s="63">
        <f t="shared" si="18"/>
        <v>-495.7</v>
      </c>
      <c r="AW23" s="63">
        <f t="shared" si="18"/>
        <v>-576.69999999999993</v>
      </c>
      <c r="AX23" s="63">
        <f t="shared" si="18"/>
        <v>-543.80000000000007</v>
      </c>
      <c r="AY23" s="63">
        <f t="shared" si="18"/>
        <v>-572</v>
      </c>
      <c r="AZ23" s="63">
        <f t="shared" si="18"/>
        <v>-597</v>
      </c>
      <c r="BA23" s="63">
        <f t="shared" si="18"/>
        <v>-623</v>
      </c>
      <c r="BB23" s="63">
        <f t="shared" si="18"/>
        <v>-658</v>
      </c>
      <c r="BC23" s="63">
        <f t="shared" si="18"/>
        <v>-668</v>
      </c>
      <c r="BD23" s="63">
        <f t="shared" si="18"/>
        <v>-717</v>
      </c>
      <c r="BE23" s="63">
        <f>X110*-1</f>
        <v>-672</v>
      </c>
      <c r="BF23" s="63">
        <f>Z110*-1</f>
        <v>-641</v>
      </c>
      <c r="BG23" s="63">
        <f>AB110*-1</f>
        <v>-654</v>
      </c>
      <c r="BH23" s="63">
        <f>AD110*-1</f>
        <v>-685.9</v>
      </c>
      <c r="BI23" s="63">
        <f>AE110*-1</f>
        <v>-677</v>
      </c>
      <c r="BJ23" s="63">
        <f>AF110*-1</f>
        <v>-666.3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0</v>
      </c>
      <c r="C24" s="46">
        <v>0</v>
      </c>
      <c r="D24" s="46">
        <v>0</v>
      </c>
      <c r="E24" s="46">
        <v>0</v>
      </c>
      <c r="F24" s="46">
        <v>24</v>
      </c>
      <c r="G24" s="46">
        <v>24.5</v>
      </c>
      <c r="H24" s="46">
        <v>24.5</v>
      </c>
      <c r="I24" s="46">
        <v>24.5</v>
      </c>
      <c r="J24" s="46">
        <v>24.5</v>
      </c>
      <c r="K24" s="46">
        <v>24.5</v>
      </c>
      <c r="L24" s="46">
        <v>24.5</v>
      </c>
      <c r="M24" s="46">
        <v>24.5</v>
      </c>
      <c r="N24" s="46">
        <v>24.5</v>
      </c>
      <c r="O24" s="46">
        <v>24.5</v>
      </c>
      <c r="P24" s="46">
        <v>36</v>
      </c>
      <c r="Q24" s="46">
        <v>30</v>
      </c>
      <c r="R24" s="46">
        <v>30</v>
      </c>
      <c r="S24" s="46">
        <v>30</v>
      </c>
      <c r="T24" s="46">
        <v>6</v>
      </c>
      <c r="U24" s="46">
        <v>6</v>
      </c>
      <c r="V24" s="46">
        <v>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30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1415.5399999999997</v>
      </c>
      <c r="AN24" s="63">
        <f t="shared" si="19"/>
        <v>1405.5400000000002</v>
      </c>
      <c r="AO24" s="63">
        <f t="shared" si="19"/>
        <v>1428.3399999999997</v>
      </c>
      <c r="AP24" s="63">
        <f t="shared" si="19"/>
        <v>1333.6399999999999</v>
      </c>
      <c r="AQ24" s="63">
        <f t="shared" si="19"/>
        <v>1334.84</v>
      </c>
      <c r="AR24" s="63">
        <f t="shared" si="19"/>
        <v>1348.9400000000003</v>
      </c>
      <c r="AS24" s="63">
        <f t="shared" si="19"/>
        <v>1298.8400000000001</v>
      </c>
      <c r="AT24" s="63">
        <f t="shared" si="19"/>
        <v>1353.8400000000001</v>
      </c>
      <c r="AU24" s="63">
        <f t="shared" si="19"/>
        <v>1466.04</v>
      </c>
      <c r="AV24" s="63">
        <f t="shared" si="19"/>
        <v>1734.0399999999997</v>
      </c>
      <c r="AW24" s="63">
        <f t="shared" si="19"/>
        <v>1635.04</v>
      </c>
      <c r="AX24" s="63">
        <f t="shared" si="19"/>
        <v>1580.3400000000001</v>
      </c>
      <c r="AY24" s="63">
        <f t="shared" si="19"/>
        <v>1605.44</v>
      </c>
      <c r="AZ24" s="63">
        <f t="shared" si="19"/>
        <v>1673.7399999999998</v>
      </c>
      <c r="BA24" s="63">
        <f t="shared" si="19"/>
        <v>1647.7399999999998</v>
      </c>
      <c r="BB24" s="63">
        <f t="shared" si="19"/>
        <v>1646.04</v>
      </c>
      <c r="BC24" s="63">
        <f t="shared" si="19"/>
        <v>1636.04</v>
      </c>
      <c r="BD24" s="63">
        <f t="shared" si="19"/>
        <v>1580.04</v>
      </c>
      <c r="BE24" s="63">
        <f t="shared" si="19"/>
        <v>1565.04</v>
      </c>
      <c r="BF24" s="63">
        <f t="shared" si="19"/>
        <v>1579.8400000000001</v>
      </c>
      <c r="BG24" s="63">
        <f t="shared" si="19"/>
        <v>1734.6399999999999</v>
      </c>
      <c r="BH24" s="63">
        <f t="shared" si="19"/>
        <v>1685.7400000000002</v>
      </c>
      <c r="BI24" s="63">
        <f t="shared" si="19"/>
        <v>1669.1400000000003</v>
      </c>
      <c r="BJ24" s="63">
        <f t="shared" si="19"/>
        <v>1618.74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15</v>
      </c>
      <c r="D25" s="46">
        <v>15</v>
      </c>
      <c r="E25" s="46">
        <v>7.8</v>
      </c>
      <c r="F25" s="46">
        <v>7.8</v>
      </c>
      <c r="G25" s="46">
        <v>7.8</v>
      </c>
      <c r="H25" s="46">
        <v>7.8</v>
      </c>
      <c r="I25" s="46">
        <v>7.8</v>
      </c>
      <c r="J25" s="46">
        <v>7.8</v>
      </c>
      <c r="K25" s="46">
        <v>30</v>
      </c>
      <c r="L25" s="46">
        <v>30</v>
      </c>
      <c r="M25" s="46">
        <v>20.5</v>
      </c>
      <c r="N25" s="46">
        <v>20.5</v>
      </c>
      <c r="O25" s="46">
        <v>20.5</v>
      </c>
      <c r="P25" s="46">
        <v>20.5</v>
      </c>
      <c r="Q25" s="46">
        <v>20.5</v>
      </c>
      <c r="R25" s="46">
        <v>20.5</v>
      </c>
      <c r="S25" s="46">
        <v>20.5</v>
      </c>
      <c r="T25" s="46">
        <v>25.3</v>
      </c>
      <c r="U25" s="46">
        <v>25.3</v>
      </c>
      <c r="V25" s="46">
        <v>25.3</v>
      </c>
      <c r="W25" s="46">
        <v>25.3</v>
      </c>
      <c r="X25" s="46">
        <v>25.3</v>
      </c>
      <c r="Y25" s="46">
        <v>25.3</v>
      </c>
      <c r="Z25" s="46">
        <v>25.3</v>
      </c>
      <c r="AA25" s="46">
        <v>25.3</v>
      </c>
      <c r="AB25" s="46">
        <v>25.3</v>
      </c>
      <c r="AC25" s="46">
        <v>25.3</v>
      </c>
      <c r="AD25" s="46">
        <v>25.3</v>
      </c>
      <c r="AE25" s="46">
        <v>24.3</v>
      </c>
      <c r="AF25" s="46">
        <v>24.3</v>
      </c>
      <c r="AG25" s="61">
        <v>30</v>
      </c>
      <c r="AH25" s="48">
        <f t="shared" si="2"/>
        <v>30</v>
      </c>
      <c r="AI25" s="49">
        <f t="shared" si="3"/>
        <v>7.8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27.4</v>
      </c>
      <c r="C26" s="46">
        <v>27.4</v>
      </c>
      <c r="D26" s="46">
        <v>27.4</v>
      </c>
      <c r="E26" s="46">
        <v>15.7</v>
      </c>
      <c r="F26" s="46">
        <v>15.7</v>
      </c>
      <c r="G26" s="46">
        <v>15.7</v>
      </c>
      <c r="H26" s="46">
        <v>15.7</v>
      </c>
      <c r="I26" s="46">
        <v>15.7</v>
      </c>
      <c r="J26" s="46">
        <v>15.7</v>
      </c>
      <c r="K26" s="46">
        <v>15.7</v>
      </c>
      <c r="L26" s="46">
        <v>15.7</v>
      </c>
      <c r="M26" s="46">
        <v>20.399999999999999</v>
      </c>
      <c r="N26" s="46">
        <v>21.8</v>
      </c>
      <c r="O26" s="46">
        <v>21.8</v>
      </c>
      <c r="P26" s="46">
        <v>33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25</v>
      </c>
      <c r="X26" s="46">
        <v>25</v>
      </c>
      <c r="Y26" s="46">
        <v>25</v>
      </c>
      <c r="Z26" s="46">
        <v>25</v>
      </c>
      <c r="AA26" s="46">
        <v>25</v>
      </c>
      <c r="AB26" s="46">
        <v>33</v>
      </c>
      <c r="AC26" s="46">
        <v>33</v>
      </c>
      <c r="AD26" s="46">
        <v>33</v>
      </c>
      <c r="AE26" s="46">
        <v>33</v>
      </c>
      <c r="AF26" s="46">
        <v>25.9</v>
      </c>
      <c r="AG26" s="50">
        <v>24.2</v>
      </c>
      <c r="AH26" s="48">
        <f t="shared" si="2"/>
        <v>33</v>
      </c>
      <c r="AI26" s="49">
        <f t="shared" si="3"/>
        <v>15.7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27.8</v>
      </c>
      <c r="C27" s="46">
        <v>27.8</v>
      </c>
      <c r="D27" s="46">
        <v>27.8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28.6</v>
      </c>
      <c r="N27" s="46">
        <v>28.6</v>
      </c>
      <c r="O27" s="46">
        <v>28.6</v>
      </c>
      <c r="P27" s="46">
        <v>28.6</v>
      </c>
      <c r="Q27" s="46">
        <v>28.6</v>
      </c>
      <c r="R27" s="46">
        <v>28.6</v>
      </c>
      <c r="S27" s="46">
        <v>28.6</v>
      </c>
      <c r="T27" s="46">
        <v>28.6</v>
      </c>
      <c r="U27" s="46">
        <v>28.6</v>
      </c>
      <c r="V27" s="46">
        <v>28.6</v>
      </c>
      <c r="W27" s="46">
        <v>28.6</v>
      </c>
      <c r="X27" s="46">
        <v>28.6</v>
      </c>
      <c r="Y27" s="46">
        <v>28.6</v>
      </c>
      <c r="Z27" s="46">
        <v>28.6</v>
      </c>
      <c r="AA27" s="46">
        <v>28.6</v>
      </c>
      <c r="AB27" s="46">
        <v>28.6</v>
      </c>
      <c r="AC27" s="46">
        <v>28.6</v>
      </c>
      <c r="AD27" s="46">
        <v>28.6</v>
      </c>
      <c r="AE27" s="46">
        <v>28.6</v>
      </c>
      <c r="AF27" s="46">
        <v>28.6</v>
      </c>
      <c r="AG27" s="50">
        <v>28</v>
      </c>
      <c r="AH27" s="48">
        <f t="shared" si="2"/>
        <v>28.6</v>
      </c>
      <c r="AI27" s="49">
        <f t="shared" si="3"/>
        <v>27.8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25.3</v>
      </c>
      <c r="C28" s="46">
        <v>26</v>
      </c>
      <c r="D28" s="46">
        <v>26</v>
      </c>
      <c r="E28" s="46">
        <v>7.1</v>
      </c>
      <c r="F28" s="46">
        <v>7.1</v>
      </c>
      <c r="G28" s="46">
        <v>7.1</v>
      </c>
      <c r="H28" s="46">
        <v>7.1</v>
      </c>
      <c r="I28" s="46">
        <v>7.1</v>
      </c>
      <c r="J28" s="46">
        <v>7.1</v>
      </c>
      <c r="K28" s="46">
        <v>20.8</v>
      </c>
      <c r="L28" s="46">
        <v>20.8</v>
      </c>
      <c r="M28" s="46">
        <v>26.2</v>
      </c>
      <c r="N28" s="46">
        <v>26.2</v>
      </c>
      <c r="O28" s="46">
        <v>26.2</v>
      </c>
      <c r="P28" s="46">
        <v>26.2</v>
      </c>
      <c r="Q28" s="46">
        <v>26.2</v>
      </c>
      <c r="R28" s="46">
        <v>26.2</v>
      </c>
      <c r="S28" s="46">
        <v>26.2</v>
      </c>
      <c r="T28" s="46">
        <v>26.2</v>
      </c>
      <c r="U28" s="46">
        <v>26.2</v>
      </c>
      <c r="V28" s="46">
        <v>26.2</v>
      </c>
      <c r="W28" s="46">
        <v>26.2</v>
      </c>
      <c r="X28" s="46">
        <v>26.2</v>
      </c>
      <c r="Y28" s="46">
        <v>26.2</v>
      </c>
      <c r="Z28" s="46">
        <v>26.2</v>
      </c>
      <c r="AA28" s="46">
        <v>26.2</v>
      </c>
      <c r="AB28" s="46">
        <v>26.2</v>
      </c>
      <c r="AC28" s="46">
        <v>22.7</v>
      </c>
      <c r="AD28" s="46">
        <v>22.7</v>
      </c>
      <c r="AE28" s="46">
        <v>22.8</v>
      </c>
      <c r="AF28" s="46">
        <v>22.8</v>
      </c>
      <c r="AG28" s="61">
        <v>30</v>
      </c>
      <c r="AH28" s="48">
        <f t="shared" si="2"/>
        <v>26.2</v>
      </c>
      <c r="AI28" s="49">
        <f t="shared" si="3"/>
        <v>7.1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25.9</v>
      </c>
      <c r="C29" s="46">
        <v>25.9</v>
      </c>
      <c r="D29" s="46">
        <v>25.9</v>
      </c>
      <c r="E29" s="46">
        <v>25.9</v>
      </c>
      <c r="F29" s="46">
        <v>25.9</v>
      </c>
      <c r="G29" s="46">
        <v>25.9</v>
      </c>
      <c r="H29" s="46">
        <v>25.9</v>
      </c>
      <c r="I29" s="46">
        <v>25.9</v>
      </c>
      <c r="J29" s="46">
        <v>25.9</v>
      </c>
      <c r="K29" s="46">
        <v>25.9</v>
      </c>
      <c r="L29" s="46">
        <v>25.9</v>
      </c>
      <c r="M29" s="46">
        <v>26.2</v>
      </c>
      <c r="N29" s="46">
        <v>26.2</v>
      </c>
      <c r="O29" s="46">
        <v>26.2</v>
      </c>
      <c r="P29" s="46">
        <v>26.1</v>
      </c>
      <c r="Q29" s="46">
        <v>26.1</v>
      </c>
      <c r="R29" s="46">
        <v>26.1</v>
      </c>
      <c r="S29" s="46">
        <v>26.1</v>
      </c>
      <c r="T29" s="46">
        <v>26.1</v>
      </c>
      <c r="U29" s="46">
        <v>26.1</v>
      </c>
      <c r="V29" s="46">
        <v>26.1</v>
      </c>
      <c r="W29" s="46">
        <v>26.1</v>
      </c>
      <c r="X29" s="46">
        <v>26.1</v>
      </c>
      <c r="Y29" s="46">
        <v>26.1</v>
      </c>
      <c r="Z29" s="46">
        <v>26.1</v>
      </c>
      <c r="AA29" s="46">
        <v>26.1</v>
      </c>
      <c r="AB29" s="46">
        <v>26.1</v>
      </c>
      <c r="AC29" s="46">
        <v>26.1</v>
      </c>
      <c r="AD29" s="46">
        <v>26.1</v>
      </c>
      <c r="AE29" s="46">
        <v>26</v>
      </c>
      <c r="AF29" s="46">
        <v>26</v>
      </c>
      <c r="AG29" s="50">
        <v>25</v>
      </c>
      <c r="AH29" s="48">
        <f t="shared" si="2"/>
        <v>26.2</v>
      </c>
      <c r="AI29" s="49">
        <f t="shared" si="3"/>
        <v>25.9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23</v>
      </c>
      <c r="C30" s="46">
        <v>23</v>
      </c>
      <c r="D30" s="46">
        <v>23</v>
      </c>
      <c r="E30" s="46">
        <v>23</v>
      </c>
      <c r="F30" s="46">
        <v>23</v>
      </c>
      <c r="G30" s="46">
        <v>23</v>
      </c>
      <c r="H30" s="46">
        <v>23</v>
      </c>
      <c r="I30" s="46">
        <v>23</v>
      </c>
      <c r="J30" s="46">
        <v>23</v>
      </c>
      <c r="K30" s="46">
        <v>23</v>
      </c>
      <c r="L30" s="46">
        <v>23</v>
      </c>
      <c r="M30" s="46">
        <v>23</v>
      </c>
      <c r="N30" s="46">
        <v>23</v>
      </c>
      <c r="O30" s="46">
        <v>23</v>
      </c>
      <c r="P30" s="46">
        <v>23</v>
      </c>
      <c r="Q30" s="46">
        <v>23</v>
      </c>
      <c r="R30" s="46">
        <v>23</v>
      </c>
      <c r="S30" s="46">
        <v>23</v>
      </c>
      <c r="T30" s="46">
        <v>23</v>
      </c>
      <c r="U30" s="46">
        <v>23</v>
      </c>
      <c r="V30" s="46">
        <v>23</v>
      </c>
      <c r="W30" s="46">
        <v>23</v>
      </c>
      <c r="X30" s="46">
        <v>23</v>
      </c>
      <c r="Y30" s="46">
        <v>23</v>
      </c>
      <c r="Z30" s="46">
        <v>23</v>
      </c>
      <c r="AA30" s="46">
        <v>23</v>
      </c>
      <c r="AB30" s="46">
        <v>23</v>
      </c>
      <c r="AC30" s="46">
        <v>23</v>
      </c>
      <c r="AD30" s="46">
        <v>23</v>
      </c>
      <c r="AE30" s="46">
        <v>23</v>
      </c>
      <c r="AF30" s="46">
        <v>23</v>
      </c>
      <c r="AG30" s="50">
        <v>25</v>
      </c>
      <c r="AH30" s="48">
        <f t="shared" si="2"/>
        <v>23</v>
      </c>
      <c r="AI30" s="49">
        <f t="shared" si="3"/>
        <v>23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0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20.7</v>
      </c>
      <c r="AC31" s="46">
        <v>20.7</v>
      </c>
      <c r="AD31" s="46">
        <v>20.7</v>
      </c>
      <c r="AE31" s="46">
        <v>20.7</v>
      </c>
      <c r="AF31" s="46">
        <v>20.7</v>
      </c>
      <c r="AG31" s="50">
        <v>25</v>
      </c>
      <c r="AH31" s="48">
        <f t="shared" si="2"/>
        <v>20.7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23.1</v>
      </c>
      <c r="C32" s="46">
        <v>25</v>
      </c>
      <c r="D32" s="46">
        <v>25</v>
      </c>
      <c r="E32" s="46">
        <v>6.6</v>
      </c>
      <c r="F32" s="46">
        <v>6.6</v>
      </c>
      <c r="G32" s="46">
        <v>6.6</v>
      </c>
      <c r="H32" s="46">
        <v>6.6</v>
      </c>
      <c r="I32" s="46">
        <v>6.6</v>
      </c>
      <c r="J32" s="46">
        <v>6.6</v>
      </c>
      <c r="K32" s="46">
        <v>22.2</v>
      </c>
      <c r="L32" s="46">
        <v>22.2</v>
      </c>
      <c r="M32" s="46">
        <v>25.6</v>
      </c>
      <c r="N32" s="46">
        <v>25.6</v>
      </c>
      <c r="O32" s="46">
        <v>25.6</v>
      </c>
      <c r="P32" s="46">
        <v>25.6</v>
      </c>
      <c r="Q32" s="46">
        <v>25.6</v>
      </c>
      <c r="R32" s="46">
        <v>25.6</v>
      </c>
      <c r="S32" s="46">
        <v>25.6</v>
      </c>
      <c r="T32" s="46">
        <v>25.6</v>
      </c>
      <c r="U32" s="46">
        <v>25.6</v>
      </c>
      <c r="V32" s="46">
        <v>25.6</v>
      </c>
      <c r="W32" s="46">
        <v>25.6</v>
      </c>
      <c r="X32" s="46">
        <v>25.6</v>
      </c>
      <c r="Y32" s="46">
        <v>25.6</v>
      </c>
      <c r="Z32" s="46">
        <v>25.6</v>
      </c>
      <c r="AA32" s="46">
        <v>25.6</v>
      </c>
      <c r="AB32" s="46">
        <v>25.6</v>
      </c>
      <c r="AC32" s="46">
        <v>20.6</v>
      </c>
      <c r="AD32" s="46">
        <v>20.6</v>
      </c>
      <c r="AE32" s="46">
        <v>20.6</v>
      </c>
      <c r="AF32" s="46">
        <v>20.6</v>
      </c>
      <c r="AG32" s="50">
        <v>25</v>
      </c>
      <c r="AH32" s="48">
        <f t="shared" si="2"/>
        <v>25.6</v>
      </c>
      <c r="AI32" s="49">
        <f t="shared" si="3"/>
        <v>6.6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25.4</v>
      </c>
      <c r="C33" s="46">
        <v>25.4</v>
      </c>
      <c r="D33" s="46">
        <v>25.4</v>
      </c>
      <c r="E33" s="46">
        <v>25.4</v>
      </c>
      <c r="F33" s="46">
        <v>25.4</v>
      </c>
      <c r="G33" s="46">
        <v>25.4</v>
      </c>
      <c r="H33" s="46">
        <v>25.4</v>
      </c>
      <c r="I33" s="46">
        <v>25.4</v>
      </c>
      <c r="J33" s="46">
        <v>25.4</v>
      </c>
      <c r="K33" s="46">
        <v>25.4</v>
      </c>
      <c r="L33" s="46">
        <v>25.4</v>
      </c>
      <c r="M33" s="46">
        <v>25.4</v>
      </c>
      <c r="N33" s="46">
        <v>25.4</v>
      </c>
      <c r="O33" s="46">
        <v>25.4</v>
      </c>
      <c r="P33" s="46">
        <v>25.4</v>
      </c>
      <c r="Q33" s="46">
        <v>25.3</v>
      </c>
      <c r="R33" s="46">
        <v>25.3</v>
      </c>
      <c r="S33" s="46">
        <v>25.3</v>
      </c>
      <c r="T33" s="46">
        <v>25.3</v>
      </c>
      <c r="U33" s="46">
        <v>25.3</v>
      </c>
      <c r="V33" s="46">
        <v>25.3</v>
      </c>
      <c r="W33" s="46">
        <v>25.3</v>
      </c>
      <c r="X33" s="46">
        <v>25.3</v>
      </c>
      <c r="Y33" s="46">
        <v>25.3</v>
      </c>
      <c r="Z33" s="46">
        <v>25.3</v>
      </c>
      <c r="AA33" s="46">
        <v>25.3</v>
      </c>
      <c r="AB33" s="46">
        <v>25.3</v>
      </c>
      <c r="AC33" s="46">
        <v>25.3</v>
      </c>
      <c r="AD33" s="46">
        <v>25.3</v>
      </c>
      <c r="AE33" s="46">
        <v>25.7</v>
      </c>
      <c r="AF33" s="46">
        <v>25.7</v>
      </c>
      <c r="AG33" s="50">
        <v>23.5</v>
      </c>
      <c r="AH33" s="48">
        <f t="shared" si="2"/>
        <v>25.7</v>
      </c>
      <c r="AI33" s="49">
        <f t="shared" si="3"/>
        <v>25.3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18</v>
      </c>
      <c r="C35" s="46">
        <v>18</v>
      </c>
      <c r="D35" s="46">
        <v>18</v>
      </c>
      <c r="E35" s="46">
        <v>18</v>
      </c>
      <c r="F35" s="46">
        <v>18</v>
      </c>
      <c r="G35" s="46">
        <v>18</v>
      </c>
      <c r="H35" s="46">
        <v>18</v>
      </c>
      <c r="I35" s="46">
        <v>18</v>
      </c>
      <c r="J35" s="46">
        <v>18</v>
      </c>
      <c r="K35" s="46">
        <v>18</v>
      </c>
      <c r="L35" s="46">
        <v>18</v>
      </c>
      <c r="M35" s="46">
        <v>18</v>
      </c>
      <c r="N35" s="46">
        <v>18</v>
      </c>
      <c r="O35" s="46">
        <v>0</v>
      </c>
      <c r="P35" s="46">
        <v>0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24</v>
      </c>
      <c r="C37" s="46">
        <v>24</v>
      </c>
      <c r="D37" s="46">
        <v>24</v>
      </c>
      <c r="E37" s="46">
        <v>24</v>
      </c>
      <c r="F37" s="46">
        <v>24</v>
      </c>
      <c r="G37" s="46">
        <v>24</v>
      </c>
      <c r="H37" s="46">
        <v>24</v>
      </c>
      <c r="I37" s="46">
        <v>24</v>
      </c>
      <c r="J37" s="46">
        <v>24</v>
      </c>
      <c r="K37" s="46">
        <v>24</v>
      </c>
      <c r="L37" s="46">
        <v>24</v>
      </c>
      <c r="M37" s="46">
        <v>15</v>
      </c>
      <c r="N37" s="46">
        <v>15</v>
      </c>
      <c r="O37" s="46">
        <v>15</v>
      </c>
      <c r="P37" s="46">
        <v>14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24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5.8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5.8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25.1</v>
      </c>
      <c r="F39" s="46">
        <v>25.1</v>
      </c>
      <c r="G39" s="46">
        <v>25.1</v>
      </c>
      <c r="H39" s="46">
        <v>25.1</v>
      </c>
      <c r="I39" s="46">
        <v>25.1</v>
      </c>
      <c r="J39" s="46">
        <v>25.1</v>
      </c>
      <c r="K39" s="46">
        <v>25.1</v>
      </c>
      <c r="L39" s="46">
        <v>25.1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25.1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18</v>
      </c>
      <c r="AH40" s="48">
        <f t="shared" si="2"/>
        <v>8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13</v>
      </c>
      <c r="C41" s="46">
        <v>13</v>
      </c>
      <c r="D41" s="46">
        <v>13</v>
      </c>
      <c r="E41" s="46">
        <v>8</v>
      </c>
      <c r="F41" s="46">
        <v>8</v>
      </c>
      <c r="G41" s="46">
        <v>8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10</v>
      </c>
      <c r="N41" s="46">
        <v>10</v>
      </c>
      <c r="O41" s="46">
        <v>10</v>
      </c>
      <c r="P41" s="46">
        <v>10</v>
      </c>
      <c r="Q41" s="46">
        <v>10</v>
      </c>
      <c r="R41" s="46">
        <v>10</v>
      </c>
      <c r="S41" s="46">
        <v>10</v>
      </c>
      <c r="T41" s="46">
        <v>10</v>
      </c>
      <c r="U41" s="46">
        <v>10</v>
      </c>
      <c r="V41" s="46">
        <v>10</v>
      </c>
      <c r="W41" s="46">
        <v>16</v>
      </c>
      <c r="X41" s="46">
        <v>16</v>
      </c>
      <c r="Y41" s="46">
        <v>16</v>
      </c>
      <c r="Z41" s="46">
        <v>16</v>
      </c>
      <c r="AA41" s="46">
        <v>16</v>
      </c>
      <c r="AB41" s="46">
        <v>16</v>
      </c>
      <c r="AC41" s="46">
        <v>16</v>
      </c>
      <c r="AD41" s="46">
        <v>16</v>
      </c>
      <c r="AE41" s="46">
        <v>16</v>
      </c>
      <c r="AF41" s="46">
        <v>16</v>
      </c>
      <c r="AG41" s="50">
        <v>15.33</v>
      </c>
      <c r="AH41" s="48">
        <f t="shared" si="2"/>
        <v>16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0</v>
      </c>
      <c r="C46" s="46">
        <v>0</v>
      </c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5.0999999999999996</v>
      </c>
      <c r="AC46" s="46">
        <v>5.0999999999999996</v>
      </c>
      <c r="AD46" s="46">
        <v>5.0999999999999996</v>
      </c>
      <c r="AE46" s="46">
        <v>5.0999999999999996</v>
      </c>
      <c r="AF46" s="46">
        <v>5.0999999999999996</v>
      </c>
      <c r="AG46" s="50">
        <v>14</v>
      </c>
      <c r="AH46" s="48">
        <f t="shared" si="2"/>
        <v>5.0999999999999996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11</v>
      </c>
      <c r="C49" s="46">
        <v>12</v>
      </c>
      <c r="D49" s="46">
        <v>12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9</v>
      </c>
      <c r="L49" s="46">
        <v>9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f>12*0.8</f>
        <v>9.6000000000000014</v>
      </c>
      <c r="AF49" s="46">
        <f>12*0.8</f>
        <v>9.6000000000000014</v>
      </c>
      <c r="AG49" s="50">
        <v>12</v>
      </c>
      <c r="AH49" s="48">
        <f t="shared" si="2"/>
        <v>12</v>
      </c>
      <c r="AI49" s="49">
        <f t="shared" si="3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8</v>
      </c>
      <c r="L50" s="46">
        <v>8</v>
      </c>
      <c r="M50" s="46">
        <v>8</v>
      </c>
      <c r="N50" s="46">
        <v>8</v>
      </c>
      <c r="O50" s="46">
        <v>8</v>
      </c>
      <c r="P50" s="46">
        <v>8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>
        <v>12</v>
      </c>
      <c r="R53" s="46">
        <v>12</v>
      </c>
      <c r="S53" s="46">
        <v>12</v>
      </c>
      <c r="T53" s="46">
        <v>12</v>
      </c>
      <c r="U53" s="46">
        <v>12</v>
      </c>
      <c r="V53" s="46">
        <v>12</v>
      </c>
      <c r="W53" s="46">
        <v>12</v>
      </c>
      <c r="X53" s="46">
        <v>12</v>
      </c>
      <c r="Y53" s="46">
        <v>12</v>
      </c>
      <c r="Z53" s="46">
        <v>12</v>
      </c>
      <c r="AA53" s="46">
        <v>12</v>
      </c>
      <c r="AB53" s="46">
        <v>12</v>
      </c>
      <c r="AC53" s="46">
        <v>12</v>
      </c>
      <c r="AD53" s="46">
        <v>12</v>
      </c>
      <c r="AE53" s="46">
        <v>12</v>
      </c>
      <c r="AF53" s="46">
        <v>12</v>
      </c>
      <c r="AG53" s="61">
        <v>11.88</v>
      </c>
      <c r="AH53" s="48">
        <f t="shared" si="2"/>
        <v>12</v>
      </c>
      <c r="AI53" s="49">
        <f t="shared" si="3"/>
        <v>12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11</v>
      </c>
      <c r="AH54" s="48">
        <f t="shared" si="2"/>
        <v>0</v>
      </c>
      <c r="AI54" s="49">
        <f t="shared" si="3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9</v>
      </c>
      <c r="C55" s="46">
        <v>9</v>
      </c>
      <c r="D55" s="46">
        <v>9</v>
      </c>
      <c r="E55" s="46">
        <v>9</v>
      </c>
      <c r="F55" s="46">
        <v>9</v>
      </c>
      <c r="G55" s="46">
        <v>9</v>
      </c>
      <c r="H55" s="46">
        <v>0</v>
      </c>
      <c r="I55" s="46">
        <v>0</v>
      </c>
      <c r="J55" s="46">
        <v>0</v>
      </c>
      <c r="K55" s="46">
        <v>10.7</v>
      </c>
      <c r="L55" s="46">
        <v>10.7</v>
      </c>
      <c r="M55" s="46">
        <v>10.7</v>
      </c>
      <c r="N55" s="46">
        <v>10.7</v>
      </c>
      <c r="O55" s="46">
        <v>10.7</v>
      </c>
      <c r="P55" s="46">
        <v>10.7</v>
      </c>
      <c r="Q55" s="46">
        <v>10.7</v>
      </c>
      <c r="R55" s="46">
        <v>10.7</v>
      </c>
      <c r="S55" s="46">
        <v>10.7</v>
      </c>
      <c r="T55" s="46">
        <v>10.7</v>
      </c>
      <c r="U55" s="46">
        <v>10.7</v>
      </c>
      <c r="V55" s="46">
        <v>10.7</v>
      </c>
      <c r="W55" s="46">
        <v>11.7</v>
      </c>
      <c r="X55" s="46">
        <v>11.7</v>
      </c>
      <c r="Y55" s="46">
        <v>11.7</v>
      </c>
      <c r="Z55" s="46">
        <v>11.7</v>
      </c>
      <c r="AA55" s="46">
        <v>11.7</v>
      </c>
      <c r="AB55" s="46">
        <v>11.7</v>
      </c>
      <c r="AC55" s="46">
        <v>11.7</v>
      </c>
      <c r="AD55" s="46">
        <v>11.7</v>
      </c>
      <c r="AE55" s="46">
        <v>11.7</v>
      </c>
      <c r="AF55" s="46">
        <v>11.7</v>
      </c>
      <c r="AG55" s="66">
        <v>11</v>
      </c>
      <c r="AH55" s="48">
        <f t="shared" si="2"/>
        <v>11.7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176.3</v>
      </c>
      <c r="C60" s="68">
        <v>176.3</v>
      </c>
      <c r="D60" s="68">
        <f>77.3+105.5</f>
        <v>182.8</v>
      </c>
      <c r="E60" s="68">
        <f>73.8+99.8</f>
        <v>173.6</v>
      </c>
      <c r="F60" s="68">
        <f>78.1+100.8</f>
        <v>178.89999999999998</v>
      </c>
      <c r="G60" s="68">
        <f>74.2+99.1</f>
        <v>173.3</v>
      </c>
      <c r="H60" s="68">
        <f>76.6+98.6</f>
        <v>175.2</v>
      </c>
      <c r="I60" s="68">
        <f>76.1+98.2</f>
        <v>174.3</v>
      </c>
      <c r="J60" s="68">
        <f>77.1+97.6</f>
        <v>174.7</v>
      </c>
      <c r="K60" s="53">
        <f>77.2+97.3</f>
        <v>174.5</v>
      </c>
      <c r="L60" s="53">
        <f>61.1+97.8</f>
        <v>158.9</v>
      </c>
      <c r="M60" s="53">
        <v>175</v>
      </c>
      <c r="N60" s="53">
        <v>78.900000000000006</v>
      </c>
      <c r="O60" s="53">
        <v>96.1</v>
      </c>
      <c r="P60" s="53">
        <f>59.1+101.2</f>
        <v>160.30000000000001</v>
      </c>
      <c r="Q60" s="53">
        <f>59.1+101.2</f>
        <v>160.30000000000001</v>
      </c>
      <c r="R60" s="53">
        <v>132</v>
      </c>
      <c r="S60" s="53">
        <v>132</v>
      </c>
      <c r="T60" s="53">
        <f>78.2+102.1</f>
        <v>180.3</v>
      </c>
      <c r="U60" s="53">
        <f>78.2+102.1</f>
        <v>180.3</v>
      </c>
      <c r="V60" s="53">
        <f>78.9+100.7</f>
        <v>179.60000000000002</v>
      </c>
      <c r="W60" s="53">
        <f>78.9+97</f>
        <v>175.9</v>
      </c>
      <c r="X60" s="53">
        <f>78.9+97</f>
        <v>175.9</v>
      </c>
      <c r="Y60" s="53">
        <f>78.9+97</f>
        <v>175.9</v>
      </c>
      <c r="Z60" s="53">
        <f>74+98</f>
        <v>172</v>
      </c>
      <c r="AA60" s="53">
        <f>74+98</f>
        <v>172</v>
      </c>
      <c r="AB60" s="68">
        <f>99.1+73.9</f>
        <v>173</v>
      </c>
      <c r="AC60" s="68">
        <f>99.6+74.3</f>
        <v>173.89999999999998</v>
      </c>
      <c r="AD60" s="68">
        <f>99.8+73.1</f>
        <v>172.89999999999998</v>
      </c>
      <c r="AE60" s="68">
        <f>77.6+101.2</f>
        <v>178.8</v>
      </c>
      <c r="AF60" s="68">
        <f>74.6+104.6</f>
        <v>179.2</v>
      </c>
      <c r="AG60" s="66">
        <v>240</v>
      </c>
      <c r="AH60" s="48">
        <f t="shared" si="2"/>
        <v>182.8</v>
      </c>
      <c r="AI60" s="49">
        <f t="shared" si="3"/>
        <v>78.900000000000006</v>
      </c>
      <c r="AK60" s="51"/>
    </row>
    <row r="61" spans="1:88" ht="15.75" thickBot="1" x14ac:dyDescent="0.3">
      <c r="A61" s="70" t="s">
        <v>75</v>
      </c>
      <c r="B61" s="71">
        <f t="shared" ref="B61:C61" si="20">SUM(B11:B59)</f>
        <v>1168.8</v>
      </c>
      <c r="C61" s="71">
        <f t="shared" si="20"/>
        <v>1172.4000000000001</v>
      </c>
      <c r="D61" s="71">
        <f t="shared" ref="D61:AG61" si="21">SUM(D11:D59)</f>
        <v>1223</v>
      </c>
      <c r="E61" s="71">
        <f t="shared" si="21"/>
        <v>1152</v>
      </c>
      <c r="F61" s="71">
        <f t="shared" si="21"/>
        <v>1143</v>
      </c>
      <c r="G61" s="71">
        <f t="shared" si="21"/>
        <v>1143.5</v>
      </c>
      <c r="H61" s="71">
        <f t="shared" si="21"/>
        <v>1106.5</v>
      </c>
      <c r="I61" s="71">
        <f t="shared" si="21"/>
        <v>1106.5</v>
      </c>
      <c r="J61" s="71">
        <f t="shared" si="21"/>
        <v>1106.5</v>
      </c>
      <c r="K61" s="71">
        <f t="shared" si="21"/>
        <v>1169.9000000000001</v>
      </c>
      <c r="L61" s="71">
        <f t="shared" si="21"/>
        <v>1169.9000000000001</v>
      </c>
      <c r="M61" s="71">
        <f t="shared" si="21"/>
        <v>1216.0000000000002</v>
      </c>
      <c r="N61" s="71">
        <f t="shared" si="21"/>
        <v>1262.5</v>
      </c>
      <c r="O61" s="71">
        <f t="shared" si="21"/>
        <v>1244.5</v>
      </c>
      <c r="P61" s="71">
        <f t="shared" si="21"/>
        <v>1287.8000000000002</v>
      </c>
      <c r="Q61" s="71">
        <f t="shared" si="21"/>
        <v>1271.7</v>
      </c>
      <c r="R61" s="71">
        <f t="shared" si="21"/>
        <v>1353.2</v>
      </c>
      <c r="S61" s="71">
        <f t="shared" ref="S61:T61" si="22">SUM(S11:S59)</f>
        <v>1353.2</v>
      </c>
      <c r="T61" s="71">
        <f t="shared" si="22"/>
        <v>1337.3000000000002</v>
      </c>
      <c r="U61" s="71">
        <f t="shared" ref="U61:V61" si="23">SUM(U11:U59)</f>
        <v>1337.3000000000002</v>
      </c>
      <c r="V61" s="71">
        <f t="shared" si="23"/>
        <v>1337.3000000000002</v>
      </c>
      <c r="W61" s="71">
        <f t="shared" ref="W61:X61" si="24">SUM(W11:W59)</f>
        <v>1299.5999999999999</v>
      </c>
      <c r="X61" s="71">
        <f t="shared" si="24"/>
        <v>1295.0999999999999</v>
      </c>
      <c r="Y61" s="71">
        <f t="shared" ref="Y61:Z61" si="25">SUM(Y11:Y59)</f>
        <v>1280.5</v>
      </c>
      <c r="Z61" s="71">
        <f t="shared" si="25"/>
        <v>1280.5</v>
      </c>
      <c r="AA61" s="71">
        <f t="shared" ref="AA61" si="26">SUM(AA11:AA59)</f>
        <v>1326.2</v>
      </c>
      <c r="AB61" s="71">
        <f t="shared" si="21"/>
        <v>1419.9</v>
      </c>
      <c r="AC61" s="71">
        <f t="shared" si="21"/>
        <v>1411.4</v>
      </c>
      <c r="AD61" s="71">
        <f t="shared" si="21"/>
        <v>1411.5000000000002</v>
      </c>
      <c r="AE61" s="71">
        <f t="shared" ref="AE61:AF61" si="27">SUM(AE11:AE59)</f>
        <v>1403.5000000000002</v>
      </c>
      <c r="AF61" s="71">
        <f t="shared" si="27"/>
        <v>1339.5</v>
      </c>
      <c r="AG61" s="71">
        <f t="shared" si="21"/>
        <v>1466.0300000000002</v>
      </c>
      <c r="AH61" s="48">
        <f t="shared" si="2"/>
        <v>1419.9</v>
      </c>
      <c r="AI61" s="49">
        <f t="shared" si="3"/>
        <v>1106.5</v>
      </c>
      <c r="AK61" s="51"/>
    </row>
    <row r="62" spans="1:88" x14ac:dyDescent="0.25">
      <c r="A62" s="73" t="s">
        <v>76</v>
      </c>
      <c r="B62" s="46">
        <v>458</v>
      </c>
      <c r="C62" s="46">
        <v>458</v>
      </c>
      <c r="D62" s="46">
        <v>458.1</v>
      </c>
      <c r="E62" s="46">
        <v>458.2</v>
      </c>
      <c r="F62" s="46">
        <v>458.2</v>
      </c>
      <c r="G62" s="46">
        <v>458.1</v>
      </c>
      <c r="H62" s="46">
        <v>456.2</v>
      </c>
      <c r="I62" s="46">
        <v>456.2</v>
      </c>
      <c r="J62" s="46">
        <v>458.2</v>
      </c>
      <c r="K62" s="46">
        <v>458.2</v>
      </c>
      <c r="L62" s="46">
        <v>458.2</v>
      </c>
      <c r="M62" s="46">
        <v>458</v>
      </c>
      <c r="N62" s="46">
        <v>458</v>
      </c>
      <c r="O62" s="46">
        <v>458</v>
      </c>
      <c r="P62" s="46">
        <v>458</v>
      </c>
      <c r="Q62" s="46">
        <v>458</v>
      </c>
      <c r="R62" s="46">
        <v>458</v>
      </c>
      <c r="S62" s="46">
        <v>458</v>
      </c>
      <c r="T62" s="46">
        <v>458</v>
      </c>
      <c r="U62" s="46">
        <v>458</v>
      </c>
      <c r="V62" s="46">
        <v>458</v>
      </c>
      <c r="W62" s="46">
        <v>458</v>
      </c>
      <c r="X62" s="46">
        <v>458</v>
      </c>
      <c r="Y62" s="46">
        <v>458</v>
      </c>
      <c r="Z62" s="46">
        <v>458</v>
      </c>
      <c r="AA62" s="46">
        <v>458</v>
      </c>
      <c r="AB62" s="46">
        <v>458</v>
      </c>
      <c r="AC62" s="46">
        <v>458</v>
      </c>
      <c r="AD62" s="46">
        <v>458</v>
      </c>
      <c r="AE62" s="46">
        <v>458</v>
      </c>
      <c r="AF62" s="46">
        <v>458.2</v>
      </c>
      <c r="AG62" s="61">
        <v>456</v>
      </c>
      <c r="AH62" s="48">
        <f t="shared" si="2"/>
        <v>458.2</v>
      </c>
      <c r="AI62" s="49">
        <f t="shared" si="3"/>
        <v>456.2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60.9</v>
      </c>
      <c r="E63" s="76">
        <v>60.9</v>
      </c>
      <c r="F63" s="76">
        <v>60.9</v>
      </c>
      <c r="G63" s="76">
        <v>61.2</v>
      </c>
      <c r="H63" s="76">
        <v>61.2</v>
      </c>
      <c r="I63" s="76">
        <v>61.2</v>
      </c>
      <c r="J63" s="76">
        <v>61.4</v>
      </c>
      <c r="K63" s="76">
        <v>61.4</v>
      </c>
      <c r="L63" s="76">
        <v>61.3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61.4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15</v>
      </c>
      <c r="C64" s="78">
        <v>15</v>
      </c>
      <c r="D64" s="78">
        <v>15.1</v>
      </c>
      <c r="E64" s="78">
        <v>15.1</v>
      </c>
      <c r="F64" s="78">
        <v>15.1</v>
      </c>
      <c r="G64" s="78">
        <v>15.1</v>
      </c>
      <c r="H64" s="78">
        <v>15.1</v>
      </c>
      <c r="I64" s="78">
        <v>15.1</v>
      </c>
      <c r="J64" s="78">
        <v>15.1</v>
      </c>
      <c r="K64" s="78">
        <v>15.1</v>
      </c>
      <c r="L64" s="78">
        <v>15.1</v>
      </c>
      <c r="M64" s="78">
        <v>22</v>
      </c>
      <c r="N64" s="78">
        <v>22</v>
      </c>
      <c r="O64" s="78">
        <v>22</v>
      </c>
      <c r="P64" s="78">
        <v>22</v>
      </c>
      <c r="Q64" s="78">
        <v>22</v>
      </c>
      <c r="R64" s="78">
        <v>22</v>
      </c>
      <c r="S64" s="78">
        <v>22</v>
      </c>
      <c r="T64" s="78">
        <v>22</v>
      </c>
      <c r="U64" s="78">
        <v>22</v>
      </c>
      <c r="V64" s="78">
        <v>22</v>
      </c>
      <c r="W64" s="78">
        <v>22</v>
      </c>
      <c r="X64" s="78">
        <v>22</v>
      </c>
      <c r="Y64" s="78">
        <v>22</v>
      </c>
      <c r="Z64" s="78">
        <v>22</v>
      </c>
      <c r="AA64" s="78">
        <v>22</v>
      </c>
      <c r="AB64" s="78">
        <v>22</v>
      </c>
      <c r="AC64" s="78">
        <v>22</v>
      </c>
      <c r="AD64" s="78">
        <v>22</v>
      </c>
      <c r="AE64" s="78">
        <v>22</v>
      </c>
      <c r="AF64" s="78">
        <v>22</v>
      </c>
      <c r="AG64" s="79">
        <v>22.1</v>
      </c>
      <c r="AH64" s="48">
        <f t="shared" si="2"/>
        <v>22</v>
      </c>
      <c r="AI64" s="49">
        <f t="shared" si="3"/>
        <v>15</v>
      </c>
      <c r="AK64" s="51"/>
    </row>
    <row r="65" spans="1:75" ht="15.75" thickBot="1" x14ac:dyDescent="0.3">
      <c r="A65" s="80" t="s">
        <v>79</v>
      </c>
      <c r="B65" s="71">
        <f t="shared" ref="B65:C65" si="28">SUM(B62:B64)</f>
        <v>533</v>
      </c>
      <c r="C65" s="71">
        <f t="shared" si="28"/>
        <v>533</v>
      </c>
      <c r="D65" s="71">
        <f t="shared" ref="D65:AG65" si="29">SUM(D62:D64)</f>
        <v>534.1</v>
      </c>
      <c r="E65" s="71">
        <f t="shared" si="29"/>
        <v>534.20000000000005</v>
      </c>
      <c r="F65" s="71">
        <f t="shared" si="29"/>
        <v>534.20000000000005</v>
      </c>
      <c r="G65" s="71">
        <f t="shared" si="29"/>
        <v>534.40000000000009</v>
      </c>
      <c r="H65" s="71">
        <f t="shared" si="29"/>
        <v>532.5</v>
      </c>
      <c r="I65" s="71">
        <f t="shared" si="29"/>
        <v>532.5</v>
      </c>
      <c r="J65" s="71">
        <f t="shared" si="29"/>
        <v>534.70000000000005</v>
      </c>
      <c r="K65" s="71">
        <f t="shared" si="29"/>
        <v>534.70000000000005</v>
      </c>
      <c r="L65" s="71">
        <f t="shared" si="29"/>
        <v>534.6</v>
      </c>
      <c r="M65" s="71">
        <f t="shared" si="29"/>
        <v>540</v>
      </c>
      <c r="N65" s="71">
        <f t="shared" si="29"/>
        <v>540</v>
      </c>
      <c r="O65" s="71">
        <f t="shared" si="29"/>
        <v>540</v>
      </c>
      <c r="P65" s="71">
        <f t="shared" si="29"/>
        <v>540</v>
      </c>
      <c r="Q65" s="71">
        <f t="shared" si="29"/>
        <v>540</v>
      </c>
      <c r="R65" s="71">
        <f t="shared" si="29"/>
        <v>540</v>
      </c>
      <c r="S65" s="71">
        <f t="shared" ref="S65:T65" si="30">SUM(S62:S64)</f>
        <v>540</v>
      </c>
      <c r="T65" s="71">
        <f t="shared" si="30"/>
        <v>540</v>
      </c>
      <c r="U65" s="71">
        <f t="shared" ref="U65:V65" si="31">SUM(U62:U64)</f>
        <v>540</v>
      </c>
      <c r="V65" s="71">
        <f t="shared" si="31"/>
        <v>540</v>
      </c>
      <c r="W65" s="71">
        <f t="shared" ref="W65:X65" si="32">SUM(W62:W64)</f>
        <v>540</v>
      </c>
      <c r="X65" s="71">
        <f t="shared" si="32"/>
        <v>540</v>
      </c>
      <c r="Y65" s="71">
        <f t="shared" ref="Y65:Z65" si="33">SUM(Y62:Y64)</f>
        <v>540</v>
      </c>
      <c r="Z65" s="71">
        <f t="shared" si="33"/>
        <v>540</v>
      </c>
      <c r="AA65" s="71">
        <f t="shared" ref="AA65" si="34">SUM(AA62:AA64)</f>
        <v>540</v>
      </c>
      <c r="AB65" s="71">
        <f t="shared" si="29"/>
        <v>540</v>
      </c>
      <c r="AC65" s="71">
        <f t="shared" si="29"/>
        <v>540</v>
      </c>
      <c r="AD65" s="71">
        <f t="shared" si="29"/>
        <v>540</v>
      </c>
      <c r="AE65" s="71">
        <f t="shared" ref="AE65:AF65" si="35">SUM(AE62:AE64)</f>
        <v>540</v>
      </c>
      <c r="AF65" s="71">
        <f t="shared" si="35"/>
        <v>540.20000000000005</v>
      </c>
      <c r="AG65" s="72">
        <f t="shared" si="29"/>
        <v>538.1</v>
      </c>
      <c r="AH65" s="48">
        <f t="shared" si="2"/>
        <v>540.20000000000005</v>
      </c>
      <c r="AI65" s="49">
        <f t="shared" si="3"/>
        <v>532.5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81</v>
      </c>
      <c r="C66" s="46">
        <v>81</v>
      </c>
      <c r="D66" s="46">
        <v>81.3</v>
      </c>
      <c r="E66" s="46">
        <v>81.3</v>
      </c>
      <c r="F66" s="46">
        <v>88.7</v>
      </c>
      <c r="G66" s="46">
        <v>89</v>
      </c>
      <c r="H66" s="46">
        <v>89</v>
      </c>
      <c r="I66" s="46">
        <v>89</v>
      </c>
      <c r="J66" s="46">
        <v>102.6</v>
      </c>
      <c r="K66" s="46">
        <v>121.2</v>
      </c>
      <c r="L66" s="46">
        <v>126.5</v>
      </c>
      <c r="M66" s="46">
        <v>130</v>
      </c>
      <c r="N66" s="46">
        <v>129.1</v>
      </c>
      <c r="O66" s="46">
        <v>129.1</v>
      </c>
      <c r="P66" s="46">
        <v>0</v>
      </c>
      <c r="Q66" s="46">
        <v>72.7</v>
      </c>
      <c r="R66" s="46">
        <v>72.7</v>
      </c>
      <c r="S66" s="46">
        <v>72.7</v>
      </c>
      <c r="T66" s="46">
        <v>126.4</v>
      </c>
      <c r="U66" s="46">
        <v>126.4</v>
      </c>
      <c r="V66" s="46">
        <v>130.19999999999999</v>
      </c>
      <c r="W66" s="46">
        <v>130.19999999999999</v>
      </c>
      <c r="X66" s="46">
        <v>130.19999999999999</v>
      </c>
      <c r="Y66" s="46">
        <v>130.19999999999999</v>
      </c>
      <c r="Z66" s="46">
        <v>130.19999999999999</v>
      </c>
      <c r="AA66" s="46">
        <v>130.19999999999999</v>
      </c>
      <c r="AB66" s="46">
        <v>130.19999999999999</v>
      </c>
      <c r="AC66" s="46">
        <v>130.19999999999999</v>
      </c>
      <c r="AD66" s="46">
        <v>130.19999999999999</v>
      </c>
      <c r="AE66" s="46">
        <v>129.5</v>
      </c>
      <c r="AF66" s="46">
        <v>129.19999999999999</v>
      </c>
      <c r="AG66" s="61">
        <v>144</v>
      </c>
      <c r="AH66" s="48">
        <f t="shared" si="2"/>
        <v>130.19999999999999</v>
      </c>
      <c r="AI66" s="49">
        <f t="shared" si="3"/>
        <v>0</v>
      </c>
      <c r="AK66" s="51"/>
      <c r="AY66" s="1" t="s">
        <v>86</v>
      </c>
      <c r="AZ66" s="82">
        <f>ROUND(C84,0)</f>
        <v>-36</v>
      </c>
      <c r="BA66" s="81">
        <f t="shared" ref="BA66:BD70" si="36">D84</f>
        <v>39</v>
      </c>
      <c r="BB66" s="81">
        <f t="shared" si="36"/>
        <v>-36.799999999999997</v>
      </c>
      <c r="BC66" s="81">
        <f t="shared" si="36"/>
        <v>-47</v>
      </c>
      <c r="BD66" s="81">
        <f t="shared" si="36"/>
        <v>-37.4</v>
      </c>
      <c r="BE66" s="82">
        <f>I84</f>
        <v>-29.5</v>
      </c>
      <c r="BF66" s="82">
        <f>K84</f>
        <v>-52.6</v>
      </c>
      <c r="BG66" s="82">
        <f t="shared" ref="BG66:BP70" si="37">M84</f>
        <v>-52.6</v>
      </c>
      <c r="BH66" s="82">
        <f t="shared" si="37"/>
        <v>-21</v>
      </c>
      <c r="BI66" s="82">
        <f t="shared" si="37"/>
        <v>-41.8</v>
      </c>
      <c r="BJ66" s="82">
        <f t="shared" si="37"/>
        <v>-6.1</v>
      </c>
      <c r="BK66" s="82">
        <f t="shared" si="37"/>
        <v>-18.2</v>
      </c>
      <c r="BL66" s="82">
        <f t="shared" si="37"/>
        <v>-22</v>
      </c>
      <c r="BM66" s="82">
        <f t="shared" si="37"/>
        <v>-14</v>
      </c>
      <c r="BN66" s="82">
        <f t="shared" si="37"/>
        <v>-28</v>
      </c>
      <c r="BO66" s="82">
        <f t="shared" si="37"/>
        <v>-36</v>
      </c>
      <c r="BP66" s="82">
        <f t="shared" si="37"/>
        <v>-28</v>
      </c>
      <c r="BQ66" s="82">
        <f>X84</f>
        <v>-29</v>
      </c>
      <c r="BR66" s="82">
        <f>Z84</f>
        <v>-27</v>
      </c>
      <c r="BS66" s="81">
        <f>AB84</f>
        <v>-12</v>
      </c>
      <c r="BT66" s="81">
        <f t="shared" ref="BT66:BV70" si="38">AD84</f>
        <v>-17.399999999999999</v>
      </c>
      <c r="BU66" s="81">
        <f t="shared" si="38"/>
        <v>-42</v>
      </c>
      <c r="BV66" s="81">
        <f t="shared" si="38"/>
        <v>-48.3</v>
      </c>
      <c r="BW66" s="81">
        <f>B84</f>
        <v>-29.7</v>
      </c>
    </row>
    <row r="67" spans="1:75" x14ac:dyDescent="0.25">
      <c r="A67" s="65" t="s">
        <v>81</v>
      </c>
      <c r="B67" s="76">
        <v>69</v>
      </c>
      <c r="C67" s="76">
        <v>69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69</v>
      </c>
      <c r="O67" s="76">
        <v>69</v>
      </c>
      <c r="P67" s="76">
        <v>69</v>
      </c>
      <c r="Q67" s="76">
        <v>69</v>
      </c>
      <c r="R67" s="76">
        <v>69</v>
      </c>
      <c r="S67" s="76">
        <v>69</v>
      </c>
      <c r="T67" s="76">
        <v>69</v>
      </c>
      <c r="U67" s="76">
        <v>69</v>
      </c>
      <c r="V67" s="76">
        <v>69</v>
      </c>
      <c r="W67" s="76">
        <v>69</v>
      </c>
      <c r="X67" s="76">
        <v>69</v>
      </c>
      <c r="Y67" s="76">
        <v>69</v>
      </c>
      <c r="Z67" s="76">
        <v>69</v>
      </c>
      <c r="AA67" s="76">
        <v>69</v>
      </c>
      <c r="AB67" s="76">
        <v>69</v>
      </c>
      <c r="AC67" s="76">
        <v>69</v>
      </c>
      <c r="AD67" s="76">
        <v>69</v>
      </c>
      <c r="AE67" s="76">
        <v>69</v>
      </c>
      <c r="AF67" s="76">
        <v>69</v>
      </c>
      <c r="AG67" s="66">
        <v>70</v>
      </c>
      <c r="AH67" s="48">
        <f t="shared" si="2"/>
        <v>70</v>
      </c>
      <c r="AI67" s="49">
        <f t="shared" si="3"/>
        <v>69</v>
      </c>
      <c r="AK67" s="51"/>
      <c r="AY67" s="1" t="s">
        <v>88</v>
      </c>
      <c r="AZ67" s="82">
        <f>ROUND(C85,0)</f>
        <v>0</v>
      </c>
      <c r="BA67" s="81">
        <f t="shared" si="36"/>
        <v>0</v>
      </c>
      <c r="BB67" s="81">
        <f t="shared" si="36"/>
        <v>0</v>
      </c>
      <c r="BC67" s="81">
        <f t="shared" si="36"/>
        <v>0</v>
      </c>
      <c r="BD67" s="81">
        <f t="shared" si="36"/>
        <v>0</v>
      </c>
      <c r="BE67" s="82">
        <f>I85</f>
        <v>0</v>
      </c>
      <c r="BF67" s="82">
        <f>K85</f>
        <v>0</v>
      </c>
      <c r="BG67" s="82">
        <f t="shared" si="37"/>
        <v>0</v>
      </c>
      <c r="BH67" s="82">
        <f t="shared" si="37"/>
        <v>0</v>
      </c>
      <c r="BI67" s="82">
        <f t="shared" si="37"/>
        <v>0</v>
      </c>
      <c r="BJ67" s="82">
        <f t="shared" si="37"/>
        <v>0</v>
      </c>
      <c r="BK67" s="82">
        <f t="shared" si="37"/>
        <v>0</v>
      </c>
      <c r="BL67" s="82">
        <f t="shared" si="37"/>
        <v>0</v>
      </c>
      <c r="BM67" s="82">
        <f t="shared" si="37"/>
        <v>0</v>
      </c>
      <c r="BN67" s="82">
        <f t="shared" si="37"/>
        <v>0</v>
      </c>
      <c r="BO67" s="82">
        <f t="shared" si="37"/>
        <v>0</v>
      </c>
      <c r="BP67" s="82">
        <f t="shared" si="37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8"/>
        <v>0</v>
      </c>
      <c r="BU67" s="81">
        <f t="shared" si="38"/>
        <v>0</v>
      </c>
      <c r="BV67" s="81">
        <f t="shared" si="38"/>
        <v>0</v>
      </c>
      <c r="BW67" s="81">
        <f>B85</f>
        <v>0</v>
      </c>
    </row>
    <row r="68" spans="1:75" x14ac:dyDescent="0.25">
      <c r="A68" s="65" t="s">
        <v>82</v>
      </c>
      <c r="B68" s="76">
        <v>61</v>
      </c>
      <c r="C68" s="76">
        <v>61</v>
      </c>
      <c r="D68" s="76">
        <v>62.8</v>
      </c>
      <c r="E68" s="76">
        <v>62.8</v>
      </c>
      <c r="F68" s="76">
        <v>62.8</v>
      </c>
      <c r="G68" s="76">
        <v>63.3</v>
      </c>
      <c r="H68" s="76">
        <v>63.3</v>
      </c>
      <c r="I68" s="76">
        <v>63.3</v>
      </c>
      <c r="J68" s="76">
        <v>62.9</v>
      </c>
      <c r="K68" s="76">
        <v>63.2</v>
      </c>
      <c r="L68" s="76">
        <v>62.9</v>
      </c>
      <c r="M68" s="76">
        <v>63</v>
      </c>
      <c r="N68" s="76">
        <v>64.2</v>
      </c>
      <c r="O68" s="76">
        <v>64.2</v>
      </c>
      <c r="P68" s="76">
        <v>64.2</v>
      </c>
      <c r="Q68" s="76">
        <v>64.2</v>
      </c>
      <c r="R68" s="76">
        <v>64.2</v>
      </c>
      <c r="S68" s="76">
        <v>64.2</v>
      </c>
      <c r="T68" s="76">
        <v>64.2</v>
      </c>
      <c r="U68" s="76">
        <v>64.2</v>
      </c>
      <c r="V68" s="76">
        <v>64.2</v>
      </c>
      <c r="W68" s="76">
        <v>64.2</v>
      </c>
      <c r="X68" s="76">
        <v>64.2</v>
      </c>
      <c r="Y68" s="76">
        <v>64.2</v>
      </c>
      <c r="Z68" s="76">
        <v>64.2</v>
      </c>
      <c r="AA68" s="76">
        <v>64.2</v>
      </c>
      <c r="AB68" s="76">
        <v>64.2</v>
      </c>
      <c r="AC68" s="76">
        <v>64.2</v>
      </c>
      <c r="AD68" s="76">
        <v>64.2</v>
      </c>
      <c r="AE68" s="76">
        <v>63.4</v>
      </c>
      <c r="AF68" s="76">
        <v>64</v>
      </c>
      <c r="AG68" s="66">
        <v>69</v>
      </c>
      <c r="AH68" s="48">
        <f t="shared" si="2"/>
        <v>64.2</v>
      </c>
      <c r="AI68" s="49">
        <f t="shared" si="3"/>
        <v>61</v>
      </c>
      <c r="AK68" s="51"/>
      <c r="AL68" s="83"/>
      <c r="AO68" s="83"/>
      <c r="AY68" s="1" t="s">
        <v>90</v>
      </c>
      <c r="AZ68" s="82">
        <f>ROUND(C86,0)</f>
        <v>-631</v>
      </c>
      <c r="BA68" s="81">
        <f t="shared" si="36"/>
        <v>-692.4</v>
      </c>
      <c r="BB68" s="81">
        <f t="shared" si="36"/>
        <v>-655.6</v>
      </c>
      <c r="BC68" s="81">
        <f t="shared" si="36"/>
        <v>-654.70000000000005</v>
      </c>
      <c r="BD68" s="81">
        <f t="shared" si="36"/>
        <v>-651.9</v>
      </c>
      <c r="BE68" s="82">
        <f>I86</f>
        <v>-644</v>
      </c>
      <c r="BF68" s="82">
        <f>K86</f>
        <v>-664</v>
      </c>
      <c r="BG68" s="82">
        <f t="shared" si="37"/>
        <v>-612.79999999999995</v>
      </c>
      <c r="BH68" s="82">
        <f t="shared" si="37"/>
        <v>-474.7</v>
      </c>
      <c r="BI68" s="82">
        <f t="shared" si="37"/>
        <v>-534.9</v>
      </c>
      <c r="BJ68" s="82">
        <f t="shared" si="37"/>
        <v>-537.70000000000005</v>
      </c>
      <c r="BK68" s="82">
        <f t="shared" si="37"/>
        <v>-553.79999999999995</v>
      </c>
      <c r="BL68" s="82">
        <f t="shared" si="37"/>
        <v>-575</v>
      </c>
      <c r="BM68" s="82">
        <f t="shared" si="37"/>
        <v>-609</v>
      </c>
      <c r="BN68" s="82">
        <f t="shared" si="37"/>
        <v>-630</v>
      </c>
      <c r="BO68" s="82">
        <f t="shared" si="37"/>
        <v>-632</v>
      </c>
      <c r="BP68" s="82">
        <f t="shared" si="37"/>
        <v>-689</v>
      </c>
      <c r="BQ68" s="82">
        <f>X86</f>
        <v>-643</v>
      </c>
      <c r="BR68" s="82">
        <f>Z86</f>
        <v>-614</v>
      </c>
      <c r="BS68" s="81">
        <f>AB86</f>
        <v>-642</v>
      </c>
      <c r="BT68" s="81">
        <f t="shared" si="38"/>
        <v>-668.5</v>
      </c>
      <c r="BU68" s="81">
        <f t="shared" si="38"/>
        <v>-635</v>
      </c>
      <c r="BV68" s="81">
        <f t="shared" si="38"/>
        <v>-618</v>
      </c>
      <c r="BW68" s="81">
        <f>B86</f>
        <v>-605.5</v>
      </c>
    </row>
    <row r="69" spans="1:75" s="83" customFormat="1" x14ac:dyDescent="0.25">
      <c r="A69" s="65" t="s">
        <v>83</v>
      </c>
      <c r="B69" s="76">
        <v>60.7</v>
      </c>
      <c r="C69" s="76">
        <v>60.7</v>
      </c>
      <c r="D69" s="76">
        <v>61.2</v>
      </c>
      <c r="E69" s="76">
        <v>61.2</v>
      </c>
      <c r="F69" s="76">
        <v>61.2</v>
      </c>
      <c r="G69" s="76">
        <v>61.7</v>
      </c>
      <c r="H69" s="76">
        <v>61.7</v>
      </c>
      <c r="I69" s="76">
        <v>61.7</v>
      </c>
      <c r="J69" s="76">
        <v>61.7</v>
      </c>
      <c r="K69" s="68">
        <v>61.2</v>
      </c>
      <c r="L69" s="68">
        <v>60.9</v>
      </c>
      <c r="M69" s="76">
        <v>61.4</v>
      </c>
      <c r="N69" s="76">
        <v>60.9</v>
      </c>
      <c r="O69" s="76">
        <v>60.9</v>
      </c>
      <c r="P69" s="76">
        <v>60.9</v>
      </c>
      <c r="Q69" s="76">
        <v>60.9</v>
      </c>
      <c r="R69" s="76">
        <v>60.9</v>
      </c>
      <c r="S69" s="76">
        <v>60.9</v>
      </c>
      <c r="T69" s="76">
        <v>60.9</v>
      </c>
      <c r="U69" s="76">
        <v>60.9</v>
      </c>
      <c r="V69" s="76">
        <v>60.9</v>
      </c>
      <c r="W69" s="76">
        <v>60.9</v>
      </c>
      <c r="X69" s="76">
        <v>60.9</v>
      </c>
      <c r="Y69" s="76">
        <v>60.9</v>
      </c>
      <c r="Z69" s="76">
        <v>60.9</v>
      </c>
      <c r="AA69" s="76">
        <v>60.9</v>
      </c>
      <c r="AB69" s="76">
        <v>60.9</v>
      </c>
      <c r="AC69" s="76">
        <v>60.9</v>
      </c>
      <c r="AD69" s="76">
        <v>60.9</v>
      </c>
      <c r="AE69" s="76">
        <v>60</v>
      </c>
      <c r="AF69" s="76">
        <v>62</v>
      </c>
      <c r="AG69" s="66">
        <v>60</v>
      </c>
      <c r="AH69" s="48">
        <f t="shared" si="2"/>
        <v>62</v>
      </c>
      <c r="AI69" s="49">
        <f t="shared" si="3"/>
        <v>60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6"/>
        <v>0</v>
      </c>
      <c r="BB69" s="81">
        <f t="shared" si="36"/>
        <v>0</v>
      </c>
      <c r="BC69" s="81">
        <f t="shared" si="36"/>
        <v>0</v>
      </c>
      <c r="BD69" s="81">
        <f t="shared" si="36"/>
        <v>0</v>
      </c>
      <c r="BE69" s="82">
        <f>I87</f>
        <v>0</v>
      </c>
      <c r="BF69" s="82">
        <f>K87</f>
        <v>0</v>
      </c>
      <c r="BG69" s="82">
        <f t="shared" si="37"/>
        <v>0</v>
      </c>
      <c r="BH69" s="82">
        <f t="shared" si="37"/>
        <v>0</v>
      </c>
      <c r="BI69" s="82">
        <f t="shared" si="37"/>
        <v>0</v>
      </c>
      <c r="BJ69" s="82">
        <f t="shared" si="37"/>
        <v>0</v>
      </c>
      <c r="BK69" s="82">
        <f t="shared" si="37"/>
        <v>0</v>
      </c>
      <c r="BL69" s="82">
        <f t="shared" si="37"/>
        <v>0</v>
      </c>
      <c r="BM69" s="82">
        <f t="shared" si="37"/>
        <v>0</v>
      </c>
      <c r="BN69" s="82">
        <f t="shared" si="37"/>
        <v>0</v>
      </c>
      <c r="BO69" s="82">
        <f t="shared" si="37"/>
        <v>0</v>
      </c>
      <c r="BP69" s="82">
        <f t="shared" si="37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8"/>
        <v>0</v>
      </c>
      <c r="BU69" s="81">
        <f t="shared" si="38"/>
        <v>0</v>
      </c>
      <c r="BV69" s="81">
        <f t="shared" si="38"/>
        <v>0</v>
      </c>
      <c r="BW69" s="81">
        <f>B87</f>
        <v>0</v>
      </c>
    </row>
    <row r="70" spans="1:75" x14ac:dyDescent="0.25">
      <c r="A70" s="65" t="s">
        <v>84</v>
      </c>
      <c r="B70" s="46">
        <v>27.3</v>
      </c>
      <c r="C70" s="46">
        <v>27.3</v>
      </c>
      <c r="D70" s="46">
        <v>0</v>
      </c>
      <c r="E70" s="46">
        <v>15.2</v>
      </c>
      <c r="F70" s="46">
        <v>27.3</v>
      </c>
      <c r="G70" s="76">
        <v>27</v>
      </c>
      <c r="H70" s="76">
        <v>27</v>
      </c>
      <c r="I70" s="76">
        <v>0</v>
      </c>
      <c r="J70" s="76">
        <v>0</v>
      </c>
      <c r="K70" s="76">
        <v>0</v>
      </c>
      <c r="L70" s="68">
        <v>0</v>
      </c>
      <c r="M70" s="76">
        <v>0</v>
      </c>
      <c r="N70" s="76">
        <v>27.9</v>
      </c>
      <c r="O70" s="76">
        <v>27.9</v>
      </c>
      <c r="P70" s="76">
        <v>27.9</v>
      </c>
      <c r="Q70" s="76">
        <v>27.9</v>
      </c>
      <c r="R70" s="76">
        <v>27.9</v>
      </c>
      <c r="S70" s="76">
        <v>27.9</v>
      </c>
      <c r="T70" s="76">
        <v>27.9</v>
      </c>
      <c r="U70" s="76">
        <v>27.9</v>
      </c>
      <c r="V70" s="76">
        <v>27.9</v>
      </c>
      <c r="W70" s="76">
        <v>27.9</v>
      </c>
      <c r="X70" s="76">
        <v>27.9</v>
      </c>
      <c r="Y70" s="76">
        <v>27.9</v>
      </c>
      <c r="Z70" s="76">
        <v>27.9</v>
      </c>
      <c r="AA70" s="76">
        <v>27.9</v>
      </c>
      <c r="AB70" s="76">
        <v>26.9</v>
      </c>
      <c r="AC70" s="76">
        <v>26.9</v>
      </c>
      <c r="AD70" s="76">
        <v>26.9</v>
      </c>
      <c r="AE70" s="76">
        <v>27.2</v>
      </c>
      <c r="AF70" s="76">
        <v>27.2</v>
      </c>
      <c r="AG70" s="66">
        <v>30</v>
      </c>
      <c r="AH70" s="48">
        <f t="shared" si="2"/>
        <v>27.9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6"/>
        <v>0</v>
      </c>
      <c r="BB70" s="81">
        <f t="shared" si="36"/>
        <v>0</v>
      </c>
      <c r="BC70" s="81">
        <f t="shared" si="36"/>
        <v>0</v>
      </c>
      <c r="BD70" s="81">
        <f t="shared" si="36"/>
        <v>0</v>
      </c>
      <c r="BE70" s="82">
        <f>I88</f>
        <v>0</v>
      </c>
      <c r="BF70" s="82">
        <f>K88</f>
        <v>0</v>
      </c>
      <c r="BG70" s="82">
        <f t="shared" si="37"/>
        <v>0</v>
      </c>
      <c r="BH70" s="82">
        <f t="shared" si="37"/>
        <v>0</v>
      </c>
      <c r="BI70" s="82">
        <f t="shared" si="37"/>
        <v>0</v>
      </c>
      <c r="BJ70" s="82">
        <f t="shared" si="37"/>
        <v>0</v>
      </c>
      <c r="BK70" s="82">
        <f t="shared" si="37"/>
        <v>0</v>
      </c>
      <c r="BL70" s="82">
        <f t="shared" si="37"/>
        <v>0</v>
      </c>
      <c r="BM70" s="82">
        <f t="shared" si="37"/>
        <v>0</v>
      </c>
      <c r="BN70" s="82">
        <f t="shared" si="37"/>
        <v>0</v>
      </c>
      <c r="BO70" s="82">
        <f t="shared" si="37"/>
        <v>0</v>
      </c>
      <c r="BP70" s="82">
        <f t="shared" si="37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8"/>
        <v>0</v>
      </c>
      <c r="BU70" s="81">
        <f t="shared" si="38"/>
        <v>0</v>
      </c>
      <c r="BV70" s="81">
        <f t="shared" si="38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2</v>
      </c>
      <c r="L71" s="76">
        <v>8</v>
      </c>
      <c r="M71" s="76">
        <v>5.3</v>
      </c>
      <c r="N71" s="76">
        <v>9.8000000000000007</v>
      </c>
      <c r="O71" s="76">
        <v>9.8000000000000007</v>
      </c>
      <c r="P71" s="76">
        <v>9.3000000000000007</v>
      </c>
      <c r="Q71" s="76">
        <v>9.9</v>
      </c>
      <c r="R71" s="76">
        <v>9.9</v>
      </c>
      <c r="S71" s="76">
        <v>9.9</v>
      </c>
      <c r="T71" s="76">
        <v>13.5</v>
      </c>
      <c r="U71" s="76">
        <v>13.5</v>
      </c>
      <c r="V71" s="76">
        <v>2.7</v>
      </c>
      <c r="W71" s="76">
        <v>1.6</v>
      </c>
      <c r="X71" s="76">
        <v>1.6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13.5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9">M94</f>
        <v>0</v>
      </c>
      <c r="BH71" s="82">
        <f t="shared" si="39"/>
        <v>0</v>
      </c>
      <c r="BI71" s="82">
        <f t="shared" si="39"/>
        <v>0</v>
      </c>
      <c r="BJ71" s="82">
        <f t="shared" si="39"/>
        <v>0</v>
      </c>
      <c r="BK71" s="82">
        <f t="shared" si="39"/>
        <v>0</v>
      </c>
      <c r="BL71" s="82">
        <f t="shared" si="39"/>
        <v>0</v>
      </c>
      <c r="BM71" s="82">
        <f t="shared" si="39"/>
        <v>0</v>
      </c>
      <c r="BN71" s="82">
        <f t="shared" si="39"/>
        <v>0</v>
      </c>
      <c r="BO71" s="82">
        <f t="shared" si="39"/>
        <v>0</v>
      </c>
      <c r="BP71" s="82">
        <f t="shared" si="3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14.7</v>
      </c>
      <c r="C72" s="76">
        <v>14.7</v>
      </c>
      <c r="D72" s="76">
        <v>14.1</v>
      </c>
      <c r="E72" s="76">
        <v>14.1</v>
      </c>
      <c r="F72" s="76">
        <v>14.1</v>
      </c>
      <c r="G72" s="76">
        <v>14.1</v>
      </c>
      <c r="H72" s="76">
        <v>14.1</v>
      </c>
      <c r="I72" s="76">
        <v>14.1</v>
      </c>
      <c r="J72" s="76">
        <v>14.1</v>
      </c>
      <c r="K72" s="76">
        <v>12.7</v>
      </c>
      <c r="L72" s="76">
        <v>12.5</v>
      </c>
      <c r="M72" s="76">
        <v>13.2</v>
      </c>
      <c r="N72" s="76">
        <v>12.7</v>
      </c>
      <c r="O72" s="76">
        <v>12.7</v>
      </c>
      <c r="P72" s="76">
        <v>12.7</v>
      </c>
      <c r="Q72" s="76">
        <v>12.5</v>
      </c>
      <c r="R72" s="76">
        <v>12.5</v>
      </c>
      <c r="S72" s="76">
        <v>12.5</v>
      </c>
      <c r="T72" s="76">
        <v>12.5</v>
      </c>
      <c r="U72" s="76">
        <v>12.5</v>
      </c>
      <c r="V72" s="76">
        <v>12.5</v>
      </c>
      <c r="W72" s="76">
        <v>12.5</v>
      </c>
      <c r="X72" s="76">
        <v>12.5</v>
      </c>
      <c r="Y72" s="76">
        <v>12.5</v>
      </c>
      <c r="Z72" s="76">
        <v>12.5</v>
      </c>
      <c r="AA72" s="76">
        <v>12.5</v>
      </c>
      <c r="AB72" s="76">
        <v>12.5</v>
      </c>
      <c r="AC72" s="76">
        <v>12.5</v>
      </c>
      <c r="AD72" s="76">
        <v>12.5</v>
      </c>
      <c r="AE72" s="76">
        <v>15.2</v>
      </c>
      <c r="AF72" s="76">
        <v>14.8</v>
      </c>
      <c r="AG72" s="66">
        <v>24</v>
      </c>
      <c r="AH72" s="48">
        <f t="shared" si="2"/>
        <v>15.2</v>
      </c>
      <c r="AI72" s="49">
        <f t="shared" si="3"/>
        <v>12.5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66">
        <v>15</v>
      </c>
      <c r="AH73" s="48">
        <f t="shared" si="2"/>
        <v>0</v>
      </c>
      <c r="AI73" s="49">
        <f t="shared" si="3"/>
        <v>0</v>
      </c>
      <c r="AK73" s="51"/>
      <c r="AZ73" s="82">
        <f t="shared" ref="AZ73:BW78" si="40">VALUE(AZ66)</f>
        <v>-36</v>
      </c>
      <c r="BA73" s="82">
        <f t="shared" si="40"/>
        <v>39</v>
      </c>
      <c r="BB73" s="82">
        <f t="shared" si="40"/>
        <v>-36.799999999999997</v>
      </c>
      <c r="BC73" s="82">
        <f t="shared" si="40"/>
        <v>-47</v>
      </c>
      <c r="BD73" s="82">
        <f t="shared" si="40"/>
        <v>-37.4</v>
      </c>
      <c r="BE73" s="82">
        <f t="shared" si="40"/>
        <v>-29.5</v>
      </c>
      <c r="BF73" s="82">
        <f t="shared" si="40"/>
        <v>-52.6</v>
      </c>
      <c r="BG73" s="82">
        <f t="shared" si="40"/>
        <v>-52.6</v>
      </c>
      <c r="BH73" s="82">
        <f t="shared" si="40"/>
        <v>-21</v>
      </c>
      <c r="BI73" s="82">
        <f t="shared" si="40"/>
        <v>-41.8</v>
      </c>
      <c r="BJ73" s="82">
        <f t="shared" si="40"/>
        <v>-6.1</v>
      </c>
      <c r="BK73" s="82">
        <f t="shared" si="40"/>
        <v>-18.2</v>
      </c>
      <c r="BL73" s="82">
        <f t="shared" si="40"/>
        <v>-22</v>
      </c>
      <c r="BM73" s="82">
        <f t="shared" si="40"/>
        <v>-14</v>
      </c>
      <c r="BN73" s="82">
        <f t="shared" si="40"/>
        <v>-28</v>
      </c>
      <c r="BO73" s="82">
        <f t="shared" si="40"/>
        <v>-36</v>
      </c>
      <c r="BP73" s="82">
        <f t="shared" si="40"/>
        <v>-28</v>
      </c>
      <c r="BQ73" s="82">
        <f t="shared" si="40"/>
        <v>-29</v>
      </c>
      <c r="BR73" s="82">
        <f t="shared" si="40"/>
        <v>-27</v>
      </c>
      <c r="BS73" s="82">
        <f t="shared" si="40"/>
        <v>-12</v>
      </c>
      <c r="BT73" s="82">
        <f t="shared" si="40"/>
        <v>-17.399999999999999</v>
      </c>
      <c r="BU73" s="82">
        <f t="shared" si="40"/>
        <v>-42</v>
      </c>
      <c r="BV73" s="82">
        <f t="shared" si="40"/>
        <v>-48.3</v>
      </c>
      <c r="BW73" s="82">
        <f t="shared" si="40"/>
        <v>-29.7</v>
      </c>
    </row>
    <row r="74" spans="1:75" x14ac:dyDescent="0.25">
      <c r="A74" s="65" t="s">
        <v>91</v>
      </c>
      <c r="B74" s="76">
        <v>8.8000000000000007</v>
      </c>
      <c r="C74" s="76">
        <v>8.8000000000000007</v>
      </c>
      <c r="D74" s="76">
        <v>8.8000000000000007</v>
      </c>
      <c r="E74" s="76">
        <v>8.8000000000000007</v>
      </c>
      <c r="F74" s="76">
        <v>8.8000000000000007</v>
      </c>
      <c r="G74" s="76">
        <v>8.8000000000000007</v>
      </c>
      <c r="H74" s="76">
        <v>8.8000000000000007</v>
      </c>
      <c r="I74" s="76">
        <v>8.8000000000000007</v>
      </c>
      <c r="J74" s="76">
        <v>8.8000000000000007</v>
      </c>
      <c r="K74" s="76">
        <v>9.1</v>
      </c>
      <c r="L74" s="76">
        <v>9.1</v>
      </c>
      <c r="M74" s="76">
        <v>9.1</v>
      </c>
      <c r="N74" s="76">
        <v>9.1</v>
      </c>
      <c r="O74" s="76">
        <v>9.1</v>
      </c>
      <c r="P74" s="76">
        <v>9.1</v>
      </c>
      <c r="Q74" s="76">
        <v>8.9</v>
      </c>
      <c r="R74" s="76">
        <v>8.9</v>
      </c>
      <c r="S74" s="76">
        <v>8.9</v>
      </c>
      <c r="T74" s="76">
        <v>8.9</v>
      </c>
      <c r="U74" s="76">
        <v>8.9</v>
      </c>
      <c r="V74" s="76">
        <v>8.9</v>
      </c>
      <c r="W74" s="76">
        <v>8.9</v>
      </c>
      <c r="X74" s="76">
        <v>8.9</v>
      </c>
      <c r="Y74" s="76">
        <v>8.9</v>
      </c>
      <c r="Z74" s="76">
        <v>8.9</v>
      </c>
      <c r="AA74" s="76">
        <v>8.9</v>
      </c>
      <c r="AB74" s="76">
        <v>8.9</v>
      </c>
      <c r="AC74" s="76">
        <v>8.9</v>
      </c>
      <c r="AD74" s="76">
        <v>8.9</v>
      </c>
      <c r="AE74" s="76">
        <v>11.4</v>
      </c>
      <c r="AF74" s="76">
        <v>12.2</v>
      </c>
      <c r="AG74" s="66">
        <v>14.1</v>
      </c>
      <c r="AH74" s="48">
        <f t="shared" si="2"/>
        <v>12.2</v>
      </c>
      <c r="AI74" s="49">
        <f t="shared" si="3"/>
        <v>8.8000000000000007</v>
      </c>
      <c r="AK74" s="51"/>
      <c r="AZ74" s="82">
        <f t="shared" si="40"/>
        <v>0</v>
      </c>
      <c r="BA74" s="82">
        <f t="shared" si="40"/>
        <v>0</v>
      </c>
      <c r="BB74" s="82">
        <f t="shared" si="40"/>
        <v>0</v>
      </c>
      <c r="BC74" s="82">
        <f t="shared" si="40"/>
        <v>0</v>
      </c>
      <c r="BD74" s="82">
        <f t="shared" si="40"/>
        <v>0</v>
      </c>
      <c r="BE74" s="82">
        <f t="shared" si="40"/>
        <v>0</v>
      </c>
      <c r="BF74" s="82">
        <f t="shared" si="40"/>
        <v>0</v>
      </c>
      <c r="BG74" s="82">
        <f t="shared" si="40"/>
        <v>0</v>
      </c>
      <c r="BH74" s="82">
        <f t="shared" si="40"/>
        <v>0</v>
      </c>
      <c r="BI74" s="82">
        <f t="shared" si="40"/>
        <v>0</v>
      </c>
      <c r="BJ74" s="82">
        <f t="shared" si="40"/>
        <v>0</v>
      </c>
      <c r="BK74" s="82">
        <f t="shared" si="40"/>
        <v>0</v>
      </c>
      <c r="BL74" s="82">
        <f t="shared" si="40"/>
        <v>0</v>
      </c>
      <c r="BM74" s="82">
        <f t="shared" si="40"/>
        <v>0</v>
      </c>
      <c r="BN74" s="82">
        <f t="shared" si="40"/>
        <v>0</v>
      </c>
      <c r="BO74" s="82">
        <f t="shared" si="40"/>
        <v>0</v>
      </c>
      <c r="BP74" s="82">
        <f t="shared" si="40"/>
        <v>0</v>
      </c>
      <c r="BQ74" s="82">
        <f t="shared" si="40"/>
        <v>0</v>
      </c>
      <c r="BR74" s="82">
        <f t="shared" si="40"/>
        <v>0</v>
      </c>
      <c r="BS74" s="82">
        <f t="shared" si="40"/>
        <v>0</v>
      </c>
      <c r="BT74" s="82">
        <f t="shared" si="40"/>
        <v>0</v>
      </c>
      <c r="BU74" s="82">
        <f t="shared" si="40"/>
        <v>0</v>
      </c>
      <c r="BV74" s="82">
        <f t="shared" si="40"/>
        <v>0</v>
      </c>
      <c r="BW74" s="82">
        <f t="shared" si="40"/>
        <v>0</v>
      </c>
    </row>
    <row r="75" spans="1:75" x14ac:dyDescent="0.25">
      <c r="A75" s="84" t="s">
        <v>93</v>
      </c>
      <c r="B75" s="76">
        <v>6.9</v>
      </c>
      <c r="C75" s="76">
        <v>6.9</v>
      </c>
      <c r="D75" s="76">
        <v>6.9</v>
      </c>
      <c r="E75" s="76">
        <v>6.9</v>
      </c>
      <c r="F75" s="76">
        <v>6.9</v>
      </c>
      <c r="G75" s="76">
        <v>6.9</v>
      </c>
      <c r="H75" s="76">
        <v>6.9</v>
      </c>
      <c r="I75" s="76">
        <v>6.9</v>
      </c>
      <c r="J75" s="76">
        <v>6.9</v>
      </c>
      <c r="K75" s="76">
        <v>6.9</v>
      </c>
      <c r="L75" s="76">
        <v>6.9</v>
      </c>
      <c r="M75" s="76">
        <v>6.9</v>
      </c>
      <c r="N75" s="76">
        <v>6.9</v>
      </c>
      <c r="O75" s="76">
        <v>6.9</v>
      </c>
      <c r="P75" s="76">
        <v>6.9</v>
      </c>
      <c r="Q75" s="76">
        <v>5.4</v>
      </c>
      <c r="R75" s="76">
        <v>5.4</v>
      </c>
      <c r="S75" s="76">
        <v>5.4</v>
      </c>
      <c r="T75" s="76">
        <v>7.2</v>
      </c>
      <c r="U75" s="76">
        <v>7.2</v>
      </c>
      <c r="V75" s="76">
        <v>7.2</v>
      </c>
      <c r="W75" s="76">
        <v>7.2</v>
      </c>
      <c r="X75" s="76">
        <v>7.2</v>
      </c>
      <c r="Y75" s="76">
        <v>7.2</v>
      </c>
      <c r="Z75" s="76">
        <v>7.2</v>
      </c>
      <c r="AA75" s="76">
        <v>7.2</v>
      </c>
      <c r="AB75" s="76">
        <v>7.2</v>
      </c>
      <c r="AC75" s="76">
        <v>7.2</v>
      </c>
      <c r="AD75" s="76">
        <v>7.2</v>
      </c>
      <c r="AE75" s="76">
        <v>7.4</v>
      </c>
      <c r="AF75" s="76">
        <v>7.4</v>
      </c>
      <c r="AG75" s="66">
        <v>14</v>
      </c>
      <c r="AH75" s="48">
        <f t="shared" ref="AH75:AH126" si="41">MAX(B75:AF75)</f>
        <v>7.4</v>
      </c>
      <c r="AI75" s="49">
        <f t="shared" ref="AI75:AI126" si="42">MIN(B75:AF75)</f>
        <v>5.4</v>
      </c>
      <c r="AK75" s="51"/>
      <c r="AZ75" s="82">
        <f t="shared" si="40"/>
        <v>-631</v>
      </c>
      <c r="BA75" s="82">
        <f t="shared" si="40"/>
        <v>-692.4</v>
      </c>
      <c r="BB75" s="82">
        <f t="shared" si="40"/>
        <v>-655.6</v>
      </c>
      <c r="BC75" s="82">
        <f t="shared" si="40"/>
        <v>-654.70000000000005</v>
      </c>
      <c r="BD75" s="82">
        <f t="shared" si="40"/>
        <v>-651.9</v>
      </c>
      <c r="BE75" s="82">
        <f t="shared" si="40"/>
        <v>-644</v>
      </c>
      <c r="BF75" s="82">
        <f t="shared" si="40"/>
        <v>-664</v>
      </c>
      <c r="BG75" s="82">
        <f t="shared" si="40"/>
        <v>-612.79999999999995</v>
      </c>
      <c r="BH75" s="82">
        <f t="shared" si="40"/>
        <v>-474.7</v>
      </c>
      <c r="BI75" s="82">
        <f t="shared" si="40"/>
        <v>-534.9</v>
      </c>
      <c r="BJ75" s="82">
        <f t="shared" si="40"/>
        <v>-537.70000000000005</v>
      </c>
      <c r="BK75" s="82">
        <f t="shared" si="40"/>
        <v>-553.79999999999995</v>
      </c>
      <c r="BL75" s="82">
        <f t="shared" si="40"/>
        <v>-575</v>
      </c>
      <c r="BM75" s="82">
        <f t="shared" si="40"/>
        <v>-609</v>
      </c>
      <c r="BN75" s="82">
        <f t="shared" si="40"/>
        <v>-630</v>
      </c>
      <c r="BO75" s="82">
        <f t="shared" si="40"/>
        <v>-632</v>
      </c>
      <c r="BP75" s="82">
        <f t="shared" si="40"/>
        <v>-689</v>
      </c>
      <c r="BQ75" s="82">
        <f t="shared" si="40"/>
        <v>-643</v>
      </c>
      <c r="BR75" s="82">
        <f t="shared" si="40"/>
        <v>-614</v>
      </c>
      <c r="BS75" s="82">
        <f t="shared" si="40"/>
        <v>-642</v>
      </c>
      <c r="BT75" s="82">
        <f t="shared" si="40"/>
        <v>-668.5</v>
      </c>
      <c r="BU75" s="82">
        <f t="shared" si="40"/>
        <v>-635</v>
      </c>
      <c r="BV75" s="82">
        <f t="shared" si="40"/>
        <v>-618</v>
      </c>
      <c r="BW75" s="82">
        <f t="shared" si="40"/>
        <v>-605.5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7</v>
      </c>
      <c r="N76" s="76">
        <v>7</v>
      </c>
      <c r="O76" s="76">
        <v>7</v>
      </c>
      <c r="P76" s="76">
        <v>7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1"/>
        <v>10</v>
      </c>
      <c r="AI76" s="49">
        <f t="shared" si="42"/>
        <v>7</v>
      </c>
      <c r="AK76" s="51"/>
      <c r="AZ76" s="82">
        <f t="shared" si="40"/>
        <v>0</v>
      </c>
      <c r="BA76" s="82">
        <f t="shared" si="40"/>
        <v>0</v>
      </c>
      <c r="BB76" s="82">
        <f t="shared" si="40"/>
        <v>0</v>
      </c>
      <c r="BC76" s="82">
        <f t="shared" si="40"/>
        <v>0</v>
      </c>
      <c r="BD76" s="82">
        <f t="shared" si="40"/>
        <v>0</v>
      </c>
      <c r="BE76" s="82">
        <f t="shared" si="40"/>
        <v>0</v>
      </c>
      <c r="BF76" s="82">
        <f t="shared" si="40"/>
        <v>0</v>
      </c>
      <c r="BG76" s="82">
        <f t="shared" si="40"/>
        <v>0</v>
      </c>
      <c r="BH76" s="82">
        <f t="shared" si="40"/>
        <v>0</v>
      </c>
      <c r="BI76" s="82">
        <f t="shared" si="40"/>
        <v>0</v>
      </c>
      <c r="BJ76" s="82">
        <f t="shared" si="40"/>
        <v>0</v>
      </c>
      <c r="BK76" s="82">
        <f t="shared" si="40"/>
        <v>0</v>
      </c>
      <c r="BL76" s="82">
        <f t="shared" si="40"/>
        <v>0</v>
      </c>
      <c r="BM76" s="82">
        <f t="shared" si="40"/>
        <v>0</v>
      </c>
      <c r="BN76" s="82">
        <f t="shared" si="40"/>
        <v>0</v>
      </c>
      <c r="BO76" s="82">
        <f t="shared" si="40"/>
        <v>0</v>
      </c>
      <c r="BP76" s="82">
        <f t="shared" si="40"/>
        <v>0</v>
      </c>
      <c r="BQ76" s="82">
        <f t="shared" si="40"/>
        <v>0</v>
      </c>
      <c r="BR76" s="82">
        <f t="shared" si="40"/>
        <v>0</v>
      </c>
      <c r="BS76" s="82">
        <f t="shared" si="40"/>
        <v>0</v>
      </c>
      <c r="BT76" s="82">
        <f t="shared" si="40"/>
        <v>0</v>
      </c>
      <c r="BU76" s="82">
        <f t="shared" si="40"/>
        <v>0</v>
      </c>
      <c r="BV76" s="82">
        <f t="shared" si="40"/>
        <v>0</v>
      </c>
      <c r="BW76" s="82">
        <f t="shared" si="40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1"/>
        <v>6</v>
      </c>
      <c r="AI77" s="49">
        <f t="shared" si="42"/>
        <v>6</v>
      </c>
      <c r="AK77" s="51"/>
      <c r="AZ77" s="82">
        <f t="shared" si="40"/>
        <v>0</v>
      </c>
      <c r="BA77" s="82">
        <f t="shared" si="40"/>
        <v>0</v>
      </c>
      <c r="BB77" s="82">
        <f t="shared" si="40"/>
        <v>0</v>
      </c>
      <c r="BC77" s="82">
        <f t="shared" si="40"/>
        <v>0</v>
      </c>
      <c r="BD77" s="82">
        <f t="shared" si="40"/>
        <v>0</v>
      </c>
      <c r="BE77" s="82">
        <f t="shared" si="40"/>
        <v>0</v>
      </c>
      <c r="BF77" s="82">
        <f t="shared" si="40"/>
        <v>0</v>
      </c>
      <c r="BG77" s="82">
        <f t="shared" si="40"/>
        <v>0</v>
      </c>
      <c r="BH77" s="82">
        <f t="shared" si="40"/>
        <v>0</v>
      </c>
      <c r="BI77" s="82">
        <f t="shared" si="40"/>
        <v>0</v>
      </c>
      <c r="BJ77" s="82">
        <f t="shared" si="40"/>
        <v>0</v>
      </c>
      <c r="BK77" s="82">
        <f t="shared" si="40"/>
        <v>0</v>
      </c>
      <c r="BL77" s="82">
        <f t="shared" si="40"/>
        <v>0</v>
      </c>
      <c r="BM77" s="82">
        <f t="shared" si="40"/>
        <v>0</v>
      </c>
      <c r="BN77" s="82">
        <f t="shared" si="40"/>
        <v>0</v>
      </c>
      <c r="BO77" s="82">
        <f t="shared" si="40"/>
        <v>0</v>
      </c>
      <c r="BP77" s="82">
        <f t="shared" si="40"/>
        <v>0</v>
      </c>
      <c r="BQ77" s="82">
        <f t="shared" si="40"/>
        <v>0</v>
      </c>
      <c r="BR77" s="82">
        <f t="shared" si="40"/>
        <v>0</v>
      </c>
      <c r="BS77" s="82">
        <f t="shared" si="40"/>
        <v>0</v>
      </c>
      <c r="BT77" s="82">
        <f t="shared" si="40"/>
        <v>0</v>
      </c>
      <c r="BU77" s="82">
        <f t="shared" si="40"/>
        <v>0</v>
      </c>
      <c r="BV77" s="82">
        <f t="shared" si="40"/>
        <v>0</v>
      </c>
      <c r="BW77" s="82">
        <f t="shared" si="4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1"/>
        <v>3.54</v>
      </c>
      <c r="AI78" s="49">
        <f t="shared" si="42"/>
        <v>3.54</v>
      </c>
      <c r="AK78" s="51"/>
      <c r="AZ78" s="82">
        <f t="shared" si="40"/>
        <v>0</v>
      </c>
      <c r="BA78" s="82">
        <f t="shared" si="40"/>
        <v>0</v>
      </c>
      <c r="BB78" s="82">
        <f t="shared" si="40"/>
        <v>0</v>
      </c>
      <c r="BC78" s="82">
        <f t="shared" si="40"/>
        <v>0</v>
      </c>
      <c r="BD78" s="82">
        <f t="shared" si="40"/>
        <v>0</v>
      </c>
      <c r="BE78" s="82">
        <f t="shared" si="40"/>
        <v>0</v>
      </c>
      <c r="BF78" s="82">
        <f t="shared" si="40"/>
        <v>0</v>
      </c>
      <c r="BG78" s="82">
        <f t="shared" si="40"/>
        <v>0</v>
      </c>
      <c r="BH78" s="82">
        <f t="shared" si="40"/>
        <v>0</v>
      </c>
      <c r="BI78" s="82">
        <f t="shared" si="40"/>
        <v>0</v>
      </c>
      <c r="BJ78" s="82">
        <f t="shared" si="40"/>
        <v>0</v>
      </c>
      <c r="BK78" s="82">
        <f t="shared" si="40"/>
        <v>0</v>
      </c>
      <c r="BL78" s="82">
        <f t="shared" si="40"/>
        <v>0</v>
      </c>
      <c r="BM78" s="82">
        <f t="shared" si="40"/>
        <v>0</v>
      </c>
      <c r="BN78" s="82">
        <f t="shared" si="40"/>
        <v>0</v>
      </c>
      <c r="BO78" s="82">
        <f t="shared" si="40"/>
        <v>0</v>
      </c>
      <c r="BP78" s="82">
        <f t="shared" si="40"/>
        <v>0</v>
      </c>
      <c r="BQ78" s="82">
        <f t="shared" si="40"/>
        <v>0</v>
      </c>
      <c r="BR78" s="82">
        <f t="shared" si="40"/>
        <v>0</v>
      </c>
      <c r="BS78" s="82">
        <f t="shared" si="40"/>
        <v>0</v>
      </c>
      <c r="BT78" s="82">
        <f t="shared" si="40"/>
        <v>0</v>
      </c>
      <c r="BU78" s="82">
        <f t="shared" si="40"/>
        <v>0</v>
      </c>
      <c r="BV78" s="82">
        <f t="shared" si="40"/>
        <v>0</v>
      </c>
      <c r="BW78" s="82">
        <f t="shared" si="40"/>
        <v>0</v>
      </c>
    </row>
    <row r="79" spans="1:75" ht="15.75" thickBot="1" x14ac:dyDescent="0.3">
      <c r="A79" s="87" t="s">
        <v>99</v>
      </c>
      <c r="B79" s="71">
        <f t="shared" ref="B79:C79" si="43">SUM(B66:B78)</f>
        <v>348.94</v>
      </c>
      <c r="C79" s="71">
        <f t="shared" si="43"/>
        <v>348.94</v>
      </c>
      <c r="D79" s="71">
        <f t="shared" ref="D79:AG79" si="44">SUM(D66:D78)</f>
        <v>324.64000000000004</v>
      </c>
      <c r="E79" s="71">
        <f t="shared" si="44"/>
        <v>339.84000000000003</v>
      </c>
      <c r="F79" s="71">
        <f t="shared" si="44"/>
        <v>359.34000000000003</v>
      </c>
      <c r="G79" s="71">
        <f t="shared" si="44"/>
        <v>360.34000000000003</v>
      </c>
      <c r="H79" s="71">
        <f t="shared" si="44"/>
        <v>360.34000000000003</v>
      </c>
      <c r="I79" s="71">
        <f t="shared" si="44"/>
        <v>333.34000000000003</v>
      </c>
      <c r="J79" s="71">
        <f t="shared" si="44"/>
        <v>346.54</v>
      </c>
      <c r="K79" s="71">
        <f t="shared" si="44"/>
        <v>365.84</v>
      </c>
      <c r="L79" s="71">
        <f t="shared" si="44"/>
        <v>376.34</v>
      </c>
      <c r="M79" s="71">
        <f t="shared" si="44"/>
        <v>375.44</v>
      </c>
      <c r="N79" s="71">
        <f t="shared" si="44"/>
        <v>406.14</v>
      </c>
      <c r="O79" s="71">
        <f t="shared" si="44"/>
        <v>406.14</v>
      </c>
      <c r="P79" s="71">
        <f t="shared" si="44"/>
        <v>276.54000000000002</v>
      </c>
      <c r="Q79" s="71">
        <f t="shared" si="44"/>
        <v>350.93999999999988</v>
      </c>
      <c r="R79" s="71">
        <f t="shared" si="44"/>
        <v>350.93999999999988</v>
      </c>
      <c r="S79" s="71">
        <f t="shared" ref="S79:T79" si="45">SUM(S66:S78)</f>
        <v>350.93999999999988</v>
      </c>
      <c r="T79" s="71">
        <f t="shared" si="45"/>
        <v>410.03999999999996</v>
      </c>
      <c r="U79" s="71">
        <f t="shared" ref="U79:V79" si="46">SUM(U66:U78)</f>
        <v>410.03999999999996</v>
      </c>
      <c r="V79" s="71">
        <f t="shared" si="46"/>
        <v>403.03999999999991</v>
      </c>
      <c r="W79" s="71">
        <f t="shared" ref="W79:X79" si="47">SUM(W66:W78)</f>
        <v>401.93999999999994</v>
      </c>
      <c r="X79" s="71">
        <f t="shared" si="47"/>
        <v>401.93999999999994</v>
      </c>
      <c r="Y79" s="71">
        <f t="shared" ref="Y79:Z79" si="48">SUM(Y66:Y78)</f>
        <v>400.33999999999992</v>
      </c>
      <c r="Z79" s="71">
        <f t="shared" si="48"/>
        <v>400.33999999999992</v>
      </c>
      <c r="AA79" s="71">
        <f t="shared" ref="AA79" si="49">SUM(AA66:AA78)</f>
        <v>400.33999999999992</v>
      </c>
      <c r="AB79" s="71">
        <f t="shared" si="44"/>
        <v>399.33999999999992</v>
      </c>
      <c r="AC79" s="71">
        <f t="shared" si="44"/>
        <v>399.33999999999992</v>
      </c>
      <c r="AD79" s="71">
        <f t="shared" si="44"/>
        <v>399.33999999999992</v>
      </c>
      <c r="AE79" s="71">
        <f t="shared" ref="AE79:AF79" si="50">SUM(AE66:AE78)</f>
        <v>402.63999999999993</v>
      </c>
      <c r="AF79" s="71">
        <f t="shared" si="50"/>
        <v>405.34</v>
      </c>
      <c r="AG79" s="72">
        <f t="shared" si="44"/>
        <v>489.91</v>
      </c>
      <c r="AH79" s="48">
        <f t="shared" si="41"/>
        <v>410.03999999999996</v>
      </c>
      <c r="AI79" s="49">
        <f t="shared" si="42"/>
        <v>276.54000000000002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10.1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14</v>
      </c>
      <c r="O80" s="46">
        <v>14</v>
      </c>
      <c r="P80" s="46">
        <v>14.1</v>
      </c>
      <c r="Q80" s="46">
        <v>10.199999999999999</v>
      </c>
      <c r="R80" s="46">
        <v>14</v>
      </c>
      <c r="S80" s="46">
        <v>14</v>
      </c>
      <c r="T80" s="46">
        <v>11</v>
      </c>
      <c r="U80" s="46">
        <v>11</v>
      </c>
      <c r="V80" s="46">
        <v>11</v>
      </c>
      <c r="W80" s="46">
        <v>0</v>
      </c>
      <c r="X80" s="46">
        <v>0</v>
      </c>
      <c r="Y80" s="46">
        <v>0</v>
      </c>
      <c r="Z80" s="46">
        <v>0</v>
      </c>
      <c r="AA80" s="46">
        <v>0</v>
      </c>
      <c r="AB80" s="46">
        <v>14.1</v>
      </c>
      <c r="AC80" s="46">
        <v>14.1</v>
      </c>
      <c r="AD80" s="46">
        <v>14</v>
      </c>
      <c r="AE80" s="46">
        <v>0</v>
      </c>
      <c r="AF80" s="46">
        <v>0</v>
      </c>
      <c r="AG80" s="61">
        <v>60</v>
      </c>
      <c r="AH80" s="48">
        <f t="shared" si="41"/>
        <v>14.1</v>
      </c>
      <c r="AI80" s="49">
        <f t="shared" si="42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5.7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5.2</v>
      </c>
      <c r="O81" s="76">
        <v>5.2</v>
      </c>
      <c r="P81" s="76">
        <v>4.2</v>
      </c>
      <c r="Q81" s="76">
        <v>3.4</v>
      </c>
      <c r="R81" s="76">
        <v>9.1999999999999993</v>
      </c>
      <c r="S81" s="76">
        <v>9.1999999999999993</v>
      </c>
      <c r="T81" s="76">
        <v>4.2</v>
      </c>
      <c r="U81" s="76">
        <v>4.2</v>
      </c>
      <c r="V81" s="76">
        <v>4.2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11.2</v>
      </c>
      <c r="AC81" s="76">
        <v>11.2</v>
      </c>
      <c r="AD81" s="76">
        <v>5</v>
      </c>
      <c r="AE81" s="76">
        <v>0</v>
      </c>
      <c r="AF81" s="76">
        <v>0</v>
      </c>
      <c r="AG81" s="66">
        <v>32</v>
      </c>
      <c r="AH81" s="48">
        <f t="shared" si="41"/>
        <v>11.2</v>
      </c>
      <c r="AI81" s="49">
        <f t="shared" si="42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2.1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1.9</v>
      </c>
      <c r="O82" s="78">
        <v>1.9</v>
      </c>
      <c r="P82" s="78">
        <v>1.5</v>
      </c>
      <c r="Q82" s="78">
        <v>1.2</v>
      </c>
      <c r="R82" s="78">
        <v>3.4</v>
      </c>
      <c r="S82" s="78">
        <v>3.4</v>
      </c>
      <c r="T82" s="78">
        <v>1.5</v>
      </c>
      <c r="U82" s="78">
        <v>1.5</v>
      </c>
      <c r="V82" s="78">
        <v>1.5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4.0999999999999996</v>
      </c>
      <c r="AC82" s="78">
        <v>4.0999999999999996</v>
      </c>
      <c r="AD82" s="78">
        <v>1.8</v>
      </c>
      <c r="AE82" s="78">
        <v>0</v>
      </c>
      <c r="AF82" s="78">
        <v>0</v>
      </c>
      <c r="AG82" s="79">
        <v>14</v>
      </c>
      <c r="AH82" s="48">
        <f t="shared" si="41"/>
        <v>4.0999999999999996</v>
      </c>
      <c r="AI82" s="49">
        <f t="shared" si="42"/>
        <v>0</v>
      </c>
      <c r="AK82" s="51"/>
      <c r="AY82" s="82"/>
      <c r="BF82" s="81"/>
      <c r="BG82" s="82">
        <f t="array" ref="BG82:BL105">TRANSPOSE(AZ66:BW71)</f>
        <v>-36</v>
      </c>
      <c r="BH82" s="82">
        <v>0</v>
      </c>
      <c r="BI82" s="82">
        <v>-631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51">B80+B81+B82</f>
        <v>0</v>
      </c>
      <c r="C83" s="71">
        <f t="shared" si="51"/>
        <v>17.900000000000002</v>
      </c>
      <c r="D83" s="71">
        <f t="shared" ref="D83:AD83" si="52">D80+D81+D82</f>
        <v>0</v>
      </c>
      <c r="E83" s="71">
        <f t="shared" si="52"/>
        <v>0</v>
      </c>
      <c r="F83" s="71">
        <f t="shared" si="52"/>
        <v>0</v>
      </c>
      <c r="G83" s="71">
        <f t="shared" si="52"/>
        <v>0</v>
      </c>
      <c r="H83" s="71">
        <f t="shared" si="52"/>
        <v>0</v>
      </c>
      <c r="I83" s="71">
        <f t="shared" si="52"/>
        <v>0</v>
      </c>
      <c r="J83" s="71">
        <f t="shared" si="52"/>
        <v>0</v>
      </c>
      <c r="K83" s="71">
        <f t="shared" si="52"/>
        <v>0</v>
      </c>
      <c r="L83" s="71">
        <f t="shared" si="52"/>
        <v>0</v>
      </c>
      <c r="M83" s="71">
        <f t="shared" si="52"/>
        <v>0</v>
      </c>
      <c r="N83" s="71">
        <f t="shared" si="52"/>
        <v>21.099999999999998</v>
      </c>
      <c r="O83" s="71">
        <f t="shared" si="52"/>
        <v>21.099999999999998</v>
      </c>
      <c r="P83" s="71">
        <f t="shared" si="52"/>
        <v>19.8</v>
      </c>
      <c r="Q83" s="71">
        <f t="shared" si="52"/>
        <v>14.799999999999999</v>
      </c>
      <c r="R83" s="71">
        <f t="shared" si="52"/>
        <v>26.599999999999998</v>
      </c>
      <c r="S83" s="71">
        <f t="shared" ref="S83:T83" si="53">S80+S81+S82</f>
        <v>26.599999999999998</v>
      </c>
      <c r="T83" s="71">
        <f t="shared" si="53"/>
        <v>16.7</v>
      </c>
      <c r="U83" s="71">
        <f t="shared" ref="U83:V83" si="54">U80+U81+U82</f>
        <v>16.7</v>
      </c>
      <c r="V83" s="71">
        <f t="shared" si="54"/>
        <v>16.7</v>
      </c>
      <c r="W83" s="71">
        <f t="shared" ref="W83:X83" si="55">W80+W81+W82</f>
        <v>0</v>
      </c>
      <c r="X83" s="71">
        <f t="shared" si="55"/>
        <v>0</v>
      </c>
      <c r="Y83" s="71">
        <f t="shared" ref="Y83:Z83" si="56">Y80+Y81+Y82</f>
        <v>0</v>
      </c>
      <c r="Z83" s="71">
        <f t="shared" si="56"/>
        <v>0</v>
      </c>
      <c r="AA83" s="71">
        <f t="shared" ref="AA83" si="57">AA80+AA81+AA82</f>
        <v>0</v>
      </c>
      <c r="AB83" s="71">
        <f t="shared" si="52"/>
        <v>29.4</v>
      </c>
      <c r="AC83" s="71">
        <f t="shared" si="52"/>
        <v>29.4</v>
      </c>
      <c r="AD83" s="71">
        <f t="shared" si="52"/>
        <v>20.8</v>
      </c>
      <c r="AE83" s="71">
        <f t="shared" ref="AE83:AF83" si="58">AE80+AE81+AE82</f>
        <v>0</v>
      </c>
      <c r="AF83" s="71">
        <f t="shared" si="58"/>
        <v>0</v>
      </c>
      <c r="AG83" s="72">
        <f>SUM(AG80:AG82)</f>
        <v>106</v>
      </c>
      <c r="AH83" s="48">
        <f t="shared" si="41"/>
        <v>29.4</v>
      </c>
      <c r="AI83" s="49">
        <f t="shared" si="42"/>
        <v>0</v>
      </c>
      <c r="AK83" s="51"/>
      <c r="AY83" s="82"/>
      <c r="BF83" s="81"/>
      <c r="BG83" s="82">
        <v>39</v>
      </c>
      <c r="BH83" s="82">
        <v>0</v>
      </c>
      <c r="BI83" s="82">
        <v>-692.4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-29.7</v>
      </c>
      <c r="C84" s="46">
        <v>-35.6</v>
      </c>
      <c r="D84" s="46">
        <v>39</v>
      </c>
      <c r="E84" s="46">
        <v>-36.799999999999997</v>
      </c>
      <c r="F84" s="46">
        <v>-47</v>
      </c>
      <c r="G84" s="46">
        <v>-37.4</v>
      </c>
      <c r="H84" s="46">
        <v>-3.6</v>
      </c>
      <c r="I84" s="46">
        <v>-29.5</v>
      </c>
      <c r="J84" s="46">
        <v>-55.2</v>
      </c>
      <c r="K84" s="46">
        <v>-52.6</v>
      </c>
      <c r="L84" s="46">
        <v>-52.1</v>
      </c>
      <c r="M84" s="46">
        <v>-52.6</v>
      </c>
      <c r="N84" s="46">
        <v>-21</v>
      </c>
      <c r="O84" s="46">
        <v>-41.8</v>
      </c>
      <c r="P84" s="46">
        <v>-6.1</v>
      </c>
      <c r="Q84" s="46">
        <v>-18.2</v>
      </c>
      <c r="R84" s="46">
        <v>-22</v>
      </c>
      <c r="S84" s="46">
        <v>-14</v>
      </c>
      <c r="T84" s="46">
        <v>-28</v>
      </c>
      <c r="U84" s="46">
        <v>-36</v>
      </c>
      <c r="V84" s="46">
        <v>-28</v>
      </c>
      <c r="W84" s="46">
        <v>-36.5</v>
      </c>
      <c r="X84" s="46">
        <v>-29</v>
      </c>
      <c r="Y84" s="46">
        <v>-32</v>
      </c>
      <c r="Z84" s="46">
        <v>-27</v>
      </c>
      <c r="AA84" s="46">
        <v>-25</v>
      </c>
      <c r="AB84" s="46">
        <v>-12</v>
      </c>
      <c r="AC84" s="46">
        <v>-15.9</v>
      </c>
      <c r="AD84" s="46">
        <v>-17.399999999999999</v>
      </c>
      <c r="AE84" s="46">
        <v>-42</v>
      </c>
      <c r="AF84" s="46">
        <v>-48.3</v>
      </c>
      <c r="AG84" s="61"/>
      <c r="AH84" s="48">
        <f t="shared" si="41"/>
        <v>39</v>
      </c>
      <c r="AI84" s="49">
        <f t="shared" si="42"/>
        <v>-55.2</v>
      </c>
      <c r="AK84" s="51"/>
      <c r="AY84" s="82"/>
      <c r="BF84" s="81"/>
      <c r="BG84" s="82">
        <v>-36.799999999999997</v>
      </c>
      <c r="BH84" s="82">
        <v>0</v>
      </c>
      <c r="BI84" s="82">
        <v>-655.6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1"/>
        <v>0</v>
      </c>
      <c r="AI85" s="49">
        <f t="shared" si="42"/>
        <v>0</v>
      </c>
      <c r="AK85" s="51"/>
      <c r="AL85" s="91" t="s">
        <v>111</v>
      </c>
      <c r="AM85" s="91"/>
      <c r="AY85" s="82"/>
      <c r="BF85" s="82"/>
      <c r="BG85" s="82">
        <v>-47</v>
      </c>
      <c r="BH85" s="82">
        <v>0</v>
      </c>
      <c r="BI85" s="82">
        <v>-654.70000000000005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-605.5</v>
      </c>
      <c r="C86" s="76">
        <v>-631.1</v>
      </c>
      <c r="D86" s="76">
        <v>-692.4</v>
      </c>
      <c r="E86" s="76">
        <v>-655.6</v>
      </c>
      <c r="F86" s="76">
        <v>-654.70000000000005</v>
      </c>
      <c r="G86" s="76">
        <v>-651.9</v>
      </c>
      <c r="H86" s="76">
        <v>-659.4</v>
      </c>
      <c r="I86" s="76">
        <v>-644</v>
      </c>
      <c r="J86" s="76">
        <v>-682.7</v>
      </c>
      <c r="K86" s="76">
        <v>-664</v>
      </c>
      <c r="L86" s="76">
        <v>-636.20000000000005</v>
      </c>
      <c r="M86" s="76">
        <v>-612.79999999999995</v>
      </c>
      <c r="N86" s="76">
        <v>-474.7</v>
      </c>
      <c r="O86" s="76">
        <v>-534.9</v>
      </c>
      <c r="P86" s="76">
        <v>-537.70000000000005</v>
      </c>
      <c r="Q86" s="76">
        <v>-553.79999999999995</v>
      </c>
      <c r="R86" s="76">
        <v>-575</v>
      </c>
      <c r="S86" s="76">
        <v>-609</v>
      </c>
      <c r="T86" s="76">
        <v>-630</v>
      </c>
      <c r="U86" s="76">
        <v>-632</v>
      </c>
      <c r="V86" s="76">
        <v>-689</v>
      </c>
      <c r="W86" s="76">
        <v>-614</v>
      </c>
      <c r="X86" s="76">
        <v>-643</v>
      </c>
      <c r="Y86" s="76">
        <v>-658</v>
      </c>
      <c r="Z86" s="76">
        <v>-614</v>
      </c>
      <c r="AA86" s="76">
        <v>-562</v>
      </c>
      <c r="AB86" s="76">
        <v>-642</v>
      </c>
      <c r="AC86" s="76">
        <v>-655.7</v>
      </c>
      <c r="AD86" s="76">
        <v>-668.5</v>
      </c>
      <c r="AE86" s="76">
        <v>-635</v>
      </c>
      <c r="AF86" s="76">
        <v>-618</v>
      </c>
      <c r="AG86" s="88"/>
      <c r="AH86" s="48">
        <f t="shared" si="41"/>
        <v>-474.7</v>
      </c>
      <c r="AI86" s="49">
        <f t="shared" si="42"/>
        <v>-692.4</v>
      </c>
      <c r="AK86" s="92"/>
      <c r="AL86" s="93"/>
      <c r="AM86" s="93"/>
      <c r="AN86" s="94"/>
      <c r="AY86" s="82"/>
      <c r="BF86" s="82"/>
      <c r="BG86" s="82">
        <v>-37.4</v>
      </c>
      <c r="BH86" s="82">
        <v>0</v>
      </c>
      <c r="BI86" s="82">
        <v>-651.9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1"/>
        <v>0</v>
      </c>
      <c r="AI87" s="49">
        <f t="shared" si="42"/>
        <v>0</v>
      </c>
      <c r="AK87" s="95" t="s">
        <v>114</v>
      </c>
      <c r="AL87" s="76"/>
      <c r="AM87" s="89"/>
      <c r="AN87" s="96"/>
      <c r="AY87" s="82"/>
      <c r="BF87" s="82"/>
      <c r="BG87" s="82">
        <v>-29.5</v>
      </c>
      <c r="BH87" s="82">
        <v>0</v>
      </c>
      <c r="BI87" s="82">
        <v>-644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1"/>
        <v>0</v>
      </c>
      <c r="AI88" s="49">
        <f t="shared" si="42"/>
        <v>0</v>
      </c>
      <c r="AK88" s="95" t="s">
        <v>116</v>
      </c>
      <c r="AL88" s="89"/>
      <c r="AM88" s="89"/>
      <c r="AN88" s="96"/>
      <c r="AY88" s="82"/>
      <c r="BF88" s="82"/>
      <c r="BG88" s="82">
        <v>-52.6</v>
      </c>
      <c r="BH88" s="82">
        <v>0</v>
      </c>
      <c r="BI88" s="82">
        <v>-664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2"/>
        <v>0</v>
      </c>
      <c r="AK89" s="99"/>
      <c r="AL89" s="46"/>
      <c r="AM89" s="46"/>
      <c r="AN89" s="100"/>
      <c r="AY89" s="82"/>
      <c r="BF89" s="82"/>
      <c r="BG89" s="82">
        <v>-52.6</v>
      </c>
      <c r="BH89" s="82">
        <v>0</v>
      </c>
      <c r="BI89" s="82">
        <v>-612.79999999999995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1"/>
        <v>0</v>
      </c>
      <c r="AI90" s="49">
        <f t="shared" si="42"/>
        <v>0</v>
      </c>
      <c r="AK90" s="99"/>
      <c r="AL90" s="90"/>
      <c r="AM90" s="102"/>
      <c r="AN90" s="204"/>
      <c r="AY90" s="82"/>
      <c r="BF90" s="82"/>
      <c r="BG90" s="82">
        <v>-21</v>
      </c>
      <c r="BH90" s="82">
        <v>0</v>
      </c>
      <c r="BI90" s="82">
        <v>-474.7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1"/>
        <v>0</v>
      </c>
      <c r="AI91" s="49">
        <f t="shared" si="42"/>
        <v>0</v>
      </c>
      <c r="AK91" s="99"/>
      <c r="AL91" s="90"/>
      <c r="AM91" s="90"/>
      <c r="AN91" s="205"/>
      <c r="BF91" s="82"/>
      <c r="BG91" s="82">
        <v>-41.8</v>
      </c>
      <c r="BH91" s="82">
        <v>0</v>
      </c>
      <c r="BI91" s="82">
        <v>-534.9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1"/>
        <v>0</v>
      </c>
      <c r="AI92" s="49">
        <f t="shared" si="42"/>
        <v>0</v>
      </c>
      <c r="AK92" s="104"/>
      <c r="AL92" s="105"/>
      <c r="AM92" s="105"/>
      <c r="AN92" s="106"/>
      <c r="BF92" s="82"/>
      <c r="BG92" s="82">
        <v>-6.1</v>
      </c>
      <c r="BH92" s="82">
        <v>0</v>
      </c>
      <c r="BI92" s="82">
        <v>-537.70000000000005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1"/>
        <v>0</v>
      </c>
      <c r="AI93" s="49">
        <f t="shared" si="42"/>
        <v>0</v>
      </c>
      <c r="BF93" s="82"/>
      <c r="BG93" s="82">
        <v>-18.2</v>
      </c>
      <c r="BH93" s="82">
        <v>0</v>
      </c>
      <c r="BI93" s="82">
        <v>-553.79999999999995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1"/>
        <v>0</v>
      </c>
      <c r="AI94" s="49">
        <f t="shared" si="42"/>
        <v>0</v>
      </c>
      <c r="BF94" s="82"/>
      <c r="BG94" s="82">
        <v>-22</v>
      </c>
      <c r="BH94" s="82">
        <v>0</v>
      </c>
      <c r="BI94" s="82">
        <v>-575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59">SUMIF(B84:B94,"&gt;0")</f>
        <v>0</v>
      </c>
      <c r="C95" s="71">
        <f t="shared" si="59"/>
        <v>0</v>
      </c>
      <c r="D95" s="71">
        <f t="shared" ref="D95:AE95" si="60">SUMIF(D84:D94,"&gt;0")</f>
        <v>39</v>
      </c>
      <c r="E95" s="71">
        <f t="shared" si="60"/>
        <v>0</v>
      </c>
      <c r="F95" s="71">
        <f t="shared" si="60"/>
        <v>0</v>
      </c>
      <c r="G95" s="71">
        <f t="shared" si="60"/>
        <v>0</v>
      </c>
      <c r="H95" s="71">
        <f t="shared" si="60"/>
        <v>0</v>
      </c>
      <c r="I95" s="71">
        <f t="shared" si="60"/>
        <v>0</v>
      </c>
      <c r="J95" s="71">
        <f t="shared" si="60"/>
        <v>0</v>
      </c>
      <c r="K95" s="71">
        <f t="shared" si="60"/>
        <v>0</v>
      </c>
      <c r="L95" s="71">
        <f t="shared" si="60"/>
        <v>0</v>
      </c>
      <c r="M95" s="71">
        <f t="shared" si="60"/>
        <v>0</v>
      </c>
      <c r="N95" s="71">
        <f t="shared" si="60"/>
        <v>0</v>
      </c>
      <c r="O95" s="71">
        <f t="shared" si="60"/>
        <v>0</v>
      </c>
      <c r="P95" s="71">
        <f t="shared" si="60"/>
        <v>0</v>
      </c>
      <c r="Q95" s="71">
        <f t="shared" si="60"/>
        <v>0</v>
      </c>
      <c r="R95" s="71">
        <f t="shared" si="60"/>
        <v>0</v>
      </c>
      <c r="S95" s="71">
        <f t="shared" si="60"/>
        <v>0</v>
      </c>
      <c r="T95" s="71">
        <f t="shared" si="60"/>
        <v>0</v>
      </c>
      <c r="U95" s="71">
        <f>SUMIF(U84:U94,"&gt;0")</f>
        <v>0</v>
      </c>
      <c r="V95" s="71">
        <f t="shared" si="60"/>
        <v>0</v>
      </c>
      <c r="W95" s="71">
        <f t="shared" si="60"/>
        <v>0</v>
      </c>
      <c r="X95" s="71">
        <f t="shared" si="60"/>
        <v>0</v>
      </c>
      <c r="Y95" s="71">
        <f t="shared" si="60"/>
        <v>0</v>
      </c>
      <c r="Z95" s="71">
        <f t="shared" si="60"/>
        <v>0</v>
      </c>
      <c r="AA95" s="71">
        <f t="shared" si="60"/>
        <v>0</v>
      </c>
      <c r="AB95" s="71">
        <f t="shared" si="60"/>
        <v>0</v>
      </c>
      <c r="AC95" s="71">
        <f t="shared" si="60"/>
        <v>0</v>
      </c>
      <c r="AD95" s="71">
        <f t="shared" si="60"/>
        <v>0</v>
      </c>
      <c r="AE95" s="71">
        <f t="shared" si="60"/>
        <v>0</v>
      </c>
      <c r="AF95" s="71">
        <f t="shared" ref="AF95" si="61">SUMIF(AF84:AF94,"&gt;0")</f>
        <v>0</v>
      </c>
      <c r="AG95" s="101">
        <f>SUM(AG84:AG94)</f>
        <v>0</v>
      </c>
      <c r="AH95" s="48">
        <f t="shared" si="41"/>
        <v>39</v>
      </c>
      <c r="AI95" s="49">
        <f t="shared" si="42"/>
        <v>0</v>
      </c>
      <c r="BF95" s="82"/>
      <c r="BG95" s="82">
        <v>-14</v>
      </c>
      <c r="BH95" s="82">
        <v>0</v>
      </c>
      <c r="BI95" s="82">
        <v>-609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1"/>
        <v>0</v>
      </c>
      <c r="AI96" s="49">
        <f t="shared" si="42"/>
        <v>0</v>
      </c>
      <c r="BF96" s="82"/>
      <c r="BG96" s="82">
        <v>-28</v>
      </c>
      <c r="BH96" s="82">
        <v>0</v>
      </c>
      <c r="BI96" s="82">
        <v>-630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1"/>
        <v>0</v>
      </c>
      <c r="AI97" s="49">
        <f t="shared" si="42"/>
        <v>0</v>
      </c>
      <c r="BF97" s="82"/>
      <c r="BG97" s="82">
        <v>-36</v>
      </c>
      <c r="BH97" s="82">
        <v>0</v>
      </c>
      <c r="BI97" s="82">
        <v>-632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1"/>
        <v>0</v>
      </c>
      <c r="AI98" s="49">
        <f t="shared" si="42"/>
        <v>0</v>
      </c>
      <c r="BF98" s="82"/>
      <c r="BG98" s="82">
        <v>-28</v>
      </c>
      <c r="BH98" s="82">
        <v>0</v>
      </c>
      <c r="BI98" s="82">
        <v>-689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1"/>
        <v>0</v>
      </c>
      <c r="AI99" s="49">
        <f t="shared" si="42"/>
        <v>0</v>
      </c>
      <c r="BF99" s="81"/>
      <c r="BG99" s="82">
        <v>-29</v>
      </c>
      <c r="BH99" s="82">
        <v>0</v>
      </c>
      <c r="BI99" s="82">
        <v>-643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62">B61+B65+B83+B79+B95+B99</f>
        <v>2050.7399999999998</v>
      </c>
      <c r="C100" s="108">
        <f t="shared" si="62"/>
        <v>2072.2400000000002</v>
      </c>
      <c r="D100" s="108">
        <f t="shared" ref="D100:AG100" si="63">D61+D65+D83+D79+D95+D99</f>
        <v>2120.7399999999998</v>
      </c>
      <c r="E100" s="108">
        <f t="shared" si="63"/>
        <v>2026.04</v>
      </c>
      <c r="F100" s="108">
        <f t="shared" si="63"/>
        <v>2036.54</v>
      </c>
      <c r="G100" s="108">
        <f t="shared" si="63"/>
        <v>2038.2400000000002</v>
      </c>
      <c r="H100" s="108">
        <f t="shared" si="63"/>
        <v>1999.3400000000001</v>
      </c>
      <c r="I100" s="108">
        <f t="shared" si="63"/>
        <v>1972.3400000000001</v>
      </c>
      <c r="J100" s="108">
        <f t="shared" si="63"/>
        <v>1987.74</v>
      </c>
      <c r="K100" s="108">
        <f t="shared" si="63"/>
        <v>2070.44</v>
      </c>
      <c r="L100" s="108">
        <f t="shared" si="63"/>
        <v>2080.84</v>
      </c>
      <c r="M100" s="108">
        <f t="shared" si="63"/>
        <v>2131.44</v>
      </c>
      <c r="N100" s="108">
        <f t="shared" si="63"/>
        <v>2229.7399999999998</v>
      </c>
      <c r="O100" s="108">
        <f t="shared" si="63"/>
        <v>2211.7399999999998</v>
      </c>
      <c r="P100" s="108">
        <f t="shared" si="63"/>
        <v>2124.1400000000003</v>
      </c>
      <c r="Q100" s="108">
        <f t="shared" si="63"/>
        <v>2177.44</v>
      </c>
      <c r="R100" s="108">
        <f t="shared" si="63"/>
        <v>2270.7399999999998</v>
      </c>
      <c r="S100" s="108">
        <f t="shared" si="63"/>
        <v>2270.7399999999998</v>
      </c>
      <c r="T100" s="108">
        <f t="shared" si="63"/>
        <v>2304.04</v>
      </c>
      <c r="U100" s="108">
        <f t="shared" si="63"/>
        <v>2304.04</v>
      </c>
      <c r="V100" s="108">
        <f t="shared" si="63"/>
        <v>2297.04</v>
      </c>
      <c r="W100" s="108">
        <f t="shared" si="63"/>
        <v>2241.54</v>
      </c>
      <c r="X100" s="108">
        <f t="shared" si="63"/>
        <v>2237.04</v>
      </c>
      <c r="Y100" s="108">
        <f t="shared" si="63"/>
        <v>2220.84</v>
      </c>
      <c r="Z100" s="108">
        <f t="shared" si="63"/>
        <v>2220.84</v>
      </c>
      <c r="AA100" s="108">
        <f t="shared" si="63"/>
        <v>2266.54</v>
      </c>
      <c r="AB100" s="108">
        <f t="shared" si="63"/>
        <v>2388.6400000000003</v>
      </c>
      <c r="AC100" s="108">
        <f t="shared" si="63"/>
        <v>2380.1400000000003</v>
      </c>
      <c r="AD100" s="108">
        <f t="shared" si="63"/>
        <v>2371.6400000000003</v>
      </c>
      <c r="AE100" s="108">
        <f t="shared" si="63"/>
        <v>2346.1400000000003</v>
      </c>
      <c r="AF100" s="108">
        <f t="shared" ref="AF100" si="64">AF61+AF65+AF83+AF79+AF95+AF99</f>
        <v>2285.04</v>
      </c>
      <c r="AG100" s="72">
        <f t="shared" si="63"/>
        <v>2655.44</v>
      </c>
      <c r="AH100" s="48">
        <f t="shared" si="41"/>
        <v>2388.6400000000003</v>
      </c>
      <c r="AI100" s="49">
        <f t="shared" si="42"/>
        <v>1972.3400000000001</v>
      </c>
      <c r="BF100" s="81"/>
      <c r="BG100" s="82">
        <v>-27</v>
      </c>
      <c r="BH100" s="82">
        <v>0</v>
      </c>
      <c r="BI100" s="82">
        <v>-614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1"/>
        <v>0</v>
      </c>
      <c r="AI101" s="49">
        <f t="shared" si="42"/>
        <v>0</v>
      </c>
      <c r="BF101" s="81"/>
      <c r="BG101" s="82">
        <v>-12</v>
      </c>
      <c r="BH101" s="82">
        <v>0</v>
      </c>
      <c r="BI101" s="82">
        <v>-642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65">B100+B101</f>
        <v>2050.7399999999998</v>
      </c>
      <c r="C102" s="108">
        <f t="shared" si="65"/>
        <v>2072.2400000000002</v>
      </c>
      <c r="D102" s="108">
        <f t="shared" ref="D102:AE102" si="66">D100+D101</f>
        <v>2120.7399999999998</v>
      </c>
      <c r="E102" s="108">
        <f t="shared" si="66"/>
        <v>2026.04</v>
      </c>
      <c r="F102" s="108">
        <f t="shared" si="66"/>
        <v>2036.54</v>
      </c>
      <c r="G102" s="108">
        <f t="shared" si="66"/>
        <v>2038.2400000000002</v>
      </c>
      <c r="H102" s="108">
        <f t="shared" si="66"/>
        <v>1999.3400000000001</v>
      </c>
      <c r="I102" s="108">
        <f t="shared" si="66"/>
        <v>1972.3400000000001</v>
      </c>
      <c r="J102" s="108">
        <f t="shared" si="66"/>
        <v>1987.74</v>
      </c>
      <c r="K102" s="108">
        <f t="shared" si="66"/>
        <v>2070.44</v>
      </c>
      <c r="L102" s="108">
        <f t="shared" si="66"/>
        <v>2080.84</v>
      </c>
      <c r="M102" s="108">
        <f t="shared" si="66"/>
        <v>2131.44</v>
      </c>
      <c r="N102" s="108">
        <f t="shared" si="66"/>
        <v>2229.7399999999998</v>
      </c>
      <c r="O102" s="108">
        <f t="shared" si="66"/>
        <v>2211.7399999999998</v>
      </c>
      <c r="P102" s="108">
        <f t="shared" si="66"/>
        <v>2124.1400000000003</v>
      </c>
      <c r="Q102" s="108">
        <f t="shared" si="66"/>
        <v>2177.44</v>
      </c>
      <c r="R102" s="108">
        <f t="shared" si="66"/>
        <v>2270.7399999999998</v>
      </c>
      <c r="S102" s="108">
        <f t="shared" si="66"/>
        <v>2270.7399999999998</v>
      </c>
      <c r="T102" s="108">
        <f t="shared" si="66"/>
        <v>2304.04</v>
      </c>
      <c r="U102" s="108">
        <f t="shared" si="66"/>
        <v>2304.04</v>
      </c>
      <c r="V102" s="108">
        <f t="shared" si="66"/>
        <v>2297.04</v>
      </c>
      <c r="W102" s="108">
        <f t="shared" si="66"/>
        <v>2241.54</v>
      </c>
      <c r="X102" s="108">
        <f t="shared" si="66"/>
        <v>2237.04</v>
      </c>
      <c r="Y102" s="108">
        <f t="shared" si="66"/>
        <v>2220.84</v>
      </c>
      <c r="Z102" s="108">
        <f t="shared" si="66"/>
        <v>2220.84</v>
      </c>
      <c r="AA102" s="108">
        <f t="shared" si="66"/>
        <v>2266.54</v>
      </c>
      <c r="AB102" s="108">
        <f t="shared" si="66"/>
        <v>2388.6400000000003</v>
      </c>
      <c r="AC102" s="108">
        <f t="shared" si="66"/>
        <v>2380.1400000000003</v>
      </c>
      <c r="AD102" s="108">
        <f t="shared" si="66"/>
        <v>2371.6400000000003</v>
      </c>
      <c r="AE102" s="108">
        <f t="shared" si="66"/>
        <v>2346.1400000000003</v>
      </c>
      <c r="AF102" s="108">
        <f t="shared" ref="AF102" si="67">AF100+AF101</f>
        <v>2285.04</v>
      </c>
      <c r="AG102" s="101">
        <f>AG99+AG95+AG83+AG79+AG61+AG101</f>
        <v>2117.34</v>
      </c>
      <c r="AH102" s="48">
        <f t="shared" si="41"/>
        <v>2388.6400000000003</v>
      </c>
      <c r="AI102" s="49">
        <f t="shared" si="42"/>
        <v>1972.3400000000001</v>
      </c>
      <c r="BF102" s="81"/>
      <c r="BG102" s="82">
        <v>-17.399999999999999</v>
      </c>
      <c r="BH102" s="82">
        <v>0</v>
      </c>
      <c r="BI102" s="82">
        <v>-668.5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68">B102-(B110)</f>
        <v>1415.5399999999997</v>
      </c>
      <c r="C103" s="108">
        <f t="shared" si="68"/>
        <v>1405.5400000000002</v>
      </c>
      <c r="D103" s="108">
        <f t="shared" ref="D103:AE103" si="69">D102-(D110)</f>
        <v>1428.3399999999997</v>
      </c>
      <c r="E103" s="108">
        <f t="shared" si="69"/>
        <v>1333.6399999999999</v>
      </c>
      <c r="F103" s="108">
        <f t="shared" si="69"/>
        <v>1334.84</v>
      </c>
      <c r="G103" s="108">
        <f t="shared" si="69"/>
        <v>1348.9400000000003</v>
      </c>
      <c r="H103" s="108">
        <f t="shared" si="69"/>
        <v>1336.3400000000001</v>
      </c>
      <c r="I103" s="108">
        <f t="shared" si="69"/>
        <v>1298.8400000000001</v>
      </c>
      <c r="J103" s="108">
        <f t="shared" si="69"/>
        <v>1249.8399999999999</v>
      </c>
      <c r="K103" s="108">
        <f t="shared" si="69"/>
        <v>1353.8400000000001</v>
      </c>
      <c r="L103" s="108">
        <f t="shared" si="69"/>
        <v>1392.54</v>
      </c>
      <c r="M103" s="108">
        <f t="shared" si="69"/>
        <v>1466.04</v>
      </c>
      <c r="N103" s="108">
        <f t="shared" si="69"/>
        <v>1734.0399999999997</v>
      </c>
      <c r="O103" s="108">
        <f t="shared" si="69"/>
        <v>1635.04</v>
      </c>
      <c r="P103" s="108">
        <f t="shared" si="69"/>
        <v>1580.3400000000001</v>
      </c>
      <c r="Q103" s="108">
        <f t="shared" si="69"/>
        <v>1605.44</v>
      </c>
      <c r="R103" s="108">
        <f t="shared" si="69"/>
        <v>1673.7399999999998</v>
      </c>
      <c r="S103" s="108">
        <f t="shared" si="69"/>
        <v>1647.7399999999998</v>
      </c>
      <c r="T103" s="108">
        <f t="shared" si="69"/>
        <v>1646.04</v>
      </c>
      <c r="U103" s="108">
        <f t="shared" si="69"/>
        <v>1636.04</v>
      </c>
      <c r="V103" s="108">
        <f t="shared" si="69"/>
        <v>1580.04</v>
      </c>
      <c r="W103" s="108">
        <f t="shared" si="69"/>
        <v>1591.04</v>
      </c>
      <c r="X103" s="108">
        <f t="shared" si="69"/>
        <v>1565.04</v>
      </c>
      <c r="Y103" s="108">
        <f t="shared" si="69"/>
        <v>1530.8400000000001</v>
      </c>
      <c r="Z103" s="108">
        <f t="shared" si="69"/>
        <v>1579.8400000000001</v>
      </c>
      <c r="AA103" s="108">
        <f t="shared" si="69"/>
        <v>1679.54</v>
      </c>
      <c r="AB103" s="108">
        <f t="shared" si="69"/>
        <v>1734.6400000000003</v>
      </c>
      <c r="AC103" s="108">
        <f t="shared" si="69"/>
        <v>1708.5400000000004</v>
      </c>
      <c r="AD103" s="108">
        <f t="shared" si="69"/>
        <v>1685.7400000000002</v>
      </c>
      <c r="AE103" s="108">
        <f t="shared" si="69"/>
        <v>1669.1400000000003</v>
      </c>
      <c r="AF103" s="108">
        <f t="shared" ref="AF103" si="70">AF102-(AF110)</f>
        <v>1618.74</v>
      </c>
      <c r="AG103" s="101"/>
      <c r="AH103" s="48">
        <f t="shared" si="41"/>
        <v>1734.6400000000003</v>
      </c>
      <c r="AI103" s="49">
        <f t="shared" si="42"/>
        <v>1249.8399999999999</v>
      </c>
      <c r="BF103" s="81"/>
      <c r="BG103" s="82">
        <v>-42</v>
      </c>
      <c r="BH103" s="82">
        <v>0</v>
      </c>
      <c r="BI103" s="82">
        <v>-635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71">IF(B84&lt;0,B84*-1,0)</f>
        <v>29.7</v>
      </c>
      <c r="C104" s="89">
        <f t="shared" si="71"/>
        <v>35.6</v>
      </c>
      <c r="D104" s="89">
        <f t="shared" ref="D104:AE109" si="72">IF(D84&lt;0,D84*-1,0)</f>
        <v>0</v>
      </c>
      <c r="E104" s="89">
        <f t="shared" si="72"/>
        <v>36.799999999999997</v>
      </c>
      <c r="F104" s="89">
        <f t="shared" si="72"/>
        <v>47</v>
      </c>
      <c r="G104" s="89">
        <f t="shared" si="72"/>
        <v>37.4</v>
      </c>
      <c r="H104" s="89">
        <f t="shared" si="72"/>
        <v>3.6</v>
      </c>
      <c r="I104" s="89">
        <f t="shared" si="72"/>
        <v>29.5</v>
      </c>
      <c r="J104" s="89">
        <f t="shared" si="72"/>
        <v>55.2</v>
      </c>
      <c r="K104" s="89">
        <f t="shared" si="72"/>
        <v>52.6</v>
      </c>
      <c r="L104" s="89">
        <f t="shared" si="72"/>
        <v>52.1</v>
      </c>
      <c r="M104" s="89">
        <f t="shared" si="72"/>
        <v>52.6</v>
      </c>
      <c r="N104" s="89">
        <f t="shared" si="72"/>
        <v>21</v>
      </c>
      <c r="O104" s="89">
        <f t="shared" si="72"/>
        <v>41.8</v>
      </c>
      <c r="P104" s="89">
        <f t="shared" si="72"/>
        <v>6.1</v>
      </c>
      <c r="Q104" s="89">
        <f t="shared" si="72"/>
        <v>18.2</v>
      </c>
      <c r="R104" s="89">
        <f t="shared" si="72"/>
        <v>22</v>
      </c>
      <c r="S104" s="89">
        <f t="shared" si="72"/>
        <v>14</v>
      </c>
      <c r="T104" s="89">
        <f t="shared" si="72"/>
        <v>28</v>
      </c>
      <c r="U104" s="89">
        <f t="shared" si="72"/>
        <v>36</v>
      </c>
      <c r="V104" s="89">
        <f t="shared" si="72"/>
        <v>28</v>
      </c>
      <c r="W104" s="89">
        <f t="shared" si="72"/>
        <v>36.5</v>
      </c>
      <c r="X104" s="89">
        <f t="shared" si="72"/>
        <v>29</v>
      </c>
      <c r="Y104" s="89">
        <f t="shared" si="72"/>
        <v>32</v>
      </c>
      <c r="Z104" s="89">
        <f t="shared" si="72"/>
        <v>27</v>
      </c>
      <c r="AA104" s="89">
        <f t="shared" si="72"/>
        <v>25</v>
      </c>
      <c r="AB104" s="89">
        <f t="shared" si="72"/>
        <v>12</v>
      </c>
      <c r="AC104" s="89">
        <f t="shared" si="72"/>
        <v>15.9</v>
      </c>
      <c r="AD104" s="89">
        <f t="shared" si="72"/>
        <v>17.399999999999999</v>
      </c>
      <c r="AE104" s="89">
        <f t="shared" si="72"/>
        <v>42</v>
      </c>
      <c r="AF104" s="89">
        <f t="shared" ref="AF104" si="73">IF(AF84&lt;0,AF84*-1,0)</f>
        <v>48.3</v>
      </c>
      <c r="AG104" s="61"/>
      <c r="AH104" s="48">
        <f t="shared" si="41"/>
        <v>55.2</v>
      </c>
      <c r="AI104" s="49">
        <f t="shared" si="42"/>
        <v>0</v>
      </c>
      <c r="BG104" s="82">
        <v>-48.3</v>
      </c>
      <c r="BH104" s="82">
        <v>0</v>
      </c>
      <c r="BI104" s="82">
        <v>-618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71"/>
        <v>0</v>
      </c>
      <c r="C105" s="89">
        <f t="shared" si="71"/>
        <v>0</v>
      </c>
      <c r="D105" s="89">
        <f t="shared" si="72"/>
        <v>0</v>
      </c>
      <c r="E105" s="89">
        <f t="shared" si="72"/>
        <v>0</v>
      </c>
      <c r="F105" s="89">
        <f t="shared" si="72"/>
        <v>0</v>
      </c>
      <c r="G105" s="89">
        <f t="shared" si="72"/>
        <v>0</v>
      </c>
      <c r="H105" s="89">
        <f t="shared" si="72"/>
        <v>0</v>
      </c>
      <c r="I105" s="89">
        <f t="shared" si="72"/>
        <v>0</v>
      </c>
      <c r="J105" s="89">
        <f t="shared" si="72"/>
        <v>0</v>
      </c>
      <c r="K105" s="89">
        <f t="shared" si="72"/>
        <v>0</v>
      </c>
      <c r="L105" s="89">
        <f t="shared" si="72"/>
        <v>0</v>
      </c>
      <c r="M105" s="89">
        <f t="shared" si="72"/>
        <v>0</v>
      </c>
      <c r="N105" s="89">
        <f t="shared" si="72"/>
        <v>0</v>
      </c>
      <c r="O105" s="89">
        <f t="shared" si="72"/>
        <v>0</v>
      </c>
      <c r="P105" s="89">
        <f t="shared" si="72"/>
        <v>0</v>
      </c>
      <c r="Q105" s="89">
        <f t="shared" si="72"/>
        <v>0</v>
      </c>
      <c r="R105" s="89">
        <f t="shared" si="72"/>
        <v>0</v>
      </c>
      <c r="S105" s="89">
        <f t="shared" si="72"/>
        <v>0</v>
      </c>
      <c r="T105" s="89">
        <f t="shared" si="72"/>
        <v>0</v>
      </c>
      <c r="U105" s="89">
        <f t="shared" si="72"/>
        <v>0</v>
      </c>
      <c r="V105" s="89">
        <f t="shared" si="72"/>
        <v>0</v>
      </c>
      <c r="W105" s="89">
        <f t="shared" si="72"/>
        <v>0</v>
      </c>
      <c r="X105" s="89">
        <f t="shared" si="72"/>
        <v>0</v>
      </c>
      <c r="Y105" s="89">
        <f t="shared" si="72"/>
        <v>0</v>
      </c>
      <c r="Z105" s="89">
        <f t="shared" si="72"/>
        <v>0</v>
      </c>
      <c r="AA105" s="89">
        <f t="shared" si="72"/>
        <v>0</v>
      </c>
      <c r="AB105" s="89">
        <f t="shared" si="72"/>
        <v>0</v>
      </c>
      <c r="AC105" s="89">
        <f t="shared" si="72"/>
        <v>0</v>
      </c>
      <c r="AD105" s="89">
        <f t="shared" si="72"/>
        <v>0</v>
      </c>
      <c r="AE105" s="89">
        <f t="shared" si="72"/>
        <v>0</v>
      </c>
      <c r="AF105" s="89">
        <f t="shared" ref="AF105" si="74">IF(AF85&lt;0,AF85*-1,0)</f>
        <v>0</v>
      </c>
      <c r="AG105" s="66"/>
      <c r="AH105" s="48">
        <f t="shared" si="41"/>
        <v>0</v>
      </c>
      <c r="AI105" s="49">
        <f t="shared" si="42"/>
        <v>0</v>
      </c>
      <c r="AK105" s="51"/>
      <c r="BG105" s="82">
        <v>-29.7</v>
      </c>
      <c r="BH105" s="82">
        <v>0</v>
      </c>
      <c r="BI105" s="82">
        <v>-605.5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71"/>
        <v>605.5</v>
      </c>
      <c r="C106" s="89">
        <f t="shared" si="71"/>
        <v>631.1</v>
      </c>
      <c r="D106" s="89">
        <f t="shared" si="72"/>
        <v>692.4</v>
      </c>
      <c r="E106" s="89">
        <f t="shared" si="72"/>
        <v>655.6</v>
      </c>
      <c r="F106" s="89">
        <f t="shared" si="72"/>
        <v>654.70000000000005</v>
      </c>
      <c r="G106" s="89">
        <f t="shared" si="72"/>
        <v>651.9</v>
      </c>
      <c r="H106" s="89">
        <f t="shared" si="72"/>
        <v>659.4</v>
      </c>
      <c r="I106" s="89">
        <f t="shared" si="72"/>
        <v>644</v>
      </c>
      <c r="J106" s="89">
        <f t="shared" si="72"/>
        <v>682.7</v>
      </c>
      <c r="K106" s="89">
        <f t="shared" si="72"/>
        <v>664</v>
      </c>
      <c r="L106" s="89">
        <f t="shared" si="72"/>
        <v>636.20000000000005</v>
      </c>
      <c r="M106" s="89">
        <f t="shared" si="72"/>
        <v>612.79999999999995</v>
      </c>
      <c r="N106" s="89">
        <f t="shared" si="72"/>
        <v>474.7</v>
      </c>
      <c r="O106" s="89">
        <f t="shared" si="72"/>
        <v>534.9</v>
      </c>
      <c r="P106" s="89">
        <f t="shared" si="72"/>
        <v>537.70000000000005</v>
      </c>
      <c r="Q106" s="89">
        <f t="shared" si="72"/>
        <v>553.79999999999995</v>
      </c>
      <c r="R106" s="89">
        <f t="shared" si="72"/>
        <v>575</v>
      </c>
      <c r="S106" s="89">
        <f t="shared" si="72"/>
        <v>609</v>
      </c>
      <c r="T106" s="89">
        <f t="shared" si="72"/>
        <v>630</v>
      </c>
      <c r="U106" s="89">
        <f t="shared" si="72"/>
        <v>632</v>
      </c>
      <c r="V106" s="89">
        <f t="shared" si="72"/>
        <v>689</v>
      </c>
      <c r="W106" s="89">
        <f t="shared" si="72"/>
        <v>614</v>
      </c>
      <c r="X106" s="89">
        <f t="shared" si="72"/>
        <v>643</v>
      </c>
      <c r="Y106" s="89">
        <f t="shared" si="72"/>
        <v>658</v>
      </c>
      <c r="Z106" s="89">
        <f t="shared" si="72"/>
        <v>614</v>
      </c>
      <c r="AA106" s="89">
        <f t="shared" si="72"/>
        <v>562</v>
      </c>
      <c r="AB106" s="89">
        <f t="shared" si="72"/>
        <v>642</v>
      </c>
      <c r="AC106" s="89">
        <f t="shared" si="72"/>
        <v>655.7</v>
      </c>
      <c r="AD106" s="89">
        <f t="shared" si="72"/>
        <v>668.5</v>
      </c>
      <c r="AE106" s="89">
        <f t="shared" si="72"/>
        <v>635</v>
      </c>
      <c r="AF106" s="89">
        <f t="shared" ref="AF106" si="75">IF(AF86&lt;0,AF86*-1,0)</f>
        <v>618</v>
      </c>
      <c r="AG106" s="111"/>
      <c r="AH106" s="48">
        <f t="shared" si="41"/>
        <v>692.4</v>
      </c>
      <c r="AI106" s="49">
        <f t="shared" si="42"/>
        <v>474.7</v>
      </c>
    </row>
    <row r="107" spans="1:64" x14ac:dyDescent="0.25">
      <c r="A107" s="97" t="s">
        <v>107</v>
      </c>
      <c r="B107" s="89">
        <f t="shared" si="71"/>
        <v>0</v>
      </c>
      <c r="C107" s="89">
        <f t="shared" si="71"/>
        <v>0</v>
      </c>
      <c r="D107" s="89">
        <f t="shared" si="72"/>
        <v>0</v>
      </c>
      <c r="E107" s="89">
        <f t="shared" si="72"/>
        <v>0</v>
      </c>
      <c r="F107" s="89">
        <f t="shared" si="72"/>
        <v>0</v>
      </c>
      <c r="G107" s="89">
        <f t="shared" si="72"/>
        <v>0</v>
      </c>
      <c r="H107" s="89">
        <f t="shared" si="72"/>
        <v>0</v>
      </c>
      <c r="I107" s="89">
        <f t="shared" si="72"/>
        <v>0</v>
      </c>
      <c r="J107" s="89">
        <f t="shared" si="72"/>
        <v>0</v>
      </c>
      <c r="K107" s="89">
        <f t="shared" si="72"/>
        <v>0</v>
      </c>
      <c r="L107" s="89">
        <f t="shared" si="72"/>
        <v>0</v>
      </c>
      <c r="M107" s="89">
        <f t="shared" si="72"/>
        <v>0</v>
      </c>
      <c r="N107" s="89">
        <f t="shared" si="72"/>
        <v>0</v>
      </c>
      <c r="O107" s="89">
        <f t="shared" si="72"/>
        <v>0</v>
      </c>
      <c r="P107" s="89">
        <f t="shared" si="72"/>
        <v>0</v>
      </c>
      <c r="Q107" s="89">
        <f t="shared" si="72"/>
        <v>0</v>
      </c>
      <c r="R107" s="89">
        <f t="shared" si="72"/>
        <v>0</v>
      </c>
      <c r="S107" s="89">
        <f t="shared" si="72"/>
        <v>0</v>
      </c>
      <c r="T107" s="89">
        <f t="shared" si="72"/>
        <v>0</v>
      </c>
      <c r="U107" s="89">
        <f t="shared" si="72"/>
        <v>0</v>
      </c>
      <c r="V107" s="89">
        <f t="shared" si="72"/>
        <v>0</v>
      </c>
      <c r="W107" s="89">
        <f t="shared" si="72"/>
        <v>0</v>
      </c>
      <c r="X107" s="89">
        <f t="shared" si="72"/>
        <v>0</v>
      </c>
      <c r="Y107" s="89">
        <f t="shared" si="72"/>
        <v>0</v>
      </c>
      <c r="Z107" s="89">
        <f t="shared" si="72"/>
        <v>0</v>
      </c>
      <c r="AA107" s="89">
        <f t="shared" si="72"/>
        <v>0</v>
      </c>
      <c r="AB107" s="89">
        <f t="shared" si="72"/>
        <v>0</v>
      </c>
      <c r="AC107" s="89">
        <f t="shared" si="72"/>
        <v>0</v>
      </c>
      <c r="AD107" s="89">
        <f t="shared" si="72"/>
        <v>0</v>
      </c>
      <c r="AE107" s="89">
        <f t="shared" si="72"/>
        <v>0</v>
      </c>
      <c r="AF107" s="89">
        <f t="shared" ref="AF107" si="76">IF(AF87&lt;0,AF87*-1,0)</f>
        <v>0</v>
      </c>
      <c r="AG107" s="111"/>
      <c r="AH107" s="48">
        <f t="shared" si="41"/>
        <v>0</v>
      </c>
      <c r="AI107" s="49">
        <f t="shared" si="42"/>
        <v>0</v>
      </c>
    </row>
    <row r="108" spans="1:64" x14ac:dyDescent="0.25">
      <c r="A108" s="97" t="s">
        <v>108</v>
      </c>
      <c r="B108" s="89">
        <f t="shared" si="71"/>
        <v>0</v>
      </c>
      <c r="C108" s="89">
        <f t="shared" si="71"/>
        <v>0</v>
      </c>
      <c r="D108" s="89">
        <f t="shared" si="72"/>
        <v>0</v>
      </c>
      <c r="E108" s="89">
        <f t="shared" si="72"/>
        <v>0</v>
      </c>
      <c r="F108" s="89">
        <f t="shared" si="72"/>
        <v>0</v>
      </c>
      <c r="G108" s="89">
        <f t="shared" si="72"/>
        <v>0</v>
      </c>
      <c r="H108" s="89">
        <f t="shared" si="72"/>
        <v>0</v>
      </c>
      <c r="I108" s="89">
        <f t="shared" si="72"/>
        <v>0</v>
      </c>
      <c r="J108" s="89">
        <f t="shared" si="72"/>
        <v>0</v>
      </c>
      <c r="K108" s="89">
        <f t="shared" si="72"/>
        <v>0</v>
      </c>
      <c r="L108" s="89">
        <f t="shared" si="72"/>
        <v>0</v>
      </c>
      <c r="M108" s="89">
        <f t="shared" si="72"/>
        <v>0</v>
      </c>
      <c r="N108" s="89">
        <f t="shared" si="72"/>
        <v>0</v>
      </c>
      <c r="O108" s="89">
        <f t="shared" si="72"/>
        <v>0</v>
      </c>
      <c r="P108" s="89">
        <f t="shared" si="72"/>
        <v>0</v>
      </c>
      <c r="Q108" s="89">
        <f t="shared" si="72"/>
        <v>0</v>
      </c>
      <c r="R108" s="89">
        <f t="shared" si="72"/>
        <v>0</v>
      </c>
      <c r="S108" s="89">
        <f t="shared" si="72"/>
        <v>0</v>
      </c>
      <c r="T108" s="89">
        <f t="shared" si="72"/>
        <v>0</v>
      </c>
      <c r="U108" s="89">
        <f t="shared" si="72"/>
        <v>0</v>
      </c>
      <c r="V108" s="89">
        <f t="shared" si="72"/>
        <v>0</v>
      </c>
      <c r="W108" s="89">
        <f t="shared" si="72"/>
        <v>0</v>
      </c>
      <c r="X108" s="89">
        <f t="shared" si="72"/>
        <v>0</v>
      </c>
      <c r="Y108" s="89">
        <f t="shared" si="72"/>
        <v>0</v>
      </c>
      <c r="Z108" s="89">
        <f t="shared" si="72"/>
        <v>0</v>
      </c>
      <c r="AA108" s="89">
        <f t="shared" si="72"/>
        <v>0</v>
      </c>
      <c r="AB108" s="89">
        <f t="shared" si="72"/>
        <v>0</v>
      </c>
      <c r="AC108" s="89">
        <f t="shared" si="72"/>
        <v>0</v>
      </c>
      <c r="AD108" s="89">
        <f t="shared" si="72"/>
        <v>0</v>
      </c>
      <c r="AE108" s="89">
        <f t="shared" si="72"/>
        <v>0</v>
      </c>
      <c r="AF108" s="89">
        <f t="shared" ref="AF108" si="77">IF(AF88&lt;0,AF88*-1,0)</f>
        <v>0</v>
      </c>
      <c r="AG108" s="111"/>
      <c r="AH108" s="48">
        <f t="shared" si="41"/>
        <v>0</v>
      </c>
      <c r="AI108" s="49">
        <f t="shared" si="42"/>
        <v>0</v>
      </c>
    </row>
    <row r="109" spans="1:64" ht="15.75" thickBot="1" x14ac:dyDescent="0.3">
      <c r="A109" s="97" t="s">
        <v>117</v>
      </c>
      <c r="B109" s="89">
        <f t="shared" si="71"/>
        <v>0</v>
      </c>
      <c r="C109" s="89">
        <f t="shared" si="71"/>
        <v>0</v>
      </c>
      <c r="D109" s="89">
        <f t="shared" si="72"/>
        <v>0</v>
      </c>
      <c r="E109" s="89">
        <f t="shared" si="72"/>
        <v>0</v>
      </c>
      <c r="F109" s="89">
        <f t="shared" si="72"/>
        <v>0</v>
      </c>
      <c r="G109" s="89">
        <f t="shared" si="72"/>
        <v>0</v>
      </c>
      <c r="H109" s="89">
        <f t="shared" si="72"/>
        <v>0</v>
      </c>
      <c r="I109" s="89">
        <f t="shared" si="72"/>
        <v>0</v>
      </c>
      <c r="J109" s="89">
        <f t="shared" si="72"/>
        <v>0</v>
      </c>
      <c r="K109" s="89">
        <f t="shared" si="72"/>
        <v>0</v>
      </c>
      <c r="L109" s="89">
        <f t="shared" si="72"/>
        <v>0</v>
      </c>
      <c r="M109" s="89">
        <f t="shared" si="72"/>
        <v>0</v>
      </c>
      <c r="N109" s="89">
        <f t="shared" si="72"/>
        <v>0</v>
      </c>
      <c r="O109" s="89">
        <f t="shared" si="72"/>
        <v>0</v>
      </c>
      <c r="P109" s="89">
        <f t="shared" si="72"/>
        <v>0</v>
      </c>
      <c r="Q109" s="89">
        <f t="shared" si="72"/>
        <v>0</v>
      </c>
      <c r="R109" s="89">
        <f t="shared" si="72"/>
        <v>0</v>
      </c>
      <c r="S109" s="89">
        <f t="shared" si="72"/>
        <v>0</v>
      </c>
      <c r="T109" s="89">
        <f t="shared" si="72"/>
        <v>0</v>
      </c>
      <c r="U109" s="89">
        <f t="shared" si="72"/>
        <v>0</v>
      </c>
      <c r="V109" s="89">
        <f t="shared" si="72"/>
        <v>0</v>
      </c>
      <c r="W109" s="89">
        <f t="shared" si="72"/>
        <v>0</v>
      </c>
      <c r="X109" s="89">
        <f t="shared" si="72"/>
        <v>0</v>
      </c>
      <c r="Y109" s="89">
        <f t="shared" si="72"/>
        <v>0</v>
      </c>
      <c r="Z109" s="89">
        <f t="shared" si="72"/>
        <v>0</v>
      </c>
      <c r="AA109" s="89">
        <f t="shared" si="72"/>
        <v>0</v>
      </c>
      <c r="AB109" s="89">
        <f t="shared" si="72"/>
        <v>0</v>
      </c>
      <c r="AC109" s="89">
        <f t="shared" si="72"/>
        <v>0</v>
      </c>
      <c r="AD109" s="89">
        <f t="shared" si="72"/>
        <v>0</v>
      </c>
      <c r="AE109" s="89">
        <f t="shared" si="72"/>
        <v>0</v>
      </c>
      <c r="AF109" s="89">
        <f t="shared" ref="AF109" si="78">IF(AF89&lt;0,AF89*-1,0)</f>
        <v>0</v>
      </c>
      <c r="AG109" s="98"/>
      <c r="AH109" s="48">
        <f t="shared" si="41"/>
        <v>0</v>
      </c>
      <c r="AI109" s="49">
        <f t="shared" si="42"/>
        <v>0</v>
      </c>
    </row>
    <row r="110" spans="1:64" ht="15.75" thickBot="1" x14ac:dyDescent="0.3">
      <c r="A110" s="112" t="s">
        <v>130</v>
      </c>
      <c r="B110" s="71">
        <f t="shared" ref="B110:C110" si="79">SUM(B104:B109)</f>
        <v>635.20000000000005</v>
      </c>
      <c r="C110" s="71">
        <f t="shared" si="79"/>
        <v>666.7</v>
      </c>
      <c r="D110" s="71">
        <f t="shared" ref="D110:AE110" si="80">SUM(D104:D109)</f>
        <v>692.4</v>
      </c>
      <c r="E110" s="71">
        <f t="shared" si="80"/>
        <v>692.4</v>
      </c>
      <c r="F110" s="71">
        <f t="shared" si="80"/>
        <v>701.7</v>
      </c>
      <c r="G110" s="71">
        <f t="shared" si="80"/>
        <v>689.3</v>
      </c>
      <c r="H110" s="71">
        <f t="shared" si="80"/>
        <v>663</v>
      </c>
      <c r="I110" s="71">
        <f t="shared" si="80"/>
        <v>673.5</v>
      </c>
      <c r="J110" s="71">
        <f t="shared" si="80"/>
        <v>737.90000000000009</v>
      </c>
      <c r="K110" s="71">
        <f t="shared" si="80"/>
        <v>716.6</v>
      </c>
      <c r="L110" s="71">
        <f t="shared" si="80"/>
        <v>688.30000000000007</v>
      </c>
      <c r="M110" s="71">
        <f t="shared" si="80"/>
        <v>665.4</v>
      </c>
      <c r="N110" s="71">
        <f t="shared" si="80"/>
        <v>495.7</v>
      </c>
      <c r="O110" s="71">
        <f t="shared" si="80"/>
        <v>576.69999999999993</v>
      </c>
      <c r="P110" s="71">
        <f t="shared" si="80"/>
        <v>543.80000000000007</v>
      </c>
      <c r="Q110" s="71">
        <f t="shared" si="80"/>
        <v>572</v>
      </c>
      <c r="R110" s="71">
        <f t="shared" si="80"/>
        <v>597</v>
      </c>
      <c r="S110" s="71">
        <f t="shared" si="80"/>
        <v>623</v>
      </c>
      <c r="T110" s="71">
        <f t="shared" si="80"/>
        <v>658</v>
      </c>
      <c r="U110" s="71">
        <f t="shared" si="80"/>
        <v>668</v>
      </c>
      <c r="V110" s="71">
        <f t="shared" si="80"/>
        <v>717</v>
      </c>
      <c r="W110" s="71">
        <f t="shared" si="80"/>
        <v>650.5</v>
      </c>
      <c r="X110" s="71">
        <f t="shared" si="80"/>
        <v>672</v>
      </c>
      <c r="Y110" s="71">
        <f t="shared" si="80"/>
        <v>690</v>
      </c>
      <c r="Z110" s="71">
        <f t="shared" si="80"/>
        <v>641</v>
      </c>
      <c r="AA110" s="71">
        <f t="shared" si="80"/>
        <v>587</v>
      </c>
      <c r="AB110" s="71">
        <f t="shared" si="80"/>
        <v>654</v>
      </c>
      <c r="AC110" s="71">
        <f t="shared" si="80"/>
        <v>671.6</v>
      </c>
      <c r="AD110" s="71">
        <f t="shared" si="80"/>
        <v>685.9</v>
      </c>
      <c r="AE110" s="71">
        <f t="shared" si="80"/>
        <v>677</v>
      </c>
      <c r="AF110" s="71">
        <f t="shared" ref="AF110" si="81">SUM(AF104:AF109)</f>
        <v>666.3</v>
      </c>
      <c r="AG110" s="101"/>
      <c r="AH110" s="48">
        <f t="shared" si="41"/>
        <v>737.90000000000009</v>
      </c>
      <c r="AI110" s="49">
        <f t="shared" si="42"/>
        <v>495.7</v>
      </c>
    </row>
    <row r="111" spans="1:64" ht="15.75" thickBot="1" x14ac:dyDescent="0.3">
      <c r="A111" s="87" t="s">
        <v>131</v>
      </c>
      <c r="B111" s="71">
        <f t="shared" ref="B111:C111" si="82">B95-B110</f>
        <v>-635.20000000000005</v>
      </c>
      <c r="C111" s="71">
        <f t="shared" si="82"/>
        <v>-666.7</v>
      </c>
      <c r="D111" s="71">
        <f t="shared" ref="D111:AE111" si="83">D95-D110</f>
        <v>-653.4</v>
      </c>
      <c r="E111" s="71">
        <f t="shared" si="83"/>
        <v>-692.4</v>
      </c>
      <c r="F111" s="71">
        <f t="shared" si="83"/>
        <v>-701.7</v>
      </c>
      <c r="G111" s="71">
        <f t="shared" si="83"/>
        <v>-689.3</v>
      </c>
      <c r="H111" s="71">
        <f t="shared" si="83"/>
        <v>-663</v>
      </c>
      <c r="I111" s="71">
        <f t="shared" si="83"/>
        <v>-673.5</v>
      </c>
      <c r="J111" s="71">
        <f t="shared" si="83"/>
        <v>-737.90000000000009</v>
      </c>
      <c r="K111" s="71">
        <f t="shared" si="83"/>
        <v>-716.6</v>
      </c>
      <c r="L111" s="71">
        <f t="shared" si="83"/>
        <v>-688.30000000000007</v>
      </c>
      <c r="M111" s="71">
        <f t="shared" si="83"/>
        <v>-665.4</v>
      </c>
      <c r="N111" s="71">
        <f t="shared" si="83"/>
        <v>-495.7</v>
      </c>
      <c r="O111" s="71">
        <f t="shared" si="83"/>
        <v>-576.69999999999993</v>
      </c>
      <c r="P111" s="71">
        <f t="shared" si="83"/>
        <v>-543.80000000000007</v>
      </c>
      <c r="Q111" s="71">
        <f t="shared" si="83"/>
        <v>-572</v>
      </c>
      <c r="R111" s="71">
        <f t="shared" si="83"/>
        <v>-597</v>
      </c>
      <c r="S111" s="71">
        <f t="shared" si="83"/>
        <v>-623</v>
      </c>
      <c r="T111" s="71">
        <f t="shared" si="83"/>
        <v>-658</v>
      </c>
      <c r="U111" s="71">
        <f t="shared" si="83"/>
        <v>-668</v>
      </c>
      <c r="V111" s="71">
        <f t="shared" si="83"/>
        <v>-717</v>
      </c>
      <c r="W111" s="71">
        <f t="shared" si="83"/>
        <v>-650.5</v>
      </c>
      <c r="X111" s="71">
        <f t="shared" si="83"/>
        <v>-672</v>
      </c>
      <c r="Y111" s="71">
        <f t="shared" si="83"/>
        <v>-690</v>
      </c>
      <c r="Z111" s="71">
        <f t="shared" si="83"/>
        <v>-641</v>
      </c>
      <c r="AA111" s="71">
        <f t="shared" si="83"/>
        <v>-587</v>
      </c>
      <c r="AB111" s="71">
        <f t="shared" si="83"/>
        <v>-654</v>
      </c>
      <c r="AC111" s="71">
        <f t="shared" si="83"/>
        <v>-671.6</v>
      </c>
      <c r="AD111" s="71">
        <f t="shared" si="83"/>
        <v>-685.9</v>
      </c>
      <c r="AE111" s="71">
        <f t="shared" si="83"/>
        <v>-677</v>
      </c>
      <c r="AF111" s="71">
        <f t="shared" ref="AF111" si="84">AF95-AF110</f>
        <v>-666.3</v>
      </c>
      <c r="AG111" s="101"/>
      <c r="AH111" s="48">
        <f t="shared" si="41"/>
        <v>-495.7</v>
      </c>
      <c r="AI111" s="49">
        <f t="shared" si="42"/>
        <v>-737.90000000000009</v>
      </c>
    </row>
    <row r="112" spans="1:64" x14ac:dyDescent="0.25">
      <c r="A112" s="113" t="s">
        <v>132</v>
      </c>
      <c r="B112" s="114">
        <v>50.02</v>
      </c>
      <c r="C112" s="114">
        <v>50.01</v>
      </c>
      <c r="D112" s="114">
        <v>50.018999999999998</v>
      </c>
      <c r="E112" s="114">
        <v>50.048999999999999</v>
      </c>
      <c r="F112" s="114">
        <v>49.99</v>
      </c>
      <c r="G112" s="114">
        <v>49.962000000000003</v>
      </c>
      <c r="H112" s="114">
        <v>50.012999999999998</v>
      </c>
      <c r="I112" s="114">
        <v>50.040999999999997</v>
      </c>
      <c r="J112" s="114">
        <v>50.005000000000003</v>
      </c>
      <c r="K112" s="114">
        <v>50.02</v>
      </c>
      <c r="L112" s="114">
        <v>49.975999999999999</v>
      </c>
      <c r="M112" s="114">
        <v>49.970999999999997</v>
      </c>
      <c r="N112" s="114">
        <v>50.037999999999997</v>
      </c>
      <c r="O112" s="114">
        <v>50.003999999999998</v>
      </c>
      <c r="P112" s="114">
        <v>49.976999999999997</v>
      </c>
      <c r="Q112" s="114">
        <v>49.89</v>
      </c>
      <c r="R112" s="114">
        <v>49.89</v>
      </c>
      <c r="S112" s="114">
        <v>49.97</v>
      </c>
      <c r="T112" s="114">
        <v>49.997</v>
      </c>
      <c r="U112" s="114">
        <v>49.93</v>
      </c>
      <c r="V112" s="114">
        <v>49.92</v>
      </c>
      <c r="W112" s="114">
        <v>50.042000000000002</v>
      </c>
      <c r="X112" s="114">
        <v>50.018999999999998</v>
      </c>
      <c r="Y112" s="114">
        <v>50.012</v>
      </c>
      <c r="Z112" s="114">
        <v>50.036000000000001</v>
      </c>
      <c r="AA112" s="114">
        <v>49.881</v>
      </c>
      <c r="AB112" s="114">
        <v>49.969000000000001</v>
      </c>
      <c r="AC112" s="114">
        <v>49.972000000000001</v>
      </c>
      <c r="AD112" s="114">
        <v>49.999000000000002</v>
      </c>
      <c r="AE112" s="114">
        <v>50.03</v>
      </c>
      <c r="AF112" s="114">
        <v>50.02</v>
      </c>
      <c r="AG112" s="115"/>
      <c r="AH112" s="48">
        <f t="shared" si="41"/>
        <v>50.048999999999999</v>
      </c>
      <c r="AI112" s="49">
        <f t="shared" si="42"/>
        <v>49.881</v>
      </c>
    </row>
    <row r="113" spans="1:35" x14ac:dyDescent="0.25">
      <c r="A113" s="116" t="s">
        <v>133</v>
      </c>
      <c r="B113" s="76">
        <v>118.6</v>
      </c>
      <c r="C113" s="76">
        <v>119.2</v>
      </c>
      <c r="D113" s="76">
        <v>122.6</v>
      </c>
      <c r="E113" s="76">
        <v>123.6</v>
      </c>
      <c r="F113" s="76">
        <v>124.2</v>
      </c>
      <c r="G113" s="76">
        <v>123.3</v>
      </c>
      <c r="H113" s="76">
        <v>125</v>
      </c>
      <c r="I113" s="76">
        <v>122.9</v>
      </c>
      <c r="J113" s="76">
        <v>120.2</v>
      </c>
      <c r="K113" s="76">
        <v>119.4</v>
      </c>
      <c r="L113" s="76">
        <v>117.7</v>
      </c>
      <c r="M113" s="76">
        <v>119.5</v>
      </c>
      <c r="N113" s="76">
        <v>119.5</v>
      </c>
      <c r="O113" s="76">
        <v>119.1</v>
      </c>
      <c r="P113" s="76">
        <v>119</v>
      </c>
      <c r="Q113" s="76">
        <v>118.6</v>
      </c>
      <c r="R113" s="76">
        <v>120</v>
      </c>
      <c r="S113" s="76">
        <v>120</v>
      </c>
      <c r="T113" s="76">
        <v>119.2</v>
      </c>
      <c r="U113" s="76">
        <v>119.2</v>
      </c>
      <c r="V113" s="76">
        <v>122.5</v>
      </c>
      <c r="W113" s="76">
        <v>122</v>
      </c>
      <c r="X113" s="76">
        <v>122.5</v>
      </c>
      <c r="Y113" s="76">
        <v>121.4</v>
      </c>
      <c r="Z113" s="76">
        <v>123.5</v>
      </c>
      <c r="AA113" s="76">
        <v>119.6</v>
      </c>
      <c r="AB113" s="76">
        <v>122.2</v>
      </c>
      <c r="AC113" s="76">
        <v>121.3</v>
      </c>
      <c r="AD113" s="76">
        <v>122.4</v>
      </c>
      <c r="AE113" s="76">
        <v>122</v>
      </c>
      <c r="AF113" s="76">
        <v>120.4</v>
      </c>
      <c r="AG113" s="117"/>
      <c r="AH113" s="48">
        <f t="shared" si="41"/>
        <v>125</v>
      </c>
      <c r="AI113" s="49">
        <f t="shared" si="42"/>
        <v>117.7</v>
      </c>
    </row>
    <row r="114" spans="1:35" x14ac:dyDescent="0.25">
      <c r="A114" s="116" t="s">
        <v>134</v>
      </c>
      <c r="B114" s="76">
        <v>124.6</v>
      </c>
      <c r="C114" s="76">
        <v>124.5</v>
      </c>
      <c r="D114" s="76">
        <v>128.19999999999999</v>
      </c>
      <c r="E114" s="76">
        <v>128.69999999999999</v>
      </c>
      <c r="F114" s="76">
        <v>129.5</v>
      </c>
      <c r="G114" s="76">
        <v>128.69999999999999</v>
      </c>
      <c r="H114" s="76">
        <v>129.69999999999999</v>
      </c>
      <c r="I114" s="76">
        <v>127.9</v>
      </c>
      <c r="J114" s="76">
        <v>125.9</v>
      </c>
      <c r="K114" s="76">
        <v>124.2</v>
      </c>
      <c r="L114" s="76">
        <v>122.6</v>
      </c>
      <c r="M114" s="76">
        <v>123.8</v>
      </c>
      <c r="N114" s="76">
        <v>123.7</v>
      </c>
      <c r="O114" s="76">
        <v>123</v>
      </c>
      <c r="P114" s="76">
        <v>122.9</v>
      </c>
      <c r="Q114" s="76">
        <v>123</v>
      </c>
      <c r="R114" s="76">
        <v>124.7</v>
      </c>
      <c r="S114" s="76">
        <v>124.1</v>
      </c>
      <c r="T114" s="76">
        <v>124</v>
      </c>
      <c r="U114" s="76">
        <v>124</v>
      </c>
      <c r="V114" s="76">
        <v>126.2</v>
      </c>
      <c r="W114" s="76">
        <v>125.8</v>
      </c>
      <c r="X114" s="76">
        <v>126.3</v>
      </c>
      <c r="Y114" s="76">
        <v>125.4</v>
      </c>
      <c r="Z114" s="76">
        <v>126.6</v>
      </c>
      <c r="AA114" s="76">
        <v>123</v>
      </c>
      <c r="AB114" s="76">
        <v>125.7</v>
      </c>
      <c r="AC114" s="76">
        <v>125.4</v>
      </c>
      <c r="AD114" s="76">
        <v>126.1</v>
      </c>
      <c r="AE114" s="76">
        <v>126.3</v>
      </c>
      <c r="AF114" s="76">
        <v>126.2</v>
      </c>
      <c r="AG114" s="117"/>
      <c r="AH114" s="48">
        <f t="shared" si="41"/>
        <v>129.69999999999999</v>
      </c>
      <c r="AI114" s="49">
        <f t="shared" si="42"/>
        <v>122.6</v>
      </c>
    </row>
    <row r="115" spans="1:35" x14ac:dyDescent="0.25">
      <c r="A115" s="116" t="s">
        <v>135</v>
      </c>
      <c r="B115" s="76">
        <v>129.1</v>
      </c>
      <c r="C115" s="76">
        <v>129.80000000000001</v>
      </c>
      <c r="D115" s="76">
        <v>129.5</v>
      </c>
      <c r="E115" s="76">
        <v>130.9</v>
      </c>
      <c r="F115" s="76">
        <v>130.5</v>
      </c>
      <c r="G115" s="76">
        <v>131.1</v>
      </c>
      <c r="H115" s="76">
        <v>130.5</v>
      </c>
      <c r="I115" s="76">
        <v>130.80000000000001</v>
      </c>
      <c r="J115" s="76">
        <v>130.1</v>
      </c>
      <c r="K115" s="76">
        <v>129.1</v>
      </c>
      <c r="L115" s="76">
        <v>129.1</v>
      </c>
      <c r="M115" s="76">
        <v>129</v>
      </c>
      <c r="N115" s="76">
        <v>128.9</v>
      </c>
      <c r="O115" s="76">
        <v>128.6</v>
      </c>
      <c r="P115" s="76">
        <v>131.1</v>
      </c>
      <c r="Q115" s="76">
        <v>131.30000000000001</v>
      </c>
      <c r="R115" s="76">
        <v>130.9</v>
      </c>
      <c r="S115" s="76">
        <v>130</v>
      </c>
      <c r="T115" s="76">
        <v>130.1</v>
      </c>
      <c r="U115" s="76">
        <v>130.1</v>
      </c>
      <c r="V115" s="76">
        <v>130.80000000000001</v>
      </c>
      <c r="W115" s="76">
        <v>130.9</v>
      </c>
      <c r="X115" s="76">
        <v>130.4</v>
      </c>
      <c r="Y115" s="76">
        <v>129.1</v>
      </c>
      <c r="Z115" s="76">
        <v>130</v>
      </c>
      <c r="AA115" s="76">
        <v>128.1</v>
      </c>
      <c r="AB115" s="76">
        <v>128.80000000000001</v>
      </c>
      <c r="AC115" s="76">
        <v>128.19999999999999</v>
      </c>
      <c r="AD115" s="76">
        <v>129.19999999999999</v>
      </c>
      <c r="AE115" s="76">
        <v>128.5</v>
      </c>
      <c r="AF115" s="76">
        <v>128</v>
      </c>
      <c r="AG115" s="117"/>
      <c r="AH115" s="48">
        <f t="shared" si="41"/>
        <v>131.30000000000001</v>
      </c>
      <c r="AI115" s="49">
        <f t="shared" si="42"/>
        <v>128</v>
      </c>
    </row>
    <row r="116" spans="1:35" x14ac:dyDescent="0.25">
      <c r="A116" s="118" t="s">
        <v>136</v>
      </c>
      <c r="B116" s="76">
        <v>131.4</v>
      </c>
      <c r="C116" s="76">
        <v>131.6</v>
      </c>
      <c r="D116" s="76">
        <v>131.6</v>
      </c>
      <c r="E116" s="76">
        <v>132.9</v>
      </c>
      <c r="F116" s="76">
        <v>133</v>
      </c>
      <c r="G116" s="76">
        <v>133.4</v>
      </c>
      <c r="H116" s="76">
        <v>132.5</v>
      </c>
      <c r="I116" s="76">
        <v>132.4</v>
      </c>
      <c r="J116" s="76">
        <v>131.6</v>
      </c>
      <c r="K116" s="76">
        <v>130.30000000000001</v>
      </c>
      <c r="L116" s="76">
        <v>129.5</v>
      </c>
      <c r="M116" s="76">
        <v>131</v>
      </c>
      <c r="N116" s="76">
        <v>126.3</v>
      </c>
      <c r="O116" s="76">
        <v>128.9</v>
      </c>
      <c r="P116" s="76">
        <v>131.69999999999999</v>
      </c>
      <c r="Q116" s="76">
        <v>131.19999999999999</v>
      </c>
      <c r="R116" s="76">
        <v>132</v>
      </c>
      <c r="S116" s="76">
        <v>130.4</v>
      </c>
      <c r="T116" s="76">
        <v>129.80000000000001</v>
      </c>
      <c r="U116" s="76">
        <v>129.80000000000001</v>
      </c>
      <c r="V116" s="76">
        <v>131.19999999999999</v>
      </c>
      <c r="W116" s="76">
        <v>131.6</v>
      </c>
      <c r="X116" s="76">
        <v>130.5</v>
      </c>
      <c r="Y116" s="76">
        <v>128.6</v>
      </c>
      <c r="Z116" s="76">
        <v>132.5</v>
      </c>
      <c r="AA116" s="76">
        <v>129.6</v>
      </c>
      <c r="AB116" s="76">
        <v>131.30000000000001</v>
      </c>
      <c r="AC116" s="76">
        <v>131.30000000000001</v>
      </c>
      <c r="AD116" s="76">
        <v>131.5</v>
      </c>
      <c r="AE116" s="76">
        <v>131.5</v>
      </c>
      <c r="AF116" s="76">
        <v>129.30000000000001</v>
      </c>
      <c r="AG116" s="117"/>
      <c r="AH116" s="48">
        <f t="shared" si="41"/>
        <v>133.4</v>
      </c>
      <c r="AI116" s="49">
        <f t="shared" si="42"/>
        <v>126.3</v>
      </c>
    </row>
    <row r="117" spans="1:35" x14ac:dyDescent="0.25">
      <c r="A117" s="118" t="s">
        <v>137</v>
      </c>
      <c r="B117" s="119">
        <v>130.5</v>
      </c>
      <c r="C117" s="119">
        <v>132.9</v>
      </c>
      <c r="D117" s="119">
        <v>133.30000000000001</v>
      </c>
      <c r="E117" s="119">
        <v>132.69999999999999</v>
      </c>
      <c r="F117" s="119">
        <v>132.5</v>
      </c>
      <c r="G117" s="119">
        <v>133.5</v>
      </c>
      <c r="H117" s="119">
        <v>132.30000000000001</v>
      </c>
      <c r="I117" s="119">
        <v>133.4</v>
      </c>
      <c r="J117" s="119">
        <v>132.69999999999999</v>
      </c>
      <c r="K117" s="119">
        <v>130.69999999999999</v>
      </c>
      <c r="L117" s="119">
        <v>131.9</v>
      </c>
      <c r="M117" s="119">
        <v>132.69999999999999</v>
      </c>
      <c r="N117" s="119">
        <v>131.80000000000001</v>
      </c>
      <c r="O117" s="119">
        <v>132</v>
      </c>
      <c r="P117" s="119">
        <v>132.19999999999999</v>
      </c>
      <c r="Q117" s="119">
        <v>131.69999999999999</v>
      </c>
      <c r="R117" s="119">
        <v>134</v>
      </c>
      <c r="S117" s="119">
        <v>132.30000000000001</v>
      </c>
      <c r="T117" s="119">
        <v>132.80000000000001</v>
      </c>
      <c r="U117" s="119">
        <v>132.80000000000001</v>
      </c>
      <c r="V117" s="119">
        <v>131.1</v>
      </c>
      <c r="W117" s="119">
        <v>135.4</v>
      </c>
      <c r="X117" s="119">
        <v>130.6</v>
      </c>
      <c r="Y117" s="119">
        <v>133.5</v>
      </c>
      <c r="Z117" s="119">
        <v>131.6</v>
      </c>
      <c r="AA117" s="119">
        <v>130.1</v>
      </c>
      <c r="AB117" s="119">
        <v>124</v>
      </c>
      <c r="AC117" s="119">
        <v>130.6</v>
      </c>
      <c r="AD117" s="119">
        <v>130.30000000000001</v>
      </c>
      <c r="AE117" s="119">
        <v>131.9</v>
      </c>
      <c r="AF117" s="119">
        <v>133.1</v>
      </c>
      <c r="AG117" s="120"/>
      <c r="AH117" s="48">
        <f t="shared" si="41"/>
        <v>135.4</v>
      </c>
      <c r="AI117" s="49">
        <f t="shared" si="42"/>
        <v>124</v>
      </c>
    </row>
    <row r="118" spans="1:35" x14ac:dyDescent="0.25">
      <c r="A118" s="116" t="s">
        <v>138</v>
      </c>
      <c r="B118" s="76">
        <v>129.4</v>
      </c>
      <c r="C118" s="76">
        <v>128.9</v>
      </c>
      <c r="D118" s="76">
        <v>128.69999999999999</v>
      </c>
      <c r="E118" s="76">
        <v>129.19999999999999</v>
      </c>
      <c r="F118" s="76">
        <v>126.7</v>
      </c>
      <c r="G118" s="76">
        <v>127.2</v>
      </c>
      <c r="H118" s="76">
        <v>125.9</v>
      </c>
      <c r="I118" s="76">
        <v>130.4</v>
      </c>
      <c r="J118" s="76">
        <v>128</v>
      </c>
      <c r="K118" s="76">
        <v>130.6</v>
      </c>
      <c r="L118" s="76">
        <v>125.4</v>
      </c>
      <c r="M118" s="76">
        <v>132</v>
      </c>
      <c r="N118" s="76">
        <v>130.69999999999999</v>
      </c>
      <c r="O118" s="76">
        <v>129.69999999999999</v>
      </c>
      <c r="P118" s="76">
        <v>126.1</v>
      </c>
      <c r="Q118" s="76">
        <v>126</v>
      </c>
      <c r="R118" s="76">
        <v>123</v>
      </c>
      <c r="S118" s="76">
        <v>133.4</v>
      </c>
      <c r="T118" s="76">
        <v>126.3</v>
      </c>
      <c r="U118" s="76">
        <v>126.3</v>
      </c>
      <c r="V118" s="76">
        <v>131.5</v>
      </c>
      <c r="W118" s="76">
        <v>133</v>
      </c>
      <c r="X118" s="76">
        <v>127.2</v>
      </c>
      <c r="Y118" s="76">
        <v>124.7</v>
      </c>
      <c r="Z118" s="76">
        <v>133.1</v>
      </c>
      <c r="AA118" s="76">
        <v>130.19999999999999</v>
      </c>
      <c r="AB118" s="76">
        <v>123.4</v>
      </c>
      <c r="AC118" s="76">
        <v>123.1</v>
      </c>
      <c r="AD118" s="76">
        <v>123.1</v>
      </c>
      <c r="AE118" s="76">
        <v>123</v>
      </c>
      <c r="AF118" s="76">
        <v>127</v>
      </c>
      <c r="AG118" s="117"/>
      <c r="AH118" s="48">
        <f t="shared" si="41"/>
        <v>133.4</v>
      </c>
      <c r="AI118" s="49">
        <f t="shared" si="42"/>
        <v>123</v>
      </c>
    </row>
    <row r="119" spans="1:35" ht="15.75" thickBot="1" x14ac:dyDescent="0.3">
      <c r="A119" s="116" t="s">
        <v>139</v>
      </c>
      <c r="B119" s="105">
        <v>62.7</v>
      </c>
      <c r="C119" s="105">
        <v>63.1</v>
      </c>
      <c r="D119" s="105">
        <v>64.5</v>
      </c>
      <c r="E119" s="105">
        <v>64.8</v>
      </c>
      <c r="F119" s="105">
        <v>65.400000000000006</v>
      </c>
      <c r="G119" s="105">
        <v>64.7</v>
      </c>
      <c r="H119" s="105">
        <v>65.099999999999994</v>
      </c>
      <c r="I119" s="105">
        <v>64.099999999999994</v>
      </c>
      <c r="J119" s="105">
        <v>64</v>
      </c>
      <c r="K119" s="105">
        <v>63</v>
      </c>
      <c r="L119" s="105">
        <v>62.4</v>
      </c>
      <c r="M119" s="105">
        <v>62.6</v>
      </c>
      <c r="N119" s="105">
        <v>62.6</v>
      </c>
      <c r="O119" s="105">
        <v>61.8</v>
      </c>
      <c r="P119" s="105">
        <v>61.7</v>
      </c>
      <c r="Q119" s="105">
        <v>61.8</v>
      </c>
      <c r="R119" s="105">
        <v>62.8</v>
      </c>
      <c r="S119" s="105">
        <v>62.5</v>
      </c>
      <c r="T119" s="105">
        <v>62.1</v>
      </c>
      <c r="U119" s="105">
        <v>62.1</v>
      </c>
      <c r="V119" s="105">
        <v>63.6</v>
      </c>
      <c r="W119" s="105">
        <v>63.5</v>
      </c>
      <c r="X119" s="105">
        <v>63.7</v>
      </c>
      <c r="Y119" s="105">
        <v>63.4</v>
      </c>
      <c r="Z119" s="105">
        <v>63.7</v>
      </c>
      <c r="AA119" s="105">
        <v>62.2</v>
      </c>
      <c r="AB119" s="105">
        <v>63.5</v>
      </c>
      <c r="AC119" s="105">
        <v>63.7</v>
      </c>
      <c r="AD119" s="105">
        <v>63.8</v>
      </c>
      <c r="AE119" s="105">
        <v>63.6</v>
      </c>
      <c r="AF119" s="105">
        <v>63.3</v>
      </c>
      <c r="AG119" s="121"/>
      <c r="AH119" s="48">
        <f t="shared" si="41"/>
        <v>65.400000000000006</v>
      </c>
      <c r="AI119" s="49">
        <f t="shared" si="42"/>
        <v>61.7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1"/>
        <v>0</v>
      </c>
      <c r="AI120" s="49">
        <f t="shared" si="42"/>
        <v>0</v>
      </c>
    </row>
    <row r="121" spans="1:35" ht="15.75" thickBot="1" x14ac:dyDescent="0.3">
      <c r="A121" s="123" t="s">
        <v>141</v>
      </c>
      <c r="B121" s="124">
        <f t="shared" ref="B121:C121" si="85">SUM(B25,B31,B34:B35,B69,B71:B72,B74,B76,B122:B126,B158,B164,B170,B179,B181,B193,B200,B203:B204,B211,B213,B215,B219:B221,B223:B225,B230,B236:B237,B239:B241,B249,B254)</f>
        <v>108.93999999999997</v>
      </c>
      <c r="C121" s="124">
        <f t="shared" si="85"/>
        <v>165.24000000000004</v>
      </c>
      <c r="D121" s="124">
        <f t="shared" ref="D121:O121" si="86">SUM(D25,D31,D34:D35,D69,D71:D72,D74,D76,D122:D126,D158,D164,D170,D179,D181,D193,D200,D203:D204,D211,D213,D215,D219:D221,D223:D225,D230,D236:D237,D239:D241,D249,D254)</f>
        <v>89.539999999999992</v>
      </c>
      <c r="E121" s="124">
        <f t="shared" si="86"/>
        <v>85.639999999999972</v>
      </c>
      <c r="F121" s="124">
        <f t="shared" si="86"/>
        <v>60.940000000000019</v>
      </c>
      <c r="G121" s="124">
        <f t="shared" si="86"/>
        <v>80.239999999999995</v>
      </c>
      <c r="H121" s="124">
        <f t="shared" si="86"/>
        <v>91.639999999999958</v>
      </c>
      <c r="I121" s="124">
        <f t="shared" si="86"/>
        <v>117.53999999999999</v>
      </c>
      <c r="J121" s="124">
        <f t="shared" si="86"/>
        <v>167.53999999999996</v>
      </c>
      <c r="K121" s="124">
        <f t="shared" si="86"/>
        <v>166.94000000000003</v>
      </c>
      <c r="L121" s="124">
        <f t="shared" si="86"/>
        <v>231.94</v>
      </c>
      <c r="M121" s="124">
        <f t="shared" si="86"/>
        <v>211.23999999999998</v>
      </c>
      <c r="N121" s="124">
        <f t="shared" si="86"/>
        <v>217.74</v>
      </c>
      <c r="O121" s="124">
        <f t="shared" si="86"/>
        <v>217.04000000000002</v>
      </c>
      <c r="P121" s="124">
        <v>42</v>
      </c>
      <c r="Q121" s="124">
        <f t="shared" ref="Q121:X121" si="87">SUM(Q25,Q31,Q34:Q35,Q69,Q71:Q72,Q74,Q76,Q122:Q126,Q158,Q164,Q170,Q179,Q181,Q193,Q200,Q203:Q204,Q211,Q213,Q215,Q219:Q221,Q223:Q225,Q230,Q236:Q237,Q239:Q241,Q249,Q254)</f>
        <v>144.64000000000001</v>
      </c>
      <c r="R121" s="124">
        <f t="shared" si="87"/>
        <v>130.34000000000003</v>
      </c>
      <c r="S121" s="124">
        <f t="shared" si="87"/>
        <v>155.54000000000002</v>
      </c>
      <c r="T121" s="124">
        <f t="shared" si="87"/>
        <v>186.34</v>
      </c>
      <c r="U121" s="124">
        <f t="shared" si="87"/>
        <v>185.04</v>
      </c>
      <c r="V121" s="124">
        <f t="shared" si="87"/>
        <v>223.43999999999997</v>
      </c>
      <c r="W121" s="124">
        <f t="shared" si="87"/>
        <v>233.04</v>
      </c>
      <c r="X121" s="124">
        <f t="shared" si="87"/>
        <v>229.04000000000002</v>
      </c>
      <c r="Y121" s="124">
        <f>SUM(Y23,Y29,Y40:Y41,Y69,Y71:Y72,Y74,Y76,Y122:Y126,Y151,Y157,Y163,Y172,Y174,Y186,Y193,Y196:Y197,Y204,Y206,Y208,Y212:Y214,Y216:Y218,Y223,Y229:Y230,Y232:Y234,Y242,Y247)</f>
        <v>218.00000000000003</v>
      </c>
      <c r="Z121" s="124">
        <f>SUM(Z23,Z29,Z40:Z41,Z69,Z71:Z72,Z74,Z76,Z122:Z126,Z151,Z157,Z163,Z172,Z174,Z186,Z193,Z196:Z197,Z204,Z206,Z208,Z212:Z214,Z216:Z218,Z223,Z229:Z230,Z232:Z234,Z242,Z247)</f>
        <v>241.5</v>
      </c>
      <c r="AA121" s="124">
        <f t="shared" ref="AA121:AE121" si="88">SUM(AA25,AA31,AA34:AA35,AA69,AA71:AA72,AA74,AA76,AA122:AA126,AA158,AA164,AA170,AA179,AA181,AA193,AA200,AA203:AA204,AA211,AA213,AA215,AA219:AA221,AA223:AA225,AA230,AA236:AA237,AA239:AA241,AA249,AA254)</f>
        <v>230.64</v>
      </c>
      <c r="AB121" s="124">
        <f t="shared" si="88"/>
        <v>217.44</v>
      </c>
      <c r="AC121" s="124">
        <f t="shared" si="88"/>
        <v>185.24000000000004</v>
      </c>
      <c r="AD121" s="124">
        <f t="shared" si="88"/>
        <v>180.54000000000005</v>
      </c>
      <c r="AE121" s="124">
        <f t="shared" si="88"/>
        <v>101.44</v>
      </c>
      <c r="AF121" s="124">
        <f t="shared" ref="AF121" si="89">SUM(AF25,AF31,AF34:AF35,AF69,AF71:AF72,AF74,AF76,AF122:AF126,AF158,AF164,AF170,AF179,AF181,AF193,AF200,AF203:AF204,AF211,AF213,AF215,AF219:AF221,AF223:AF225,AF230,AF236:AF237,AF239:AF241,AF249,AF254)</f>
        <v>96.839999999999989</v>
      </c>
      <c r="AG121" s="125"/>
      <c r="AH121" s="48">
        <f t="shared" si="41"/>
        <v>241.5</v>
      </c>
      <c r="AI121" s="49">
        <f t="shared" si="42"/>
        <v>42</v>
      </c>
    </row>
    <row r="122" spans="1:35" x14ac:dyDescent="0.25">
      <c r="A122" s="126" t="s">
        <v>142</v>
      </c>
      <c r="B122" s="127">
        <v>57.6</v>
      </c>
      <c r="C122" s="127">
        <v>78.2</v>
      </c>
      <c r="D122" s="127">
        <v>68.3</v>
      </c>
      <c r="E122" s="127">
        <v>63.9</v>
      </c>
      <c r="F122" s="127">
        <v>51.1</v>
      </c>
      <c r="G122" s="127">
        <v>55.6</v>
      </c>
      <c r="H122" s="127">
        <v>50</v>
      </c>
      <c r="I122" s="127">
        <v>52.9</v>
      </c>
      <c r="J122" s="127">
        <v>85</v>
      </c>
      <c r="K122" s="127">
        <v>89.8</v>
      </c>
      <c r="L122" s="127">
        <v>78.2</v>
      </c>
      <c r="M122" s="127">
        <v>69.7</v>
      </c>
      <c r="N122" s="127">
        <v>71.8</v>
      </c>
      <c r="O122" s="127">
        <v>80.2</v>
      </c>
      <c r="P122" s="127">
        <v>45.3</v>
      </c>
      <c r="Q122" s="127">
        <v>69.2</v>
      </c>
      <c r="R122" s="127">
        <v>67.900000000000006</v>
      </c>
      <c r="S122" s="127">
        <v>64.599999999999994</v>
      </c>
      <c r="T122" s="127">
        <v>79.3</v>
      </c>
      <c r="U122" s="127">
        <v>78</v>
      </c>
      <c r="V122" s="127">
        <v>72.400000000000006</v>
      </c>
      <c r="W122" s="127">
        <v>76</v>
      </c>
      <c r="X122" s="127">
        <v>76.8</v>
      </c>
      <c r="Y122" s="127">
        <v>75.8</v>
      </c>
      <c r="Z122" s="127">
        <v>72.2</v>
      </c>
      <c r="AA122" s="127">
        <v>71.099999999999994</v>
      </c>
      <c r="AB122" s="127">
        <v>64.099999999999994</v>
      </c>
      <c r="AC122" s="127">
        <v>67.400000000000006</v>
      </c>
      <c r="AD122" s="127">
        <v>68.8</v>
      </c>
      <c r="AE122" s="127">
        <v>52.8</v>
      </c>
      <c r="AF122" s="127">
        <v>61.5</v>
      </c>
      <c r="AG122" s="128">
        <v>75</v>
      </c>
      <c r="AH122" s="48">
        <f t="shared" si="41"/>
        <v>89.8</v>
      </c>
      <c r="AI122" s="49">
        <f t="shared" si="42"/>
        <v>45.3</v>
      </c>
    </row>
    <row r="123" spans="1:35" x14ac:dyDescent="0.25">
      <c r="A123" s="129" t="s">
        <v>143</v>
      </c>
      <c r="B123" s="130">
        <v>85.6</v>
      </c>
      <c r="C123" s="130">
        <v>115.5</v>
      </c>
      <c r="D123" s="130">
        <v>96</v>
      </c>
      <c r="E123" s="130">
        <v>92.3</v>
      </c>
      <c r="F123" s="130">
        <v>72.8</v>
      </c>
      <c r="G123" s="130">
        <v>77.900000000000006</v>
      </c>
      <c r="H123" s="130">
        <v>70.5</v>
      </c>
      <c r="I123" s="130">
        <v>75.900000000000006</v>
      </c>
      <c r="J123" s="130">
        <v>118.7</v>
      </c>
      <c r="K123" s="130">
        <v>125.8</v>
      </c>
      <c r="L123" s="130">
        <v>114.8</v>
      </c>
      <c r="M123" s="130">
        <v>104.5</v>
      </c>
      <c r="N123" s="130">
        <v>106</v>
      </c>
      <c r="O123" s="130">
        <v>118.4</v>
      </c>
      <c r="P123" s="130">
        <v>72.400000000000006</v>
      </c>
      <c r="Q123" s="130">
        <v>103.7</v>
      </c>
      <c r="R123" s="130">
        <v>102</v>
      </c>
      <c r="S123" s="130">
        <v>96.3</v>
      </c>
      <c r="T123" s="130">
        <v>114.6</v>
      </c>
      <c r="U123" s="130">
        <v>114.6</v>
      </c>
      <c r="V123" s="130">
        <v>106.2</v>
      </c>
      <c r="W123" s="130">
        <v>111</v>
      </c>
      <c r="X123" s="130">
        <v>113.1</v>
      </c>
      <c r="Y123" s="130">
        <v>111</v>
      </c>
      <c r="Z123" s="130">
        <v>109</v>
      </c>
      <c r="AA123" s="130">
        <v>104</v>
      </c>
      <c r="AB123" s="130">
        <v>99.1</v>
      </c>
      <c r="AC123" s="130">
        <v>101.4</v>
      </c>
      <c r="AD123" s="130">
        <v>103.8</v>
      </c>
      <c r="AE123" s="130">
        <v>73.599999999999994</v>
      </c>
      <c r="AF123" s="130">
        <v>86.1</v>
      </c>
      <c r="AG123" s="128">
        <v>240</v>
      </c>
      <c r="AH123" s="48">
        <f t="shared" si="41"/>
        <v>125.8</v>
      </c>
      <c r="AI123" s="49">
        <f t="shared" si="42"/>
        <v>70.5</v>
      </c>
    </row>
    <row r="124" spans="1:35" x14ac:dyDescent="0.25">
      <c r="A124" s="129" t="s">
        <v>144</v>
      </c>
      <c r="B124" s="130">
        <v>-157</v>
      </c>
      <c r="C124" s="130">
        <v>-158.9</v>
      </c>
      <c r="D124" s="130">
        <f>-90.2-93.5</f>
        <v>-183.7</v>
      </c>
      <c r="E124" s="130">
        <f>-87.9-90.3</f>
        <v>-178.2</v>
      </c>
      <c r="F124" s="130">
        <f>-73.8-77.9</f>
        <v>-151.69999999999999</v>
      </c>
      <c r="G124" s="130">
        <f>-74-77.9</f>
        <v>-151.9</v>
      </c>
      <c r="H124" s="130">
        <f>-61.7-66.4</f>
        <v>-128.10000000000002</v>
      </c>
      <c r="I124" s="130">
        <f>-76-81.2</f>
        <v>-157.19999999999999</v>
      </c>
      <c r="J124" s="130">
        <f>-87.9-92.4</f>
        <v>-180.3</v>
      </c>
      <c r="K124" s="130">
        <f>-86.2-91</f>
        <v>-177.2</v>
      </c>
      <c r="L124" s="130">
        <f>-79.8-83.7</f>
        <v>-163.5</v>
      </c>
      <c r="M124" s="130">
        <v>-155</v>
      </c>
      <c r="N124" s="130">
        <v>-169</v>
      </c>
      <c r="O124" s="130">
        <v>-175</v>
      </c>
      <c r="P124" s="130">
        <v>-135</v>
      </c>
      <c r="Q124" s="130">
        <v>-160</v>
      </c>
      <c r="R124" s="130">
        <v>-172</v>
      </c>
      <c r="S124" s="130">
        <v>-147</v>
      </c>
      <c r="T124" s="130">
        <v>-159</v>
      </c>
      <c r="U124" s="130">
        <v>-159</v>
      </c>
      <c r="V124" s="130">
        <v>-153</v>
      </c>
      <c r="W124" s="130">
        <v>-152</v>
      </c>
      <c r="X124" s="130">
        <v>-155</v>
      </c>
      <c r="Y124" s="130">
        <v>-160</v>
      </c>
      <c r="Z124" s="130">
        <v>-151</v>
      </c>
      <c r="AA124" s="130">
        <v>-144</v>
      </c>
      <c r="AB124" s="130">
        <f>-72-81</f>
        <v>-153</v>
      </c>
      <c r="AC124" s="130">
        <f>-82-88.9</f>
        <v>-170.9</v>
      </c>
      <c r="AD124" s="130">
        <f>-83.8-88.9</f>
        <v>-172.7</v>
      </c>
      <c r="AE124" s="130">
        <f>-92-91</f>
        <v>-183</v>
      </c>
      <c r="AF124" s="130">
        <f>-66.9-71.7</f>
        <v>-138.60000000000002</v>
      </c>
      <c r="AG124" s="128">
        <v>240</v>
      </c>
      <c r="AH124" s="48">
        <f t="shared" si="41"/>
        <v>-128.10000000000002</v>
      </c>
      <c r="AI124" s="49">
        <f t="shared" si="42"/>
        <v>-183.7</v>
      </c>
    </row>
    <row r="125" spans="1:35" ht="15.75" thickBot="1" x14ac:dyDescent="0.3">
      <c r="A125" s="129" t="s">
        <v>145</v>
      </c>
      <c r="B125" s="130">
        <v>-36.9</v>
      </c>
      <c r="C125" s="130">
        <v>-29.2</v>
      </c>
      <c r="D125" s="130">
        <v>-30.1</v>
      </c>
      <c r="E125" s="130">
        <v>-29.7</v>
      </c>
      <c r="F125" s="130">
        <v>-23</v>
      </c>
      <c r="G125" s="130">
        <v>-26.4</v>
      </c>
      <c r="H125" s="130">
        <v>-22.1</v>
      </c>
      <c r="I125" s="130">
        <v>-20.7</v>
      </c>
      <c r="J125" s="130">
        <v>-22</v>
      </c>
      <c r="K125" s="130">
        <v>-15.4</v>
      </c>
      <c r="L125" s="130">
        <v>-10.1</v>
      </c>
      <c r="M125" s="130">
        <v>-12.3</v>
      </c>
      <c r="N125" s="130">
        <v>0.5</v>
      </c>
      <c r="O125" s="130">
        <v>5.0999999999999996</v>
      </c>
      <c r="P125" s="130">
        <v>-6.1</v>
      </c>
      <c r="Q125" s="130">
        <v>-13.9</v>
      </c>
      <c r="R125" s="130">
        <v>-13.2</v>
      </c>
      <c r="S125" s="130">
        <v>-4</v>
      </c>
      <c r="T125" s="130">
        <v>-2.6</v>
      </c>
      <c r="U125" s="130">
        <v>-2.6</v>
      </c>
      <c r="V125" s="130">
        <v>1.6</v>
      </c>
      <c r="W125" s="130">
        <v>-7.1</v>
      </c>
      <c r="X125" s="130">
        <v>-4</v>
      </c>
      <c r="Y125" s="130">
        <v>-7</v>
      </c>
      <c r="Z125" s="130">
        <v>-1.4</v>
      </c>
      <c r="AA125" s="130">
        <v>-4.2</v>
      </c>
      <c r="AB125" s="130">
        <v>1.5</v>
      </c>
      <c r="AC125" s="130">
        <v>-3.2</v>
      </c>
      <c r="AD125" s="130">
        <v>-5.6</v>
      </c>
      <c r="AE125" s="130">
        <v>-6.5</v>
      </c>
      <c r="AF125" s="130">
        <v>-17.8</v>
      </c>
      <c r="AG125" s="128">
        <v>60</v>
      </c>
      <c r="AH125" s="48">
        <f t="shared" si="41"/>
        <v>5.0999999999999996</v>
      </c>
      <c r="AI125" s="49">
        <f t="shared" si="42"/>
        <v>-36.9</v>
      </c>
    </row>
    <row r="126" spans="1:35" x14ac:dyDescent="0.25">
      <c r="A126" s="126" t="s">
        <v>146</v>
      </c>
      <c r="B126" s="131">
        <v>20.5</v>
      </c>
      <c r="C126" s="131">
        <v>20.5</v>
      </c>
      <c r="D126" s="131"/>
      <c r="E126" s="131">
        <v>16.5</v>
      </c>
      <c r="F126" s="131">
        <v>-9.1</v>
      </c>
      <c r="G126" s="131">
        <v>3.7</v>
      </c>
      <c r="H126" s="131"/>
      <c r="I126" s="131">
        <v>45.3</v>
      </c>
      <c r="J126" s="131">
        <v>44.8</v>
      </c>
      <c r="K126" s="131"/>
      <c r="L126" s="131">
        <v>63.1</v>
      </c>
      <c r="M126" s="131">
        <v>68.900000000000006</v>
      </c>
      <c r="N126" s="131">
        <v>69.5</v>
      </c>
      <c r="O126" s="131">
        <v>67.400000000000006</v>
      </c>
      <c r="P126" s="131"/>
      <c r="Q126" s="131"/>
      <c r="R126" s="131"/>
      <c r="S126" s="131"/>
      <c r="T126" s="131"/>
      <c r="U126" s="131"/>
      <c r="V126" s="131">
        <v>53</v>
      </c>
      <c r="W126" s="131">
        <v>63</v>
      </c>
      <c r="X126" s="131">
        <v>56</v>
      </c>
      <c r="Y126" s="131">
        <v>27.4</v>
      </c>
      <c r="Z126" s="131">
        <v>41.9</v>
      </c>
      <c r="AA126" s="131">
        <v>63.2</v>
      </c>
      <c r="AB126" s="131">
        <v>44.5</v>
      </c>
      <c r="AC126" s="131">
        <v>29.3</v>
      </c>
      <c r="AD126" s="131">
        <v>25</v>
      </c>
      <c r="AE126" s="131">
        <v>0</v>
      </c>
      <c r="AF126" s="131">
        <v>-61.3</v>
      </c>
      <c r="AG126" s="132">
        <v>120</v>
      </c>
      <c r="AH126" s="48">
        <f t="shared" si="41"/>
        <v>69.5</v>
      </c>
      <c r="AI126" s="49">
        <f t="shared" si="42"/>
        <v>-61.3</v>
      </c>
    </row>
    <row r="127" spans="1:35" x14ac:dyDescent="0.25">
      <c r="A127" s="129" t="s">
        <v>147</v>
      </c>
      <c r="B127" s="131">
        <v>38.4</v>
      </c>
      <c r="C127" s="131">
        <v>38.700000000000003</v>
      </c>
      <c r="D127" s="131">
        <v>35.299999999999997</v>
      </c>
      <c r="E127" s="131">
        <v>34.6</v>
      </c>
      <c r="F127" s="131">
        <v>34.6</v>
      </c>
      <c r="G127" s="131">
        <v>40.299999999999997</v>
      </c>
      <c r="H127" s="131">
        <v>49.1</v>
      </c>
      <c r="I127" s="131">
        <v>67.400000000000006</v>
      </c>
      <c r="J127" s="131">
        <v>66.7</v>
      </c>
      <c r="K127" s="131">
        <v>68.400000000000006</v>
      </c>
      <c r="L127" s="131">
        <v>79.3</v>
      </c>
      <c r="M127" s="131">
        <v>84.6</v>
      </c>
      <c r="N127" s="131">
        <v>81.400000000000006</v>
      </c>
      <c r="O127" s="131">
        <v>79.5</v>
      </c>
      <c r="P127" s="131">
        <v>105.3</v>
      </c>
      <c r="Q127" s="131">
        <v>86.9</v>
      </c>
      <c r="R127" s="131">
        <v>84.5</v>
      </c>
      <c r="S127" s="131">
        <v>81</v>
      </c>
      <c r="T127" s="131">
        <v>73.400000000000006</v>
      </c>
      <c r="U127" s="131">
        <v>73.400000000000006</v>
      </c>
      <c r="V127" s="131">
        <v>78.400000000000006</v>
      </c>
      <c r="W127" s="131">
        <v>83</v>
      </c>
      <c r="X127" s="131">
        <v>79</v>
      </c>
      <c r="Y127" s="131">
        <v>93.2</v>
      </c>
      <c r="Z127" s="131">
        <v>100</v>
      </c>
      <c r="AA127" s="131">
        <v>111</v>
      </c>
      <c r="AB127" s="131">
        <v>100.8</v>
      </c>
      <c r="AC127" s="131">
        <v>94.5</v>
      </c>
      <c r="AD127" s="131">
        <v>92</v>
      </c>
      <c r="AE127" s="131">
        <v>71</v>
      </c>
      <c r="AF127" s="131">
        <v>36.799999999999997</v>
      </c>
      <c r="AG127" s="132"/>
      <c r="AH127" s="48"/>
      <c r="AI127" s="49"/>
    </row>
    <row r="128" spans="1:35" x14ac:dyDescent="0.25">
      <c r="A128" s="129" t="s">
        <v>148</v>
      </c>
      <c r="B128" s="131">
        <v>-6.8</v>
      </c>
      <c r="C128" s="131">
        <v>-3.7</v>
      </c>
      <c r="D128" s="131">
        <v>-3.7</v>
      </c>
      <c r="E128" s="131">
        <v>-3.2</v>
      </c>
      <c r="F128" s="131">
        <v>-1.3</v>
      </c>
      <c r="G128" s="131">
        <v>-3.7</v>
      </c>
      <c r="H128" s="131">
        <v>-3.8</v>
      </c>
      <c r="I128" s="131">
        <v>33.1</v>
      </c>
      <c r="J128" s="131">
        <v>8.4</v>
      </c>
      <c r="K128" s="131">
        <v>-5.7</v>
      </c>
      <c r="L128" s="131">
        <v>2.7</v>
      </c>
      <c r="M128" s="131">
        <v>12.2</v>
      </c>
      <c r="N128" s="131">
        <v>14.3</v>
      </c>
      <c r="O128" s="131">
        <v>8.4</v>
      </c>
      <c r="P128" s="131">
        <v>44</v>
      </c>
      <c r="Q128" s="131">
        <v>20.5</v>
      </c>
      <c r="R128" s="131">
        <v>21.9</v>
      </c>
      <c r="S128" s="131">
        <v>15</v>
      </c>
      <c r="T128" s="131">
        <v>-1.5</v>
      </c>
      <c r="U128" s="131">
        <v>-1.5</v>
      </c>
      <c r="V128" s="131">
        <v>7.1</v>
      </c>
      <c r="W128" s="131">
        <v>4.8</v>
      </c>
      <c r="X128" s="131">
        <v>-0.1</v>
      </c>
      <c r="Y128" s="131">
        <v>10.4</v>
      </c>
      <c r="Z128" s="131">
        <v>15</v>
      </c>
      <c r="AA128" s="131">
        <v>20</v>
      </c>
      <c r="AB128" s="131">
        <v>30.9</v>
      </c>
      <c r="AC128" s="131">
        <v>29</v>
      </c>
      <c r="AD128" s="131">
        <v>28.1</v>
      </c>
      <c r="AE128" s="131">
        <v>46</v>
      </c>
      <c r="AF128" s="131">
        <v>-11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69.2</v>
      </c>
      <c r="C129" s="131">
        <v>61.8</v>
      </c>
      <c r="D129" s="131">
        <v>34.1</v>
      </c>
      <c r="E129" s="131">
        <v>37</v>
      </c>
      <c r="F129" s="131">
        <v>50.9</v>
      </c>
      <c r="G129" s="131">
        <v>54.7</v>
      </c>
      <c r="H129" s="131">
        <v>57.5</v>
      </c>
      <c r="I129" s="131">
        <v>43</v>
      </c>
      <c r="J129" s="131">
        <v>64.2</v>
      </c>
      <c r="K129" s="131">
        <v>61</v>
      </c>
      <c r="L129" s="131">
        <v>77</v>
      </c>
      <c r="M129" s="131">
        <v>53.3</v>
      </c>
      <c r="N129" s="131">
        <v>49</v>
      </c>
      <c r="O129" s="131">
        <v>42.7</v>
      </c>
      <c r="P129" s="131">
        <v>72.5</v>
      </c>
      <c r="Q129" s="131">
        <v>60</v>
      </c>
      <c r="R129" s="131">
        <v>52.9</v>
      </c>
      <c r="S129" s="131">
        <v>59</v>
      </c>
      <c r="T129" s="131">
        <v>57</v>
      </c>
      <c r="U129" s="131">
        <v>57</v>
      </c>
      <c r="V129" s="131">
        <v>43.2</v>
      </c>
      <c r="W129" s="131">
        <v>49.2</v>
      </c>
      <c r="X129" s="131">
        <v>44</v>
      </c>
      <c r="Y129" s="131">
        <v>36.200000000000003</v>
      </c>
      <c r="Z129" s="131">
        <v>46</v>
      </c>
      <c r="AA129" s="131">
        <v>58.4</v>
      </c>
      <c r="AB129" s="131">
        <v>45.5</v>
      </c>
      <c r="AC129" s="131">
        <v>34.799999999999997</v>
      </c>
      <c r="AD129" s="131">
        <v>34.299999999999997</v>
      </c>
      <c r="AE129" s="131">
        <v>42</v>
      </c>
      <c r="AF129" s="131">
        <v>74.5</v>
      </c>
      <c r="AG129" s="128"/>
      <c r="AH129" s="48">
        <f>MAX(B129:AF129)</f>
        <v>77</v>
      </c>
      <c r="AI129" s="49">
        <f>MIN(B129:AF129)</f>
        <v>34.1</v>
      </c>
    </row>
    <row r="130" spans="1:37" x14ac:dyDescent="0.25">
      <c r="A130" s="126" t="s">
        <v>150</v>
      </c>
      <c r="B130" s="131">
        <v>-338.2</v>
      </c>
      <c r="C130" s="131">
        <v>-342.7</v>
      </c>
      <c r="D130" s="131">
        <v>-336.3</v>
      </c>
      <c r="E130" s="131">
        <v>-331</v>
      </c>
      <c r="F130" s="131">
        <v>-342.9</v>
      </c>
      <c r="G130" s="131">
        <v>-338.2</v>
      </c>
      <c r="H130" s="131">
        <v>-329</v>
      </c>
      <c r="I130" s="131">
        <v>-318.60000000000002</v>
      </c>
      <c r="J130" s="131">
        <v>-328.2</v>
      </c>
      <c r="K130" s="131">
        <v>-327.5</v>
      </c>
      <c r="L130" s="131">
        <v>-330.1</v>
      </c>
      <c r="M130" s="131">
        <v>-329.4</v>
      </c>
      <c r="N130" s="131">
        <v>-347</v>
      </c>
      <c r="O130" s="131">
        <v>-354.6</v>
      </c>
      <c r="P130" s="131">
        <v>-336.9</v>
      </c>
      <c r="Q130" s="131">
        <v>-327.60000000000002</v>
      </c>
      <c r="R130" s="131">
        <v>-347.4</v>
      </c>
      <c r="S130" s="131">
        <v>-341.1</v>
      </c>
      <c r="T130" s="131">
        <v>-336</v>
      </c>
      <c r="U130" s="131">
        <v>-336</v>
      </c>
      <c r="V130" s="131">
        <v>-332</v>
      </c>
      <c r="W130" s="131">
        <v>-328</v>
      </c>
      <c r="X130" s="131">
        <v>-330</v>
      </c>
      <c r="Y130" s="131">
        <v>-342</v>
      </c>
      <c r="Z130" s="131">
        <v>-336</v>
      </c>
      <c r="AA130" s="131">
        <v>-338</v>
      </c>
      <c r="AB130" s="131">
        <v>-360</v>
      </c>
      <c r="AC130" s="131">
        <v>-367.2</v>
      </c>
      <c r="AD130" s="131">
        <v>-369.7</v>
      </c>
      <c r="AE130" s="131">
        <v>-365</v>
      </c>
      <c r="AF130" s="131">
        <v>-381.6</v>
      </c>
      <c r="AG130" s="128"/>
      <c r="AH130" s="48">
        <f>MAX(B130:AF130)</f>
        <v>-318.60000000000002</v>
      </c>
      <c r="AI130" s="49">
        <f>MIN(B130:AF130)</f>
        <v>-381.6</v>
      </c>
    </row>
    <row r="131" spans="1:37" x14ac:dyDescent="0.25">
      <c r="A131" s="129" t="s">
        <v>151</v>
      </c>
      <c r="B131" s="119">
        <v>114.6</v>
      </c>
      <c r="C131" s="119">
        <v>118.6</v>
      </c>
      <c r="D131" s="119">
        <v>120.5</v>
      </c>
      <c r="E131" s="119">
        <v>111.4</v>
      </c>
      <c r="F131" s="119">
        <v>121.9</v>
      </c>
      <c r="G131" s="119">
        <v>115.7</v>
      </c>
      <c r="H131" s="119">
        <v>117.3</v>
      </c>
      <c r="I131" s="119">
        <v>116.3</v>
      </c>
      <c r="J131" s="119">
        <v>114.7</v>
      </c>
      <c r="K131" s="119">
        <v>113.8</v>
      </c>
      <c r="L131" s="119">
        <v>94.6</v>
      </c>
      <c r="M131" s="119">
        <v>109.2</v>
      </c>
      <c r="N131" s="119">
        <v>0</v>
      </c>
      <c r="O131" s="119">
        <v>50.9</v>
      </c>
      <c r="P131" s="119">
        <v>100.8</v>
      </c>
      <c r="Q131" s="119">
        <v>111.5</v>
      </c>
      <c r="R131" s="119">
        <v>75.099999999999994</v>
      </c>
      <c r="S131" s="119">
        <v>121</v>
      </c>
      <c r="T131" s="119">
        <v>113</v>
      </c>
      <c r="U131" s="119">
        <v>113</v>
      </c>
      <c r="V131" s="119">
        <v>108</v>
      </c>
      <c r="W131" s="119">
        <v>102.4</v>
      </c>
      <c r="X131" s="119">
        <v>103.2</v>
      </c>
      <c r="Y131" s="119">
        <v>97.2</v>
      </c>
      <c r="Z131" s="119">
        <v>90</v>
      </c>
      <c r="AA131" s="119">
        <v>84.1</v>
      </c>
      <c r="AB131" s="119">
        <v>86.3</v>
      </c>
      <c r="AC131" s="119">
        <v>88.6</v>
      </c>
      <c r="AD131" s="119">
        <v>86.5</v>
      </c>
      <c r="AE131" s="119">
        <v>98</v>
      </c>
      <c r="AF131" s="119">
        <v>104</v>
      </c>
      <c r="AG131" s="128"/>
      <c r="AH131" s="48">
        <f>MAX(B131:AF131)</f>
        <v>121.9</v>
      </c>
      <c r="AI131" s="49">
        <f>MIN(B131:AF131)</f>
        <v>0</v>
      </c>
    </row>
    <row r="132" spans="1:37" x14ac:dyDescent="0.25">
      <c r="A132" s="129" t="s">
        <v>152</v>
      </c>
      <c r="B132" s="119">
        <v>-34.799999999999997</v>
      </c>
      <c r="C132" s="119">
        <v>-32.299999999999997</v>
      </c>
      <c r="D132" s="119">
        <v>-33.6</v>
      </c>
      <c r="E132" s="119">
        <v>-33.6</v>
      </c>
      <c r="F132" s="119">
        <v>-35.1</v>
      </c>
      <c r="G132" s="119">
        <v>-36.700000000000003</v>
      </c>
      <c r="H132" s="119">
        <v>-36.1</v>
      </c>
      <c r="I132" s="119">
        <v>-36.200000000000003</v>
      </c>
      <c r="J132" s="119">
        <v>-33.299999999999997</v>
      </c>
      <c r="K132" s="119">
        <v>-33.1</v>
      </c>
      <c r="L132" s="119">
        <v>-28.7</v>
      </c>
      <c r="M132" s="119">
        <v>-35.700000000000003</v>
      </c>
      <c r="N132" s="119">
        <v>-8.5</v>
      </c>
      <c r="O132" s="119">
        <v>-17.5</v>
      </c>
      <c r="P132" s="119">
        <v>-29.4</v>
      </c>
      <c r="Q132" s="119">
        <v>-31.1</v>
      </c>
      <c r="R132" s="119">
        <v>-18.600000000000001</v>
      </c>
      <c r="S132" s="119">
        <v>-28.4</v>
      </c>
      <c r="T132" s="119">
        <v>-27</v>
      </c>
      <c r="U132" s="119">
        <v>-27</v>
      </c>
      <c r="V132" s="119">
        <v>-26</v>
      </c>
      <c r="W132" s="119">
        <v>-28.4</v>
      </c>
      <c r="X132" s="119">
        <v>-32</v>
      </c>
      <c r="Y132" s="119">
        <v>-25</v>
      </c>
      <c r="Z132" s="119">
        <v>-22</v>
      </c>
      <c r="AA132" s="119">
        <v>-20</v>
      </c>
      <c r="AB132" s="119">
        <v>-17.2</v>
      </c>
      <c r="AC132" s="119">
        <v>-18.100000000000001</v>
      </c>
      <c r="AD132" s="119">
        <v>-16.7</v>
      </c>
      <c r="AE132" s="119">
        <v>-23.4</v>
      </c>
      <c r="AF132" s="119">
        <v>-22.9</v>
      </c>
      <c r="AG132" s="128"/>
      <c r="AH132" s="48">
        <f>MAX(B132:AF132)</f>
        <v>-8.5</v>
      </c>
      <c r="AI132" s="49">
        <f>MIN(B132:AF132)</f>
        <v>-36.700000000000003</v>
      </c>
    </row>
    <row r="133" spans="1:37" ht="15.75" thickBot="1" x14ac:dyDescent="0.3">
      <c r="A133" s="129" t="s">
        <v>153</v>
      </c>
      <c r="B133" s="119">
        <v>36.299999999999997</v>
      </c>
      <c r="C133" s="119">
        <v>35.6</v>
      </c>
      <c r="D133" s="119">
        <v>38</v>
      </c>
      <c r="E133" s="119">
        <v>37.9</v>
      </c>
      <c r="F133" s="119">
        <v>36.1</v>
      </c>
      <c r="G133" s="119">
        <v>34.299999999999997</v>
      </c>
      <c r="H133" s="119">
        <v>32.200000000000003</v>
      </c>
      <c r="I133" s="119">
        <v>34.200000000000003</v>
      </c>
      <c r="J133" s="119">
        <v>36</v>
      </c>
      <c r="K133" s="119">
        <v>37.700000000000003</v>
      </c>
      <c r="L133" s="119">
        <v>42.3</v>
      </c>
      <c r="M133" s="119">
        <v>34.4</v>
      </c>
      <c r="N133" s="119">
        <v>55.4</v>
      </c>
      <c r="O133" s="119">
        <v>50</v>
      </c>
      <c r="P133" s="119">
        <v>38.700000000000003</v>
      </c>
      <c r="Q133" s="119">
        <v>35.799999999999997</v>
      </c>
      <c r="R133" s="119">
        <v>48</v>
      </c>
      <c r="S133" s="119">
        <v>40</v>
      </c>
      <c r="T133" s="119">
        <v>39</v>
      </c>
      <c r="U133" s="119">
        <v>39</v>
      </c>
      <c r="V133" s="119">
        <v>40</v>
      </c>
      <c r="W133" s="119">
        <v>38.299999999999997</v>
      </c>
      <c r="X133" s="119">
        <v>38</v>
      </c>
      <c r="Y133" s="119">
        <v>42.5</v>
      </c>
      <c r="Z133" s="119">
        <v>43</v>
      </c>
      <c r="AA133" s="119">
        <v>44</v>
      </c>
      <c r="AB133" s="119">
        <v>45.7</v>
      </c>
      <c r="AC133" s="119">
        <v>47.3</v>
      </c>
      <c r="AD133" s="119">
        <v>47.6</v>
      </c>
      <c r="AE133" s="119">
        <v>45</v>
      </c>
      <c r="AF133" s="119">
        <v>42.4</v>
      </c>
      <c r="AG133" s="128"/>
      <c r="AH133" s="48">
        <f>MAX(B133:AF133)</f>
        <v>55.4</v>
      </c>
      <c r="AI133" s="49">
        <f>MIN(B133:AF133)</f>
        <v>32.200000000000003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 t="s">
        <v>162</v>
      </c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>
        <v>1494.9</v>
      </c>
      <c r="N140" s="142"/>
      <c r="O140" s="142"/>
      <c r="P140" s="142"/>
      <c r="Q140" s="142"/>
      <c r="R140" s="142">
        <v>1495.06</v>
      </c>
      <c r="S140" s="142">
        <v>1495.08</v>
      </c>
      <c r="T140" s="142"/>
      <c r="U140" s="142"/>
      <c r="V140" s="142"/>
      <c r="W140" s="142"/>
      <c r="X140" s="142"/>
      <c r="Y140" s="142"/>
      <c r="Z140" s="142"/>
      <c r="AA140" s="142"/>
      <c r="AB140" s="142">
        <v>1495.29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90">SUM(B142:B246)</f>
        <v>0</v>
      </c>
      <c r="C247" s="161">
        <f t="shared" si="90"/>
        <v>0</v>
      </c>
      <c r="D247" s="161">
        <f t="shared" si="90"/>
        <v>0</v>
      </c>
      <c r="E247" s="161">
        <f t="shared" si="90"/>
        <v>0</v>
      </c>
      <c r="F247" s="161">
        <f t="shared" si="90"/>
        <v>0</v>
      </c>
      <c r="G247" s="161">
        <f t="shared" si="90"/>
        <v>0</v>
      </c>
      <c r="H247" s="161">
        <f t="shared" si="90"/>
        <v>0</v>
      </c>
      <c r="I247" s="161">
        <f t="shared" si="90"/>
        <v>0</v>
      </c>
      <c r="J247" s="161">
        <f t="shared" si="90"/>
        <v>0</v>
      </c>
      <c r="K247" s="161">
        <f t="shared" si="90"/>
        <v>0</v>
      </c>
      <c r="L247" s="161">
        <f t="shared" si="90"/>
        <v>0</v>
      </c>
      <c r="M247" s="161">
        <f t="shared" si="90"/>
        <v>0</v>
      </c>
      <c r="N247" s="161">
        <f t="shared" si="90"/>
        <v>0</v>
      </c>
      <c r="O247" s="161">
        <f t="shared" si="90"/>
        <v>0</v>
      </c>
      <c r="P247" s="161">
        <f t="shared" si="90"/>
        <v>0</v>
      </c>
      <c r="Q247" s="161">
        <f t="shared" si="90"/>
        <v>0</v>
      </c>
      <c r="R247" s="161">
        <f t="shared" si="90"/>
        <v>0</v>
      </c>
      <c r="S247" s="161">
        <f t="shared" si="90"/>
        <v>0</v>
      </c>
      <c r="T247" s="161">
        <f t="shared" si="90"/>
        <v>0</v>
      </c>
      <c r="U247" s="161">
        <f t="shared" si="90"/>
        <v>0</v>
      </c>
      <c r="V247" s="161">
        <f t="shared" si="90"/>
        <v>0</v>
      </c>
      <c r="W247" s="161">
        <f t="shared" si="90"/>
        <v>0</v>
      </c>
      <c r="X247" s="161">
        <f t="shared" si="90"/>
        <v>0</v>
      </c>
      <c r="Y247" s="161">
        <f t="shared" si="90"/>
        <v>0</v>
      </c>
      <c r="Z247" s="161">
        <f t="shared" si="90"/>
        <v>0</v>
      </c>
      <c r="AA247" s="161">
        <f t="shared" si="90"/>
        <v>0</v>
      </c>
      <c r="AB247" s="161">
        <f t="shared" si="90"/>
        <v>0</v>
      </c>
      <c r="AC247" s="161">
        <f t="shared" si="90"/>
        <v>0</v>
      </c>
      <c r="AD247" s="161">
        <f t="shared" si="90"/>
        <v>0</v>
      </c>
      <c r="AE247" s="161">
        <f t="shared" si="90"/>
        <v>0</v>
      </c>
      <c r="AF247" s="162">
        <f t="shared" si="90"/>
        <v>0</v>
      </c>
      <c r="AG247" s="163">
        <f t="shared" si="90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91">AF249</f>
        <v>0.3</v>
      </c>
      <c r="C249" s="166">
        <v>0.3</v>
      </c>
      <c r="D249" s="166">
        <f t="shared" ref="D249:S254" si="92">C249</f>
        <v>0.3</v>
      </c>
      <c r="E249" s="166">
        <f t="shared" si="92"/>
        <v>0.3</v>
      </c>
      <c r="F249" s="166">
        <f t="shared" si="92"/>
        <v>0.3</v>
      </c>
      <c r="G249" s="166">
        <f t="shared" si="92"/>
        <v>0.3</v>
      </c>
      <c r="H249" s="166">
        <f t="shared" si="92"/>
        <v>0.3</v>
      </c>
      <c r="I249" s="166">
        <f t="shared" si="92"/>
        <v>0.3</v>
      </c>
      <c r="J249" s="166">
        <f t="shared" si="92"/>
        <v>0.3</v>
      </c>
      <c r="K249" s="166">
        <f t="shared" si="92"/>
        <v>0.3</v>
      </c>
      <c r="L249" s="166">
        <f t="shared" si="92"/>
        <v>0.3</v>
      </c>
      <c r="M249" s="166">
        <f t="shared" si="92"/>
        <v>0.3</v>
      </c>
      <c r="N249" s="166">
        <f t="shared" si="92"/>
        <v>0.3</v>
      </c>
      <c r="O249" s="166">
        <f t="shared" si="92"/>
        <v>0.3</v>
      </c>
      <c r="P249" s="166">
        <f t="shared" si="92"/>
        <v>0.3</v>
      </c>
      <c r="Q249" s="166">
        <f t="shared" si="92"/>
        <v>0.3</v>
      </c>
      <c r="R249" s="166">
        <f t="shared" si="92"/>
        <v>0.3</v>
      </c>
      <c r="S249" s="166">
        <f t="shared" si="92"/>
        <v>0.3</v>
      </c>
      <c r="T249" s="166">
        <f t="shared" ref="T249:AF254" si="93">S249</f>
        <v>0.3</v>
      </c>
      <c r="U249" s="166">
        <f t="shared" si="93"/>
        <v>0.3</v>
      </c>
      <c r="V249" s="166">
        <f t="shared" si="93"/>
        <v>0.3</v>
      </c>
      <c r="W249" s="166">
        <f t="shared" si="93"/>
        <v>0.3</v>
      </c>
      <c r="X249" s="166">
        <f t="shared" si="93"/>
        <v>0.3</v>
      </c>
      <c r="Y249" s="166">
        <f t="shared" si="93"/>
        <v>0.3</v>
      </c>
      <c r="Z249" s="166">
        <f t="shared" si="93"/>
        <v>0.3</v>
      </c>
      <c r="AA249" s="166">
        <f t="shared" si="93"/>
        <v>0.3</v>
      </c>
      <c r="AB249" s="166">
        <f t="shared" si="93"/>
        <v>0.3</v>
      </c>
      <c r="AC249" s="166">
        <f t="shared" si="93"/>
        <v>0.3</v>
      </c>
      <c r="AD249" s="166">
        <f t="shared" si="93"/>
        <v>0.3</v>
      </c>
      <c r="AE249" s="166">
        <f t="shared" si="93"/>
        <v>0.3</v>
      </c>
      <c r="AF249" s="166">
        <f t="shared" si="93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91"/>
        <v>0.4</v>
      </c>
      <c r="C250" s="152">
        <v>0.4</v>
      </c>
      <c r="D250" s="152">
        <f t="shared" si="92"/>
        <v>0.4</v>
      </c>
      <c r="E250" s="152">
        <f t="shared" si="92"/>
        <v>0.4</v>
      </c>
      <c r="F250" s="152">
        <f t="shared" si="92"/>
        <v>0.4</v>
      </c>
      <c r="G250" s="152">
        <f t="shared" si="92"/>
        <v>0.4</v>
      </c>
      <c r="H250" s="152">
        <f t="shared" si="92"/>
        <v>0.4</v>
      </c>
      <c r="I250" s="152">
        <f t="shared" si="92"/>
        <v>0.4</v>
      </c>
      <c r="J250" s="152">
        <f t="shared" si="92"/>
        <v>0.4</v>
      </c>
      <c r="K250" s="152">
        <f t="shared" si="92"/>
        <v>0.4</v>
      </c>
      <c r="L250" s="152">
        <f t="shared" si="92"/>
        <v>0.4</v>
      </c>
      <c r="M250" s="152">
        <f t="shared" si="92"/>
        <v>0.4</v>
      </c>
      <c r="N250" s="152">
        <f t="shared" si="92"/>
        <v>0.4</v>
      </c>
      <c r="O250" s="152">
        <f t="shared" si="92"/>
        <v>0.4</v>
      </c>
      <c r="P250" s="152">
        <f t="shared" si="92"/>
        <v>0.4</v>
      </c>
      <c r="Q250" s="152">
        <f t="shared" si="92"/>
        <v>0.4</v>
      </c>
      <c r="R250" s="152">
        <f t="shared" si="92"/>
        <v>0.4</v>
      </c>
      <c r="S250" s="152">
        <f t="shared" si="92"/>
        <v>0.4</v>
      </c>
      <c r="T250" s="152">
        <f t="shared" si="93"/>
        <v>0.4</v>
      </c>
      <c r="U250" s="152">
        <f t="shared" si="93"/>
        <v>0.4</v>
      </c>
      <c r="V250" s="152">
        <f t="shared" si="93"/>
        <v>0.4</v>
      </c>
      <c r="W250" s="152">
        <f t="shared" si="93"/>
        <v>0.4</v>
      </c>
      <c r="X250" s="152">
        <f t="shared" si="93"/>
        <v>0.4</v>
      </c>
      <c r="Y250" s="152">
        <f t="shared" si="93"/>
        <v>0.4</v>
      </c>
      <c r="Z250" s="152">
        <f t="shared" si="93"/>
        <v>0.4</v>
      </c>
      <c r="AA250" s="152">
        <f t="shared" si="93"/>
        <v>0.4</v>
      </c>
      <c r="AB250" s="152">
        <f t="shared" si="93"/>
        <v>0.4</v>
      </c>
      <c r="AC250" s="152">
        <f t="shared" si="93"/>
        <v>0.4</v>
      </c>
      <c r="AD250" s="152">
        <f t="shared" si="93"/>
        <v>0.4</v>
      </c>
      <c r="AE250" s="152">
        <f t="shared" si="93"/>
        <v>0.4</v>
      </c>
      <c r="AF250" s="152">
        <f t="shared" si="93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91"/>
        <v>1.5</v>
      </c>
      <c r="C251" s="152">
        <v>1.5</v>
      </c>
      <c r="D251" s="152">
        <f t="shared" si="92"/>
        <v>1.5</v>
      </c>
      <c r="E251" s="152">
        <f t="shared" si="92"/>
        <v>1.5</v>
      </c>
      <c r="F251" s="152">
        <f t="shared" si="92"/>
        <v>1.5</v>
      </c>
      <c r="G251" s="152">
        <f t="shared" si="92"/>
        <v>1.5</v>
      </c>
      <c r="H251" s="152">
        <f t="shared" si="92"/>
        <v>1.5</v>
      </c>
      <c r="I251" s="152">
        <f t="shared" si="92"/>
        <v>1.5</v>
      </c>
      <c r="J251" s="152">
        <f t="shared" si="92"/>
        <v>1.5</v>
      </c>
      <c r="K251" s="152">
        <f t="shared" si="92"/>
        <v>1.5</v>
      </c>
      <c r="L251" s="152">
        <f t="shared" si="92"/>
        <v>1.5</v>
      </c>
      <c r="M251" s="152">
        <f t="shared" si="92"/>
        <v>1.5</v>
      </c>
      <c r="N251" s="152">
        <f t="shared" si="92"/>
        <v>1.5</v>
      </c>
      <c r="O251" s="152">
        <f t="shared" si="92"/>
        <v>1.5</v>
      </c>
      <c r="P251" s="152">
        <f t="shared" si="92"/>
        <v>1.5</v>
      </c>
      <c r="Q251" s="152">
        <f t="shared" si="92"/>
        <v>1.5</v>
      </c>
      <c r="R251" s="152">
        <f t="shared" si="92"/>
        <v>1.5</v>
      </c>
      <c r="S251" s="152">
        <f t="shared" si="92"/>
        <v>1.5</v>
      </c>
      <c r="T251" s="152">
        <f t="shared" si="93"/>
        <v>1.5</v>
      </c>
      <c r="U251" s="152">
        <f t="shared" si="93"/>
        <v>1.5</v>
      </c>
      <c r="V251" s="152">
        <f t="shared" si="93"/>
        <v>1.5</v>
      </c>
      <c r="W251" s="152">
        <f t="shared" si="93"/>
        <v>1.5</v>
      </c>
      <c r="X251" s="152">
        <f t="shared" si="93"/>
        <v>1.5</v>
      </c>
      <c r="Y251" s="152">
        <f t="shared" si="93"/>
        <v>1.5</v>
      </c>
      <c r="Z251" s="152">
        <f t="shared" si="93"/>
        <v>1.5</v>
      </c>
      <c r="AA251" s="152">
        <f t="shared" si="93"/>
        <v>1.5</v>
      </c>
      <c r="AB251" s="152">
        <f t="shared" si="93"/>
        <v>1.5</v>
      </c>
      <c r="AC251" s="152">
        <f t="shared" si="93"/>
        <v>1.5</v>
      </c>
      <c r="AD251" s="152">
        <f t="shared" si="93"/>
        <v>1.5</v>
      </c>
      <c r="AE251" s="152">
        <f t="shared" si="93"/>
        <v>1.5</v>
      </c>
      <c r="AF251" s="152">
        <f t="shared" si="93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91"/>
        <v>0.3</v>
      </c>
      <c r="C252" s="152">
        <v>0.3</v>
      </c>
      <c r="D252" s="152">
        <f t="shared" si="92"/>
        <v>0.3</v>
      </c>
      <c r="E252" s="152">
        <f t="shared" si="92"/>
        <v>0.3</v>
      </c>
      <c r="F252" s="152">
        <f t="shared" si="92"/>
        <v>0.3</v>
      </c>
      <c r="G252" s="152">
        <f t="shared" si="92"/>
        <v>0.3</v>
      </c>
      <c r="H252" s="152">
        <f t="shared" si="92"/>
        <v>0.3</v>
      </c>
      <c r="I252" s="152">
        <f t="shared" si="92"/>
        <v>0.3</v>
      </c>
      <c r="J252" s="152">
        <f t="shared" si="92"/>
        <v>0.3</v>
      </c>
      <c r="K252" s="152">
        <f t="shared" si="92"/>
        <v>0.3</v>
      </c>
      <c r="L252" s="152">
        <f t="shared" si="92"/>
        <v>0.3</v>
      </c>
      <c r="M252" s="152">
        <f t="shared" si="92"/>
        <v>0.3</v>
      </c>
      <c r="N252" s="152">
        <f t="shared" si="92"/>
        <v>0.3</v>
      </c>
      <c r="O252" s="152">
        <f t="shared" si="92"/>
        <v>0.3</v>
      </c>
      <c r="P252" s="152">
        <f t="shared" si="92"/>
        <v>0.3</v>
      </c>
      <c r="Q252" s="152">
        <f t="shared" si="92"/>
        <v>0.3</v>
      </c>
      <c r="R252" s="152">
        <f t="shared" si="92"/>
        <v>0.3</v>
      </c>
      <c r="S252" s="152">
        <f t="shared" si="92"/>
        <v>0.3</v>
      </c>
      <c r="T252" s="152">
        <f t="shared" si="93"/>
        <v>0.3</v>
      </c>
      <c r="U252" s="152">
        <f t="shared" si="93"/>
        <v>0.3</v>
      </c>
      <c r="V252" s="152">
        <f t="shared" si="93"/>
        <v>0.3</v>
      </c>
      <c r="W252" s="152">
        <f t="shared" si="93"/>
        <v>0.3</v>
      </c>
      <c r="X252" s="152">
        <f t="shared" si="93"/>
        <v>0.3</v>
      </c>
      <c r="Y252" s="152">
        <f t="shared" si="93"/>
        <v>0.3</v>
      </c>
      <c r="Z252" s="152">
        <f t="shared" si="93"/>
        <v>0.3</v>
      </c>
      <c r="AA252" s="152">
        <f t="shared" si="93"/>
        <v>0.3</v>
      </c>
      <c r="AB252" s="152">
        <f t="shared" si="93"/>
        <v>0.3</v>
      </c>
      <c r="AC252" s="152">
        <f t="shared" si="93"/>
        <v>0.3</v>
      </c>
      <c r="AD252" s="152">
        <f t="shared" si="93"/>
        <v>0.3</v>
      </c>
      <c r="AE252" s="152">
        <f t="shared" si="93"/>
        <v>0.3</v>
      </c>
      <c r="AF252" s="152">
        <f t="shared" si="93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91"/>
        <v>0.4</v>
      </c>
      <c r="C253" s="152">
        <v>0.4</v>
      </c>
      <c r="D253" s="152">
        <f t="shared" si="92"/>
        <v>0.4</v>
      </c>
      <c r="E253" s="152">
        <f t="shared" si="92"/>
        <v>0.4</v>
      </c>
      <c r="F253" s="152">
        <f t="shared" si="92"/>
        <v>0.4</v>
      </c>
      <c r="G253" s="152">
        <f t="shared" si="92"/>
        <v>0.4</v>
      </c>
      <c r="H253" s="152">
        <f t="shared" si="92"/>
        <v>0.4</v>
      </c>
      <c r="I253" s="152">
        <f t="shared" si="92"/>
        <v>0.4</v>
      </c>
      <c r="J253" s="152">
        <f t="shared" si="92"/>
        <v>0.4</v>
      </c>
      <c r="K253" s="152">
        <f t="shared" si="92"/>
        <v>0.4</v>
      </c>
      <c r="L253" s="152">
        <f t="shared" si="92"/>
        <v>0.4</v>
      </c>
      <c r="M253" s="152">
        <f t="shared" si="92"/>
        <v>0.4</v>
      </c>
      <c r="N253" s="152">
        <f t="shared" si="92"/>
        <v>0.4</v>
      </c>
      <c r="O253" s="152">
        <f t="shared" si="92"/>
        <v>0.4</v>
      </c>
      <c r="P253" s="152">
        <f t="shared" si="92"/>
        <v>0.4</v>
      </c>
      <c r="Q253" s="152">
        <f t="shared" si="92"/>
        <v>0.4</v>
      </c>
      <c r="R253" s="152">
        <f t="shared" si="92"/>
        <v>0.4</v>
      </c>
      <c r="S253" s="152">
        <f t="shared" si="92"/>
        <v>0.4</v>
      </c>
      <c r="T253" s="152">
        <f t="shared" si="93"/>
        <v>0.4</v>
      </c>
      <c r="U253" s="152">
        <f t="shared" si="93"/>
        <v>0.4</v>
      </c>
      <c r="V253" s="152">
        <f t="shared" si="93"/>
        <v>0.4</v>
      </c>
      <c r="W253" s="152">
        <f t="shared" si="93"/>
        <v>0.4</v>
      </c>
      <c r="X253" s="152">
        <f t="shared" si="93"/>
        <v>0.4</v>
      </c>
      <c r="Y253" s="152">
        <f t="shared" si="93"/>
        <v>0.4</v>
      </c>
      <c r="Z253" s="152">
        <f t="shared" si="93"/>
        <v>0.4</v>
      </c>
      <c r="AA253" s="152">
        <f t="shared" si="93"/>
        <v>0.4</v>
      </c>
      <c r="AB253" s="152">
        <f t="shared" si="93"/>
        <v>0.4</v>
      </c>
      <c r="AC253" s="152">
        <f t="shared" si="93"/>
        <v>0.4</v>
      </c>
      <c r="AD253" s="152">
        <f t="shared" si="93"/>
        <v>0.4</v>
      </c>
      <c r="AE253" s="152">
        <f t="shared" si="93"/>
        <v>0.4</v>
      </c>
      <c r="AF253" s="152">
        <f t="shared" si="93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91"/>
        <v>0.64</v>
      </c>
      <c r="C254" s="157">
        <v>0.64</v>
      </c>
      <c r="D254" s="157">
        <f t="shared" si="92"/>
        <v>0.64</v>
      </c>
      <c r="E254" s="157">
        <f t="shared" si="92"/>
        <v>0.64</v>
      </c>
      <c r="F254" s="157">
        <f t="shared" si="92"/>
        <v>0.64</v>
      </c>
      <c r="G254" s="157">
        <f t="shared" si="92"/>
        <v>0.64</v>
      </c>
      <c r="H254" s="157">
        <f t="shared" si="92"/>
        <v>0.64</v>
      </c>
      <c r="I254" s="157">
        <f t="shared" si="92"/>
        <v>0.64</v>
      </c>
      <c r="J254" s="157">
        <f t="shared" si="92"/>
        <v>0.64</v>
      </c>
      <c r="K254" s="157">
        <f t="shared" si="92"/>
        <v>0.64</v>
      </c>
      <c r="L254" s="157">
        <f t="shared" si="92"/>
        <v>0.64</v>
      </c>
      <c r="M254" s="157">
        <f t="shared" si="92"/>
        <v>0.64</v>
      </c>
      <c r="N254" s="157">
        <f t="shared" si="92"/>
        <v>0.64</v>
      </c>
      <c r="O254" s="157">
        <f t="shared" si="92"/>
        <v>0.64</v>
      </c>
      <c r="P254" s="157">
        <f t="shared" si="92"/>
        <v>0.64</v>
      </c>
      <c r="Q254" s="157">
        <f t="shared" si="92"/>
        <v>0.64</v>
      </c>
      <c r="R254" s="157">
        <f t="shared" si="92"/>
        <v>0.64</v>
      </c>
      <c r="S254" s="157">
        <f t="shared" si="92"/>
        <v>0.64</v>
      </c>
      <c r="T254" s="157">
        <f t="shared" si="93"/>
        <v>0.64</v>
      </c>
      <c r="U254" s="157">
        <f t="shared" si="93"/>
        <v>0.64</v>
      </c>
      <c r="V254" s="157">
        <f t="shared" si="93"/>
        <v>0.64</v>
      </c>
      <c r="W254" s="157">
        <f t="shared" si="93"/>
        <v>0.64</v>
      </c>
      <c r="X254" s="157">
        <f t="shared" si="93"/>
        <v>0.64</v>
      </c>
      <c r="Y254" s="157">
        <f t="shared" si="93"/>
        <v>0.64</v>
      </c>
      <c r="Z254" s="157">
        <f t="shared" si="93"/>
        <v>0.64</v>
      </c>
      <c r="AA254" s="157">
        <f t="shared" si="93"/>
        <v>0.64</v>
      </c>
      <c r="AB254" s="157">
        <f t="shared" si="93"/>
        <v>0.64</v>
      </c>
      <c r="AC254" s="157">
        <f t="shared" si="93"/>
        <v>0.64</v>
      </c>
      <c r="AD254" s="157">
        <f t="shared" si="93"/>
        <v>0.64</v>
      </c>
      <c r="AE254" s="157">
        <f t="shared" si="93"/>
        <v>0.64</v>
      </c>
      <c r="AF254" s="157">
        <f t="shared" si="93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4">SUM(B249:B254)</f>
        <v>3.54</v>
      </c>
      <c r="C255" s="161">
        <f t="shared" si="94"/>
        <v>3.54</v>
      </c>
      <c r="D255" s="161">
        <f t="shared" si="94"/>
        <v>3.54</v>
      </c>
      <c r="E255" s="161">
        <f t="shared" si="94"/>
        <v>3.54</v>
      </c>
      <c r="F255" s="161">
        <f t="shared" si="94"/>
        <v>3.54</v>
      </c>
      <c r="G255" s="161">
        <f t="shared" si="94"/>
        <v>3.54</v>
      </c>
      <c r="H255" s="161">
        <f t="shared" si="94"/>
        <v>3.54</v>
      </c>
      <c r="I255" s="161">
        <f t="shared" si="94"/>
        <v>3.54</v>
      </c>
      <c r="J255" s="161">
        <f t="shared" si="94"/>
        <v>3.54</v>
      </c>
      <c r="K255" s="161">
        <f t="shared" si="94"/>
        <v>3.54</v>
      </c>
      <c r="L255" s="161">
        <f t="shared" si="94"/>
        <v>3.54</v>
      </c>
      <c r="M255" s="161">
        <f t="shared" si="94"/>
        <v>3.54</v>
      </c>
      <c r="N255" s="161">
        <f t="shared" si="94"/>
        <v>3.54</v>
      </c>
      <c r="O255" s="161">
        <f t="shared" si="94"/>
        <v>3.54</v>
      </c>
      <c r="P255" s="161">
        <f t="shared" si="94"/>
        <v>3.54</v>
      </c>
      <c r="Q255" s="161">
        <f t="shared" si="94"/>
        <v>3.54</v>
      </c>
      <c r="R255" s="161">
        <f t="shared" si="94"/>
        <v>3.54</v>
      </c>
      <c r="S255" s="161">
        <f t="shared" si="94"/>
        <v>3.54</v>
      </c>
      <c r="T255" s="161">
        <f t="shared" si="94"/>
        <v>3.54</v>
      </c>
      <c r="U255" s="161">
        <f t="shared" si="94"/>
        <v>3.54</v>
      </c>
      <c r="V255" s="161">
        <f t="shared" si="94"/>
        <v>3.54</v>
      </c>
      <c r="W255" s="161">
        <f t="shared" si="94"/>
        <v>3.54</v>
      </c>
      <c r="X255" s="161">
        <f t="shared" si="94"/>
        <v>3.54</v>
      </c>
      <c r="Y255" s="161">
        <f t="shared" si="94"/>
        <v>3.54</v>
      </c>
      <c r="Z255" s="161">
        <f t="shared" si="94"/>
        <v>3.54</v>
      </c>
      <c r="AA255" s="161">
        <f t="shared" si="94"/>
        <v>3.54</v>
      </c>
      <c r="AB255" s="161">
        <f t="shared" si="94"/>
        <v>3.54</v>
      </c>
      <c r="AC255" s="161">
        <f t="shared" si="94"/>
        <v>3.54</v>
      </c>
      <c r="AD255" s="161">
        <f t="shared" si="94"/>
        <v>3.54</v>
      </c>
      <c r="AE255" s="161">
        <f t="shared" si="94"/>
        <v>3.54</v>
      </c>
      <c r="AF255" s="161">
        <f t="shared" si="94"/>
        <v>3.54</v>
      </c>
      <c r="AG255" s="171">
        <f t="shared" si="94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2229.7399999999998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2080/10/24)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1389" priority="80">
      <formula>$AH11=0</formula>
    </cfRule>
  </conditionalFormatting>
  <conditionalFormatting sqref="A89">
    <cfRule type="expression" dxfId="1388" priority="138">
      <formula>$AH94=0</formula>
    </cfRule>
  </conditionalFormatting>
  <conditionalFormatting sqref="A90:A94">
    <cfRule type="expression" dxfId="1387" priority="81">
      <formula>$AH89=0</formula>
    </cfRule>
  </conditionalFormatting>
  <conditionalFormatting sqref="B8">
    <cfRule type="expression" dxfId="1386" priority="134">
      <formula>AND(C$9&gt;=14/24,C$9&lt;20/24)</formula>
    </cfRule>
    <cfRule type="expression" dxfId="1385" priority="135">
      <formula>AND(C$9&gt;=8/24,C$9&lt;14/24)</formula>
    </cfRule>
    <cfRule type="expression" dxfId="1384" priority="136">
      <formula>C$9&lt;8/24</formula>
    </cfRule>
    <cfRule type="expression" dxfId="1383" priority="137">
      <formula>C$9&gt;=20/24</formula>
    </cfRule>
  </conditionalFormatting>
  <conditionalFormatting sqref="B11:L57 M15:AF57 D62:D71 B62:C77 E66:F77 G71:J77 D72:AF77 B80:AF102 B9:AF10 B104:AF120 B122:AF140 B247:AF247 B249:B255">
    <cfRule type="expression" dxfId="1382" priority="41">
      <formula>B$9&gt;=20/24</formula>
    </cfRule>
  </conditionalFormatting>
  <conditionalFormatting sqref="B9:AF10 B11:L57 M15:AF57 D62:D71 B62:C77 E66:F77 G71:J77 D72:AF77 B80:AF102 B104:AF120 B122:AF140 B247:AF247 B249:B255">
    <cfRule type="expression" dxfId="1381" priority="42">
      <formula>AND(B$9&gt;=14/24,B$9&lt;20/24)</formula>
    </cfRule>
    <cfRule type="expression" dxfId="1380" priority="43">
      <formula>AND(B$9&gt;=8/24,B$9&lt;14/24)</formula>
    </cfRule>
    <cfRule type="expression" dxfId="1379" priority="44">
      <formula>B$9&lt;8/24</formula>
    </cfRule>
  </conditionalFormatting>
  <conditionalFormatting sqref="B58:AF60">
    <cfRule type="expression" dxfId="1378" priority="37">
      <formula>B$9&gt;=20/24</formula>
    </cfRule>
    <cfRule type="expression" dxfId="1377" priority="38">
      <formula>AND(B$9&gt;=14/24,B$9&lt;20/24)</formula>
    </cfRule>
    <cfRule type="expression" dxfId="1376" priority="39">
      <formula>AND(B$9&gt;=8/24,B$9&lt;14/24)</formula>
    </cfRule>
    <cfRule type="expression" dxfId="1375" priority="49">
      <formula>B$9&lt;8/24</formula>
    </cfRule>
  </conditionalFormatting>
  <conditionalFormatting sqref="D11:L60 B11:C83 M15:R60 S15:AF83 D59:AF59 AG61 D61:R83 AG65 AG83">
    <cfRule type="expression" dxfId="1374" priority="40">
      <formula>B11&gt;$AG11</formula>
    </cfRule>
  </conditionalFormatting>
  <conditionalFormatting sqref="D249:AF255">
    <cfRule type="expression" dxfId="1373" priority="119">
      <formula>D$9&gt;=20/24</formula>
    </cfRule>
    <cfRule type="expression" dxfId="1372" priority="120">
      <formula>AND(D$9&gt;=14/24,D$9&lt;20/24)</formula>
    </cfRule>
    <cfRule type="expression" dxfId="1371" priority="121">
      <formula>AND(D$9&gt;=8/24,D$9&lt;14/24)</formula>
    </cfRule>
    <cfRule type="expression" dxfId="1370" priority="122">
      <formula>D$9&lt;8/24</formula>
    </cfRule>
  </conditionalFormatting>
  <conditionalFormatting sqref="E66:I70 J67:J70 K70">
    <cfRule type="expression" dxfId="1369" priority="50">
      <formula>E$9&gt;=20/24</formula>
    </cfRule>
    <cfRule type="expression" dxfId="1368" priority="51">
      <formula>AND(E$9&gt;=14/24,E$9&lt;20/24)</formula>
    </cfRule>
    <cfRule type="expression" dxfId="1367" priority="52">
      <formula>AND(E$9&gt;=8/24,E$9&lt;14/24)</formula>
    </cfRule>
    <cfRule type="expression" dxfId="1366" priority="53">
      <formula>E$9&lt;8/24</formula>
    </cfRule>
  </conditionalFormatting>
  <conditionalFormatting sqref="E71:K71">
    <cfRule type="expression" dxfId="1365" priority="45">
      <formula>E$9&gt;=20/24</formula>
    </cfRule>
    <cfRule type="expression" dxfId="1364" priority="46">
      <formula>AND(E$9&gt;=14/24,E$9&lt;20/24)</formula>
    </cfRule>
    <cfRule type="expression" dxfId="1363" priority="47">
      <formula>AND(E$9&gt;=8/24,E$9&lt;14/24)</formula>
    </cfRule>
    <cfRule type="expression" dxfId="1362" priority="48">
      <formula>E$9&lt;8/24</formula>
    </cfRule>
  </conditionalFormatting>
  <conditionalFormatting sqref="E62:AF65">
    <cfRule type="expression" dxfId="1361" priority="60">
      <formula>E$9&gt;=20/24</formula>
    </cfRule>
    <cfRule type="expression" dxfId="1360" priority="61">
      <formula>AND(E$9&gt;=14/24,E$9&lt;20/24)</formula>
    </cfRule>
    <cfRule type="expression" dxfId="1359" priority="62">
      <formula>AND(E$9&gt;=8/24,E$9&lt;14/24)</formula>
    </cfRule>
    <cfRule type="expression" dxfId="1358" priority="63">
      <formula>E$9&lt;8/24</formula>
    </cfRule>
  </conditionalFormatting>
  <conditionalFormatting sqref="F66:L68">
    <cfRule type="expression" dxfId="1357" priority="72">
      <formula>F$9&gt;=20/24</formula>
    </cfRule>
    <cfRule type="expression" dxfId="1356" priority="73">
      <formula>AND(F$9&gt;=14/24,F$9&lt;20/24)</formula>
    </cfRule>
    <cfRule type="expression" dxfId="1355" priority="74">
      <formula>AND(F$9&gt;=8/24,F$9&lt;14/24)</formula>
    </cfRule>
    <cfRule type="expression" dxfId="1354" priority="75">
      <formula>F$9&lt;8/24</formula>
    </cfRule>
  </conditionalFormatting>
  <conditionalFormatting sqref="L71:AF71">
    <cfRule type="expression" dxfId="1353" priority="68">
      <formula>L$9&gt;=20/24</formula>
    </cfRule>
    <cfRule type="expression" dxfId="1352" priority="69">
      <formula>AND(L$9&gt;=14/24,L$9&lt;20/24)</formula>
    </cfRule>
    <cfRule type="expression" dxfId="1351" priority="70">
      <formula>AND(L$9&gt;=8/24,L$9&lt;14/24)</formula>
    </cfRule>
    <cfRule type="expression" dxfId="1350" priority="71">
      <formula>L$9&lt;8/24</formula>
    </cfRule>
  </conditionalFormatting>
  <conditionalFormatting sqref="M8 S8 AB8">
    <cfRule type="expression" dxfId="1349" priority="126">
      <formula>AND(N$9&gt;=14/24,N$9&lt;20/24)</formula>
    </cfRule>
    <cfRule type="expression" dxfId="1348" priority="127">
      <formula>AND(N$9&gt;=8/24,N$9&lt;14/24)</formula>
    </cfRule>
    <cfRule type="expression" dxfId="1347" priority="128">
      <formula>N$9&lt;8/24</formula>
    </cfRule>
  </conditionalFormatting>
  <conditionalFormatting sqref="M11:AF14">
    <cfRule type="expression" dxfId="1346" priority="54">
      <formula>M11&gt;$AG11</formula>
    </cfRule>
    <cfRule type="expression" dxfId="1345" priority="55">
      <formula>M$9&gt;=20/24</formula>
    </cfRule>
    <cfRule type="expression" dxfId="1344" priority="56">
      <formula>AND(M$9&gt;=14/24,M$9&lt;20/24)</formula>
    </cfRule>
    <cfRule type="expression" dxfId="1343" priority="57">
      <formula>AND(M$9&gt;=8/24,M$9&lt;14/24)</formula>
    </cfRule>
    <cfRule type="expression" dxfId="1342" priority="58">
      <formula>M$9&lt;8/24</formula>
    </cfRule>
  </conditionalFormatting>
  <conditionalFormatting sqref="M66:AF70">
    <cfRule type="expression" dxfId="1341" priority="76">
      <formula>M$9&gt;=20/24</formula>
    </cfRule>
    <cfRule type="expression" dxfId="1340" priority="77">
      <formula>AND(M$9&gt;=14/24,M$9&lt;20/24)</formula>
    </cfRule>
    <cfRule type="expression" dxfId="1339" priority="78">
      <formula>AND(M$9&gt;=8/24,M$9&lt;14/24)</formula>
    </cfRule>
    <cfRule type="expression" dxfId="1338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337" priority="125">
      <formula>N$9&gt;=20/24</formula>
    </cfRule>
  </conditionalFormatting>
  <conditionalFormatting sqref="S8">
    <cfRule type="expression" dxfId="1336" priority="112">
      <formula>U$9&gt;=20/24</formula>
    </cfRule>
    <cfRule type="expression" dxfId="1335" priority="113">
      <formula>AND(U$9&gt;=14/24,U$9&lt;20/24)</formula>
    </cfRule>
    <cfRule type="expression" dxfId="1334" priority="114">
      <formula>AND(U$9&gt;=8/24,U$9&lt;14/24)</formula>
    </cfRule>
    <cfRule type="expression" dxfId="1333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332" priority="108">
      <formula>AD$9&gt;=20/24</formula>
    </cfRule>
    <cfRule type="expression" dxfId="1331" priority="109">
      <formula>AND(AD$9&gt;=14/24,AD$9&lt;20/24)</formula>
    </cfRule>
    <cfRule type="expression" dxfId="1330" priority="110">
      <formula>AND(AD$9&gt;=8/24,AD$9&lt;14/24)</formula>
    </cfRule>
    <cfRule type="expression" dxfId="1329" priority="111">
      <formula>AD$9&lt;8/24</formula>
    </cfRule>
  </conditionalFormatting>
  <conditionalFormatting sqref="AB66:AF71">
    <cfRule type="expression" dxfId="1328" priority="64">
      <formula>AB$9&gt;=20/24</formula>
    </cfRule>
    <cfRule type="expression" dxfId="1327" priority="65">
      <formula>AND(AB$9&gt;=14/24,AB$9&lt;20/24)</formula>
    </cfRule>
    <cfRule type="expression" dxfId="1326" priority="66">
      <formula>AND(AB$9&gt;=8/24,AB$9&lt;14/24)</formula>
    </cfRule>
    <cfRule type="expression" dxfId="1325" priority="67">
      <formula>AB$9&lt;8/24</formula>
    </cfRule>
  </conditionalFormatting>
  <conditionalFormatting sqref="AG65">
    <cfRule type="expression" dxfId="1324" priority="87">
      <formula>AG$9&gt;=20/24</formula>
    </cfRule>
    <cfRule type="expression" dxfId="1323" priority="88">
      <formula>AND(AG$9&gt;=14/24,AG$9&lt;20/24)</formula>
    </cfRule>
    <cfRule type="expression" dxfId="1322" priority="89">
      <formula>AND(AG$9&gt;=8/24,AG$9&lt;14/24)</formula>
    </cfRule>
    <cfRule type="expression" dxfId="1321" priority="90">
      <formula>AG$9&lt;8/24</formula>
    </cfRule>
  </conditionalFormatting>
  <conditionalFormatting sqref="AG78:AG79">
    <cfRule type="expression" dxfId="1320" priority="82">
      <formula>AG78&gt;$AG78</formula>
    </cfRule>
  </conditionalFormatting>
  <conditionalFormatting sqref="AG83">
    <cfRule type="expression" dxfId="1319" priority="83">
      <formula>AG$9&gt;=20/24</formula>
    </cfRule>
    <cfRule type="expression" dxfId="1318" priority="84">
      <formula>AND(AG$9&gt;=14/24,AG$9&lt;20/24)</formula>
    </cfRule>
    <cfRule type="expression" dxfId="1317" priority="85">
      <formula>AND(AG$9&gt;=8/24,AG$9&lt;14/24)</formula>
    </cfRule>
    <cfRule type="expression" dxfId="1316" priority="86">
      <formula>AG$9&lt;8/24</formula>
    </cfRule>
  </conditionalFormatting>
  <conditionalFormatting sqref="AG100">
    <cfRule type="expression" dxfId="1315" priority="104">
      <formula>AG$9&gt;=20/24</formula>
    </cfRule>
    <cfRule type="expression" dxfId="1314" priority="105">
      <formula>AND(AG$9&gt;=14/24,AG$9&lt;20/24)</formula>
    </cfRule>
    <cfRule type="expression" dxfId="1313" priority="106">
      <formula>AND(AG$9&gt;=8/24,AG$9&lt;14/24)</formula>
    </cfRule>
    <cfRule type="expression" dxfId="1312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311" priority="129">
      <formula>AJ$9&gt;=20/24</formula>
    </cfRule>
    <cfRule type="expression" dxfId="1310" priority="130">
      <formula>AND(AJ$9&gt;=14/24,AJ$9&lt;20/24)</formula>
    </cfRule>
    <cfRule type="expression" dxfId="1309" priority="131">
      <formula>AND(AJ$9&gt;=8/24,AJ$9&lt;14/24)</formula>
    </cfRule>
    <cfRule type="expression" dxfId="1308" priority="132">
      <formula>AJ$9&lt;8/24</formula>
    </cfRule>
  </conditionalFormatting>
  <conditionalFormatting sqref="AL86:AN86 AL92:AN92">
    <cfRule type="expression" dxfId="1307" priority="97">
      <formula>AL$9&gt;=20/24</formula>
    </cfRule>
    <cfRule type="expression" dxfId="1306" priority="98">
      <formula>AND(AL$9&gt;=14/24,AL$9&lt;20/24)</formula>
    </cfRule>
    <cfRule type="expression" dxfId="1305" priority="99">
      <formula>AND(AL$9&gt;=8/24,AL$9&lt;14/24)</formula>
    </cfRule>
    <cfRule type="expression" dxfId="1304" priority="100">
      <formula>AL$9&lt;8/24</formula>
    </cfRule>
  </conditionalFormatting>
  <conditionalFormatting sqref="AM15:AM21 AN16:AR21">
    <cfRule type="expression" dxfId="1303" priority="13">
      <formula>AX$9&gt;=20/24</formula>
    </cfRule>
    <cfRule type="expression" dxfId="1302" priority="14">
      <formula>AND(AX$9&gt;=14/24,AX$9&lt;20/24)</formula>
    </cfRule>
    <cfRule type="expression" dxfId="1301" priority="15">
      <formula>AND(AX$9&gt;=8/24,AX$9&lt;14/24)</formula>
    </cfRule>
    <cfRule type="expression" dxfId="1300" priority="16">
      <formula>AX$9&lt;8/24</formula>
    </cfRule>
  </conditionalFormatting>
  <conditionalFormatting sqref="AN87:AN90">
    <cfRule type="expression" dxfId="1299" priority="93">
      <formula>AN$9&gt;=20/24</formula>
    </cfRule>
    <cfRule type="expression" dxfId="1298" priority="94">
      <formula>AND(AN$9&gt;=14/24,AN$9&lt;20/24)</formula>
    </cfRule>
    <cfRule type="expression" dxfId="1297" priority="95">
      <formula>AND(AN$9&gt;=8/24,AN$9&lt;14/24)</formula>
    </cfRule>
    <cfRule type="expression" dxfId="1296" priority="96">
      <formula>AN$9&lt;8/24</formula>
    </cfRule>
  </conditionalFormatting>
  <conditionalFormatting sqref="AN15:AR15">
    <cfRule type="expression" dxfId="1295" priority="1">
      <formula>U$9&gt;=20/24</formula>
    </cfRule>
    <cfRule type="expression" dxfId="1294" priority="2">
      <formula>AND(U$9&gt;=14/24,U$9&lt;20/24)</formula>
    </cfRule>
    <cfRule type="expression" dxfId="1293" priority="3">
      <formula>AND(U$9&gt;=8/24,U$9&lt;14/24)</formula>
    </cfRule>
    <cfRule type="expression" dxfId="1292" priority="4">
      <formula>U$9&lt;8/24</formula>
    </cfRule>
  </conditionalFormatting>
  <conditionalFormatting sqref="AS15">
    <cfRule type="expression" dxfId="1291" priority="9">
      <formula>AA$9&gt;=20/24</formula>
    </cfRule>
    <cfRule type="expression" dxfId="1290" priority="10">
      <formula>AND(AA$9&gt;=14/24,AA$9&lt;20/24)</formula>
    </cfRule>
    <cfRule type="expression" dxfId="1289" priority="11">
      <formula>AND(AA$9&gt;=8/24,AA$9&lt;14/24)</formula>
    </cfRule>
    <cfRule type="expression" dxfId="1288" priority="12">
      <formula>AA$9&lt;8/24</formula>
    </cfRule>
  </conditionalFormatting>
  <conditionalFormatting sqref="AS16:AS21">
    <cfRule type="expression" dxfId="1287" priority="17">
      <formula>BE$9&gt;=20/24</formula>
    </cfRule>
    <cfRule type="expression" dxfId="1286" priority="18">
      <formula>AND(BE$9&gt;=14/24,BE$9&lt;20/24)</formula>
    </cfRule>
    <cfRule type="expression" dxfId="1285" priority="19">
      <formula>AND(BE$9&gt;=8/24,BE$9&lt;14/24)</formula>
    </cfRule>
    <cfRule type="expression" dxfId="1284" priority="20">
      <formula>BE$9&lt;8/24</formula>
    </cfRule>
  </conditionalFormatting>
  <conditionalFormatting sqref="AT15 AX15:BJ15">
    <cfRule type="expression" dxfId="1283" priority="21">
      <formula>AC$9&gt;=20/24</formula>
    </cfRule>
    <cfRule type="expression" dxfId="1282" priority="22">
      <formula>AND(AC$9&gt;=14/24,AC$9&lt;20/24)</formula>
    </cfRule>
    <cfRule type="expression" dxfId="1281" priority="23">
      <formula>AND(AC$9&gt;=8/24,AC$9&lt;14/24)</formula>
    </cfRule>
    <cfRule type="expression" dxfId="1280" priority="24">
      <formula>AC$9&lt;8/24</formula>
    </cfRule>
  </conditionalFormatting>
  <conditionalFormatting sqref="AT16:AT21">
    <cfRule type="expression" dxfId="1279" priority="25">
      <formula>BG$9&gt;=20/24</formula>
    </cfRule>
    <cfRule type="expression" dxfId="1278" priority="26">
      <formula>AND(BG$9&gt;=14/24,BG$9&lt;20/24)</formula>
    </cfRule>
    <cfRule type="expression" dxfId="1277" priority="27">
      <formula>AND(BG$9&gt;=8/24,BG$9&lt;14/24)</formula>
    </cfRule>
    <cfRule type="expression" dxfId="1276" priority="28">
      <formula>BG$9&lt;8/24</formula>
    </cfRule>
  </conditionalFormatting>
  <conditionalFormatting sqref="AU15:AV15">
    <cfRule type="expression" dxfId="1275" priority="29">
      <formula>AE$9&gt;=20/24</formula>
    </cfRule>
    <cfRule type="expression" dxfId="1274" priority="30">
      <formula>AND(AE$9&gt;=14/24,AE$9&lt;20/24)</formula>
    </cfRule>
    <cfRule type="expression" dxfId="1273" priority="31">
      <formula>AND(AE$9&gt;=8/24,AE$9&lt;14/24)</formula>
    </cfRule>
    <cfRule type="expression" dxfId="1272" priority="32">
      <formula>AE$9&lt;8/24</formula>
    </cfRule>
  </conditionalFormatting>
  <conditionalFormatting sqref="AU16:BJ21">
    <cfRule type="expression" dxfId="1271" priority="33">
      <formula>BI$9&gt;=20/24</formula>
    </cfRule>
    <cfRule type="expression" dxfId="1270" priority="34">
      <formula>AND(BI$9&gt;=14/24,BI$9&lt;20/24)</formula>
    </cfRule>
    <cfRule type="expression" dxfId="1269" priority="35">
      <formula>AND(BI$9&gt;=8/24,BI$9&lt;14/24)</formula>
    </cfRule>
    <cfRule type="expression" dxfId="1268" priority="36">
      <formula>BI$9&lt;8/24</formula>
    </cfRule>
  </conditionalFormatting>
  <conditionalFormatting sqref="AW15">
    <cfRule type="expression" dxfId="1267" priority="5">
      <formula>B$9&gt;=20/24</formula>
    </cfRule>
    <cfRule type="expression" dxfId="1266" priority="6">
      <formula>AND(B$9&gt;=14/24,B$9&lt;20/24)</formula>
    </cfRule>
    <cfRule type="expression" dxfId="1265" priority="7">
      <formula>AND(B$9&gt;=8/24,B$9&lt;14/24)</formula>
    </cfRule>
    <cfRule type="expression" dxfId="1264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1C3E-8320-434F-83C1-FE294EA30582}">
  <dimension ref="A1:CJ297"/>
  <sheetViews>
    <sheetView zoomScale="106" workbookViewId="0">
      <pane xSplit="1" ySplit="10" topLeftCell="K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2080/10/25</v>
      </c>
      <c r="C4" s="189"/>
      <c r="D4" s="189"/>
      <c r="E4" s="190" t="str">
        <f ca="1">"2080/"&amp;"10/"&amp;INT(MID(CELL("filename",G6),FIND("]",CELL("filename",G6))+1,200))</f>
        <v>2080/10/25</v>
      </c>
      <c r="F4" s="190"/>
      <c r="G4" s="190"/>
      <c r="H4" s="190" t="str">
        <f ca="1">TEXT(E4,"dddd")</f>
        <v>Friday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1.4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6.4</v>
      </c>
      <c r="W5" s="30">
        <f t="shared" si="0"/>
        <v>0</v>
      </c>
      <c r="X5" s="30">
        <f t="shared" si="0"/>
        <v>13.7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18</v>
      </c>
      <c r="AD5" s="30">
        <f t="shared" si="0"/>
        <v>20</v>
      </c>
      <c r="AE5" s="30">
        <f t="shared" si="0"/>
        <v>17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2226MW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Load=1455</v>
      </c>
      <c r="B7" s="35">
        <f t="shared" ref="B7:AF7" si="1">B103</f>
        <v>1587.94</v>
      </c>
      <c r="C7" s="35">
        <f t="shared" si="1"/>
        <v>1595.2399999999998</v>
      </c>
      <c r="D7" s="35">
        <f t="shared" si="1"/>
        <v>1566.6400000000003</v>
      </c>
      <c r="E7" s="35">
        <f t="shared" si="1"/>
        <v>1545.8400000000006</v>
      </c>
      <c r="F7" s="35">
        <f t="shared" si="1"/>
        <v>1495.3400000000001</v>
      </c>
      <c r="G7" s="35">
        <f t="shared" si="1"/>
        <v>1465.7400000000002</v>
      </c>
      <c r="H7" s="35">
        <f t="shared" si="1"/>
        <v>1455.3400000000001</v>
      </c>
      <c r="I7" s="35">
        <f t="shared" si="1"/>
        <v>1497.3400000000001</v>
      </c>
      <c r="J7" s="35">
        <f t="shared" si="1"/>
        <v>1496.94</v>
      </c>
      <c r="K7" s="35">
        <f t="shared" si="1"/>
        <v>1472.6400000000003</v>
      </c>
      <c r="L7" s="35">
        <f t="shared" si="1"/>
        <v>1538.6400000000008</v>
      </c>
      <c r="M7" s="35">
        <f t="shared" si="1"/>
        <v>1480.2400000000007</v>
      </c>
      <c r="N7" s="35">
        <f t="shared" si="1"/>
        <v>1482.6400000000003</v>
      </c>
      <c r="O7" s="35">
        <f t="shared" si="1"/>
        <v>1604.8400000000001</v>
      </c>
      <c r="P7" s="35">
        <f t="shared" si="1"/>
        <v>1577.8400000000001</v>
      </c>
      <c r="Q7" s="35">
        <f t="shared" si="1"/>
        <v>1588.8400000000001</v>
      </c>
      <c r="R7" s="35">
        <f t="shared" si="1"/>
        <v>1629.4400000000005</v>
      </c>
      <c r="S7" s="35">
        <f t="shared" si="1"/>
        <v>1752.9400000000005</v>
      </c>
      <c r="T7" s="35">
        <f t="shared" si="1"/>
        <v>1662.0400000000002</v>
      </c>
      <c r="U7" s="35">
        <f t="shared" si="1"/>
        <v>1693.4400000000005</v>
      </c>
      <c r="V7" s="35">
        <f t="shared" si="1"/>
        <v>1719.0400000000002</v>
      </c>
      <c r="W7" s="35">
        <f t="shared" si="1"/>
        <v>1609.0400000000002</v>
      </c>
      <c r="X7" s="35">
        <f t="shared" si="1"/>
        <v>1623.5400000000002</v>
      </c>
      <c r="Y7" s="35">
        <f t="shared" si="1"/>
        <v>1691.9</v>
      </c>
      <c r="Z7" s="35">
        <f t="shared" si="1"/>
        <v>1744.1999999999998</v>
      </c>
      <c r="AA7" s="35">
        <f t="shared" si="1"/>
        <v>1768.6400000000003</v>
      </c>
      <c r="AB7" s="35">
        <f t="shared" si="1"/>
        <v>1788.2400000000002</v>
      </c>
      <c r="AC7" s="35">
        <f t="shared" si="1"/>
        <v>1787.2400000000002</v>
      </c>
      <c r="AD7" s="35">
        <f t="shared" si="1"/>
        <v>1712.7400000000002</v>
      </c>
      <c r="AE7" s="35">
        <f t="shared" si="1"/>
        <v>1682.2400000000002</v>
      </c>
      <c r="AF7" s="35">
        <f t="shared" si="1"/>
        <v>1673.2400000000002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2389.54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1788.24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86.8</v>
      </c>
      <c r="C11" s="46">
        <v>86.8</v>
      </c>
      <c r="D11" s="46">
        <v>86.8</v>
      </c>
      <c r="E11" s="46">
        <v>86.8</v>
      </c>
      <c r="F11" s="46">
        <v>86.8</v>
      </c>
      <c r="G11" s="46">
        <v>86.8</v>
      </c>
      <c r="H11" s="46">
        <v>86.9</v>
      </c>
      <c r="I11" s="46">
        <v>86.9</v>
      </c>
      <c r="J11" s="46">
        <v>86.9</v>
      </c>
      <c r="K11" s="46">
        <v>86.8</v>
      </c>
      <c r="L11" s="46">
        <v>82.9</v>
      </c>
      <c r="M11" s="46">
        <v>82.9</v>
      </c>
      <c r="N11" s="46">
        <v>87</v>
      </c>
      <c r="O11" s="46">
        <v>86.8</v>
      </c>
      <c r="P11" s="46">
        <v>86.8</v>
      </c>
      <c r="Q11" s="46">
        <v>86.8</v>
      </c>
      <c r="R11" s="46">
        <v>86.8</v>
      </c>
      <c r="S11" s="46">
        <v>86.9</v>
      </c>
      <c r="T11" s="46">
        <v>86.9</v>
      </c>
      <c r="U11" s="46">
        <v>86.9</v>
      </c>
      <c r="V11" s="46">
        <v>86.9</v>
      </c>
      <c r="W11" s="46">
        <v>86.9</v>
      </c>
      <c r="X11" s="46">
        <v>86.9</v>
      </c>
      <c r="Y11" s="46">
        <v>86.9</v>
      </c>
      <c r="Z11" s="46">
        <v>86.9</v>
      </c>
      <c r="AA11" s="46">
        <v>86.9</v>
      </c>
      <c r="AB11" s="46">
        <v>86.9</v>
      </c>
      <c r="AC11" s="46">
        <v>86.9</v>
      </c>
      <c r="AD11" s="46">
        <v>86.9</v>
      </c>
      <c r="AE11" s="46">
        <v>86.9</v>
      </c>
      <c r="AF11" s="46">
        <v>86.9</v>
      </c>
      <c r="AG11" s="47">
        <v>86</v>
      </c>
      <c r="AH11" s="48">
        <f t="shared" ref="AH11:AH74" si="2">MAX(B11:AF11)</f>
        <v>87</v>
      </c>
      <c r="AI11" s="49">
        <f t="shared" ref="AI11:AI74" si="3">MIN(B11:AF11)</f>
        <v>82.9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50</v>
      </c>
      <c r="C12" s="46">
        <v>50</v>
      </c>
      <c r="D12" s="46">
        <v>50</v>
      </c>
      <c r="E12" s="46">
        <v>50</v>
      </c>
      <c r="F12" s="46">
        <v>50</v>
      </c>
      <c r="G12" s="46">
        <v>51.9</v>
      </c>
      <c r="H12" s="46">
        <v>51.9</v>
      </c>
      <c r="I12" s="46">
        <v>51.9</v>
      </c>
      <c r="J12" s="46">
        <v>51.9</v>
      </c>
      <c r="K12" s="46">
        <v>51.9</v>
      </c>
      <c r="L12" s="46">
        <v>51.9</v>
      </c>
      <c r="M12" s="46">
        <v>51.9</v>
      </c>
      <c r="N12" s="46">
        <v>51.9</v>
      </c>
      <c r="O12" s="46">
        <v>51.9</v>
      </c>
      <c r="P12" s="46">
        <v>51.9</v>
      </c>
      <c r="Q12" s="46">
        <v>51.9</v>
      </c>
      <c r="R12" s="46">
        <v>51.9</v>
      </c>
      <c r="S12" s="46">
        <v>83</v>
      </c>
      <c r="T12" s="46">
        <v>83</v>
      </c>
      <c r="U12" s="46">
        <v>83.1</v>
      </c>
      <c r="V12" s="46">
        <v>83.1</v>
      </c>
      <c r="W12" s="46">
        <v>83.1</v>
      </c>
      <c r="X12" s="46">
        <v>83.1</v>
      </c>
      <c r="Y12" s="46">
        <v>83.1</v>
      </c>
      <c r="Z12" s="46">
        <v>83.1</v>
      </c>
      <c r="AA12" s="46">
        <v>62.2</v>
      </c>
      <c r="AB12" s="46">
        <v>62.2</v>
      </c>
      <c r="AC12" s="46">
        <v>57</v>
      </c>
      <c r="AD12" s="46">
        <v>57</v>
      </c>
      <c r="AE12" s="46">
        <v>57</v>
      </c>
      <c r="AF12" s="46">
        <v>57</v>
      </c>
      <c r="AG12" s="50">
        <v>77</v>
      </c>
      <c r="AH12" s="48">
        <f t="shared" si="2"/>
        <v>83.1</v>
      </c>
      <c r="AI12" s="49">
        <f t="shared" si="3"/>
        <v>50</v>
      </c>
      <c r="AK12" s="51"/>
      <c r="AL12" s="52" t="str">
        <f ca="1">MID(CELL("filename",C7),FIND("]",CELL("filename",C7))+1,600)</f>
        <v>25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50</v>
      </c>
      <c r="C13" s="46">
        <v>50</v>
      </c>
      <c r="D13" s="46">
        <v>30</v>
      </c>
      <c r="E13" s="46">
        <v>30</v>
      </c>
      <c r="F13" s="46">
        <v>30</v>
      </c>
      <c r="G13" s="46">
        <v>30</v>
      </c>
      <c r="H13" s="46">
        <v>30</v>
      </c>
      <c r="I13" s="46">
        <v>20</v>
      </c>
      <c r="J13" s="46">
        <v>20</v>
      </c>
      <c r="K13" s="46">
        <v>0</v>
      </c>
      <c r="L13" s="46">
        <v>0</v>
      </c>
      <c r="M13" s="46">
        <v>0</v>
      </c>
      <c r="N13" s="46">
        <v>0</v>
      </c>
      <c r="O13" s="46">
        <v>40</v>
      </c>
      <c r="P13" s="46">
        <v>40</v>
      </c>
      <c r="Q13" s="46">
        <v>40</v>
      </c>
      <c r="R13" s="46">
        <v>40</v>
      </c>
      <c r="S13" s="46">
        <v>52.1</v>
      </c>
      <c r="T13" s="46">
        <v>52.1</v>
      </c>
      <c r="U13" s="46">
        <v>58.5</v>
      </c>
      <c r="V13" s="46">
        <v>58.5</v>
      </c>
      <c r="W13" s="46">
        <v>58.5</v>
      </c>
      <c r="X13" s="46">
        <v>58.5</v>
      </c>
      <c r="Y13" s="46">
        <v>58.5</v>
      </c>
      <c r="Z13" s="46">
        <v>51.3</v>
      </c>
      <c r="AA13" s="46">
        <v>60.9</v>
      </c>
      <c r="AB13" s="46">
        <v>60.9</v>
      </c>
      <c r="AC13" s="46">
        <v>60.9</v>
      </c>
      <c r="AD13" s="46">
        <v>60.9</v>
      </c>
      <c r="AE13" s="46">
        <v>60.9</v>
      </c>
      <c r="AF13" s="46">
        <v>60.9</v>
      </c>
      <c r="AG13" s="50">
        <v>73</v>
      </c>
      <c r="AH13" s="48">
        <f t="shared" si="2"/>
        <v>60.9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33.299999999999997</v>
      </c>
      <c r="C14" s="46">
        <v>33.299999999999997</v>
      </c>
      <c r="D14" s="46">
        <v>34</v>
      </c>
      <c r="E14" s="46">
        <v>34</v>
      </c>
      <c r="F14" s="46">
        <v>34</v>
      </c>
      <c r="G14" s="46">
        <v>34</v>
      </c>
      <c r="H14" s="46">
        <v>34</v>
      </c>
      <c r="I14" s="46">
        <v>25</v>
      </c>
      <c r="J14" s="46">
        <v>25</v>
      </c>
      <c r="K14" s="46">
        <v>25</v>
      </c>
      <c r="L14" s="46">
        <v>25</v>
      </c>
      <c r="M14" s="46">
        <v>25</v>
      </c>
      <c r="N14" s="46">
        <v>31.4</v>
      </c>
      <c r="O14" s="46">
        <v>30</v>
      </c>
      <c r="P14" s="46">
        <v>30</v>
      </c>
      <c r="Q14" s="46">
        <v>30</v>
      </c>
      <c r="R14" s="46">
        <v>30</v>
      </c>
      <c r="S14" s="46">
        <v>31.6</v>
      </c>
      <c r="T14" s="46">
        <v>31.6</v>
      </c>
      <c r="U14" s="46">
        <v>34.799999999999997</v>
      </c>
      <c r="V14" s="46">
        <v>34.799999999999997</v>
      </c>
      <c r="W14" s="46">
        <v>34.799999999999997</v>
      </c>
      <c r="X14" s="46">
        <v>39.799999999999997</v>
      </c>
      <c r="Y14" s="46">
        <v>39.799999999999997</v>
      </c>
      <c r="Z14" s="46">
        <v>35</v>
      </c>
      <c r="AA14" s="46">
        <v>25.3</v>
      </c>
      <c r="AB14" s="46">
        <v>25.3</v>
      </c>
      <c r="AC14" s="46">
        <v>25.3</v>
      </c>
      <c r="AD14" s="46">
        <v>0</v>
      </c>
      <c r="AE14" s="46">
        <v>0</v>
      </c>
      <c r="AF14" s="46">
        <v>0</v>
      </c>
      <c r="AG14" s="50">
        <v>71</v>
      </c>
      <c r="AH14" s="48">
        <f t="shared" si="2"/>
        <v>39.799999999999997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31.4</v>
      </c>
      <c r="C15" s="46">
        <v>31.4</v>
      </c>
      <c r="D15" s="46">
        <v>31</v>
      </c>
      <c r="E15" s="46">
        <v>31</v>
      </c>
      <c r="F15" s="46">
        <v>31</v>
      </c>
      <c r="G15" s="46">
        <v>31</v>
      </c>
      <c r="H15" s="46">
        <v>31</v>
      </c>
      <c r="I15" s="46">
        <v>31</v>
      </c>
      <c r="J15" s="46">
        <v>31</v>
      </c>
      <c r="K15" s="46">
        <v>31</v>
      </c>
      <c r="L15" s="46">
        <v>31</v>
      </c>
      <c r="M15" s="46">
        <v>31</v>
      </c>
      <c r="N15" s="46">
        <v>36</v>
      </c>
      <c r="O15" s="46">
        <v>36</v>
      </c>
      <c r="P15" s="46">
        <v>36</v>
      </c>
      <c r="Q15" s="46">
        <v>36</v>
      </c>
      <c r="R15" s="46">
        <v>36</v>
      </c>
      <c r="S15" s="46">
        <v>43.1</v>
      </c>
      <c r="T15" s="46">
        <v>43.1</v>
      </c>
      <c r="U15" s="46">
        <v>59.2</v>
      </c>
      <c r="V15" s="46">
        <v>59.2</v>
      </c>
      <c r="W15" s="46">
        <v>59.2</v>
      </c>
      <c r="X15" s="46">
        <v>59.2</v>
      </c>
      <c r="Y15" s="46">
        <v>59.2</v>
      </c>
      <c r="Z15" s="46">
        <v>59.2</v>
      </c>
      <c r="AA15" s="46">
        <v>41.9</v>
      </c>
      <c r="AB15" s="46">
        <v>41.9</v>
      </c>
      <c r="AC15" s="46">
        <v>40</v>
      </c>
      <c r="AD15" s="46">
        <v>40</v>
      </c>
      <c r="AE15" s="46">
        <v>40</v>
      </c>
      <c r="AF15" s="46">
        <v>40</v>
      </c>
      <c r="AG15" s="50">
        <v>54</v>
      </c>
      <c r="AH15" s="48">
        <f t="shared" si="2"/>
        <v>59.2</v>
      </c>
      <c r="AI15" s="49">
        <f t="shared" si="3"/>
        <v>31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27.1</v>
      </c>
      <c r="F16" s="46">
        <v>16.600000000000001</v>
      </c>
      <c r="G16" s="46">
        <v>16.600000000000001</v>
      </c>
      <c r="H16" s="46">
        <v>16.600000000000001</v>
      </c>
      <c r="I16" s="46">
        <v>16.600000000000001</v>
      </c>
      <c r="J16" s="46">
        <v>16.600000000000001</v>
      </c>
      <c r="K16" s="46">
        <v>27</v>
      </c>
      <c r="L16" s="46">
        <v>27</v>
      </c>
      <c r="M16" s="46">
        <v>27</v>
      </c>
      <c r="N16" s="46">
        <v>27</v>
      </c>
      <c r="O16" s="46">
        <v>27</v>
      </c>
      <c r="P16" s="46">
        <v>27</v>
      </c>
      <c r="Q16" s="46">
        <v>27</v>
      </c>
      <c r="R16" s="46">
        <v>27</v>
      </c>
      <c r="S16" s="46">
        <v>27</v>
      </c>
      <c r="T16" s="46">
        <v>27</v>
      </c>
      <c r="U16" s="46">
        <v>27</v>
      </c>
      <c r="V16" s="46">
        <v>27</v>
      </c>
      <c r="W16" s="46">
        <v>0</v>
      </c>
      <c r="X16" s="46">
        <v>27</v>
      </c>
      <c r="Y16" s="46">
        <v>27</v>
      </c>
      <c r="Z16" s="46">
        <v>27</v>
      </c>
      <c r="AA16" s="46">
        <v>27.1</v>
      </c>
      <c r="AB16" s="46">
        <v>27.1</v>
      </c>
      <c r="AC16" s="46">
        <v>27.1</v>
      </c>
      <c r="AD16" s="46">
        <v>27.1</v>
      </c>
      <c r="AE16" s="46">
        <v>27.1</v>
      </c>
      <c r="AF16" s="46">
        <v>27.1</v>
      </c>
      <c r="AG16" s="50">
        <v>54</v>
      </c>
      <c r="AH16" s="48">
        <f t="shared" si="2"/>
        <v>27.1</v>
      </c>
      <c r="AI16" s="49">
        <f t="shared" si="3"/>
        <v>0</v>
      </c>
      <c r="AK16" s="51"/>
      <c r="AL16" s="54" t="s">
        <v>7</v>
      </c>
      <c r="AM16" s="59">
        <f t="shared" ref="AM16:AR16" si="4">B61</f>
        <v>1339.5</v>
      </c>
      <c r="AN16" s="59">
        <f t="shared" si="4"/>
        <v>1339.5</v>
      </c>
      <c r="AO16" s="59">
        <f t="shared" si="4"/>
        <v>1319.8000000000002</v>
      </c>
      <c r="AP16" s="59">
        <f t="shared" si="4"/>
        <v>1297.6000000000004</v>
      </c>
      <c r="AQ16" s="59">
        <f t="shared" si="4"/>
        <v>1258.1000000000001</v>
      </c>
      <c r="AR16" s="59">
        <f t="shared" si="4"/>
        <v>1251.5000000000002</v>
      </c>
      <c r="AS16" s="59">
        <f>I61</f>
        <v>1248.6000000000001</v>
      </c>
      <c r="AT16" s="59">
        <f>K61</f>
        <v>1265.0000000000002</v>
      </c>
      <c r="AU16" s="59">
        <f t="shared" ref="AU16:BD16" si="5">M61</f>
        <v>1278.6000000000004</v>
      </c>
      <c r="AV16" s="59">
        <f t="shared" si="5"/>
        <v>1281.0000000000002</v>
      </c>
      <c r="AW16" s="59">
        <f t="shared" si="5"/>
        <v>1284.2000000000003</v>
      </c>
      <c r="AX16" s="59">
        <f t="shared" si="5"/>
        <v>1284.2000000000003</v>
      </c>
      <c r="AY16" s="59">
        <f t="shared" si="5"/>
        <v>1284.2000000000003</v>
      </c>
      <c r="AZ16" s="59">
        <f t="shared" si="5"/>
        <v>1284.2000000000003</v>
      </c>
      <c r="BA16" s="59">
        <f t="shared" si="5"/>
        <v>1419.9</v>
      </c>
      <c r="BB16" s="59">
        <f t="shared" si="5"/>
        <v>1419.9</v>
      </c>
      <c r="BC16" s="59">
        <f t="shared" si="5"/>
        <v>1457.4000000000003</v>
      </c>
      <c r="BD16" s="59">
        <f t="shared" si="5"/>
        <v>1457.4000000000003</v>
      </c>
      <c r="BE16" s="60">
        <f>X61</f>
        <v>1421.0000000000002</v>
      </c>
      <c r="BF16" s="60">
        <f>Z61</f>
        <v>1421.1000000000001</v>
      </c>
      <c r="BG16" s="60">
        <f>AB61</f>
        <v>1371.2000000000003</v>
      </c>
      <c r="BH16" s="60">
        <f>AD61</f>
        <v>1354.3000000000002</v>
      </c>
      <c r="BI16" s="60">
        <f>AE61</f>
        <v>1342.3000000000002</v>
      </c>
      <c r="BJ16" s="60">
        <f>AF61</f>
        <v>1342.3000000000002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53.3</v>
      </c>
      <c r="C17" s="46">
        <v>53.3</v>
      </c>
      <c r="D17" s="46">
        <v>53.3</v>
      </c>
      <c r="E17" s="46">
        <v>53.3</v>
      </c>
      <c r="F17" s="46">
        <v>53.3</v>
      </c>
      <c r="G17" s="46">
        <v>53.3</v>
      </c>
      <c r="H17" s="46">
        <v>53.3</v>
      </c>
      <c r="I17" s="46">
        <v>53.3</v>
      </c>
      <c r="J17" s="46">
        <v>53.3</v>
      </c>
      <c r="K17" s="46">
        <v>53.3</v>
      </c>
      <c r="L17" s="46">
        <v>53.3</v>
      </c>
      <c r="M17" s="46">
        <v>53.3</v>
      </c>
      <c r="N17" s="46">
        <v>53.3</v>
      </c>
      <c r="O17" s="46">
        <v>53.3</v>
      </c>
      <c r="P17" s="46">
        <v>53.3</v>
      </c>
      <c r="Q17" s="46">
        <v>53.3</v>
      </c>
      <c r="R17" s="46">
        <v>53.3</v>
      </c>
      <c r="S17" s="46">
        <v>53.3</v>
      </c>
      <c r="T17" s="46">
        <v>53.3</v>
      </c>
      <c r="U17" s="46">
        <v>53.3</v>
      </c>
      <c r="V17" s="46">
        <v>53.3</v>
      </c>
      <c r="W17" s="46">
        <v>53.3</v>
      </c>
      <c r="X17" s="46">
        <v>53.3</v>
      </c>
      <c r="Y17" s="46">
        <v>53.3</v>
      </c>
      <c r="Z17" s="46">
        <v>53.3</v>
      </c>
      <c r="AA17" s="46">
        <v>53.3</v>
      </c>
      <c r="AB17" s="46">
        <v>53.3</v>
      </c>
      <c r="AC17" s="46">
        <v>55.8</v>
      </c>
      <c r="AD17" s="46">
        <v>55.8</v>
      </c>
      <c r="AE17" s="46">
        <v>55.8</v>
      </c>
      <c r="AF17" s="46">
        <v>55.8</v>
      </c>
      <c r="AG17" s="47">
        <v>52.4</v>
      </c>
      <c r="AH17" s="48">
        <f t="shared" si="2"/>
        <v>55.8</v>
      </c>
      <c r="AI17" s="49">
        <f t="shared" si="3"/>
        <v>53.3</v>
      </c>
      <c r="AK17" s="51"/>
      <c r="AL17" s="54" t="s">
        <v>27</v>
      </c>
      <c r="AM17" s="59">
        <f t="shared" ref="AM17:AR17" si="6">B65</f>
        <v>540.20000000000005</v>
      </c>
      <c r="AN17" s="59">
        <f t="shared" si="6"/>
        <v>540.20000000000005</v>
      </c>
      <c r="AO17" s="59">
        <f t="shared" si="6"/>
        <v>540.20000000000005</v>
      </c>
      <c r="AP17" s="59">
        <f t="shared" si="6"/>
        <v>540.20000000000005</v>
      </c>
      <c r="AQ17" s="59">
        <f t="shared" si="6"/>
        <v>540.20000000000005</v>
      </c>
      <c r="AR17" s="59">
        <f t="shared" si="6"/>
        <v>540.20000000000005</v>
      </c>
      <c r="AS17" s="59">
        <f>I65</f>
        <v>540.20000000000005</v>
      </c>
      <c r="AT17" s="59">
        <f>K65</f>
        <v>540.20000000000005</v>
      </c>
      <c r="AU17" s="59">
        <f t="shared" ref="AU17:BD17" si="7">M65</f>
        <v>540.20000000000005</v>
      </c>
      <c r="AV17" s="59">
        <f t="shared" si="7"/>
        <v>540.20000000000005</v>
      </c>
      <c r="AW17" s="59">
        <f t="shared" si="7"/>
        <v>540.20000000000005</v>
      </c>
      <c r="AX17" s="59">
        <f t="shared" si="7"/>
        <v>540.20000000000005</v>
      </c>
      <c r="AY17" s="59">
        <f t="shared" si="7"/>
        <v>540.20000000000005</v>
      </c>
      <c r="AZ17" s="59">
        <f t="shared" si="7"/>
        <v>540.20000000000005</v>
      </c>
      <c r="BA17" s="59">
        <f t="shared" si="7"/>
        <v>539.79999999999995</v>
      </c>
      <c r="BB17" s="59">
        <f t="shared" si="7"/>
        <v>539.79999999999995</v>
      </c>
      <c r="BC17" s="59">
        <f t="shared" si="7"/>
        <v>539.79999999999995</v>
      </c>
      <c r="BD17" s="59">
        <f t="shared" si="7"/>
        <v>539.79999999999995</v>
      </c>
      <c r="BE17" s="60">
        <f>X65</f>
        <v>539.79999999999995</v>
      </c>
      <c r="BF17" s="60">
        <f>Z65</f>
        <v>540.29999999999995</v>
      </c>
      <c r="BG17" s="60">
        <f>AB65</f>
        <v>540.29999999999995</v>
      </c>
      <c r="BH17" s="60">
        <f>AD65</f>
        <v>540.29999999999995</v>
      </c>
      <c r="BI17" s="60">
        <f>AE65</f>
        <v>540.29999999999995</v>
      </c>
      <c r="BJ17" s="60">
        <f>AF65</f>
        <v>540.29999999999995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>
        <v>50.5</v>
      </c>
      <c r="Q18" s="46">
        <v>50.5</v>
      </c>
      <c r="R18" s="46">
        <v>50.5</v>
      </c>
      <c r="S18" s="46">
        <v>50.6</v>
      </c>
      <c r="T18" s="46">
        <v>50.6</v>
      </c>
      <c r="U18" s="46">
        <v>50.6</v>
      </c>
      <c r="V18" s="46">
        <v>50.6</v>
      </c>
      <c r="W18" s="46">
        <v>50.6</v>
      </c>
      <c r="X18" s="46">
        <v>50.6</v>
      </c>
      <c r="Y18" s="46">
        <v>50.6</v>
      </c>
      <c r="Z18" s="46">
        <v>50.6</v>
      </c>
      <c r="AA18" s="46">
        <v>50.6</v>
      </c>
      <c r="AB18" s="46">
        <v>50.6</v>
      </c>
      <c r="AC18" s="46">
        <v>50.6</v>
      </c>
      <c r="AD18" s="46">
        <v>50.6</v>
      </c>
      <c r="AE18" s="46">
        <v>50.6</v>
      </c>
      <c r="AF18" s="46">
        <v>50.6</v>
      </c>
      <c r="AG18" s="50">
        <v>50</v>
      </c>
      <c r="AH18" s="48">
        <f t="shared" si="2"/>
        <v>50.6</v>
      </c>
      <c r="AI18" s="49">
        <f t="shared" si="3"/>
        <v>50.5</v>
      </c>
      <c r="AK18" s="51"/>
      <c r="AL18" s="54" t="s">
        <v>29</v>
      </c>
      <c r="AM18" s="59">
        <f t="shared" ref="AM18:AR18" si="8">B79</f>
        <v>407.24</v>
      </c>
      <c r="AN18" s="59">
        <f t="shared" si="8"/>
        <v>406.94</v>
      </c>
      <c r="AO18" s="59">
        <f t="shared" si="8"/>
        <v>407.04</v>
      </c>
      <c r="AP18" s="59">
        <f t="shared" si="8"/>
        <v>407.04</v>
      </c>
      <c r="AQ18" s="59">
        <f t="shared" si="8"/>
        <v>407.04</v>
      </c>
      <c r="AR18" s="59">
        <f t="shared" si="8"/>
        <v>407.04</v>
      </c>
      <c r="AS18" s="59">
        <f>I79</f>
        <v>402.14000000000004</v>
      </c>
      <c r="AT18" s="59">
        <f>K79</f>
        <v>404.44000000000005</v>
      </c>
      <c r="AU18" s="59">
        <f t="shared" ref="AU18:BD18" si="9">M79</f>
        <v>404.44000000000005</v>
      </c>
      <c r="AV18" s="59">
        <f t="shared" si="9"/>
        <v>404.44000000000005</v>
      </c>
      <c r="AW18" s="59">
        <f t="shared" si="9"/>
        <v>418.44000000000005</v>
      </c>
      <c r="AX18" s="59">
        <f t="shared" si="9"/>
        <v>418.44000000000005</v>
      </c>
      <c r="AY18" s="59">
        <f t="shared" si="9"/>
        <v>418.44000000000005</v>
      </c>
      <c r="AZ18" s="59">
        <f t="shared" si="9"/>
        <v>413.64000000000004</v>
      </c>
      <c r="BA18" s="59">
        <f t="shared" si="9"/>
        <v>426.44000000000011</v>
      </c>
      <c r="BB18" s="59">
        <f t="shared" si="9"/>
        <v>423.1400000000001</v>
      </c>
      <c r="BC18" s="59">
        <f t="shared" si="9"/>
        <v>392.34000000000009</v>
      </c>
      <c r="BD18" s="59">
        <f t="shared" si="9"/>
        <v>388.04000000000008</v>
      </c>
      <c r="BE18" s="60">
        <f>X79</f>
        <v>365.44</v>
      </c>
      <c r="BF18" s="60">
        <f>Z79</f>
        <v>407.2</v>
      </c>
      <c r="BG18" s="60">
        <f>AB79</f>
        <v>405.24</v>
      </c>
      <c r="BH18" s="60">
        <f>AD79</f>
        <v>399.64</v>
      </c>
      <c r="BI18" s="60">
        <f>AE79</f>
        <v>399.64</v>
      </c>
      <c r="BJ18" s="60">
        <f>AF79</f>
        <v>399.64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</v>
      </c>
      <c r="C19" s="46">
        <v>44</v>
      </c>
      <c r="D19" s="46">
        <v>44</v>
      </c>
      <c r="E19" s="46">
        <v>44</v>
      </c>
      <c r="F19" s="46">
        <v>44</v>
      </c>
      <c r="G19" s="46">
        <v>44</v>
      </c>
      <c r="H19" s="46">
        <v>44</v>
      </c>
      <c r="I19" s="46">
        <v>44</v>
      </c>
      <c r="J19" s="46">
        <v>44</v>
      </c>
      <c r="K19" s="46">
        <v>44</v>
      </c>
      <c r="L19" s="46">
        <v>44</v>
      </c>
      <c r="M19" s="46">
        <v>44</v>
      </c>
      <c r="N19" s="46">
        <v>44</v>
      </c>
      <c r="O19" s="46">
        <v>44</v>
      </c>
      <c r="P19" s="46">
        <v>44</v>
      </c>
      <c r="Q19" s="46">
        <v>44</v>
      </c>
      <c r="R19" s="46">
        <v>44</v>
      </c>
      <c r="S19" s="46">
        <v>44</v>
      </c>
      <c r="T19" s="46">
        <v>44</v>
      </c>
      <c r="U19" s="46">
        <v>44</v>
      </c>
      <c r="V19" s="46">
        <v>44</v>
      </c>
      <c r="W19" s="46">
        <v>44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>
        <v>44</v>
      </c>
      <c r="AE19" s="46">
        <v>44</v>
      </c>
      <c r="AF19" s="46">
        <v>44</v>
      </c>
      <c r="AG19" s="50">
        <v>45</v>
      </c>
      <c r="AH19" s="48">
        <f t="shared" si="2"/>
        <v>44</v>
      </c>
      <c r="AI19" s="49">
        <f t="shared" si="3"/>
        <v>44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1.4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18</v>
      </c>
      <c r="BI19" s="60">
        <f>AE95</f>
        <v>20</v>
      </c>
      <c r="BJ19" s="60">
        <f>AF95</f>
        <v>17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30.9</v>
      </c>
      <c r="O20" s="46">
        <v>30.9</v>
      </c>
      <c r="P20" s="46">
        <v>30.9</v>
      </c>
      <c r="Q20" s="46">
        <v>30.9</v>
      </c>
      <c r="R20" s="46">
        <v>30.9</v>
      </c>
      <c r="S20" s="46">
        <v>31</v>
      </c>
      <c r="T20" s="46">
        <v>31</v>
      </c>
      <c r="U20" s="46">
        <v>31</v>
      </c>
      <c r="V20" s="46">
        <v>31</v>
      </c>
      <c r="W20" s="46">
        <v>0</v>
      </c>
      <c r="X20" s="46">
        <v>0</v>
      </c>
      <c r="Y20" s="46">
        <v>0</v>
      </c>
      <c r="Z20" s="46">
        <v>44.8</v>
      </c>
      <c r="AA20" s="46">
        <v>44.8</v>
      </c>
      <c r="AB20" s="46">
        <v>44.8</v>
      </c>
      <c r="AC20" s="46">
        <v>44.8</v>
      </c>
      <c r="AD20" s="46">
        <v>44.8</v>
      </c>
      <c r="AE20" s="46">
        <v>44.8</v>
      </c>
      <c r="AF20" s="46">
        <v>44.8</v>
      </c>
      <c r="AG20" s="50">
        <v>44</v>
      </c>
      <c r="AH20" s="48">
        <f t="shared" si="2"/>
        <v>44.8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18.5</v>
      </c>
      <c r="BH20" s="60">
        <f>AD83</f>
        <v>18.5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27.6</v>
      </c>
      <c r="C22" s="46">
        <v>27.6</v>
      </c>
      <c r="D22" s="46">
        <v>27.6</v>
      </c>
      <c r="E22" s="46">
        <v>27.6</v>
      </c>
      <c r="F22" s="46">
        <v>27.6</v>
      </c>
      <c r="G22" s="46">
        <v>27.6</v>
      </c>
      <c r="H22" s="46">
        <v>27.6</v>
      </c>
      <c r="I22" s="46">
        <v>27.6</v>
      </c>
      <c r="J22" s="46">
        <v>27.6</v>
      </c>
      <c r="K22" s="46">
        <v>27.6</v>
      </c>
      <c r="L22" s="46">
        <v>27.6</v>
      </c>
      <c r="M22" s="46">
        <v>27.6</v>
      </c>
      <c r="N22" s="46">
        <v>27.6</v>
      </c>
      <c r="O22" s="46">
        <v>27.6</v>
      </c>
      <c r="P22" s="46">
        <v>27.6</v>
      </c>
      <c r="Q22" s="46">
        <v>27.6</v>
      </c>
      <c r="R22" s="46">
        <v>27.6</v>
      </c>
      <c r="S22" s="46">
        <v>27.8</v>
      </c>
      <c r="T22" s="46">
        <v>27.8</v>
      </c>
      <c r="U22" s="46">
        <v>27.8</v>
      </c>
      <c r="V22" s="46">
        <v>27.8</v>
      </c>
      <c r="W22" s="46">
        <v>27.8</v>
      </c>
      <c r="X22" s="46">
        <v>27.8</v>
      </c>
      <c r="Y22" s="46">
        <v>27.8</v>
      </c>
      <c r="Z22" s="46">
        <v>0</v>
      </c>
      <c r="AA22" s="46">
        <v>0</v>
      </c>
      <c r="AB22" s="46">
        <v>0</v>
      </c>
      <c r="AC22" s="46">
        <v>13.6</v>
      </c>
      <c r="AD22" s="46">
        <v>27</v>
      </c>
      <c r="AE22" s="46">
        <v>27</v>
      </c>
      <c r="AF22" s="46">
        <v>27</v>
      </c>
      <c r="AG22" s="50">
        <v>38.46</v>
      </c>
      <c r="AH22" s="48">
        <f t="shared" si="2"/>
        <v>27.8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2286.94</v>
      </c>
      <c r="AN22" s="63">
        <f t="shared" si="16"/>
        <v>2286.64</v>
      </c>
      <c r="AO22" s="63">
        <f t="shared" si="16"/>
        <v>2267.0400000000004</v>
      </c>
      <c r="AP22" s="63">
        <f t="shared" si="16"/>
        <v>2244.8400000000006</v>
      </c>
      <c r="AQ22" s="63">
        <f t="shared" si="16"/>
        <v>2205.34</v>
      </c>
      <c r="AR22" s="63">
        <f t="shared" si="16"/>
        <v>2198.7400000000002</v>
      </c>
      <c r="AS22" s="63">
        <f t="shared" si="16"/>
        <v>2190.94</v>
      </c>
      <c r="AT22" s="63">
        <f t="shared" si="16"/>
        <v>2209.6400000000003</v>
      </c>
      <c r="AU22" s="63">
        <f t="shared" si="16"/>
        <v>2223.2400000000007</v>
      </c>
      <c r="AV22" s="63">
        <f t="shared" si="16"/>
        <v>2225.6400000000003</v>
      </c>
      <c r="AW22" s="63">
        <f t="shared" si="16"/>
        <v>2242.84</v>
      </c>
      <c r="AX22" s="63">
        <f t="shared" si="16"/>
        <v>2242.84</v>
      </c>
      <c r="AY22" s="63">
        <f t="shared" si="16"/>
        <v>2242.84</v>
      </c>
      <c r="AZ22" s="63">
        <f t="shared" si="16"/>
        <v>2239.4400000000005</v>
      </c>
      <c r="BA22" s="63">
        <f t="shared" si="16"/>
        <v>2386.1400000000003</v>
      </c>
      <c r="BB22" s="63">
        <f t="shared" si="16"/>
        <v>2382.84</v>
      </c>
      <c r="BC22" s="63">
        <f t="shared" si="16"/>
        <v>2389.5400000000004</v>
      </c>
      <c r="BD22" s="63">
        <f t="shared" si="16"/>
        <v>2385.2400000000002</v>
      </c>
      <c r="BE22" s="63">
        <f t="shared" si="16"/>
        <v>2326.2400000000002</v>
      </c>
      <c r="BF22" s="63">
        <f t="shared" si="16"/>
        <v>2368.6</v>
      </c>
      <c r="BG22" s="63">
        <f t="shared" si="16"/>
        <v>2335.2400000000002</v>
      </c>
      <c r="BH22" s="63">
        <f t="shared" si="16"/>
        <v>2330.7400000000002</v>
      </c>
      <c r="BI22" s="63">
        <f t="shared" si="16"/>
        <v>2302.2400000000002</v>
      </c>
      <c r="BJ22" s="63">
        <f t="shared" si="16"/>
        <v>2299.2400000000002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37.5</v>
      </c>
      <c r="C23" s="46">
        <v>37.5</v>
      </c>
      <c r="D23" s="46">
        <v>37.5</v>
      </c>
      <c r="E23" s="46">
        <v>37.5</v>
      </c>
      <c r="F23" s="46">
        <v>37.5</v>
      </c>
      <c r="G23" s="46">
        <v>37.5</v>
      </c>
      <c r="H23" s="46">
        <v>37.5</v>
      </c>
      <c r="I23" s="46">
        <v>37.5</v>
      </c>
      <c r="J23" s="46">
        <v>37.5</v>
      </c>
      <c r="K23" s="46">
        <v>37.5</v>
      </c>
      <c r="L23" s="46">
        <v>37.5</v>
      </c>
      <c r="M23" s="46">
        <v>37.5</v>
      </c>
      <c r="N23" s="46">
        <v>37.5</v>
      </c>
      <c r="O23" s="46">
        <v>32.299999999999997</v>
      </c>
      <c r="P23" s="46">
        <v>32.299999999999997</v>
      </c>
      <c r="Q23" s="46">
        <v>32.299999999999997</v>
      </c>
      <c r="R23" s="46">
        <v>32.299999999999997</v>
      </c>
      <c r="S23" s="46">
        <v>28.3</v>
      </c>
      <c r="T23" s="46">
        <v>28.3</v>
      </c>
      <c r="U23" s="46">
        <v>40</v>
      </c>
      <c r="V23" s="46">
        <v>40</v>
      </c>
      <c r="W23" s="46">
        <v>40</v>
      </c>
      <c r="X23" s="46">
        <v>40</v>
      </c>
      <c r="Y23" s="46">
        <v>40</v>
      </c>
      <c r="Z23" s="46">
        <v>40</v>
      </c>
      <c r="AA23" s="46">
        <v>27.7</v>
      </c>
      <c r="AB23" s="46">
        <v>27.7</v>
      </c>
      <c r="AC23" s="46">
        <v>27.7</v>
      </c>
      <c r="AD23" s="46">
        <v>27.7</v>
      </c>
      <c r="AE23" s="46">
        <v>27.7</v>
      </c>
      <c r="AF23" s="46">
        <v>27.7</v>
      </c>
      <c r="AG23" s="50">
        <v>38.46</v>
      </c>
      <c r="AH23" s="48">
        <f t="shared" si="2"/>
        <v>40</v>
      </c>
      <c r="AI23" s="49">
        <f t="shared" si="3"/>
        <v>27.7</v>
      </c>
      <c r="AK23" s="51"/>
      <c r="AL23" s="62" t="s">
        <v>39</v>
      </c>
      <c r="AM23" s="63">
        <f t="shared" ref="AM23:AR23" si="17">B110*-1</f>
        <v>-699</v>
      </c>
      <c r="AN23" s="63">
        <f t="shared" si="17"/>
        <v>-691.4</v>
      </c>
      <c r="AO23" s="63">
        <f t="shared" si="17"/>
        <v>-700.4</v>
      </c>
      <c r="AP23" s="63">
        <f t="shared" si="17"/>
        <v>-699</v>
      </c>
      <c r="AQ23" s="63">
        <f t="shared" si="17"/>
        <v>-710</v>
      </c>
      <c r="AR23" s="63">
        <f t="shared" si="17"/>
        <v>-733</v>
      </c>
      <c r="AS23" s="63">
        <f>I110*-1</f>
        <v>-693.6</v>
      </c>
      <c r="AT23" s="63">
        <f>K110*-1</f>
        <v>-737</v>
      </c>
      <c r="AU23" s="63">
        <f t="shared" ref="AU23:BD23" si="18">M110*-1</f>
        <v>-743</v>
      </c>
      <c r="AV23" s="63">
        <f t="shared" si="18"/>
        <v>-743</v>
      </c>
      <c r="AW23" s="63">
        <f t="shared" si="18"/>
        <v>-638</v>
      </c>
      <c r="AX23" s="63">
        <f t="shared" si="18"/>
        <v>-665</v>
      </c>
      <c r="AY23" s="63">
        <f t="shared" si="18"/>
        <v>-654</v>
      </c>
      <c r="AZ23" s="63">
        <f t="shared" si="18"/>
        <v>-610</v>
      </c>
      <c r="BA23" s="63">
        <f t="shared" si="18"/>
        <v>-633.19999999999993</v>
      </c>
      <c r="BB23" s="63">
        <f t="shared" si="18"/>
        <v>-720.8</v>
      </c>
      <c r="BC23" s="63">
        <f t="shared" si="18"/>
        <v>-696.1</v>
      </c>
      <c r="BD23" s="63">
        <f t="shared" si="18"/>
        <v>-666.2</v>
      </c>
      <c r="BE23" s="63">
        <f>X110*-1</f>
        <v>-702.7</v>
      </c>
      <c r="BF23" s="63">
        <f>Z110*-1</f>
        <v>-624.4</v>
      </c>
      <c r="BG23" s="63">
        <f>AB110*-1</f>
        <v>-547</v>
      </c>
      <c r="BH23" s="63">
        <f>AD110*-1</f>
        <v>-618</v>
      </c>
      <c r="BI23" s="63">
        <f>AE110*-1</f>
        <v>-620</v>
      </c>
      <c r="BJ23" s="63">
        <f>AF110*-1</f>
        <v>-626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30</v>
      </c>
      <c r="C24" s="46">
        <v>30</v>
      </c>
      <c r="D24" s="46">
        <v>30</v>
      </c>
      <c r="E24" s="46">
        <v>30</v>
      </c>
      <c r="F24" s="46">
        <v>30</v>
      </c>
      <c r="G24" s="46">
        <v>30</v>
      </c>
      <c r="H24" s="46">
        <v>30</v>
      </c>
      <c r="I24" s="46">
        <v>30</v>
      </c>
      <c r="J24" s="46">
        <v>30</v>
      </c>
      <c r="K24" s="46">
        <v>30</v>
      </c>
      <c r="L24" s="46">
        <v>30</v>
      </c>
      <c r="M24" s="46">
        <v>30</v>
      </c>
      <c r="N24" s="46">
        <v>30</v>
      </c>
      <c r="O24" s="46">
        <v>0</v>
      </c>
      <c r="P24" s="46">
        <v>0</v>
      </c>
      <c r="Q24" s="46">
        <v>0</v>
      </c>
      <c r="R24" s="46">
        <v>0</v>
      </c>
      <c r="S24" s="46">
        <v>30</v>
      </c>
      <c r="T24" s="46">
        <v>30</v>
      </c>
      <c r="U24" s="46">
        <v>30</v>
      </c>
      <c r="V24" s="46">
        <v>30</v>
      </c>
      <c r="W24" s="46">
        <v>30</v>
      </c>
      <c r="X24" s="46">
        <v>30</v>
      </c>
      <c r="Y24" s="46">
        <v>30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1587.94</v>
      </c>
      <c r="AN24" s="63">
        <f t="shared" si="19"/>
        <v>1595.2399999999998</v>
      </c>
      <c r="AO24" s="63">
        <f t="shared" si="19"/>
        <v>1566.6400000000003</v>
      </c>
      <c r="AP24" s="63">
        <f t="shared" si="19"/>
        <v>1545.8400000000006</v>
      </c>
      <c r="AQ24" s="63">
        <f t="shared" si="19"/>
        <v>1495.3400000000001</v>
      </c>
      <c r="AR24" s="63">
        <f t="shared" si="19"/>
        <v>1465.7400000000002</v>
      </c>
      <c r="AS24" s="63">
        <f t="shared" si="19"/>
        <v>1497.3400000000001</v>
      </c>
      <c r="AT24" s="63">
        <f t="shared" si="19"/>
        <v>1472.6400000000003</v>
      </c>
      <c r="AU24" s="63">
        <f t="shared" si="19"/>
        <v>1480.2400000000007</v>
      </c>
      <c r="AV24" s="63">
        <f t="shared" si="19"/>
        <v>1482.6400000000003</v>
      </c>
      <c r="AW24" s="63">
        <f t="shared" si="19"/>
        <v>1604.8400000000001</v>
      </c>
      <c r="AX24" s="63">
        <f t="shared" si="19"/>
        <v>1577.8400000000001</v>
      </c>
      <c r="AY24" s="63">
        <f t="shared" si="19"/>
        <v>1588.8400000000001</v>
      </c>
      <c r="AZ24" s="63">
        <f t="shared" si="19"/>
        <v>1629.4400000000005</v>
      </c>
      <c r="BA24" s="63">
        <f t="shared" si="19"/>
        <v>1752.9400000000005</v>
      </c>
      <c r="BB24" s="63">
        <f t="shared" si="19"/>
        <v>1662.0400000000002</v>
      </c>
      <c r="BC24" s="63">
        <f t="shared" si="19"/>
        <v>1693.4400000000005</v>
      </c>
      <c r="BD24" s="63">
        <f t="shared" si="19"/>
        <v>1719.0400000000002</v>
      </c>
      <c r="BE24" s="63">
        <f t="shared" si="19"/>
        <v>1623.5400000000002</v>
      </c>
      <c r="BF24" s="63">
        <f t="shared" si="19"/>
        <v>1744.1999999999998</v>
      </c>
      <c r="BG24" s="63">
        <f t="shared" si="19"/>
        <v>1788.2400000000002</v>
      </c>
      <c r="BH24" s="63">
        <f t="shared" si="19"/>
        <v>1712.7400000000002</v>
      </c>
      <c r="BI24" s="63">
        <f t="shared" si="19"/>
        <v>1682.2400000000002</v>
      </c>
      <c r="BJ24" s="63">
        <f t="shared" si="19"/>
        <v>1673.2400000000002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24.3</v>
      </c>
      <c r="C25" s="46">
        <v>24.3</v>
      </c>
      <c r="D25" s="46">
        <v>24.3</v>
      </c>
      <c r="E25" s="46">
        <v>15</v>
      </c>
      <c r="F25" s="46">
        <v>9</v>
      </c>
      <c r="G25" s="46">
        <v>9</v>
      </c>
      <c r="H25" s="46">
        <v>9</v>
      </c>
      <c r="I25" s="46">
        <v>9</v>
      </c>
      <c r="J25" s="46">
        <v>9</v>
      </c>
      <c r="K25" s="46">
        <v>30</v>
      </c>
      <c r="L25" s="46">
        <v>30</v>
      </c>
      <c r="M25" s="46">
        <v>30</v>
      </c>
      <c r="N25" s="46">
        <v>30</v>
      </c>
      <c r="O25" s="46">
        <v>30</v>
      </c>
      <c r="P25" s="46">
        <v>30</v>
      </c>
      <c r="Q25" s="46">
        <v>30</v>
      </c>
      <c r="R25" s="46">
        <v>30</v>
      </c>
      <c r="S25" s="46">
        <v>30.4</v>
      </c>
      <c r="T25" s="46">
        <v>30.4</v>
      </c>
      <c r="U25" s="46">
        <v>30.4</v>
      </c>
      <c r="V25" s="46">
        <v>30.4</v>
      </c>
      <c r="W25" s="46">
        <v>15</v>
      </c>
      <c r="X25" s="46">
        <v>30.1</v>
      </c>
      <c r="Y25" s="46">
        <v>30.1</v>
      </c>
      <c r="Z25" s="46">
        <v>30.1</v>
      </c>
      <c r="AA25" s="46">
        <v>30.1</v>
      </c>
      <c r="AB25" s="46">
        <v>30.1</v>
      </c>
      <c r="AC25" s="46">
        <v>30.1</v>
      </c>
      <c r="AD25" s="46">
        <v>30.1</v>
      </c>
      <c r="AE25" s="46">
        <v>30.1</v>
      </c>
      <c r="AF25" s="46">
        <v>30.1</v>
      </c>
      <c r="AG25" s="61">
        <v>30</v>
      </c>
      <c r="AH25" s="48">
        <f t="shared" si="2"/>
        <v>30.4</v>
      </c>
      <c r="AI25" s="49">
        <f t="shared" si="3"/>
        <v>9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25.9</v>
      </c>
      <c r="C26" s="46">
        <v>25.9</v>
      </c>
      <c r="D26" s="46">
        <v>25.9</v>
      </c>
      <c r="E26" s="46">
        <v>25.9</v>
      </c>
      <c r="F26" s="46">
        <v>25.9</v>
      </c>
      <c r="G26" s="46">
        <v>25.9</v>
      </c>
      <c r="H26" s="46">
        <v>25.9</v>
      </c>
      <c r="I26" s="46">
        <v>25.9</v>
      </c>
      <c r="J26" s="46">
        <v>25.9</v>
      </c>
      <c r="K26" s="46">
        <v>25.9</v>
      </c>
      <c r="L26" s="46">
        <v>25.9</v>
      </c>
      <c r="M26" s="46">
        <v>25.9</v>
      </c>
      <c r="N26" s="46">
        <v>25.9</v>
      </c>
      <c r="O26" s="46">
        <v>25.9</v>
      </c>
      <c r="P26" s="46">
        <v>25.9</v>
      </c>
      <c r="Q26" s="46">
        <v>25.9</v>
      </c>
      <c r="R26" s="46">
        <v>25.9</v>
      </c>
      <c r="S26" s="46">
        <v>33</v>
      </c>
      <c r="T26" s="46">
        <v>33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33</v>
      </c>
      <c r="AF26" s="46">
        <v>33</v>
      </c>
      <c r="AG26" s="50">
        <v>24.2</v>
      </c>
      <c r="AH26" s="48">
        <f t="shared" si="2"/>
        <v>33</v>
      </c>
      <c r="AI26" s="49">
        <f t="shared" si="3"/>
        <v>25.9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28.6</v>
      </c>
      <c r="C27" s="46">
        <v>28.6</v>
      </c>
      <c r="D27" s="46">
        <v>28.6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28.6</v>
      </c>
      <c r="N27" s="46">
        <v>28.6</v>
      </c>
      <c r="O27" s="46">
        <v>28.6</v>
      </c>
      <c r="P27" s="46">
        <v>28.6</v>
      </c>
      <c r="Q27" s="46">
        <v>28.6</v>
      </c>
      <c r="R27" s="46">
        <v>28.6</v>
      </c>
      <c r="S27" s="46">
        <v>28.7</v>
      </c>
      <c r="T27" s="46">
        <v>28.7</v>
      </c>
      <c r="U27" s="46">
        <v>28.7</v>
      </c>
      <c r="V27" s="46">
        <v>28.7</v>
      </c>
      <c r="W27" s="46">
        <v>28.7</v>
      </c>
      <c r="X27" s="46">
        <v>28.7</v>
      </c>
      <c r="Y27" s="46">
        <v>28.7</v>
      </c>
      <c r="Z27" s="46">
        <v>28</v>
      </c>
      <c r="AA27" s="46">
        <v>28.6</v>
      </c>
      <c r="AB27" s="46">
        <v>28.6</v>
      </c>
      <c r="AC27" s="46">
        <v>28.6</v>
      </c>
      <c r="AD27" s="46">
        <v>28.6</v>
      </c>
      <c r="AE27" s="46">
        <v>28.6</v>
      </c>
      <c r="AF27" s="46">
        <v>28.6</v>
      </c>
      <c r="AG27" s="50">
        <v>28</v>
      </c>
      <c r="AH27" s="48">
        <f t="shared" si="2"/>
        <v>28.7</v>
      </c>
      <c r="AI27" s="49">
        <f t="shared" si="3"/>
        <v>28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22.8</v>
      </c>
      <c r="C28" s="46">
        <v>22.8</v>
      </c>
      <c r="D28" s="46">
        <v>22.8</v>
      </c>
      <c r="E28" s="46">
        <v>13.5</v>
      </c>
      <c r="F28" s="46">
        <v>8.5</v>
      </c>
      <c r="G28" s="46">
        <v>0</v>
      </c>
      <c r="H28" s="46">
        <v>0</v>
      </c>
      <c r="I28" s="46">
        <v>8.3000000000000007</v>
      </c>
      <c r="J28" s="46">
        <v>8.3000000000000007</v>
      </c>
      <c r="K28" s="46">
        <v>27</v>
      </c>
      <c r="L28" s="46">
        <v>27</v>
      </c>
      <c r="M28" s="46">
        <v>27</v>
      </c>
      <c r="N28" s="46">
        <v>27</v>
      </c>
      <c r="O28" s="46">
        <v>27</v>
      </c>
      <c r="P28" s="46">
        <v>27</v>
      </c>
      <c r="Q28" s="46">
        <v>27</v>
      </c>
      <c r="R28" s="46">
        <v>27</v>
      </c>
      <c r="S28" s="46">
        <v>26.7</v>
      </c>
      <c r="T28" s="46">
        <v>26.7</v>
      </c>
      <c r="U28" s="46">
        <v>26.7</v>
      </c>
      <c r="V28" s="46">
        <v>26.7</v>
      </c>
      <c r="W28" s="46">
        <v>18</v>
      </c>
      <c r="X28" s="46">
        <v>26.5</v>
      </c>
      <c r="Y28" s="46">
        <v>26.5</v>
      </c>
      <c r="Z28" s="46">
        <v>26.5</v>
      </c>
      <c r="AA28" s="46">
        <v>26.5</v>
      </c>
      <c r="AB28" s="46">
        <v>26.5</v>
      </c>
      <c r="AC28" s="46">
        <v>26.5</v>
      </c>
      <c r="AD28" s="46">
        <v>26.5</v>
      </c>
      <c r="AE28" s="46">
        <v>26.5</v>
      </c>
      <c r="AF28" s="46">
        <v>26.5</v>
      </c>
      <c r="AG28" s="61">
        <v>30</v>
      </c>
      <c r="AH28" s="48">
        <f t="shared" si="2"/>
        <v>27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</v>
      </c>
      <c r="C29" s="46">
        <v>26</v>
      </c>
      <c r="D29" s="46">
        <v>26</v>
      </c>
      <c r="E29" s="46">
        <v>26</v>
      </c>
      <c r="F29" s="46">
        <v>26</v>
      </c>
      <c r="G29" s="46">
        <v>26</v>
      </c>
      <c r="H29" s="46">
        <v>26</v>
      </c>
      <c r="I29" s="46">
        <v>26</v>
      </c>
      <c r="J29" s="46">
        <v>26</v>
      </c>
      <c r="K29" s="46">
        <v>26</v>
      </c>
      <c r="L29" s="46">
        <v>26</v>
      </c>
      <c r="M29" s="46">
        <v>26</v>
      </c>
      <c r="N29" s="46">
        <v>26</v>
      </c>
      <c r="O29" s="46">
        <v>26</v>
      </c>
      <c r="P29" s="46">
        <v>26</v>
      </c>
      <c r="Q29" s="46">
        <v>26</v>
      </c>
      <c r="R29" s="46">
        <v>26</v>
      </c>
      <c r="S29" s="46">
        <v>26</v>
      </c>
      <c r="T29" s="46">
        <v>26</v>
      </c>
      <c r="U29" s="46">
        <v>26</v>
      </c>
      <c r="V29" s="46">
        <v>26</v>
      </c>
      <c r="W29" s="46">
        <v>11.5</v>
      </c>
      <c r="X29" s="46">
        <v>12.1</v>
      </c>
      <c r="Y29" s="46">
        <v>12.1</v>
      </c>
      <c r="Z29" s="46">
        <v>13.1</v>
      </c>
      <c r="AA29" s="46">
        <v>13.1</v>
      </c>
      <c r="AB29" s="46">
        <v>13.1</v>
      </c>
      <c r="AC29" s="46">
        <v>13.1</v>
      </c>
      <c r="AD29" s="46">
        <v>13.1</v>
      </c>
      <c r="AE29" s="46">
        <v>13.1</v>
      </c>
      <c r="AF29" s="46">
        <v>13.1</v>
      </c>
      <c r="AG29" s="50">
        <v>25</v>
      </c>
      <c r="AH29" s="48">
        <f t="shared" si="2"/>
        <v>26</v>
      </c>
      <c r="AI29" s="49">
        <f t="shared" si="3"/>
        <v>11.5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23</v>
      </c>
      <c r="C30" s="46">
        <v>23</v>
      </c>
      <c r="D30" s="46">
        <v>23</v>
      </c>
      <c r="E30" s="46">
        <v>23</v>
      </c>
      <c r="F30" s="46">
        <v>23</v>
      </c>
      <c r="G30" s="46">
        <v>23</v>
      </c>
      <c r="H30" s="46">
        <v>23</v>
      </c>
      <c r="I30" s="46">
        <v>23</v>
      </c>
      <c r="J30" s="46">
        <v>23</v>
      </c>
      <c r="K30" s="46">
        <v>23</v>
      </c>
      <c r="L30" s="46">
        <v>23</v>
      </c>
      <c r="M30" s="46">
        <v>23</v>
      </c>
      <c r="N30" s="46">
        <v>23</v>
      </c>
      <c r="O30" s="46">
        <v>23</v>
      </c>
      <c r="P30" s="46">
        <v>23</v>
      </c>
      <c r="Q30" s="46">
        <v>23</v>
      </c>
      <c r="R30" s="46">
        <v>23</v>
      </c>
      <c r="S30" s="46">
        <v>23</v>
      </c>
      <c r="T30" s="46">
        <v>23</v>
      </c>
      <c r="U30" s="46">
        <v>23</v>
      </c>
      <c r="V30" s="46">
        <v>23</v>
      </c>
      <c r="W30" s="46">
        <v>23</v>
      </c>
      <c r="X30" s="46">
        <v>23</v>
      </c>
      <c r="Y30" s="46">
        <v>23</v>
      </c>
      <c r="Z30" s="46">
        <v>23</v>
      </c>
      <c r="AA30" s="46">
        <v>23</v>
      </c>
      <c r="AB30" s="46">
        <v>23</v>
      </c>
      <c r="AC30" s="46">
        <v>23</v>
      </c>
      <c r="AD30" s="46">
        <v>23</v>
      </c>
      <c r="AE30" s="46">
        <v>23</v>
      </c>
      <c r="AF30" s="46">
        <v>23</v>
      </c>
      <c r="AG30" s="50">
        <v>25</v>
      </c>
      <c r="AH30" s="48">
        <f t="shared" si="2"/>
        <v>23</v>
      </c>
      <c r="AI30" s="49">
        <f t="shared" si="3"/>
        <v>23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20.7</v>
      </c>
      <c r="C31" s="46">
        <v>20.7</v>
      </c>
      <c r="D31" s="46">
        <v>20.7</v>
      </c>
      <c r="E31" s="46">
        <v>20.7</v>
      </c>
      <c r="F31" s="46">
        <v>20.7</v>
      </c>
      <c r="G31" s="46">
        <v>20.7</v>
      </c>
      <c r="H31" s="46">
        <v>20.7</v>
      </c>
      <c r="I31" s="46">
        <v>20.7</v>
      </c>
      <c r="J31" s="46">
        <v>20.7</v>
      </c>
      <c r="K31" s="46">
        <v>20.7</v>
      </c>
      <c r="L31" s="46">
        <v>20.7</v>
      </c>
      <c r="M31" s="46">
        <v>20.7</v>
      </c>
      <c r="N31" s="46">
        <v>20.7</v>
      </c>
      <c r="O31" s="46">
        <v>20.7</v>
      </c>
      <c r="P31" s="46">
        <v>20.7</v>
      </c>
      <c r="Q31" s="46">
        <v>20.7</v>
      </c>
      <c r="R31" s="46">
        <v>20.7</v>
      </c>
      <c r="S31" s="46">
        <v>25</v>
      </c>
      <c r="T31" s="46">
        <v>25</v>
      </c>
      <c r="U31" s="46">
        <v>25</v>
      </c>
      <c r="V31" s="46">
        <v>25</v>
      </c>
      <c r="W31" s="46">
        <v>25</v>
      </c>
      <c r="X31" s="46">
        <v>25</v>
      </c>
      <c r="Y31" s="46">
        <v>25</v>
      </c>
      <c r="Z31" s="46">
        <v>25</v>
      </c>
      <c r="AA31" s="46">
        <v>25</v>
      </c>
      <c r="AB31" s="46">
        <v>25</v>
      </c>
      <c r="AC31" s="46">
        <v>25</v>
      </c>
      <c r="AD31" s="46">
        <v>25</v>
      </c>
      <c r="AE31" s="46">
        <v>25</v>
      </c>
      <c r="AF31" s="46">
        <v>25</v>
      </c>
      <c r="AG31" s="50">
        <v>25</v>
      </c>
      <c r="AH31" s="48">
        <f t="shared" si="2"/>
        <v>25</v>
      </c>
      <c r="AI31" s="49">
        <f t="shared" si="3"/>
        <v>20.7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20.6</v>
      </c>
      <c r="C32" s="46">
        <v>20.6</v>
      </c>
      <c r="D32" s="46">
        <v>20.6</v>
      </c>
      <c r="E32" s="46">
        <v>20.6</v>
      </c>
      <c r="F32" s="46">
        <v>8</v>
      </c>
      <c r="G32" s="46">
        <v>8</v>
      </c>
      <c r="H32" s="46">
        <v>8</v>
      </c>
      <c r="I32" s="46">
        <v>8</v>
      </c>
      <c r="J32" s="46">
        <v>8</v>
      </c>
      <c r="K32" s="46">
        <v>8</v>
      </c>
      <c r="L32" s="46">
        <v>8</v>
      </c>
      <c r="M32" s="46">
        <v>8</v>
      </c>
      <c r="N32" s="46">
        <v>8</v>
      </c>
      <c r="O32" s="46">
        <v>8</v>
      </c>
      <c r="P32" s="46">
        <v>8</v>
      </c>
      <c r="Q32" s="46">
        <v>8</v>
      </c>
      <c r="R32" s="46">
        <v>8</v>
      </c>
      <c r="S32" s="46">
        <v>25.8</v>
      </c>
      <c r="T32" s="46">
        <v>25.8</v>
      </c>
      <c r="U32" s="46">
        <v>25.8</v>
      </c>
      <c r="V32" s="46">
        <v>25.8</v>
      </c>
      <c r="W32" s="46">
        <v>12</v>
      </c>
      <c r="X32" s="46">
        <v>26</v>
      </c>
      <c r="Y32" s="46">
        <v>26</v>
      </c>
      <c r="Z32" s="46">
        <v>26</v>
      </c>
      <c r="AA32" s="46">
        <v>26</v>
      </c>
      <c r="AB32" s="46">
        <v>26</v>
      </c>
      <c r="AC32" s="46">
        <v>26</v>
      </c>
      <c r="AD32" s="46">
        <v>26</v>
      </c>
      <c r="AE32" s="46">
        <v>26</v>
      </c>
      <c r="AF32" s="46">
        <v>26</v>
      </c>
      <c r="AG32" s="50">
        <v>25</v>
      </c>
      <c r="AH32" s="48">
        <f t="shared" si="2"/>
        <v>26</v>
      </c>
      <c r="AI32" s="49">
        <f t="shared" si="3"/>
        <v>8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25.7</v>
      </c>
      <c r="C33" s="46">
        <v>25.7</v>
      </c>
      <c r="D33" s="46">
        <v>25.7</v>
      </c>
      <c r="E33" s="46">
        <v>25.7</v>
      </c>
      <c r="F33" s="46">
        <v>25.7</v>
      </c>
      <c r="G33" s="46">
        <v>25.7</v>
      </c>
      <c r="H33" s="46">
        <v>25.7</v>
      </c>
      <c r="I33" s="46">
        <v>25.7</v>
      </c>
      <c r="J33" s="46">
        <v>25.7</v>
      </c>
      <c r="K33" s="46">
        <v>25.7</v>
      </c>
      <c r="L33" s="46">
        <v>25.7</v>
      </c>
      <c r="M33" s="46">
        <v>25.7</v>
      </c>
      <c r="N33" s="46">
        <v>25.7</v>
      </c>
      <c r="O33" s="46">
        <v>25.7</v>
      </c>
      <c r="P33" s="46">
        <v>25.7</v>
      </c>
      <c r="Q33" s="46">
        <v>25.7</v>
      </c>
      <c r="R33" s="46">
        <v>25.7</v>
      </c>
      <c r="S33" s="46">
        <v>25.2</v>
      </c>
      <c r="T33" s="46">
        <v>25.2</v>
      </c>
      <c r="U33" s="46">
        <v>25.2</v>
      </c>
      <c r="V33" s="46">
        <v>25.2</v>
      </c>
      <c r="W33" s="46">
        <v>25.2</v>
      </c>
      <c r="X33" s="46">
        <v>25.2</v>
      </c>
      <c r="Y33" s="46">
        <v>25.2</v>
      </c>
      <c r="Z33" s="46">
        <v>25.2</v>
      </c>
      <c r="AA33" s="46">
        <v>25.2</v>
      </c>
      <c r="AB33" s="46">
        <v>25.2</v>
      </c>
      <c r="AC33" s="46">
        <v>25.2</v>
      </c>
      <c r="AD33" s="46">
        <v>25.2</v>
      </c>
      <c r="AE33" s="46">
        <v>25.2</v>
      </c>
      <c r="AF33" s="46">
        <v>25.2</v>
      </c>
      <c r="AG33" s="50">
        <v>23.5</v>
      </c>
      <c r="AH33" s="48">
        <f t="shared" si="2"/>
        <v>25.7</v>
      </c>
      <c r="AI33" s="49">
        <f t="shared" si="3"/>
        <v>25.2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19</v>
      </c>
      <c r="G36" s="46">
        <v>19</v>
      </c>
      <c r="H36" s="46">
        <v>19</v>
      </c>
      <c r="I36" s="46">
        <v>19</v>
      </c>
      <c r="J36" s="46">
        <v>19</v>
      </c>
      <c r="K36" s="46">
        <v>19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19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22</v>
      </c>
      <c r="F37" s="46">
        <v>22</v>
      </c>
      <c r="G37" s="46">
        <v>22</v>
      </c>
      <c r="H37" s="46">
        <v>22</v>
      </c>
      <c r="I37" s="46">
        <v>22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22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7.7</v>
      </c>
      <c r="J38" s="46">
        <v>7.7</v>
      </c>
      <c r="K38" s="46">
        <v>7.7</v>
      </c>
      <c r="L38" s="46">
        <v>11.2</v>
      </c>
      <c r="M38" s="46">
        <v>11.2</v>
      </c>
      <c r="N38" s="46">
        <v>11.2</v>
      </c>
      <c r="O38" s="46">
        <v>11.2</v>
      </c>
      <c r="P38" s="46">
        <v>11.2</v>
      </c>
      <c r="Q38" s="46">
        <v>11.2</v>
      </c>
      <c r="R38" s="46">
        <v>11.2</v>
      </c>
      <c r="S38" s="46">
        <v>11.2</v>
      </c>
      <c r="T38" s="46">
        <v>11.2</v>
      </c>
      <c r="U38" s="46">
        <v>11.2</v>
      </c>
      <c r="V38" s="46">
        <v>11.2</v>
      </c>
      <c r="W38" s="46">
        <v>11.2</v>
      </c>
      <c r="X38" s="46">
        <v>11.2</v>
      </c>
      <c r="Y38" s="46">
        <v>11.2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50">
        <v>20</v>
      </c>
      <c r="AH38" s="48">
        <f t="shared" si="2"/>
        <v>11.2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12.2</v>
      </c>
      <c r="T40" s="46">
        <v>12.2</v>
      </c>
      <c r="U40" s="46">
        <v>12.2</v>
      </c>
      <c r="V40" s="46">
        <v>12.2</v>
      </c>
      <c r="W40" s="46">
        <v>14</v>
      </c>
      <c r="X40" s="46">
        <v>14</v>
      </c>
      <c r="Y40" s="46">
        <v>14</v>
      </c>
      <c r="Z40" s="46">
        <v>14</v>
      </c>
      <c r="AA40" s="46">
        <v>14</v>
      </c>
      <c r="AB40" s="46">
        <v>14</v>
      </c>
      <c r="AC40" s="46">
        <v>14</v>
      </c>
      <c r="AD40" s="46">
        <v>0</v>
      </c>
      <c r="AE40" s="46">
        <v>0</v>
      </c>
      <c r="AF40" s="46">
        <v>0</v>
      </c>
      <c r="AG40" s="50">
        <v>18</v>
      </c>
      <c r="AH40" s="48">
        <f t="shared" si="2"/>
        <v>14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16</v>
      </c>
      <c r="C41" s="46">
        <v>16</v>
      </c>
      <c r="D41" s="46">
        <v>16</v>
      </c>
      <c r="E41" s="46">
        <v>16</v>
      </c>
      <c r="F41" s="46">
        <v>16</v>
      </c>
      <c r="G41" s="46">
        <v>16</v>
      </c>
      <c r="H41" s="46">
        <v>16</v>
      </c>
      <c r="I41" s="46">
        <v>16</v>
      </c>
      <c r="J41" s="46">
        <v>16</v>
      </c>
      <c r="K41" s="46">
        <v>16</v>
      </c>
      <c r="L41" s="46">
        <v>16</v>
      </c>
      <c r="M41" s="46">
        <v>16</v>
      </c>
      <c r="N41" s="46">
        <v>16</v>
      </c>
      <c r="O41" s="46">
        <v>16</v>
      </c>
      <c r="P41" s="46">
        <v>16</v>
      </c>
      <c r="Q41" s="46">
        <v>16</v>
      </c>
      <c r="R41" s="46">
        <v>16</v>
      </c>
      <c r="S41" s="46">
        <v>8.3000000000000007</v>
      </c>
      <c r="T41" s="46">
        <v>8.3000000000000007</v>
      </c>
      <c r="U41" s="46">
        <v>8.3000000000000007</v>
      </c>
      <c r="V41" s="46">
        <v>8.3000000000000007</v>
      </c>
      <c r="W41" s="46">
        <v>8.3000000000000007</v>
      </c>
      <c r="X41" s="46">
        <v>8.3000000000000007</v>
      </c>
      <c r="Y41" s="46">
        <v>8.3000000000000007</v>
      </c>
      <c r="Z41" s="46">
        <v>8.3000000000000007</v>
      </c>
      <c r="AA41" s="46">
        <v>8.3000000000000007</v>
      </c>
      <c r="AB41" s="46">
        <v>8.3000000000000007</v>
      </c>
      <c r="AC41" s="46">
        <v>8.3000000000000007</v>
      </c>
      <c r="AD41" s="46">
        <v>8.3000000000000007</v>
      </c>
      <c r="AE41" s="46">
        <v>8.3000000000000007</v>
      </c>
      <c r="AF41" s="46">
        <v>8.3000000000000007</v>
      </c>
      <c r="AG41" s="50">
        <v>15.33</v>
      </c>
      <c r="AH41" s="48">
        <f t="shared" si="2"/>
        <v>16</v>
      </c>
      <c r="AI41" s="49">
        <f t="shared" si="3"/>
        <v>8.3000000000000007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5.0999999999999996</v>
      </c>
      <c r="C46" s="46">
        <v>5.0999999999999996</v>
      </c>
      <c r="D46" s="46">
        <v>5.0999999999999996</v>
      </c>
      <c r="E46" s="46">
        <v>5.0999999999999996</v>
      </c>
      <c r="F46" s="46">
        <v>5.0999999999999996</v>
      </c>
      <c r="G46" s="46">
        <v>5.0999999999999996</v>
      </c>
      <c r="H46" s="46">
        <v>5.0999999999999996</v>
      </c>
      <c r="I46" s="46">
        <v>5.0999999999999996</v>
      </c>
      <c r="J46" s="46">
        <v>5.0999999999999996</v>
      </c>
      <c r="K46" s="46">
        <v>5.0999999999999996</v>
      </c>
      <c r="L46" s="46">
        <v>5.0999999999999996</v>
      </c>
      <c r="M46" s="46">
        <v>5.0999999999999996</v>
      </c>
      <c r="N46" s="46">
        <v>5.0999999999999996</v>
      </c>
      <c r="O46" s="46">
        <v>5.0999999999999996</v>
      </c>
      <c r="P46" s="46">
        <v>5.0999999999999996</v>
      </c>
      <c r="Q46" s="46">
        <v>5.0999999999999996</v>
      </c>
      <c r="R46" s="46">
        <v>5.0999999999999996</v>
      </c>
      <c r="S46" s="46">
        <v>5</v>
      </c>
      <c r="T46" s="46">
        <v>5</v>
      </c>
      <c r="U46" s="46">
        <v>5</v>
      </c>
      <c r="V46" s="46">
        <v>5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7</v>
      </c>
      <c r="AC46" s="46">
        <v>7</v>
      </c>
      <c r="AD46" s="46">
        <v>7</v>
      </c>
      <c r="AE46" s="46">
        <v>7</v>
      </c>
      <c r="AF46" s="46">
        <v>7</v>
      </c>
      <c r="AG46" s="50">
        <v>14</v>
      </c>
      <c r="AH46" s="48">
        <f t="shared" si="2"/>
        <v>7</v>
      </c>
      <c r="AI46" s="49">
        <f t="shared" si="3"/>
        <v>5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f>12*0.8</f>
        <v>9.6000000000000014</v>
      </c>
      <c r="C49" s="46">
        <f>12*0.8</f>
        <v>9.6000000000000014</v>
      </c>
      <c r="D49" s="46">
        <f>12*0.8</f>
        <v>9.6000000000000014</v>
      </c>
      <c r="E49" s="46">
        <v>6</v>
      </c>
      <c r="F49" s="46">
        <v>3.6</v>
      </c>
      <c r="G49" s="46">
        <v>3.6</v>
      </c>
      <c r="H49" s="46">
        <v>3.6</v>
      </c>
      <c r="I49" s="46">
        <v>3.6</v>
      </c>
      <c r="J49" s="46">
        <v>3.6</v>
      </c>
      <c r="K49" s="46">
        <v>12</v>
      </c>
      <c r="L49" s="46">
        <v>12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3.6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0</v>
      </c>
      <c r="AF50" s="46">
        <v>0</v>
      </c>
      <c r="AG50" s="50">
        <v>12</v>
      </c>
      <c r="AH50" s="48">
        <f t="shared" si="2"/>
        <v>12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12</v>
      </c>
      <c r="C53" s="46">
        <v>12</v>
      </c>
      <c r="D53" s="46">
        <v>12</v>
      </c>
      <c r="E53" s="46">
        <v>12</v>
      </c>
      <c r="F53" s="46">
        <v>12</v>
      </c>
      <c r="G53" s="46">
        <v>12</v>
      </c>
      <c r="H53" s="46">
        <v>12</v>
      </c>
      <c r="I53" s="46">
        <v>12</v>
      </c>
      <c r="J53" s="46">
        <v>12</v>
      </c>
      <c r="K53" s="46">
        <v>12</v>
      </c>
      <c r="L53" s="46">
        <v>12</v>
      </c>
      <c r="M53" s="46">
        <v>12</v>
      </c>
      <c r="N53" s="46">
        <v>12</v>
      </c>
      <c r="O53" s="46">
        <v>12</v>
      </c>
      <c r="P53" s="46">
        <v>12</v>
      </c>
      <c r="Q53" s="46">
        <v>12</v>
      </c>
      <c r="R53" s="46">
        <v>12</v>
      </c>
      <c r="S53" s="46">
        <v>11</v>
      </c>
      <c r="T53" s="46">
        <v>11</v>
      </c>
      <c r="U53" s="46">
        <v>11</v>
      </c>
      <c r="V53" s="46">
        <v>11</v>
      </c>
      <c r="W53" s="46">
        <v>11</v>
      </c>
      <c r="X53" s="46">
        <v>11</v>
      </c>
      <c r="Y53" s="46">
        <v>11</v>
      </c>
      <c r="Z53" s="46">
        <v>11</v>
      </c>
      <c r="AA53" s="46">
        <v>11</v>
      </c>
      <c r="AB53" s="46">
        <v>11</v>
      </c>
      <c r="AC53" s="46">
        <v>11</v>
      </c>
      <c r="AD53" s="46">
        <v>11</v>
      </c>
      <c r="AE53" s="46">
        <v>11</v>
      </c>
      <c r="AF53" s="46">
        <v>11</v>
      </c>
      <c r="AG53" s="61">
        <v>11.88</v>
      </c>
      <c r="AH53" s="48">
        <f t="shared" si="2"/>
        <v>12</v>
      </c>
      <c r="AI53" s="49">
        <f t="shared" si="3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11.7</v>
      </c>
      <c r="C55" s="46">
        <v>11.7</v>
      </c>
      <c r="D55" s="46">
        <v>11.7</v>
      </c>
      <c r="E55" s="46">
        <v>11.7</v>
      </c>
      <c r="F55" s="46">
        <v>11.7</v>
      </c>
      <c r="G55" s="46">
        <v>11.7</v>
      </c>
      <c r="H55" s="46">
        <v>11.7</v>
      </c>
      <c r="I55" s="46">
        <v>11.7</v>
      </c>
      <c r="J55" s="46">
        <v>11.7</v>
      </c>
      <c r="K55" s="46">
        <v>11.7</v>
      </c>
      <c r="L55" s="46">
        <v>11.7</v>
      </c>
      <c r="M55" s="46">
        <v>11.7</v>
      </c>
      <c r="N55" s="46">
        <v>11.7</v>
      </c>
      <c r="O55" s="46">
        <v>11.7</v>
      </c>
      <c r="P55" s="46">
        <v>11.7</v>
      </c>
      <c r="Q55" s="46">
        <v>11.7</v>
      </c>
      <c r="R55" s="46">
        <v>11.7</v>
      </c>
      <c r="S55" s="46">
        <v>11.7</v>
      </c>
      <c r="T55" s="46">
        <v>11.7</v>
      </c>
      <c r="U55" s="46">
        <v>11.7</v>
      </c>
      <c r="V55" s="46">
        <v>11.7</v>
      </c>
      <c r="W55" s="46">
        <v>11.7</v>
      </c>
      <c r="X55" s="46">
        <v>11.7</v>
      </c>
      <c r="Y55" s="46">
        <v>11.7</v>
      </c>
      <c r="Z55" s="46">
        <v>11.7</v>
      </c>
      <c r="AA55" s="46">
        <v>11.7</v>
      </c>
      <c r="AB55" s="46">
        <v>11.7</v>
      </c>
      <c r="AC55" s="46">
        <v>11.7</v>
      </c>
      <c r="AD55" s="46">
        <v>11.7</v>
      </c>
      <c r="AE55" s="46">
        <v>11.7</v>
      </c>
      <c r="AF55" s="46">
        <v>11.7</v>
      </c>
      <c r="AG55" s="66">
        <v>11</v>
      </c>
      <c r="AH55" s="48">
        <f t="shared" si="2"/>
        <v>11.7</v>
      </c>
      <c r="AI55" s="49">
        <f t="shared" si="3"/>
        <v>11.7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8</v>
      </c>
      <c r="Y58" s="46">
        <v>8</v>
      </c>
      <c r="Z58" s="46">
        <v>8</v>
      </c>
      <c r="AA58" s="46">
        <v>8</v>
      </c>
      <c r="AB58" s="46">
        <v>8</v>
      </c>
      <c r="AC58" s="46">
        <v>8</v>
      </c>
      <c r="AD58" s="46">
        <v>8</v>
      </c>
      <c r="AE58" s="46">
        <v>8</v>
      </c>
      <c r="AF58" s="46">
        <v>8</v>
      </c>
      <c r="AG58" s="66">
        <v>10</v>
      </c>
      <c r="AH58" s="48">
        <f t="shared" si="2"/>
        <v>8</v>
      </c>
      <c r="AI58" s="49">
        <f t="shared" si="3"/>
        <v>8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f>75.7+104.9</f>
        <v>180.60000000000002</v>
      </c>
      <c r="C60" s="68">
        <f>76.8+105.1</f>
        <v>181.89999999999998</v>
      </c>
      <c r="D60" s="68">
        <f>76.9+105.1</f>
        <v>182</v>
      </c>
      <c r="E60" s="68">
        <v>171</v>
      </c>
      <c r="F60" s="68">
        <f>101.6+70.3</f>
        <v>171.89999999999998</v>
      </c>
      <c r="G60" s="68">
        <f>101.6+70.3</f>
        <v>171.89999999999998</v>
      </c>
      <c r="H60" s="68">
        <f>101.8+71.1</f>
        <v>172.89999999999998</v>
      </c>
      <c r="I60" s="68">
        <f>101.7+6.3</f>
        <v>108</v>
      </c>
      <c r="J60" s="68">
        <f>101.2+46</f>
        <v>147.19999999999999</v>
      </c>
      <c r="K60" s="53">
        <f>104.2+66.5</f>
        <v>170.7</v>
      </c>
      <c r="L60" s="53">
        <f>104.1+56</f>
        <v>160.1</v>
      </c>
      <c r="M60" s="53">
        <f>104.1+56</f>
        <v>160.1</v>
      </c>
      <c r="N60" s="53">
        <f>104.1+56</f>
        <v>160.1</v>
      </c>
      <c r="O60" s="53">
        <f>73.1+79</f>
        <v>152.1</v>
      </c>
      <c r="P60" s="53">
        <f>73.1+79</f>
        <v>152.1</v>
      </c>
      <c r="Q60" s="53">
        <f>73.1+79</f>
        <v>152.1</v>
      </c>
      <c r="R60" s="53">
        <f>73.1+79</f>
        <v>152.1</v>
      </c>
      <c r="S60" s="53">
        <f t="shared" ref="S60:AF60" si="20">80.9+67.7</f>
        <v>148.60000000000002</v>
      </c>
      <c r="T60" s="53">
        <f t="shared" si="20"/>
        <v>148.60000000000002</v>
      </c>
      <c r="U60" s="53">
        <f t="shared" si="20"/>
        <v>148.60000000000002</v>
      </c>
      <c r="V60" s="53">
        <f t="shared" si="20"/>
        <v>148.60000000000002</v>
      </c>
      <c r="W60" s="53">
        <f t="shared" si="20"/>
        <v>148.60000000000002</v>
      </c>
      <c r="X60" s="53">
        <f t="shared" si="20"/>
        <v>148.60000000000002</v>
      </c>
      <c r="Y60" s="53">
        <f t="shared" si="20"/>
        <v>148.60000000000002</v>
      </c>
      <c r="Z60" s="53">
        <f t="shared" si="20"/>
        <v>148.60000000000002</v>
      </c>
      <c r="AA60" s="53">
        <f t="shared" si="20"/>
        <v>148.60000000000002</v>
      </c>
      <c r="AB60" s="53">
        <f t="shared" si="20"/>
        <v>148.60000000000002</v>
      </c>
      <c r="AC60" s="53">
        <f t="shared" si="20"/>
        <v>148.60000000000002</v>
      </c>
      <c r="AD60" s="53">
        <f t="shared" si="20"/>
        <v>148.60000000000002</v>
      </c>
      <c r="AE60" s="53">
        <f t="shared" si="20"/>
        <v>148.60000000000002</v>
      </c>
      <c r="AF60" s="53">
        <f t="shared" si="20"/>
        <v>148.60000000000002</v>
      </c>
      <c r="AG60" s="66">
        <v>240</v>
      </c>
      <c r="AH60" s="48">
        <f t="shared" si="2"/>
        <v>182</v>
      </c>
      <c r="AI60" s="49">
        <f t="shared" si="3"/>
        <v>108</v>
      </c>
      <c r="AK60" s="51"/>
    </row>
    <row r="61" spans="1:88" ht="15.75" thickBot="1" x14ac:dyDescent="0.3">
      <c r="A61" s="70" t="s">
        <v>75</v>
      </c>
      <c r="B61" s="71">
        <f t="shared" ref="B61:C61" si="21">SUM(B11:B59)</f>
        <v>1339.5</v>
      </c>
      <c r="C61" s="71">
        <f t="shared" si="21"/>
        <v>1339.5</v>
      </c>
      <c r="D61" s="71">
        <f t="shared" ref="D61" si="22">SUM(D11:D59)</f>
        <v>1319.8000000000002</v>
      </c>
      <c r="E61" s="71">
        <f t="shared" ref="E61:AG61" si="23">SUM(E11:E59)</f>
        <v>1297.6000000000004</v>
      </c>
      <c r="F61" s="71">
        <f t="shared" ref="F61" si="24">SUM(F11:F59)</f>
        <v>1258.1000000000001</v>
      </c>
      <c r="G61" s="71">
        <f t="shared" si="23"/>
        <v>1251.5000000000002</v>
      </c>
      <c r="H61" s="71">
        <f t="shared" si="23"/>
        <v>1251.6000000000001</v>
      </c>
      <c r="I61" s="71">
        <f t="shared" si="23"/>
        <v>1248.6000000000001</v>
      </c>
      <c r="J61" s="71">
        <f t="shared" si="23"/>
        <v>1226.6000000000001</v>
      </c>
      <c r="K61" s="71">
        <f t="shared" si="23"/>
        <v>1265.0000000000002</v>
      </c>
      <c r="L61" s="71">
        <f t="shared" si="23"/>
        <v>1267.6000000000004</v>
      </c>
      <c r="M61" s="71">
        <f t="shared" si="23"/>
        <v>1278.6000000000004</v>
      </c>
      <c r="N61" s="71">
        <f t="shared" ref="N61:O61" si="25">SUM(N11:N59)</f>
        <v>1281.0000000000002</v>
      </c>
      <c r="O61" s="71">
        <f t="shared" si="25"/>
        <v>1284.2000000000003</v>
      </c>
      <c r="P61" s="71">
        <f t="shared" si="23"/>
        <v>1284.2000000000003</v>
      </c>
      <c r="Q61" s="71">
        <f t="shared" si="23"/>
        <v>1284.2000000000003</v>
      </c>
      <c r="R61" s="71">
        <f t="shared" ref="R61" si="26">SUM(R11:R59)</f>
        <v>1284.2000000000003</v>
      </c>
      <c r="S61" s="71">
        <f t="shared" si="23"/>
        <v>1419.9</v>
      </c>
      <c r="T61" s="71">
        <f t="shared" si="23"/>
        <v>1419.9</v>
      </c>
      <c r="U61" s="71">
        <f t="shared" si="23"/>
        <v>1457.4000000000003</v>
      </c>
      <c r="V61" s="71">
        <f t="shared" si="23"/>
        <v>1457.4000000000003</v>
      </c>
      <c r="W61" s="71">
        <f t="shared" si="23"/>
        <v>1350.8000000000002</v>
      </c>
      <c r="X61" s="71">
        <f t="shared" si="23"/>
        <v>1421.0000000000002</v>
      </c>
      <c r="Y61" s="71">
        <f t="shared" si="23"/>
        <v>1421.0000000000002</v>
      </c>
      <c r="Z61" s="71">
        <f t="shared" si="23"/>
        <v>1421.1000000000001</v>
      </c>
      <c r="AA61" s="71">
        <f t="shared" si="23"/>
        <v>1371.2000000000003</v>
      </c>
      <c r="AB61" s="71">
        <f t="shared" ref="AB61:AC61" si="27">SUM(AB11:AB59)</f>
        <v>1371.2000000000003</v>
      </c>
      <c r="AC61" s="71">
        <f t="shared" si="27"/>
        <v>1380.2000000000003</v>
      </c>
      <c r="AD61" s="71">
        <f t="shared" ref="AD61:AE61" si="28">SUM(AD11:AD59)</f>
        <v>1354.3000000000002</v>
      </c>
      <c r="AE61" s="71">
        <f t="shared" si="28"/>
        <v>1342.3000000000002</v>
      </c>
      <c r="AF61" s="71">
        <f t="shared" ref="AF61" si="29">SUM(AF11:AF59)</f>
        <v>1342.3000000000002</v>
      </c>
      <c r="AG61" s="71">
        <f t="shared" si="23"/>
        <v>1466.0300000000002</v>
      </c>
      <c r="AH61" s="48">
        <f t="shared" si="2"/>
        <v>1457.4000000000003</v>
      </c>
      <c r="AI61" s="49">
        <f t="shared" si="3"/>
        <v>1226.6000000000001</v>
      </c>
      <c r="AK61" s="51"/>
    </row>
    <row r="62" spans="1:88" x14ac:dyDescent="0.25">
      <c r="A62" s="73" t="s">
        <v>76</v>
      </c>
      <c r="B62" s="46">
        <v>458.2</v>
      </c>
      <c r="C62" s="46">
        <v>458.2</v>
      </c>
      <c r="D62" s="46">
        <v>458.2</v>
      </c>
      <c r="E62" s="46">
        <v>458.2</v>
      </c>
      <c r="F62" s="46">
        <v>458.2</v>
      </c>
      <c r="G62" s="46">
        <v>458.2</v>
      </c>
      <c r="H62" s="46">
        <v>458.2</v>
      </c>
      <c r="I62" s="46">
        <v>458.2</v>
      </c>
      <c r="J62" s="46">
        <v>458.2</v>
      </c>
      <c r="K62" s="46">
        <v>458.2</v>
      </c>
      <c r="L62" s="46">
        <v>458.2</v>
      </c>
      <c r="M62" s="46">
        <v>458.2</v>
      </c>
      <c r="N62" s="46">
        <v>458.2</v>
      </c>
      <c r="O62" s="46">
        <v>458.2</v>
      </c>
      <c r="P62" s="46">
        <v>458.2</v>
      </c>
      <c r="Q62" s="46">
        <v>458.2</v>
      </c>
      <c r="R62" s="46">
        <v>458.2</v>
      </c>
      <c r="S62" s="74">
        <v>457.8</v>
      </c>
      <c r="T62" s="74">
        <v>457.8</v>
      </c>
      <c r="U62" s="74">
        <v>457.8</v>
      </c>
      <c r="V62" s="74">
        <v>457.8</v>
      </c>
      <c r="W62" s="74">
        <v>457.8</v>
      </c>
      <c r="X62" s="74">
        <v>457.8</v>
      </c>
      <c r="Y62" s="46">
        <v>458.3</v>
      </c>
      <c r="Z62" s="46">
        <v>458.3</v>
      </c>
      <c r="AA62" s="46">
        <v>458.3</v>
      </c>
      <c r="AB62" s="46">
        <v>458.3</v>
      </c>
      <c r="AC62" s="46">
        <v>458.3</v>
      </c>
      <c r="AD62" s="46">
        <v>458.3</v>
      </c>
      <c r="AE62" s="46">
        <v>458.3</v>
      </c>
      <c r="AF62" s="46">
        <v>458.3</v>
      </c>
      <c r="AG62" s="61">
        <v>456</v>
      </c>
      <c r="AH62" s="48">
        <f t="shared" si="2"/>
        <v>458.3</v>
      </c>
      <c r="AI62" s="49">
        <f t="shared" si="3"/>
        <v>457.8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</v>
      </c>
      <c r="C64" s="78">
        <v>22</v>
      </c>
      <c r="D64" s="78">
        <v>22</v>
      </c>
      <c r="E64" s="78">
        <v>22</v>
      </c>
      <c r="F64" s="78">
        <v>22</v>
      </c>
      <c r="G64" s="78">
        <v>22</v>
      </c>
      <c r="H64" s="78">
        <v>22</v>
      </c>
      <c r="I64" s="78">
        <v>22</v>
      </c>
      <c r="J64" s="78">
        <v>22</v>
      </c>
      <c r="K64" s="78">
        <v>22</v>
      </c>
      <c r="L64" s="78">
        <v>22</v>
      </c>
      <c r="M64" s="78">
        <v>22</v>
      </c>
      <c r="N64" s="78">
        <v>22</v>
      </c>
      <c r="O64" s="78">
        <v>22</v>
      </c>
      <c r="P64" s="78">
        <v>22</v>
      </c>
      <c r="Q64" s="78">
        <v>22</v>
      </c>
      <c r="R64" s="78">
        <v>22</v>
      </c>
      <c r="S64" s="78">
        <v>22</v>
      </c>
      <c r="T64" s="78">
        <v>22</v>
      </c>
      <c r="U64" s="78">
        <v>22</v>
      </c>
      <c r="V64" s="78">
        <v>22</v>
      </c>
      <c r="W64" s="78">
        <v>22</v>
      </c>
      <c r="X64" s="78">
        <v>22</v>
      </c>
      <c r="Y64" s="78">
        <v>22</v>
      </c>
      <c r="Z64" s="78">
        <v>22</v>
      </c>
      <c r="AA64" s="78">
        <v>22</v>
      </c>
      <c r="AB64" s="78">
        <v>22</v>
      </c>
      <c r="AC64" s="78">
        <v>22</v>
      </c>
      <c r="AD64" s="78">
        <v>22</v>
      </c>
      <c r="AE64" s="78">
        <v>22</v>
      </c>
      <c r="AF64" s="78">
        <v>22</v>
      </c>
      <c r="AG64" s="79">
        <v>22.1</v>
      </c>
      <c r="AH64" s="48">
        <f t="shared" si="2"/>
        <v>22</v>
      </c>
      <c r="AI64" s="49">
        <f t="shared" si="3"/>
        <v>22</v>
      </c>
      <c r="AK64" s="51"/>
    </row>
    <row r="65" spans="1:75" ht="15.75" thickBot="1" x14ac:dyDescent="0.3">
      <c r="A65" s="80" t="s">
        <v>79</v>
      </c>
      <c r="B65" s="71">
        <f t="shared" ref="B65:C65" si="30">SUM(B62:B64)</f>
        <v>540.20000000000005</v>
      </c>
      <c r="C65" s="71">
        <f t="shared" si="30"/>
        <v>540.20000000000005</v>
      </c>
      <c r="D65" s="71">
        <f t="shared" ref="D65" si="31">SUM(D62:D64)</f>
        <v>540.20000000000005</v>
      </c>
      <c r="E65" s="71">
        <f t="shared" ref="E65:AG65" si="32">SUM(E62:E64)</f>
        <v>540.20000000000005</v>
      </c>
      <c r="F65" s="71">
        <f t="shared" ref="F65" si="33">SUM(F62:F64)</f>
        <v>540.20000000000005</v>
      </c>
      <c r="G65" s="71">
        <f t="shared" si="32"/>
        <v>540.20000000000005</v>
      </c>
      <c r="H65" s="71">
        <f t="shared" si="32"/>
        <v>540.20000000000005</v>
      </c>
      <c r="I65" s="71">
        <f t="shared" si="32"/>
        <v>540.20000000000005</v>
      </c>
      <c r="J65" s="71">
        <f t="shared" si="32"/>
        <v>540.20000000000005</v>
      </c>
      <c r="K65" s="71">
        <f t="shared" si="32"/>
        <v>540.20000000000005</v>
      </c>
      <c r="L65" s="71">
        <f t="shared" si="32"/>
        <v>540.20000000000005</v>
      </c>
      <c r="M65" s="71">
        <f t="shared" si="32"/>
        <v>540.20000000000005</v>
      </c>
      <c r="N65" s="71">
        <f t="shared" ref="N65:O65" si="34">SUM(N62:N64)</f>
        <v>540.20000000000005</v>
      </c>
      <c r="O65" s="71">
        <f t="shared" si="34"/>
        <v>540.20000000000005</v>
      </c>
      <c r="P65" s="71">
        <f t="shared" si="32"/>
        <v>540.20000000000005</v>
      </c>
      <c r="Q65" s="71">
        <f t="shared" si="32"/>
        <v>540.20000000000005</v>
      </c>
      <c r="R65" s="71">
        <f t="shared" ref="R65" si="35">SUM(R62:R64)</f>
        <v>540.20000000000005</v>
      </c>
      <c r="S65" s="71">
        <f t="shared" si="32"/>
        <v>539.79999999999995</v>
      </c>
      <c r="T65" s="71">
        <f t="shared" si="32"/>
        <v>539.79999999999995</v>
      </c>
      <c r="U65" s="71">
        <f>SUM(U62:U64)</f>
        <v>539.79999999999995</v>
      </c>
      <c r="V65" s="71">
        <f t="shared" si="32"/>
        <v>539.79999999999995</v>
      </c>
      <c r="W65" s="71">
        <f t="shared" si="32"/>
        <v>539.79999999999995</v>
      </c>
      <c r="X65" s="71">
        <f t="shared" si="32"/>
        <v>539.79999999999995</v>
      </c>
      <c r="Y65" s="71">
        <f t="shared" si="32"/>
        <v>540.29999999999995</v>
      </c>
      <c r="Z65" s="71">
        <f t="shared" si="32"/>
        <v>540.29999999999995</v>
      </c>
      <c r="AA65" s="71">
        <f t="shared" si="32"/>
        <v>540.29999999999995</v>
      </c>
      <c r="AB65" s="71">
        <f t="shared" ref="AB65:AC65" si="36">SUM(AB62:AB64)</f>
        <v>540.29999999999995</v>
      </c>
      <c r="AC65" s="71">
        <f t="shared" si="36"/>
        <v>540.29999999999995</v>
      </c>
      <c r="AD65" s="71">
        <f t="shared" ref="AD65:AE65" si="37">SUM(AD62:AD64)</f>
        <v>540.29999999999995</v>
      </c>
      <c r="AE65" s="71">
        <f t="shared" si="37"/>
        <v>540.29999999999995</v>
      </c>
      <c r="AF65" s="71">
        <f t="shared" ref="AF65" si="38">SUM(AF62:AF64)</f>
        <v>540.29999999999995</v>
      </c>
      <c r="AG65" s="72">
        <f t="shared" si="32"/>
        <v>538.1</v>
      </c>
      <c r="AH65" s="48">
        <f t="shared" si="2"/>
        <v>540.29999999999995</v>
      </c>
      <c r="AI65" s="49">
        <f t="shared" si="3"/>
        <v>539.79999999999995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130.5</v>
      </c>
      <c r="C66" s="46">
        <v>129.9</v>
      </c>
      <c r="D66" s="46">
        <v>130</v>
      </c>
      <c r="E66" s="46">
        <v>130</v>
      </c>
      <c r="F66" s="46">
        <v>130</v>
      </c>
      <c r="G66" s="46">
        <v>130</v>
      </c>
      <c r="H66" s="46">
        <v>130</v>
      </c>
      <c r="I66" s="46">
        <v>130</v>
      </c>
      <c r="J66" s="46">
        <v>130</v>
      </c>
      <c r="K66" s="46">
        <v>130</v>
      </c>
      <c r="L66" s="46">
        <v>130</v>
      </c>
      <c r="M66" s="46">
        <v>130</v>
      </c>
      <c r="N66" s="46">
        <v>130</v>
      </c>
      <c r="O66" s="46">
        <v>130</v>
      </c>
      <c r="P66" s="46">
        <v>130</v>
      </c>
      <c r="Q66" s="46">
        <v>130</v>
      </c>
      <c r="R66" s="46">
        <v>130</v>
      </c>
      <c r="S66" s="46">
        <v>131.1</v>
      </c>
      <c r="T66" s="46">
        <v>131.1</v>
      </c>
      <c r="U66" s="46">
        <v>131.1</v>
      </c>
      <c r="V66" s="46">
        <v>131.1</v>
      </c>
      <c r="W66" s="46">
        <v>94.5</v>
      </c>
      <c r="X66" s="46">
        <v>94.5</v>
      </c>
      <c r="Y66" s="46">
        <v>94.5</v>
      </c>
      <c r="Z66" s="46">
        <v>134.30000000000001</v>
      </c>
      <c r="AA66" s="46">
        <v>134.30000000000001</v>
      </c>
      <c r="AB66" s="46">
        <v>134.30000000000001</v>
      </c>
      <c r="AC66" s="46">
        <v>134.30000000000001</v>
      </c>
      <c r="AD66" s="46">
        <v>134.30000000000001</v>
      </c>
      <c r="AE66" s="46">
        <v>134.30000000000001</v>
      </c>
      <c r="AF66" s="46">
        <v>134.30000000000001</v>
      </c>
      <c r="AG66" s="61">
        <v>144</v>
      </c>
      <c r="AH66" s="48">
        <f t="shared" si="2"/>
        <v>134.30000000000001</v>
      </c>
      <c r="AI66" s="49">
        <f t="shared" si="3"/>
        <v>94.5</v>
      </c>
      <c r="AK66" s="51"/>
      <c r="AY66" s="1" t="s">
        <v>86</v>
      </c>
      <c r="AZ66" s="82">
        <f>ROUND(C84,0)</f>
        <v>-53</v>
      </c>
      <c r="BA66" s="81">
        <f t="shared" ref="BA66:BD70" si="39">D84</f>
        <v>-55.4</v>
      </c>
      <c r="BB66" s="81">
        <f t="shared" si="39"/>
        <v>-54</v>
      </c>
      <c r="BC66" s="81">
        <f t="shared" si="39"/>
        <v>-55</v>
      </c>
      <c r="BD66" s="81">
        <f t="shared" si="39"/>
        <v>-53</v>
      </c>
      <c r="BE66" s="82">
        <f>I84</f>
        <v>-69</v>
      </c>
      <c r="BF66" s="82">
        <f>K84</f>
        <v>-66</v>
      </c>
      <c r="BG66" s="82">
        <f t="shared" ref="BG66:BP70" si="40">M84</f>
        <v>-44</v>
      </c>
      <c r="BH66" s="82">
        <f t="shared" si="40"/>
        <v>-44</v>
      </c>
      <c r="BI66" s="82">
        <f t="shared" si="40"/>
        <v>-22</v>
      </c>
      <c r="BJ66" s="82">
        <f t="shared" si="40"/>
        <v>0</v>
      </c>
      <c r="BK66" s="82">
        <f t="shared" si="40"/>
        <v>-16</v>
      </c>
      <c r="BL66" s="82">
        <f t="shared" si="40"/>
        <v>1.4</v>
      </c>
      <c r="BM66" s="82">
        <f t="shared" si="40"/>
        <v>-18.899999999999999</v>
      </c>
      <c r="BN66" s="82">
        <f t="shared" si="40"/>
        <v>-38</v>
      </c>
      <c r="BO66" s="82">
        <f t="shared" si="40"/>
        <v>-16.100000000000001</v>
      </c>
      <c r="BP66" s="82">
        <f t="shared" si="40"/>
        <v>-28</v>
      </c>
      <c r="BQ66" s="82">
        <f>X84</f>
        <v>-2.7</v>
      </c>
      <c r="BR66" s="82">
        <f>Z84</f>
        <v>-7.3</v>
      </c>
      <c r="BS66" s="81">
        <f>AB84</f>
        <v>0</v>
      </c>
      <c r="BT66" s="81">
        <f t="shared" ref="BT66:BV70" si="41">AD84</f>
        <v>18</v>
      </c>
      <c r="BU66" s="81">
        <f t="shared" si="41"/>
        <v>20</v>
      </c>
      <c r="BV66" s="81">
        <f t="shared" si="41"/>
        <v>17</v>
      </c>
      <c r="BW66" s="81">
        <f>B84</f>
        <v>-51</v>
      </c>
    </row>
    <row r="67" spans="1:75" x14ac:dyDescent="0.25">
      <c r="A67" s="65" t="s">
        <v>81</v>
      </c>
      <c r="B67" s="76">
        <v>69</v>
      </c>
      <c r="C67" s="76">
        <v>69</v>
      </c>
      <c r="D67" s="76">
        <v>69</v>
      </c>
      <c r="E67" s="76">
        <v>69</v>
      </c>
      <c r="F67" s="76">
        <v>69</v>
      </c>
      <c r="G67" s="76">
        <v>69</v>
      </c>
      <c r="H67" s="76">
        <v>69</v>
      </c>
      <c r="I67" s="76">
        <v>69</v>
      </c>
      <c r="J67" s="76">
        <v>69</v>
      </c>
      <c r="K67" s="76">
        <v>69</v>
      </c>
      <c r="L67" s="76">
        <v>69</v>
      </c>
      <c r="M67" s="76">
        <v>69</v>
      </c>
      <c r="N67" s="76">
        <v>69</v>
      </c>
      <c r="O67" s="76">
        <v>69</v>
      </c>
      <c r="P67" s="76">
        <v>69</v>
      </c>
      <c r="Q67" s="76">
        <v>69</v>
      </c>
      <c r="R67" s="76">
        <v>69</v>
      </c>
      <c r="S67" s="76">
        <v>69</v>
      </c>
      <c r="T67" s="76">
        <v>69</v>
      </c>
      <c r="U67" s="76">
        <v>69</v>
      </c>
      <c r="V67" s="76">
        <v>69</v>
      </c>
      <c r="W67" s="76">
        <v>69</v>
      </c>
      <c r="X67" s="76">
        <v>69</v>
      </c>
      <c r="Y67" s="76">
        <v>69</v>
      </c>
      <c r="Z67" s="76">
        <v>69</v>
      </c>
      <c r="AA67" s="76">
        <v>69</v>
      </c>
      <c r="AB67" s="76">
        <v>69</v>
      </c>
      <c r="AC67" s="76">
        <v>69</v>
      </c>
      <c r="AD67" s="76">
        <v>69</v>
      </c>
      <c r="AE67" s="76">
        <v>69</v>
      </c>
      <c r="AF67" s="76">
        <v>69</v>
      </c>
      <c r="AG67" s="66">
        <v>70</v>
      </c>
      <c r="AH67" s="48">
        <f t="shared" si="2"/>
        <v>69</v>
      </c>
      <c r="AI67" s="49">
        <f t="shared" si="3"/>
        <v>69</v>
      </c>
      <c r="AK67" s="51"/>
      <c r="AY67" s="1" t="s">
        <v>88</v>
      </c>
      <c r="AZ67" s="82">
        <f>ROUND(C85,0)</f>
        <v>0</v>
      </c>
      <c r="BA67" s="81">
        <f t="shared" si="39"/>
        <v>0</v>
      </c>
      <c r="BB67" s="81">
        <f t="shared" si="39"/>
        <v>0</v>
      </c>
      <c r="BC67" s="81">
        <f t="shared" si="39"/>
        <v>0</v>
      </c>
      <c r="BD67" s="81">
        <f t="shared" si="39"/>
        <v>0</v>
      </c>
      <c r="BE67" s="82">
        <f>I85</f>
        <v>0</v>
      </c>
      <c r="BF67" s="82">
        <f>K85</f>
        <v>0</v>
      </c>
      <c r="BG67" s="82">
        <f t="shared" si="40"/>
        <v>0</v>
      </c>
      <c r="BH67" s="82">
        <f t="shared" si="40"/>
        <v>0</v>
      </c>
      <c r="BI67" s="82">
        <f t="shared" si="40"/>
        <v>0</v>
      </c>
      <c r="BJ67" s="82">
        <f t="shared" si="40"/>
        <v>0</v>
      </c>
      <c r="BK67" s="82">
        <f t="shared" si="40"/>
        <v>0</v>
      </c>
      <c r="BL67" s="82">
        <f t="shared" si="40"/>
        <v>0</v>
      </c>
      <c r="BM67" s="82">
        <f t="shared" si="40"/>
        <v>0</v>
      </c>
      <c r="BN67" s="82">
        <f t="shared" si="40"/>
        <v>0</v>
      </c>
      <c r="BO67" s="82">
        <f t="shared" si="40"/>
        <v>0</v>
      </c>
      <c r="BP67" s="82">
        <f t="shared" si="40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1"/>
        <v>0</v>
      </c>
      <c r="BU67" s="81">
        <f t="shared" si="41"/>
        <v>0</v>
      </c>
      <c r="BV67" s="81">
        <f t="shared" si="41"/>
        <v>0</v>
      </c>
      <c r="BW67" s="81">
        <f>B85</f>
        <v>0</v>
      </c>
    </row>
    <row r="68" spans="1:75" x14ac:dyDescent="0.25">
      <c r="A68" s="65" t="s">
        <v>82</v>
      </c>
      <c r="B68" s="76">
        <v>64.599999999999994</v>
      </c>
      <c r="C68" s="76">
        <v>64.599999999999994</v>
      </c>
      <c r="D68" s="76">
        <v>64.599999999999994</v>
      </c>
      <c r="E68" s="76">
        <v>64.599999999999994</v>
      </c>
      <c r="F68" s="76">
        <v>64.599999999999994</v>
      </c>
      <c r="G68" s="76">
        <v>64.599999999999994</v>
      </c>
      <c r="H68" s="76">
        <v>64.599999999999994</v>
      </c>
      <c r="I68" s="76">
        <v>64.599999999999994</v>
      </c>
      <c r="J68" s="76">
        <v>64.599999999999994</v>
      </c>
      <c r="K68" s="76">
        <v>64.599999999999994</v>
      </c>
      <c r="L68" s="76">
        <v>64.599999999999994</v>
      </c>
      <c r="M68" s="76">
        <v>64.599999999999994</v>
      </c>
      <c r="N68" s="76">
        <v>64.599999999999994</v>
      </c>
      <c r="O68" s="76">
        <v>64.599999999999994</v>
      </c>
      <c r="P68" s="76">
        <v>64.599999999999994</v>
      </c>
      <c r="Q68" s="76">
        <v>64.599999999999994</v>
      </c>
      <c r="R68" s="76">
        <v>64.599999999999994</v>
      </c>
      <c r="S68" s="76">
        <v>64</v>
      </c>
      <c r="T68" s="76">
        <v>64</v>
      </c>
      <c r="U68" s="76">
        <v>64</v>
      </c>
      <c r="V68" s="76">
        <v>64</v>
      </c>
      <c r="W68" s="76">
        <v>64</v>
      </c>
      <c r="X68" s="76">
        <v>64</v>
      </c>
      <c r="Y68" s="76">
        <v>64</v>
      </c>
      <c r="Z68" s="76">
        <v>64</v>
      </c>
      <c r="AA68" s="76">
        <v>64</v>
      </c>
      <c r="AB68" s="76">
        <v>64</v>
      </c>
      <c r="AC68" s="76">
        <v>64</v>
      </c>
      <c r="AD68" s="76">
        <v>64</v>
      </c>
      <c r="AE68" s="76">
        <v>64</v>
      </c>
      <c r="AF68" s="76">
        <v>64</v>
      </c>
      <c r="AG68" s="66">
        <v>69</v>
      </c>
      <c r="AH68" s="48">
        <f t="shared" si="2"/>
        <v>64.599999999999994</v>
      </c>
      <c r="AI68" s="49">
        <f t="shared" si="3"/>
        <v>64</v>
      </c>
      <c r="AK68" s="51"/>
      <c r="AL68" s="83"/>
      <c r="AO68" s="83"/>
      <c r="AY68" s="1" t="s">
        <v>90</v>
      </c>
      <c r="AZ68" s="82">
        <f>ROUND(C86,0)</f>
        <v>-638</v>
      </c>
      <c r="BA68" s="81">
        <f t="shared" si="39"/>
        <v>-645</v>
      </c>
      <c r="BB68" s="81">
        <f t="shared" si="39"/>
        <v>-645</v>
      </c>
      <c r="BC68" s="81">
        <f t="shared" si="39"/>
        <v>-655</v>
      </c>
      <c r="BD68" s="81">
        <f t="shared" si="39"/>
        <v>-680</v>
      </c>
      <c r="BE68" s="82">
        <f>I86</f>
        <v>-624.6</v>
      </c>
      <c r="BF68" s="82">
        <f>K86</f>
        <v>-671</v>
      </c>
      <c r="BG68" s="82">
        <f t="shared" si="40"/>
        <v>-699</v>
      </c>
      <c r="BH68" s="82">
        <f t="shared" si="40"/>
        <v>-699</v>
      </c>
      <c r="BI68" s="82">
        <f t="shared" si="40"/>
        <v>-616</v>
      </c>
      <c r="BJ68" s="82">
        <f t="shared" si="40"/>
        <v>-665</v>
      </c>
      <c r="BK68" s="82">
        <f t="shared" si="40"/>
        <v>-638</v>
      </c>
      <c r="BL68" s="82">
        <f t="shared" si="40"/>
        <v>-610</v>
      </c>
      <c r="BM68" s="82">
        <f t="shared" si="40"/>
        <v>-614.29999999999995</v>
      </c>
      <c r="BN68" s="82">
        <f t="shared" si="40"/>
        <v>-682.8</v>
      </c>
      <c r="BO68" s="82">
        <f t="shared" si="40"/>
        <v>-680</v>
      </c>
      <c r="BP68" s="82">
        <f t="shared" si="40"/>
        <v>-638.20000000000005</v>
      </c>
      <c r="BQ68" s="82">
        <f>X86</f>
        <v>-700</v>
      </c>
      <c r="BR68" s="82">
        <f>Z86</f>
        <v>-617.1</v>
      </c>
      <c r="BS68" s="81">
        <f>AB86</f>
        <v>-547</v>
      </c>
      <c r="BT68" s="81">
        <f t="shared" si="41"/>
        <v>-618</v>
      </c>
      <c r="BU68" s="81">
        <f t="shared" si="41"/>
        <v>-620</v>
      </c>
      <c r="BV68" s="81">
        <f t="shared" si="41"/>
        <v>-626</v>
      </c>
      <c r="BW68" s="81">
        <f>B86</f>
        <v>-648</v>
      </c>
    </row>
    <row r="69" spans="1:75" s="83" customFormat="1" x14ac:dyDescent="0.25">
      <c r="A69" s="65" t="s">
        <v>83</v>
      </c>
      <c r="B69" s="76">
        <v>62</v>
      </c>
      <c r="C69" s="76">
        <v>62</v>
      </c>
      <c r="D69" s="76">
        <v>62</v>
      </c>
      <c r="E69" s="76">
        <v>62</v>
      </c>
      <c r="F69" s="76">
        <v>62</v>
      </c>
      <c r="G69" s="76">
        <v>62</v>
      </c>
      <c r="H69" s="76">
        <v>62</v>
      </c>
      <c r="I69" s="76">
        <v>62</v>
      </c>
      <c r="J69" s="76">
        <v>62</v>
      </c>
      <c r="K69" s="76">
        <v>62</v>
      </c>
      <c r="L69" s="76">
        <v>62</v>
      </c>
      <c r="M69" s="76">
        <v>62</v>
      </c>
      <c r="N69" s="76">
        <v>62</v>
      </c>
      <c r="O69" s="76">
        <v>62</v>
      </c>
      <c r="P69" s="76">
        <v>62</v>
      </c>
      <c r="Q69" s="76">
        <v>62</v>
      </c>
      <c r="R69" s="76">
        <v>62</v>
      </c>
      <c r="S69" s="76">
        <v>61.4</v>
      </c>
      <c r="T69" s="76">
        <v>61.4</v>
      </c>
      <c r="U69" s="76">
        <v>61.4</v>
      </c>
      <c r="V69" s="76">
        <v>61.4</v>
      </c>
      <c r="W69" s="76">
        <v>57.2</v>
      </c>
      <c r="X69" s="76">
        <v>57.2</v>
      </c>
      <c r="Y69" s="76">
        <v>57.2</v>
      </c>
      <c r="Z69" s="76">
        <v>57.2</v>
      </c>
      <c r="AA69" s="76">
        <v>57.2</v>
      </c>
      <c r="AB69" s="76">
        <v>57.2</v>
      </c>
      <c r="AC69" s="76">
        <v>57.2</v>
      </c>
      <c r="AD69" s="76">
        <v>57.2</v>
      </c>
      <c r="AE69" s="76">
        <v>57.2</v>
      </c>
      <c r="AF69" s="76">
        <v>57.2</v>
      </c>
      <c r="AG69" s="66">
        <v>60</v>
      </c>
      <c r="AH69" s="48">
        <f t="shared" si="2"/>
        <v>62</v>
      </c>
      <c r="AI69" s="49">
        <f t="shared" si="3"/>
        <v>57.2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9"/>
        <v>0</v>
      </c>
      <c r="BB69" s="81">
        <f t="shared" si="39"/>
        <v>0</v>
      </c>
      <c r="BC69" s="81">
        <f t="shared" si="39"/>
        <v>0</v>
      </c>
      <c r="BD69" s="81">
        <f t="shared" si="39"/>
        <v>0</v>
      </c>
      <c r="BE69" s="82">
        <f>I87</f>
        <v>0</v>
      </c>
      <c r="BF69" s="82">
        <f>K87</f>
        <v>0</v>
      </c>
      <c r="BG69" s="82">
        <f t="shared" si="40"/>
        <v>0</v>
      </c>
      <c r="BH69" s="82">
        <f t="shared" si="40"/>
        <v>0</v>
      </c>
      <c r="BI69" s="82">
        <f t="shared" si="40"/>
        <v>0</v>
      </c>
      <c r="BJ69" s="82">
        <f t="shared" si="40"/>
        <v>0</v>
      </c>
      <c r="BK69" s="82">
        <f t="shared" si="40"/>
        <v>0</v>
      </c>
      <c r="BL69" s="82">
        <f t="shared" si="40"/>
        <v>0</v>
      </c>
      <c r="BM69" s="82">
        <f t="shared" si="40"/>
        <v>0</v>
      </c>
      <c r="BN69" s="82">
        <f t="shared" si="40"/>
        <v>0</v>
      </c>
      <c r="BO69" s="82">
        <f t="shared" si="40"/>
        <v>0</v>
      </c>
      <c r="BP69" s="82">
        <f t="shared" si="40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1"/>
        <v>0</v>
      </c>
      <c r="BU69" s="81">
        <f t="shared" si="41"/>
        <v>0</v>
      </c>
      <c r="BV69" s="81">
        <f t="shared" si="41"/>
        <v>0</v>
      </c>
      <c r="BW69" s="81">
        <f>B87</f>
        <v>0</v>
      </c>
    </row>
    <row r="70" spans="1:75" x14ac:dyDescent="0.25">
      <c r="A70" s="65" t="s">
        <v>84</v>
      </c>
      <c r="B70" s="76">
        <v>27.2</v>
      </c>
      <c r="C70" s="76">
        <v>27.2</v>
      </c>
      <c r="D70" s="76">
        <v>27.2</v>
      </c>
      <c r="E70" s="76">
        <v>27.2</v>
      </c>
      <c r="F70" s="76">
        <v>27.2</v>
      </c>
      <c r="G70" s="76">
        <v>27.2</v>
      </c>
      <c r="H70" s="76">
        <v>27.2</v>
      </c>
      <c r="I70" s="76">
        <v>27.2</v>
      </c>
      <c r="J70" s="76">
        <v>27.2</v>
      </c>
      <c r="K70" s="76">
        <v>27.2</v>
      </c>
      <c r="L70" s="76">
        <v>27.2</v>
      </c>
      <c r="M70" s="76">
        <v>27.2</v>
      </c>
      <c r="N70" s="76">
        <v>27.2</v>
      </c>
      <c r="O70" s="76">
        <v>27.2</v>
      </c>
      <c r="P70" s="76">
        <v>27.2</v>
      </c>
      <c r="Q70" s="76">
        <v>27.2</v>
      </c>
      <c r="R70" s="76">
        <v>27.2</v>
      </c>
      <c r="S70" s="76">
        <v>27.1</v>
      </c>
      <c r="T70" s="76">
        <v>27.1</v>
      </c>
      <c r="U70" s="76">
        <v>0</v>
      </c>
      <c r="V70" s="76">
        <v>0</v>
      </c>
      <c r="W70" s="76">
        <v>15</v>
      </c>
      <c r="X70" s="76">
        <v>27.4</v>
      </c>
      <c r="Y70" s="76">
        <v>27.4</v>
      </c>
      <c r="Z70" s="76">
        <v>27.4</v>
      </c>
      <c r="AA70" s="76">
        <v>27.4</v>
      </c>
      <c r="AB70" s="76">
        <v>27.4</v>
      </c>
      <c r="AC70" s="76">
        <v>27.4</v>
      </c>
      <c r="AD70" s="76">
        <v>27.4</v>
      </c>
      <c r="AE70" s="76">
        <v>27.4</v>
      </c>
      <c r="AF70" s="76">
        <v>27.4</v>
      </c>
      <c r="AG70" s="66">
        <v>30</v>
      </c>
      <c r="AH70" s="48">
        <f t="shared" si="2"/>
        <v>27.4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9"/>
        <v>0</v>
      </c>
      <c r="BB70" s="81">
        <f t="shared" si="39"/>
        <v>0</v>
      </c>
      <c r="BC70" s="81">
        <f t="shared" si="39"/>
        <v>0</v>
      </c>
      <c r="BD70" s="81">
        <f t="shared" si="39"/>
        <v>0</v>
      </c>
      <c r="BE70" s="82">
        <f>I88</f>
        <v>0</v>
      </c>
      <c r="BF70" s="82">
        <f>K88</f>
        <v>0</v>
      </c>
      <c r="BG70" s="82">
        <f t="shared" si="40"/>
        <v>0</v>
      </c>
      <c r="BH70" s="82">
        <f t="shared" si="40"/>
        <v>0</v>
      </c>
      <c r="BI70" s="82">
        <f t="shared" si="40"/>
        <v>0</v>
      </c>
      <c r="BJ70" s="82">
        <f t="shared" si="40"/>
        <v>0</v>
      </c>
      <c r="BK70" s="82">
        <f t="shared" si="40"/>
        <v>0</v>
      </c>
      <c r="BL70" s="82">
        <f t="shared" si="40"/>
        <v>0</v>
      </c>
      <c r="BM70" s="82">
        <f t="shared" si="40"/>
        <v>0</v>
      </c>
      <c r="BN70" s="82">
        <f t="shared" si="40"/>
        <v>0</v>
      </c>
      <c r="BO70" s="82">
        <f t="shared" si="40"/>
        <v>0</v>
      </c>
      <c r="BP70" s="82">
        <f t="shared" si="40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1"/>
        <v>0</v>
      </c>
      <c r="BU70" s="81">
        <f t="shared" si="41"/>
        <v>0</v>
      </c>
      <c r="BV70" s="81">
        <f t="shared" si="41"/>
        <v>0</v>
      </c>
      <c r="BW70" s="81">
        <f>B88</f>
        <v>0</v>
      </c>
    </row>
    <row r="71" spans="1:75" x14ac:dyDescent="0.25">
      <c r="A71" s="65" t="s">
        <v>85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0.5</v>
      </c>
      <c r="J71" s="76">
        <v>1.5</v>
      </c>
      <c r="K71" s="76">
        <v>2.8</v>
      </c>
      <c r="L71" s="76">
        <v>2.8</v>
      </c>
      <c r="M71" s="76">
        <v>2.8</v>
      </c>
      <c r="N71" s="76">
        <v>2.8</v>
      </c>
      <c r="O71" s="76">
        <v>16.8</v>
      </c>
      <c r="P71" s="76">
        <v>16.8</v>
      </c>
      <c r="Q71" s="76">
        <v>16.8</v>
      </c>
      <c r="R71" s="76">
        <v>12</v>
      </c>
      <c r="S71" s="76">
        <v>15.3</v>
      </c>
      <c r="T71" s="76">
        <v>12</v>
      </c>
      <c r="U71" s="76">
        <v>8.3000000000000007</v>
      </c>
      <c r="V71" s="76">
        <v>4</v>
      </c>
      <c r="W71" s="76">
        <v>1.1000000000000001</v>
      </c>
      <c r="X71" s="76">
        <v>0.2</v>
      </c>
      <c r="Y71" s="76">
        <v>0.2</v>
      </c>
      <c r="Z71" s="76">
        <v>0.2</v>
      </c>
      <c r="AA71" s="76">
        <v>0.2</v>
      </c>
      <c r="AB71" s="76">
        <v>0.2</v>
      </c>
      <c r="AC71" s="76">
        <v>0.2</v>
      </c>
      <c r="AD71" s="76">
        <v>0.2</v>
      </c>
      <c r="AE71" s="76">
        <v>0.2</v>
      </c>
      <c r="AF71" s="76">
        <v>0.2</v>
      </c>
      <c r="AG71" s="66">
        <v>25</v>
      </c>
      <c r="AH71" s="48">
        <f t="shared" si="2"/>
        <v>16.8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2">M94</f>
        <v>0</v>
      </c>
      <c r="BH71" s="82">
        <f t="shared" si="42"/>
        <v>0</v>
      </c>
      <c r="BI71" s="82">
        <f t="shared" si="42"/>
        <v>0</v>
      </c>
      <c r="BJ71" s="82">
        <f t="shared" si="42"/>
        <v>0</v>
      </c>
      <c r="BK71" s="82">
        <f t="shared" si="42"/>
        <v>0</v>
      </c>
      <c r="BL71" s="82">
        <f t="shared" si="42"/>
        <v>0</v>
      </c>
      <c r="BM71" s="82">
        <f t="shared" si="42"/>
        <v>0</v>
      </c>
      <c r="BN71" s="82">
        <f t="shared" si="42"/>
        <v>0</v>
      </c>
      <c r="BO71" s="82">
        <f t="shared" si="42"/>
        <v>0</v>
      </c>
      <c r="BP71" s="82">
        <f t="shared" si="42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14.8</v>
      </c>
      <c r="C72" s="76">
        <v>14.8</v>
      </c>
      <c r="D72" s="76">
        <v>14.8</v>
      </c>
      <c r="E72" s="76">
        <v>14.8</v>
      </c>
      <c r="F72" s="76">
        <v>14.8</v>
      </c>
      <c r="G72" s="76">
        <v>14.8</v>
      </c>
      <c r="H72" s="76">
        <v>14.8</v>
      </c>
      <c r="I72" s="76">
        <v>14.8</v>
      </c>
      <c r="J72" s="76">
        <v>14.8</v>
      </c>
      <c r="K72" s="76">
        <v>14.8</v>
      </c>
      <c r="L72" s="76">
        <v>14.8</v>
      </c>
      <c r="M72" s="76">
        <v>14.8</v>
      </c>
      <c r="N72" s="76">
        <v>14.8</v>
      </c>
      <c r="O72" s="76">
        <v>14.8</v>
      </c>
      <c r="P72" s="76">
        <v>14.8</v>
      </c>
      <c r="Q72" s="76">
        <v>14.8</v>
      </c>
      <c r="R72" s="76">
        <v>14.8</v>
      </c>
      <c r="S72" s="76">
        <v>14.6</v>
      </c>
      <c r="T72" s="76">
        <v>14.6</v>
      </c>
      <c r="U72" s="76">
        <v>14.6</v>
      </c>
      <c r="V72" s="76">
        <v>14.6</v>
      </c>
      <c r="W72" s="76">
        <v>15.1</v>
      </c>
      <c r="X72" s="76">
        <v>15.1</v>
      </c>
      <c r="Y72" s="76">
        <v>15.1</v>
      </c>
      <c r="Z72" s="76">
        <v>15.1</v>
      </c>
      <c r="AA72" s="76">
        <v>15.1</v>
      </c>
      <c r="AB72" s="76">
        <v>15.1</v>
      </c>
      <c r="AC72" s="76">
        <v>15.1</v>
      </c>
      <c r="AD72" s="76">
        <v>15.1</v>
      </c>
      <c r="AE72" s="76">
        <v>15.1</v>
      </c>
      <c r="AF72" s="76">
        <v>15.1</v>
      </c>
      <c r="AG72" s="66">
        <v>24</v>
      </c>
      <c r="AH72" s="48">
        <f t="shared" si="2"/>
        <v>15.1</v>
      </c>
      <c r="AI72" s="49">
        <f t="shared" si="3"/>
        <v>14.6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66">
        <v>15</v>
      </c>
      <c r="AH73" s="48">
        <f t="shared" si="2"/>
        <v>0</v>
      </c>
      <c r="AI73" s="49">
        <f t="shared" si="3"/>
        <v>0</v>
      </c>
      <c r="AK73" s="51"/>
      <c r="AZ73" s="82">
        <f t="shared" ref="AZ73:BW78" si="43">VALUE(AZ66)</f>
        <v>-53</v>
      </c>
      <c r="BA73" s="82">
        <f t="shared" si="43"/>
        <v>-55.4</v>
      </c>
      <c r="BB73" s="82">
        <f t="shared" si="43"/>
        <v>-54</v>
      </c>
      <c r="BC73" s="82">
        <f t="shared" si="43"/>
        <v>-55</v>
      </c>
      <c r="BD73" s="82">
        <f t="shared" si="43"/>
        <v>-53</v>
      </c>
      <c r="BE73" s="82">
        <f t="shared" si="43"/>
        <v>-69</v>
      </c>
      <c r="BF73" s="82">
        <f t="shared" si="43"/>
        <v>-66</v>
      </c>
      <c r="BG73" s="82">
        <f t="shared" si="43"/>
        <v>-44</v>
      </c>
      <c r="BH73" s="82">
        <f t="shared" si="43"/>
        <v>-44</v>
      </c>
      <c r="BI73" s="82">
        <f t="shared" si="43"/>
        <v>-22</v>
      </c>
      <c r="BJ73" s="82">
        <f t="shared" si="43"/>
        <v>0</v>
      </c>
      <c r="BK73" s="82">
        <f t="shared" si="43"/>
        <v>-16</v>
      </c>
      <c r="BL73" s="82">
        <f t="shared" si="43"/>
        <v>1.4</v>
      </c>
      <c r="BM73" s="82">
        <f t="shared" si="43"/>
        <v>-18.899999999999999</v>
      </c>
      <c r="BN73" s="82">
        <f t="shared" si="43"/>
        <v>-38</v>
      </c>
      <c r="BO73" s="82">
        <f t="shared" si="43"/>
        <v>-16.100000000000001</v>
      </c>
      <c r="BP73" s="82">
        <f t="shared" si="43"/>
        <v>-28</v>
      </c>
      <c r="BQ73" s="82">
        <f t="shared" si="43"/>
        <v>-2.7</v>
      </c>
      <c r="BR73" s="82">
        <f t="shared" si="43"/>
        <v>-7.3</v>
      </c>
      <c r="BS73" s="82">
        <f t="shared" si="43"/>
        <v>0</v>
      </c>
      <c r="BT73" s="82">
        <f t="shared" si="43"/>
        <v>18</v>
      </c>
      <c r="BU73" s="82">
        <f t="shared" si="43"/>
        <v>20</v>
      </c>
      <c r="BV73" s="82">
        <f t="shared" si="43"/>
        <v>17</v>
      </c>
      <c r="BW73" s="82">
        <f t="shared" si="43"/>
        <v>-51</v>
      </c>
    </row>
    <row r="74" spans="1:75" x14ac:dyDescent="0.25">
      <c r="A74" s="65" t="s">
        <v>91</v>
      </c>
      <c r="B74" s="76">
        <v>12.2</v>
      </c>
      <c r="C74" s="76">
        <v>12.5</v>
      </c>
      <c r="D74" s="76">
        <v>12.5</v>
      </c>
      <c r="E74" s="76">
        <v>12.5</v>
      </c>
      <c r="F74" s="76">
        <v>12.5</v>
      </c>
      <c r="G74" s="76">
        <v>12.5</v>
      </c>
      <c r="H74" s="76">
        <v>12.5</v>
      </c>
      <c r="I74" s="76">
        <v>12.5</v>
      </c>
      <c r="J74" s="76">
        <v>12.5</v>
      </c>
      <c r="K74" s="76">
        <v>12.5</v>
      </c>
      <c r="L74" s="76">
        <v>12.5</v>
      </c>
      <c r="M74" s="76">
        <v>12.5</v>
      </c>
      <c r="N74" s="76">
        <v>12.5</v>
      </c>
      <c r="O74" s="76">
        <v>12.5</v>
      </c>
      <c r="P74" s="76">
        <v>12.5</v>
      </c>
      <c r="Q74" s="76">
        <v>12.5</v>
      </c>
      <c r="R74" s="76">
        <v>12.5</v>
      </c>
      <c r="S74" s="76">
        <v>11.3</v>
      </c>
      <c r="T74" s="76">
        <v>11.3</v>
      </c>
      <c r="U74" s="76">
        <v>11.3</v>
      </c>
      <c r="V74" s="76">
        <v>11.3</v>
      </c>
      <c r="W74" s="76">
        <v>11.2</v>
      </c>
      <c r="X74" s="76">
        <v>11.2</v>
      </c>
      <c r="Y74" s="76">
        <v>11.2</v>
      </c>
      <c r="Z74" s="76">
        <v>11.2</v>
      </c>
      <c r="AA74" s="76">
        <v>11.2</v>
      </c>
      <c r="AB74" s="76">
        <v>11.2</v>
      </c>
      <c r="AC74" s="76">
        <v>11.2</v>
      </c>
      <c r="AD74" s="76">
        <v>11.2</v>
      </c>
      <c r="AE74" s="76">
        <v>11.2</v>
      </c>
      <c r="AF74" s="76">
        <v>11.2</v>
      </c>
      <c r="AG74" s="66">
        <v>14.1</v>
      </c>
      <c r="AH74" s="48">
        <f t="shared" si="2"/>
        <v>12.5</v>
      </c>
      <c r="AI74" s="49">
        <f t="shared" si="3"/>
        <v>11.2</v>
      </c>
      <c r="AK74" s="51"/>
      <c r="AZ74" s="82">
        <f t="shared" si="43"/>
        <v>0</v>
      </c>
      <c r="BA74" s="82">
        <f t="shared" si="43"/>
        <v>0</v>
      </c>
      <c r="BB74" s="82">
        <f t="shared" si="43"/>
        <v>0</v>
      </c>
      <c r="BC74" s="82">
        <f t="shared" si="43"/>
        <v>0</v>
      </c>
      <c r="BD74" s="82">
        <f t="shared" si="43"/>
        <v>0</v>
      </c>
      <c r="BE74" s="82">
        <f t="shared" si="43"/>
        <v>0</v>
      </c>
      <c r="BF74" s="82">
        <f t="shared" si="43"/>
        <v>0</v>
      </c>
      <c r="BG74" s="82">
        <f t="shared" si="43"/>
        <v>0</v>
      </c>
      <c r="BH74" s="82">
        <f t="shared" si="43"/>
        <v>0</v>
      </c>
      <c r="BI74" s="82">
        <f t="shared" si="43"/>
        <v>0</v>
      </c>
      <c r="BJ74" s="82">
        <f t="shared" si="43"/>
        <v>0</v>
      </c>
      <c r="BK74" s="82">
        <f t="shared" si="43"/>
        <v>0</v>
      </c>
      <c r="BL74" s="82">
        <f t="shared" si="43"/>
        <v>0</v>
      </c>
      <c r="BM74" s="82">
        <f t="shared" si="43"/>
        <v>0</v>
      </c>
      <c r="BN74" s="82">
        <f t="shared" si="43"/>
        <v>0</v>
      </c>
      <c r="BO74" s="82">
        <f t="shared" si="43"/>
        <v>0</v>
      </c>
      <c r="BP74" s="82">
        <f t="shared" si="43"/>
        <v>0</v>
      </c>
      <c r="BQ74" s="82">
        <f t="shared" si="43"/>
        <v>0</v>
      </c>
      <c r="BR74" s="82">
        <f t="shared" si="43"/>
        <v>0</v>
      </c>
      <c r="BS74" s="82">
        <f t="shared" si="43"/>
        <v>0</v>
      </c>
      <c r="BT74" s="82">
        <f t="shared" si="43"/>
        <v>0</v>
      </c>
      <c r="BU74" s="82">
        <f t="shared" si="43"/>
        <v>0</v>
      </c>
      <c r="BV74" s="82">
        <f t="shared" si="43"/>
        <v>0</v>
      </c>
      <c r="BW74" s="82">
        <f t="shared" si="43"/>
        <v>0</v>
      </c>
    </row>
    <row r="75" spans="1:75" x14ac:dyDescent="0.25">
      <c r="A75" s="84" t="s">
        <v>93</v>
      </c>
      <c r="B75" s="76">
        <v>7.4</v>
      </c>
      <c r="C75" s="76">
        <v>7.4</v>
      </c>
      <c r="D75" s="76">
        <v>7.4</v>
      </c>
      <c r="E75" s="76">
        <v>7.4</v>
      </c>
      <c r="F75" s="76">
        <v>7.4</v>
      </c>
      <c r="G75" s="76">
        <v>7.4</v>
      </c>
      <c r="H75" s="76">
        <v>7.4</v>
      </c>
      <c r="I75" s="76">
        <v>12</v>
      </c>
      <c r="J75" s="76">
        <v>12</v>
      </c>
      <c r="K75" s="76">
        <v>12</v>
      </c>
      <c r="L75" s="76">
        <v>12</v>
      </c>
      <c r="M75" s="76">
        <v>12</v>
      </c>
      <c r="N75" s="76">
        <v>12</v>
      </c>
      <c r="O75" s="76">
        <v>12</v>
      </c>
      <c r="P75" s="76">
        <v>12</v>
      </c>
      <c r="Q75" s="76">
        <v>12</v>
      </c>
      <c r="R75" s="76">
        <v>12</v>
      </c>
      <c r="S75" s="76">
        <v>12.8</v>
      </c>
      <c r="T75" s="76">
        <v>12.8</v>
      </c>
      <c r="U75" s="76">
        <v>12.8</v>
      </c>
      <c r="V75" s="76">
        <v>12.8</v>
      </c>
      <c r="W75" s="76">
        <v>0</v>
      </c>
      <c r="X75" s="76">
        <v>7.3</v>
      </c>
      <c r="Y75" s="76">
        <v>7.3</v>
      </c>
      <c r="Z75" s="76">
        <v>7.3</v>
      </c>
      <c r="AA75" s="76">
        <v>7.3</v>
      </c>
      <c r="AB75" s="76">
        <v>7.3</v>
      </c>
      <c r="AC75" s="76">
        <v>7.3</v>
      </c>
      <c r="AD75" s="76">
        <v>1.7</v>
      </c>
      <c r="AE75" s="76">
        <v>1.7</v>
      </c>
      <c r="AF75" s="76">
        <v>1.7</v>
      </c>
      <c r="AG75" s="66">
        <v>14</v>
      </c>
      <c r="AH75" s="48">
        <f t="shared" ref="AH75:AH128" si="44">MAX(B75:AF75)</f>
        <v>12.8</v>
      </c>
      <c r="AI75" s="49">
        <f t="shared" ref="AI75:AI128" si="45">MIN(B75:AF75)</f>
        <v>0</v>
      </c>
      <c r="AK75" s="51"/>
      <c r="AZ75" s="82">
        <f t="shared" si="43"/>
        <v>-638</v>
      </c>
      <c r="BA75" s="82">
        <f t="shared" si="43"/>
        <v>-645</v>
      </c>
      <c r="BB75" s="82">
        <f t="shared" si="43"/>
        <v>-645</v>
      </c>
      <c r="BC75" s="82">
        <f t="shared" si="43"/>
        <v>-655</v>
      </c>
      <c r="BD75" s="82">
        <f t="shared" si="43"/>
        <v>-680</v>
      </c>
      <c r="BE75" s="82">
        <f t="shared" si="43"/>
        <v>-624.6</v>
      </c>
      <c r="BF75" s="82">
        <f t="shared" si="43"/>
        <v>-671</v>
      </c>
      <c r="BG75" s="82">
        <f t="shared" si="43"/>
        <v>-699</v>
      </c>
      <c r="BH75" s="82">
        <f t="shared" si="43"/>
        <v>-699</v>
      </c>
      <c r="BI75" s="82">
        <f t="shared" si="43"/>
        <v>-616</v>
      </c>
      <c r="BJ75" s="82">
        <f t="shared" si="43"/>
        <v>-665</v>
      </c>
      <c r="BK75" s="82">
        <f t="shared" si="43"/>
        <v>-638</v>
      </c>
      <c r="BL75" s="82">
        <f t="shared" si="43"/>
        <v>-610</v>
      </c>
      <c r="BM75" s="82">
        <f t="shared" si="43"/>
        <v>-614.29999999999995</v>
      </c>
      <c r="BN75" s="82">
        <f t="shared" si="43"/>
        <v>-682.8</v>
      </c>
      <c r="BO75" s="82">
        <f t="shared" si="43"/>
        <v>-680</v>
      </c>
      <c r="BP75" s="82">
        <f t="shared" si="43"/>
        <v>-638.20000000000005</v>
      </c>
      <c r="BQ75" s="82">
        <f t="shared" si="43"/>
        <v>-700</v>
      </c>
      <c r="BR75" s="82">
        <f t="shared" si="43"/>
        <v>-617.1</v>
      </c>
      <c r="BS75" s="82">
        <f t="shared" si="43"/>
        <v>-547</v>
      </c>
      <c r="BT75" s="82">
        <f t="shared" si="43"/>
        <v>-618</v>
      </c>
      <c r="BU75" s="82">
        <f t="shared" si="43"/>
        <v>-620</v>
      </c>
      <c r="BV75" s="82">
        <f t="shared" si="43"/>
        <v>-626</v>
      </c>
      <c r="BW75" s="82">
        <f t="shared" si="43"/>
        <v>-648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10.3</v>
      </c>
      <c r="T76" s="76">
        <v>10.3</v>
      </c>
      <c r="U76" s="76">
        <v>10.3</v>
      </c>
      <c r="V76" s="76">
        <v>10.3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4"/>
        <v>10.3</v>
      </c>
      <c r="AI76" s="49">
        <f t="shared" si="45"/>
        <v>0</v>
      </c>
      <c r="AK76" s="51"/>
      <c r="AZ76" s="82">
        <f t="shared" si="43"/>
        <v>0</v>
      </c>
      <c r="BA76" s="82">
        <f t="shared" si="43"/>
        <v>0</v>
      </c>
      <c r="BB76" s="82">
        <f t="shared" si="43"/>
        <v>0</v>
      </c>
      <c r="BC76" s="82">
        <f t="shared" si="43"/>
        <v>0</v>
      </c>
      <c r="BD76" s="82">
        <f t="shared" si="43"/>
        <v>0</v>
      </c>
      <c r="BE76" s="82">
        <f t="shared" si="43"/>
        <v>0</v>
      </c>
      <c r="BF76" s="82">
        <f t="shared" si="43"/>
        <v>0</v>
      </c>
      <c r="BG76" s="82">
        <f t="shared" si="43"/>
        <v>0</v>
      </c>
      <c r="BH76" s="82">
        <f t="shared" si="43"/>
        <v>0</v>
      </c>
      <c r="BI76" s="82">
        <f t="shared" si="43"/>
        <v>0</v>
      </c>
      <c r="BJ76" s="82">
        <f t="shared" si="43"/>
        <v>0</v>
      </c>
      <c r="BK76" s="82">
        <f t="shared" si="43"/>
        <v>0</v>
      </c>
      <c r="BL76" s="82">
        <f t="shared" si="43"/>
        <v>0</v>
      </c>
      <c r="BM76" s="82">
        <f t="shared" si="43"/>
        <v>0</v>
      </c>
      <c r="BN76" s="82">
        <f t="shared" si="43"/>
        <v>0</v>
      </c>
      <c r="BO76" s="82">
        <f t="shared" si="43"/>
        <v>0</v>
      </c>
      <c r="BP76" s="82">
        <f t="shared" si="43"/>
        <v>0</v>
      </c>
      <c r="BQ76" s="82">
        <f t="shared" si="43"/>
        <v>0</v>
      </c>
      <c r="BR76" s="82">
        <f t="shared" si="43"/>
        <v>0</v>
      </c>
      <c r="BS76" s="82">
        <f t="shared" si="43"/>
        <v>0</v>
      </c>
      <c r="BT76" s="82">
        <f t="shared" si="43"/>
        <v>0</v>
      </c>
      <c r="BU76" s="82">
        <f t="shared" si="43"/>
        <v>0</v>
      </c>
      <c r="BV76" s="82">
        <f t="shared" si="43"/>
        <v>0</v>
      </c>
      <c r="BW76" s="82">
        <f t="shared" si="43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4"/>
        <v>6</v>
      </c>
      <c r="AI77" s="49">
        <f t="shared" si="45"/>
        <v>6</v>
      </c>
      <c r="AK77" s="51"/>
      <c r="AZ77" s="82">
        <f t="shared" si="43"/>
        <v>0</v>
      </c>
      <c r="BA77" s="82">
        <f t="shared" si="43"/>
        <v>0</v>
      </c>
      <c r="BB77" s="82">
        <f t="shared" si="43"/>
        <v>0</v>
      </c>
      <c r="BC77" s="82">
        <f t="shared" si="43"/>
        <v>0</v>
      </c>
      <c r="BD77" s="82">
        <f t="shared" si="43"/>
        <v>0</v>
      </c>
      <c r="BE77" s="82">
        <f t="shared" si="43"/>
        <v>0</v>
      </c>
      <c r="BF77" s="82">
        <f t="shared" si="43"/>
        <v>0</v>
      </c>
      <c r="BG77" s="82">
        <f t="shared" si="43"/>
        <v>0</v>
      </c>
      <c r="BH77" s="82">
        <f t="shared" si="43"/>
        <v>0</v>
      </c>
      <c r="BI77" s="82">
        <f t="shared" si="43"/>
        <v>0</v>
      </c>
      <c r="BJ77" s="82">
        <f t="shared" si="43"/>
        <v>0</v>
      </c>
      <c r="BK77" s="82">
        <f t="shared" si="43"/>
        <v>0</v>
      </c>
      <c r="BL77" s="82">
        <f t="shared" si="43"/>
        <v>0</v>
      </c>
      <c r="BM77" s="82">
        <f t="shared" si="43"/>
        <v>0</v>
      </c>
      <c r="BN77" s="82">
        <f t="shared" si="43"/>
        <v>0</v>
      </c>
      <c r="BO77" s="82">
        <f t="shared" si="43"/>
        <v>0</v>
      </c>
      <c r="BP77" s="82">
        <f t="shared" si="43"/>
        <v>0</v>
      </c>
      <c r="BQ77" s="82">
        <f t="shared" si="43"/>
        <v>0</v>
      </c>
      <c r="BR77" s="82">
        <f t="shared" si="43"/>
        <v>0</v>
      </c>
      <c r="BS77" s="82">
        <f t="shared" si="43"/>
        <v>0</v>
      </c>
      <c r="BT77" s="82">
        <f t="shared" si="43"/>
        <v>0</v>
      </c>
      <c r="BU77" s="82">
        <f t="shared" si="43"/>
        <v>0</v>
      </c>
      <c r="BV77" s="82">
        <f t="shared" si="43"/>
        <v>0</v>
      </c>
      <c r="BW77" s="82">
        <f t="shared" si="43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4"/>
        <v>5.5</v>
      </c>
      <c r="AI78" s="49">
        <f t="shared" si="45"/>
        <v>3.5</v>
      </c>
      <c r="AK78" s="51"/>
      <c r="AZ78" s="82">
        <f t="shared" si="43"/>
        <v>0</v>
      </c>
      <c r="BA78" s="82">
        <f t="shared" si="43"/>
        <v>0</v>
      </c>
      <c r="BB78" s="82">
        <f t="shared" si="43"/>
        <v>0</v>
      </c>
      <c r="BC78" s="82">
        <f t="shared" si="43"/>
        <v>0</v>
      </c>
      <c r="BD78" s="82">
        <f t="shared" si="43"/>
        <v>0</v>
      </c>
      <c r="BE78" s="82">
        <f t="shared" si="43"/>
        <v>0</v>
      </c>
      <c r="BF78" s="82">
        <f t="shared" si="43"/>
        <v>0</v>
      </c>
      <c r="BG78" s="82">
        <f t="shared" si="43"/>
        <v>0</v>
      </c>
      <c r="BH78" s="82">
        <f t="shared" si="43"/>
        <v>0</v>
      </c>
      <c r="BI78" s="82">
        <f t="shared" si="43"/>
        <v>0</v>
      </c>
      <c r="BJ78" s="82">
        <f t="shared" si="43"/>
        <v>0</v>
      </c>
      <c r="BK78" s="82">
        <f t="shared" si="43"/>
        <v>0</v>
      </c>
      <c r="BL78" s="82">
        <f t="shared" si="43"/>
        <v>0</v>
      </c>
      <c r="BM78" s="82">
        <f t="shared" si="43"/>
        <v>0</v>
      </c>
      <c r="BN78" s="82">
        <f t="shared" si="43"/>
        <v>0</v>
      </c>
      <c r="BO78" s="82">
        <f t="shared" si="43"/>
        <v>0</v>
      </c>
      <c r="BP78" s="82">
        <f t="shared" si="43"/>
        <v>0</v>
      </c>
      <c r="BQ78" s="82">
        <f t="shared" si="43"/>
        <v>0</v>
      </c>
      <c r="BR78" s="82">
        <f t="shared" si="43"/>
        <v>0</v>
      </c>
      <c r="BS78" s="82">
        <f t="shared" si="43"/>
        <v>0</v>
      </c>
      <c r="BT78" s="82">
        <f t="shared" si="43"/>
        <v>0</v>
      </c>
      <c r="BU78" s="82">
        <f t="shared" si="43"/>
        <v>0</v>
      </c>
      <c r="BV78" s="82">
        <f t="shared" si="43"/>
        <v>0</v>
      </c>
      <c r="BW78" s="82">
        <f t="shared" si="43"/>
        <v>0</v>
      </c>
    </row>
    <row r="79" spans="1:75" ht="15.75" thickBot="1" x14ac:dyDescent="0.3">
      <c r="A79" s="87" t="s">
        <v>99</v>
      </c>
      <c r="B79" s="71">
        <f t="shared" ref="B79:C79" si="46">SUM(B66:B78)</f>
        <v>407.24</v>
      </c>
      <c r="C79" s="71">
        <f t="shared" si="46"/>
        <v>406.94</v>
      </c>
      <c r="D79" s="71">
        <f t="shared" ref="D79" si="47">SUM(D66:D78)</f>
        <v>407.04</v>
      </c>
      <c r="E79" s="71">
        <f t="shared" ref="E79:AG79" si="48">SUM(E66:E78)</f>
        <v>407.04</v>
      </c>
      <c r="F79" s="71">
        <f t="shared" si="48"/>
        <v>407.04</v>
      </c>
      <c r="G79" s="71">
        <f t="shared" si="48"/>
        <v>407.04</v>
      </c>
      <c r="H79" s="71">
        <f t="shared" si="48"/>
        <v>407.04</v>
      </c>
      <c r="I79" s="71">
        <f t="shared" si="48"/>
        <v>402.14000000000004</v>
      </c>
      <c r="J79" s="71">
        <f t="shared" si="48"/>
        <v>403.14000000000004</v>
      </c>
      <c r="K79" s="71">
        <f t="shared" si="48"/>
        <v>404.44000000000005</v>
      </c>
      <c r="L79" s="71">
        <f t="shared" si="48"/>
        <v>404.44000000000005</v>
      </c>
      <c r="M79" s="71">
        <f t="shared" si="48"/>
        <v>404.44000000000005</v>
      </c>
      <c r="N79" s="71">
        <f t="shared" ref="N79:O79" si="49">SUM(N66:N78)</f>
        <v>404.44000000000005</v>
      </c>
      <c r="O79" s="71">
        <f t="shared" si="49"/>
        <v>418.44000000000005</v>
      </c>
      <c r="P79" s="71">
        <f t="shared" si="48"/>
        <v>418.44000000000005</v>
      </c>
      <c r="Q79" s="71">
        <f t="shared" si="48"/>
        <v>418.44000000000005</v>
      </c>
      <c r="R79" s="71">
        <f t="shared" ref="R79" si="50">SUM(R66:R78)</f>
        <v>413.64000000000004</v>
      </c>
      <c r="S79" s="71">
        <f t="shared" si="48"/>
        <v>426.44000000000011</v>
      </c>
      <c r="T79" s="71">
        <f t="shared" si="48"/>
        <v>423.1400000000001</v>
      </c>
      <c r="U79" s="71">
        <f t="shared" si="48"/>
        <v>392.34000000000009</v>
      </c>
      <c r="V79" s="71">
        <f t="shared" si="48"/>
        <v>388.04000000000008</v>
      </c>
      <c r="W79" s="71">
        <f t="shared" si="48"/>
        <v>346.64000000000004</v>
      </c>
      <c r="X79" s="71">
        <f t="shared" si="48"/>
        <v>365.44</v>
      </c>
      <c r="Y79" s="71">
        <f t="shared" si="48"/>
        <v>365.4</v>
      </c>
      <c r="Z79" s="71">
        <f t="shared" si="48"/>
        <v>407.2</v>
      </c>
      <c r="AA79" s="71">
        <f t="shared" si="48"/>
        <v>405.24</v>
      </c>
      <c r="AB79" s="71">
        <f t="shared" ref="AB79:AC79" si="51">SUM(AB66:AB78)</f>
        <v>405.24</v>
      </c>
      <c r="AC79" s="71">
        <f t="shared" si="51"/>
        <v>405.24</v>
      </c>
      <c r="AD79" s="71">
        <f t="shared" ref="AD79:AE79" si="52">SUM(AD66:AD78)</f>
        <v>399.64</v>
      </c>
      <c r="AE79" s="71">
        <f t="shared" si="52"/>
        <v>399.64</v>
      </c>
      <c r="AF79" s="71">
        <f t="shared" ref="AF79" si="53">SUM(AF66:AF78)</f>
        <v>399.64</v>
      </c>
      <c r="AG79" s="72">
        <f t="shared" si="48"/>
        <v>489.91</v>
      </c>
      <c r="AH79" s="48">
        <f t="shared" si="44"/>
        <v>426.44000000000011</v>
      </c>
      <c r="AI79" s="49">
        <f t="shared" si="45"/>
        <v>346.64000000000004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>
        <v>0</v>
      </c>
      <c r="T80" s="46">
        <v>0</v>
      </c>
      <c r="U80" s="46">
        <v>0</v>
      </c>
      <c r="V80" s="46">
        <v>0</v>
      </c>
      <c r="W80" s="46">
        <v>13.7</v>
      </c>
      <c r="X80" s="46">
        <v>0</v>
      </c>
      <c r="Y80" s="46">
        <v>0</v>
      </c>
      <c r="Z80" s="46">
        <v>0</v>
      </c>
      <c r="AA80" s="46">
        <v>13.9</v>
      </c>
      <c r="AB80" s="46">
        <v>13.9</v>
      </c>
      <c r="AC80" s="46">
        <v>13.9</v>
      </c>
      <c r="AD80" s="46">
        <v>13.9</v>
      </c>
      <c r="AE80" s="46">
        <v>0</v>
      </c>
      <c r="AF80" s="46">
        <v>0</v>
      </c>
      <c r="AG80" s="61">
        <v>60</v>
      </c>
      <c r="AH80" s="48">
        <f t="shared" si="44"/>
        <v>13.9</v>
      </c>
      <c r="AI80" s="49">
        <f t="shared" si="45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>
        <v>0</v>
      </c>
      <c r="T81" s="76">
        <v>0</v>
      </c>
      <c r="U81" s="76">
        <v>0</v>
      </c>
      <c r="V81" s="76">
        <v>0</v>
      </c>
      <c r="W81" s="76">
        <v>6.2</v>
      </c>
      <c r="X81" s="76">
        <v>0</v>
      </c>
      <c r="Y81" s="76">
        <v>0</v>
      </c>
      <c r="Z81" s="76">
        <v>0</v>
      </c>
      <c r="AA81" s="76">
        <v>3.4</v>
      </c>
      <c r="AB81" s="76">
        <v>3.4</v>
      </c>
      <c r="AC81" s="76">
        <v>3.4</v>
      </c>
      <c r="AD81" s="76">
        <v>3.4</v>
      </c>
      <c r="AE81" s="76">
        <v>0</v>
      </c>
      <c r="AF81" s="76">
        <v>0</v>
      </c>
      <c r="AG81" s="66">
        <v>32</v>
      </c>
      <c r="AH81" s="48">
        <f t="shared" si="44"/>
        <v>6.2</v>
      </c>
      <c r="AI81" s="49">
        <f t="shared" si="45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>
        <v>0</v>
      </c>
      <c r="T82" s="78">
        <v>0</v>
      </c>
      <c r="U82" s="78">
        <v>0</v>
      </c>
      <c r="V82" s="78">
        <v>0</v>
      </c>
      <c r="W82" s="78">
        <v>2.2000000000000002</v>
      </c>
      <c r="X82" s="78">
        <v>0</v>
      </c>
      <c r="Y82" s="78">
        <v>0</v>
      </c>
      <c r="Z82" s="78">
        <v>0</v>
      </c>
      <c r="AA82" s="78">
        <v>1.2</v>
      </c>
      <c r="AB82" s="78">
        <v>1.2</v>
      </c>
      <c r="AC82" s="78">
        <v>1.2</v>
      </c>
      <c r="AD82" s="78">
        <v>1.2</v>
      </c>
      <c r="AE82" s="78">
        <v>0</v>
      </c>
      <c r="AF82" s="78">
        <v>0</v>
      </c>
      <c r="AG82" s="79">
        <v>14</v>
      </c>
      <c r="AH82" s="48">
        <f t="shared" si="44"/>
        <v>2.2000000000000002</v>
      </c>
      <c r="AI82" s="49">
        <f t="shared" si="45"/>
        <v>0</v>
      </c>
      <c r="AK82" s="51"/>
      <c r="AY82" s="82"/>
      <c r="BF82" s="81"/>
      <c r="BG82" s="82">
        <f t="array" ref="BG82:BL105">TRANSPOSE(AZ66:BW71)</f>
        <v>-53</v>
      </c>
      <c r="BH82" s="82">
        <v>0</v>
      </c>
      <c r="BI82" s="82">
        <v>-638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54">B80+B81+B82</f>
        <v>0</v>
      </c>
      <c r="C83" s="71">
        <f t="shared" si="54"/>
        <v>0</v>
      </c>
      <c r="D83" s="71">
        <f t="shared" ref="D83" si="55">D80+D81+D82</f>
        <v>0</v>
      </c>
      <c r="E83" s="71">
        <f t="shared" ref="E83:AA83" si="56">E80+E81+E82</f>
        <v>0</v>
      </c>
      <c r="F83" s="71">
        <f t="shared" si="56"/>
        <v>0</v>
      </c>
      <c r="G83" s="71">
        <f t="shared" si="56"/>
        <v>0</v>
      </c>
      <c r="H83" s="71">
        <f t="shared" si="56"/>
        <v>0</v>
      </c>
      <c r="I83" s="71">
        <f t="shared" si="56"/>
        <v>0</v>
      </c>
      <c r="J83" s="71">
        <f t="shared" si="56"/>
        <v>0</v>
      </c>
      <c r="K83" s="71">
        <f t="shared" si="56"/>
        <v>0</v>
      </c>
      <c r="L83" s="71">
        <f t="shared" si="56"/>
        <v>0</v>
      </c>
      <c r="M83" s="71">
        <f t="shared" si="56"/>
        <v>0</v>
      </c>
      <c r="N83" s="71">
        <f t="shared" ref="N83:O83" si="57">N80+N81+N82</f>
        <v>0</v>
      </c>
      <c r="O83" s="71">
        <f t="shared" si="57"/>
        <v>0</v>
      </c>
      <c r="P83" s="71">
        <f t="shared" si="56"/>
        <v>0</v>
      </c>
      <c r="Q83" s="71">
        <f t="shared" si="56"/>
        <v>0</v>
      </c>
      <c r="R83" s="71">
        <f t="shared" ref="R83" si="58">R80+R81+R82</f>
        <v>0</v>
      </c>
      <c r="S83" s="71">
        <f t="shared" si="56"/>
        <v>0</v>
      </c>
      <c r="T83" s="71">
        <f t="shared" si="56"/>
        <v>0</v>
      </c>
      <c r="U83" s="71">
        <f t="shared" si="56"/>
        <v>0</v>
      </c>
      <c r="V83" s="71">
        <f t="shared" si="56"/>
        <v>0</v>
      </c>
      <c r="W83" s="71">
        <f t="shared" si="56"/>
        <v>22.099999999999998</v>
      </c>
      <c r="X83" s="71">
        <f t="shared" si="56"/>
        <v>0</v>
      </c>
      <c r="Y83" s="71">
        <f t="shared" si="56"/>
        <v>0</v>
      </c>
      <c r="Z83" s="71">
        <f t="shared" si="56"/>
        <v>0</v>
      </c>
      <c r="AA83" s="71">
        <f t="shared" si="56"/>
        <v>18.5</v>
      </c>
      <c r="AB83" s="71">
        <f t="shared" ref="AB83:AC83" si="59">AB80+AB81+AB82</f>
        <v>18.5</v>
      </c>
      <c r="AC83" s="71">
        <f t="shared" si="59"/>
        <v>18.5</v>
      </c>
      <c r="AD83" s="71">
        <f t="shared" ref="AD83:AE83" si="60">AD80+AD81+AD82</f>
        <v>18.5</v>
      </c>
      <c r="AE83" s="71">
        <f t="shared" si="60"/>
        <v>0</v>
      </c>
      <c r="AF83" s="71">
        <f t="shared" ref="AF83" si="61">AF80+AF81+AF82</f>
        <v>0</v>
      </c>
      <c r="AG83" s="72">
        <f>SUM(AG80:AG82)</f>
        <v>106</v>
      </c>
      <c r="AH83" s="48">
        <f t="shared" si="44"/>
        <v>22.099999999999998</v>
      </c>
      <c r="AI83" s="49">
        <f t="shared" si="45"/>
        <v>0</v>
      </c>
      <c r="AK83" s="51"/>
      <c r="AY83" s="82"/>
      <c r="BF83" s="81"/>
      <c r="BG83" s="82">
        <v>-55.4</v>
      </c>
      <c r="BH83" s="82">
        <v>0</v>
      </c>
      <c r="BI83" s="82">
        <v>-645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-51</v>
      </c>
      <c r="C84" s="46">
        <v>-53.4</v>
      </c>
      <c r="D84" s="46">
        <v>-55.4</v>
      </c>
      <c r="E84" s="46">
        <v>-54</v>
      </c>
      <c r="F84" s="46">
        <v>-55</v>
      </c>
      <c r="G84" s="46">
        <v>-53</v>
      </c>
      <c r="H84" s="46">
        <v>-56.5</v>
      </c>
      <c r="I84" s="46">
        <v>-69</v>
      </c>
      <c r="J84" s="46">
        <v>-68</v>
      </c>
      <c r="K84" s="46">
        <v>-66</v>
      </c>
      <c r="L84" s="46">
        <v>-48</v>
      </c>
      <c r="M84" s="46">
        <v>-44</v>
      </c>
      <c r="N84" s="46">
        <v>-44</v>
      </c>
      <c r="O84" s="46">
        <v>-22</v>
      </c>
      <c r="P84" s="46">
        <v>0</v>
      </c>
      <c r="Q84" s="46">
        <v>-16</v>
      </c>
      <c r="R84" s="46">
        <v>1.4</v>
      </c>
      <c r="S84" s="46">
        <v>-18.899999999999999</v>
      </c>
      <c r="T84" s="46">
        <v>-38</v>
      </c>
      <c r="U84" s="46">
        <v>-16.100000000000001</v>
      </c>
      <c r="V84" s="46">
        <v>-28</v>
      </c>
      <c r="W84" s="46">
        <v>6.4</v>
      </c>
      <c r="X84" s="46">
        <v>-2.7</v>
      </c>
      <c r="Y84" s="46">
        <v>13.7</v>
      </c>
      <c r="Z84" s="46">
        <v>-7.3</v>
      </c>
      <c r="AA84" s="46">
        <v>-6.1</v>
      </c>
      <c r="AB84" s="46">
        <v>0</v>
      </c>
      <c r="AC84" s="46">
        <v>-9</v>
      </c>
      <c r="AD84" s="46">
        <v>18</v>
      </c>
      <c r="AE84" s="46">
        <v>20</v>
      </c>
      <c r="AF84" s="46">
        <v>17</v>
      </c>
      <c r="AG84" s="61"/>
      <c r="AH84" s="48">
        <f t="shared" si="44"/>
        <v>20</v>
      </c>
      <c r="AI84" s="49">
        <f t="shared" si="45"/>
        <v>-69</v>
      </c>
      <c r="AK84" s="51"/>
      <c r="AY84" s="82"/>
      <c r="BF84" s="81"/>
      <c r="BG84" s="82">
        <v>-54</v>
      </c>
      <c r="BH84" s="82">
        <v>0</v>
      </c>
      <c r="BI84" s="82">
        <v>-645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4"/>
        <v>0</v>
      </c>
      <c r="AI85" s="49">
        <f t="shared" si="45"/>
        <v>0</v>
      </c>
      <c r="AK85" s="51"/>
      <c r="AL85" s="91" t="s">
        <v>111</v>
      </c>
      <c r="AM85" s="91"/>
      <c r="AY85" s="82"/>
      <c r="BF85" s="82"/>
      <c r="BG85" s="82">
        <v>-55</v>
      </c>
      <c r="BH85" s="82">
        <v>0</v>
      </c>
      <c r="BI85" s="82">
        <v>-655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-648</v>
      </c>
      <c r="C86" s="76">
        <v>-638</v>
      </c>
      <c r="D86" s="76">
        <v>-645</v>
      </c>
      <c r="E86" s="76">
        <v>-645</v>
      </c>
      <c r="F86" s="76">
        <v>-655</v>
      </c>
      <c r="G86" s="76">
        <v>-680</v>
      </c>
      <c r="H86" s="76">
        <v>-687</v>
      </c>
      <c r="I86" s="76">
        <v>-624.6</v>
      </c>
      <c r="J86" s="76">
        <v>-605</v>
      </c>
      <c r="K86" s="76">
        <v>-671</v>
      </c>
      <c r="L86" s="76">
        <v>-625.6</v>
      </c>
      <c r="M86" s="76">
        <v>-699</v>
      </c>
      <c r="N86" s="76">
        <v>-699</v>
      </c>
      <c r="O86" s="76">
        <v>-616</v>
      </c>
      <c r="P86" s="76">
        <v>-665</v>
      </c>
      <c r="Q86" s="76">
        <v>-638</v>
      </c>
      <c r="R86" s="76">
        <v>-610</v>
      </c>
      <c r="S86" s="76">
        <v>-614.29999999999995</v>
      </c>
      <c r="T86" s="76">
        <v>-682.8</v>
      </c>
      <c r="U86" s="76">
        <v>-680</v>
      </c>
      <c r="V86" s="76">
        <v>-638.20000000000005</v>
      </c>
      <c r="W86" s="76">
        <v>-656.7</v>
      </c>
      <c r="X86" s="76">
        <v>-700</v>
      </c>
      <c r="Y86" s="76">
        <v>-648.5</v>
      </c>
      <c r="Z86" s="76">
        <v>-617.1</v>
      </c>
      <c r="AA86" s="76">
        <v>-560.5</v>
      </c>
      <c r="AB86" s="76">
        <v>-547</v>
      </c>
      <c r="AC86" s="76">
        <v>-548</v>
      </c>
      <c r="AD86" s="76">
        <v>-618</v>
      </c>
      <c r="AE86" s="76">
        <v>-620</v>
      </c>
      <c r="AF86" s="76">
        <v>-626</v>
      </c>
      <c r="AG86" s="88"/>
      <c r="AH86" s="48">
        <f t="shared" si="44"/>
        <v>-547</v>
      </c>
      <c r="AI86" s="49">
        <f t="shared" si="45"/>
        <v>-700</v>
      </c>
      <c r="AK86" s="92"/>
      <c r="AL86" s="93"/>
      <c r="AM86" s="93"/>
      <c r="AN86" s="94"/>
      <c r="AY86" s="82"/>
      <c r="BF86" s="82"/>
      <c r="BG86" s="82">
        <v>-53</v>
      </c>
      <c r="BH86" s="82">
        <v>0</v>
      </c>
      <c r="BI86" s="82">
        <v>-680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4"/>
        <v>0</v>
      </c>
      <c r="AI87" s="49">
        <f t="shared" si="45"/>
        <v>0</v>
      </c>
      <c r="AK87" s="95" t="s">
        <v>114</v>
      </c>
      <c r="AL87" s="76"/>
      <c r="AM87" s="89"/>
      <c r="AN87" s="96"/>
      <c r="AY87" s="82"/>
      <c r="BF87" s="82"/>
      <c r="BG87" s="82">
        <v>-69</v>
      </c>
      <c r="BH87" s="82">
        <v>0</v>
      </c>
      <c r="BI87" s="82">
        <v>-624.6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4"/>
        <v>0</v>
      </c>
      <c r="AI88" s="49">
        <f t="shared" si="45"/>
        <v>0</v>
      </c>
      <c r="AK88" s="95" t="s">
        <v>116</v>
      </c>
      <c r="AL88" s="89"/>
      <c r="AM88" s="89"/>
      <c r="AN88" s="96"/>
      <c r="AY88" s="82"/>
      <c r="BF88" s="82"/>
      <c r="BG88" s="82">
        <v>-66</v>
      </c>
      <c r="BH88" s="82">
        <v>0</v>
      </c>
      <c r="BI88" s="82">
        <v>-671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5"/>
        <v>0</v>
      </c>
      <c r="AK89" s="99"/>
      <c r="AL89" s="46"/>
      <c r="AM89" s="46"/>
      <c r="AN89" s="100"/>
      <c r="AY89" s="82"/>
      <c r="BF89" s="82"/>
      <c r="BG89" s="82">
        <v>-44</v>
      </c>
      <c r="BH89" s="82">
        <v>0</v>
      </c>
      <c r="BI89" s="82">
        <v>-699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4"/>
        <v>0</v>
      </c>
      <c r="AI90" s="49">
        <f t="shared" si="45"/>
        <v>0</v>
      </c>
      <c r="AK90" s="99"/>
      <c r="AL90" s="90"/>
      <c r="AM90" s="102"/>
      <c r="AN90" s="204"/>
      <c r="AY90" s="82"/>
      <c r="BF90" s="82"/>
      <c r="BG90" s="82">
        <v>-44</v>
      </c>
      <c r="BH90" s="82">
        <v>0</v>
      </c>
      <c r="BI90" s="82">
        <v>-699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4"/>
        <v>0</v>
      </c>
      <c r="AI91" s="49">
        <f t="shared" si="45"/>
        <v>0</v>
      </c>
      <c r="AK91" s="99"/>
      <c r="AL91" s="90"/>
      <c r="AM91" s="90"/>
      <c r="AN91" s="205"/>
      <c r="BF91" s="82"/>
      <c r="BG91" s="82">
        <v>-22</v>
      </c>
      <c r="BH91" s="82">
        <v>0</v>
      </c>
      <c r="BI91" s="82">
        <v>-616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4"/>
        <v>0</v>
      </c>
      <c r="AI92" s="49">
        <f t="shared" si="45"/>
        <v>0</v>
      </c>
      <c r="AK92" s="104"/>
      <c r="AL92" s="105"/>
      <c r="AM92" s="105"/>
      <c r="AN92" s="106"/>
      <c r="BF92" s="82"/>
      <c r="BG92" s="82">
        <v>0</v>
      </c>
      <c r="BH92" s="82">
        <v>0</v>
      </c>
      <c r="BI92" s="82">
        <v>-665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4"/>
        <v>0</v>
      </c>
      <c r="AI93" s="49">
        <f t="shared" si="45"/>
        <v>0</v>
      </c>
      <c r="BF93" s="82"/>
      <c r="BG93" s="82">
        <v>-16</v>
      </c>
      <c r="BH93" s="82">
        <v>0</v>
      </c>
      <c r="BI93" s="82">
        <v>-638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4"/>
        <v>0</v>
      </c>
      <c r="AI94" s="49">
        <f t="shared" si="45"/>
        <v>0</v>
      </c>
      <c r="BF94" s="82"/>
      <c r="BG94" s="82">
        <v>1.4</v>
      </c>
      <c r="BH94" s="82">
        <v>0</v>
      </c>
      <c r="BI94" s="82">
        <v>-610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" si="62">SUMIF(B84:B94,"&gt;0")</f>
        <v>0</v>
      </c>
      <c r="C95" s="71">
        <f>SUMIF(C84:C94,"&gt;0")</f>
        <v>0</v>
      </c>
      <c r="D95" s="71">
        <f t="shared" ref="D95:AA95" si="63">SUMIF(D84:D94,"&gt;0")</f>
        <v>0</v>
      </c>
      <c r="E95" s="71">
        <f t="shared" si="63"/>
        <v>0</v>
      </c>
      <c r="F95" s="71">
        <f t="shared" si="63"/>
        <v>0</v>
      </c>
      <c r="G95" s="71">
        <f t="shared" si="63"/>
        <v>0</v>
      </c>
      <c r="H95" s="71">
        <f t="shared" si="63"/>
        <v>0</v>
      </c>
      <c r="I95" s="71">
        <f t="shared" si="63"/>
        <v>0</v>
      </c>
      <c r="J95" s="71">
        <f t="shared" si="63"/>
        <v>0</v>
      </c>
      <c r="K95" s="71">
        <f t="shared" si="63"/>
        <v>0</v>
      </c>
      <c r="L95" s="71">
        <f t="shared" si="63"/>
        <v>0</v>
      </c>
      <c r="M95" s="71">
        <f t="shared" si="63"/>
        <v>0</v>
      </c>
      <c r="N95" s="71">
        <f t="shared" si="63"/>
        <v>0</v>
      </c>
      <c r="O95" s="71">
        <f t="shared" si="63"/>
        <v>0</v>
      </c>
      <c r="P95" s="71">
        <f t="shared" si="63"/>
        <v>0</v>
      </c>
      <c r="Q95" s="71">
        <f t="shared" si="63"/>
        <v>0</v>
      </c>
      <c r="R95" s="71">
        <f t="shared" si="63"/>
        <v>1.4</v>
      </c>
      <c r="S95" s="71">
        <f t="shared" si="63"/>
        <v>0</v>
      </c>
      <c r="T95" s="71">
        <f t="shared" si="63"/>
        <v>0</v>
      </c>
      <c r="U95" s="71">
        <f>SUMIF(U84:U94,"&gt;0")</f>
        <v>0</v>
      </c>
      <c r="V95" s="71">
        <f t="shared" si="63"/>
        <v>0</v>
      </c>
      <c r="W95" s="71">
        <f t="shared" si="63"/>
        <v>6.4</v>
      </c>
      <c r="X95" s="71">
        <f t="shared" si="63"/>
        <v>0</v>
      </c>
      <c r="Y95" s="71">
        <f t="shared" si="63"/>
        <v>13.7</v>
      </c>
      <c r="Z95" s="71">
        <f t="shared" si="63"/>
        <v>0</v>
      </c>
      <c r="AA95" s="71">
        <f t="shared" si="63"/>
        <v>0</v>
      </c>
      <c r="AB95" s="71">
        <f t="shared" ref="AB95:AC95" si="64">SUMIF(AB84:AB94,"&gt;0")</f>
        <v>0</v>
      </c>
      <c r="AC95" s="71">
        <f t="shared" si="64"/>
        <v>0</v>
      </c>
      <c r="AD95" s="71">
        <f t="shared" ref="AD95:AE95" si="65">SUMIF(AD84:AD94,"&gt;0")</f>
        <v>18</v>
      </c>
      <c r="AE95" s="71">
        <f t="shared" si="65"/>
        <v>20</v>
      </c>
      <c r="AF95" s="71">
        <f t="shared" ref="AF95" si="66">SUMIF(AF84:AF94,"&gt;0")</f>
        <v>17</v>
      </c>
      <c r="AG95" s="101">
        <f>SUM(AG84:AG94)</f>
        <v>0</v>
      </c>
      <c r="AH95" s="48">
        <f t="shared" si="44"/>
        <v>20</v>
      </c>
      <c r="AI95" s="49">
        <f t="shared" si="45"/>
        <v>0</v>
      </c>
      <c r="BF95" s="82"/>
      <c r="BG95" s="82">
        <v>-18.899999999999999</v>
      </c>
      <c r="BH95" s="82">
        <v>0</v>
      </c>
      <c r="BI95" s="82">
        <v>-614.29999999999995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4"/>
        <v>0</v>
      </c>
      <c r="AI96" s="49">
        <f t="shared" si="45"/>
        <v>0</v>
      </c>
      <c r="BF96" s="82"/>
      <c r="BG96" s="82">
        <v>-38</v>
      </c>
      <c r="BH96" s="82">
        <v>0</v>
      </c>
      <c r="BI96" s="82">
        <v>-682.8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4"/>
        <v>0</v>
      </c>
      <c r="AI97" s="49">
        <f t="shared" si="45"/>
        <v>0</v>
      </c>
      <c r="BF97" s="82"/>
      <c r="BG97" s="82">
        <v>-16.100000000000001</v>
      </c>
      <c r="BH97" s="82">
        <v>0</v>
      </c>
      <c r="BI97" s="82">
        <v>-680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4"/>
        <v>0</v>
      </c>
      <c r="AI98" s="49">
        <f t="shared" si="45"/>
        <v>0</v>
      </c>
      <c r="BF98" s="82"/>
      <c r="BG98" s="82">
        <v>-28</v>
      </c>
      <c r="BH98" s="82">
        <v>0</v>
      </c>
      <c r="BI98" s="82">
        <v>-638.20000000000005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4"/>
        <v>0</v>
      </c>
      <c r="AI99" s="49">
        <f t="shared" si="45"/>
        <v>0</v>
      </c>
      <c r="BF99" s="81"/>
      <c r="BG99" s="82">
        <v>-2.7</v>
      </c>
      <c r="BH99" s="82">
        <v>0</v>
      </c>
      <c r="BI99" s="82">
        <v>-700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D100" si="67">B61+B65+B83+B79+B95+B99</f>
        <v>2286.94</v>
      </c>
      <c r="C100" s="108">
        <f t="shared" si="67"/>
        <v>2286.64</v>
      </c>
      <c r="D100" s="108">
        <f t="shared" si="67"/>
        <v>2267.0400000000004</v>
      </c>
      <c r="E100" s="108">
        <f t="shared" ref="E100:AG100" si="68">E61+E65+E83+E79+E95+E99</f>
        <v>2244.8400000000006</v>
      </c>
      <c r="F100" s="108">
        <f t="shared" si="68"/>
        <v>2205.34</v>
      </c>
      <c r="G100" s="108">
        <f t="shared" si="68"/>
        <v>2198.7400000000002</v>
      </c>
      <c r="H100" s="108">
        <f t="shared" si="68"/>
        <v>2198.84</v>
      </c>
      <c r="I100" s="108">
        <f t="shared" si="68"/>
        <v>2190.94</v>
      </c>
      <c r="J100" s="108">
        <f t="shared" si="68"/>
        <v>2169.94</v>
      </c>
      <c r="K100" s="108">
        <f t="shared" si="68"/>
        <v>2209.6400000000003</v>
      </c>
      <c r="L100" s="108">
        <f t="shared" si="68"/>
        <v>2212.2400000000007</v>
      </c>
      <c r="M100" s="108">
        <f t="shared" si="68"/>
        <v>2223.2400000000007</v>
      </c>
      <c r="N100" s="108">
        <f t="shared" si="68"/>
        <v>2225.6400000000003</v>
      </c>
      <c r="O100" s="108">
        <f t="shared" si="68"/>
        <v>2242.84</v>
      </c>
      <c r="P100" s="108">
        <f t="shared" si="68"/>
        <v>2242.84</v>
      </c>
      <c r="Q100" s="108">
        <f t="shared" si="68"/>
        <v>2242.84</v>
      </c>
      <c r="R100" s="108">
        <f t="shared" si="68"/>
        <v>2239.4400000000005</v>
      </c>
      <c r="S100" s="108">
        <f t="shared" si="68"/>
        <v>2386.1400000000003</v>
      </c>
      <c r="T100" s="108">
        <f t="shared" si="68"/>
        <v>2382.84</v>
      </c>
      <c r="U100" s="108">
        <f t="shared" si="68"/>
        <v>2389.5400000000004</v>
      </c>
      <c r="V100" s="108">
        <f t="shared" si="68"/>
        <v>2385.2400000000002</v>
      </c>
      <c r="W100" s="108">
        <f t="shared" si="68"/>
        <v>2265.7400000000002</v>
      </c>
      <c r="X100" s="108">
        <f t="shared" si="68"/>
        <v>2326.2400000000002</v>
      </c>
      <c r="Y100" s="108">
        <f t="shared" si="68"/>
        <v>2340.4</v>
      </c>
      <c r="Z100" s="108">
        <f t="shared" si="68"/>
        <v>2368.6</v>
      </c>
      <c r="AA100" s="108">
        <f t="shared" si="68"/>
        <v>2335.2400000000002</v>
      </c>
      <c r="AB100" s="108">
        <f t="shared" ref="AB100:AC100" si="69">AB61+AB65+AB83+AB79+AB95+AB99</f>
        <v>2335.2400000000002</v>
      </c>
      <c r="AC100" s="108">
        <f t="shared" si="69"/>
        <v>2344.2400000000002</v>
      </c>
      <c r="AD100" s="108">
        <f t="shared" ref="AD100:AE100" si="70">AD61+AD65+AD83+AD79+AD95+AD99</f>
        <v>2330.7400000000002</v>
      </c>
      <c r="AE100" s="108">
        <f t="shared" si="70"/>
        <v>2302.2400000000002</v>
      </c>
      <c r="AF100" s="108">
        <f t="shared" ref="AF100" si="71">AF61+AF65+AF83+AF79+AF95+AF99</f>
        <v>2299.2400000000002</v>
      </c>
      <c r="AG100" s="72">
        <f t="shared" si="68"/>
        <v>2655.44</v>
      </c>
      <c r="AH100" s="48">
        <f t="shared" si="44"/>
        <v>2389.5400000000004</v>
      </c>
      <c r="AI100" s="49">
        <f t="shared" si="45"/>
        <v>2169.94</v>
      </c>
      <c r="BF100" s="81"/>
      <c r="BG100" s="82">
        <v>-7.3</v>
      </c>
      <c r="BH100" s="82">
        <v>0</v>
      </c>
      <c r="BI100" s="82">
        <v>-617.1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4"/>
        <v>0</v>
      </c>
      <c r="AI101" s="49">
        <f t="shared" si="45"/>
        <v>0</v>
      </c>
      <c r="BF101" s="81"/>
      <c r="BG101" s="82">
        <v>0</v>
      </c>
      <c r="BH101" s="82">
        <v>0</v>
      </c>
      <c r="BI101" s="82">
        <v>-547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" si="72">B100+B101</f>
        <v>2286.94</v>
      </c>
      <c r="C102" s="108">
        <f t="shared" ref="C102:AA102" si="73">C100+C101</f>
        <v>2286.64</v>
      </c>
      <c r="D102" s="108">
        <f t="shared" si="73"/>
        <v>2267.0400000000004</v>
      </c>
      <c r="E102" s="108">
        <f t="shared" si="73"/>
        <v>2244.8400000000006</v>
      </c>
      <c r="F102" s="108">
        <f t="shared" si="73"/>
        <v>2205.34</v>
      </c>
      <c r="G102" s="108">
        <f t="shared" si="73"/>
        <v>2198.7400000000002</v>
      </c>
      <c r="H102" s="108">
        <f t="shared" si="73"/>
        <v>2198.84</v>
      </c>
      <c r="I102" s="108">
        <f t="shared" si="73"/>
        <v>2190.94</v>
      </c>
      <c r="J102" s="108">
        <f t="shared" si="73"/>
        <v>2169.94</v>
      </c>
      <c r="K102" s="108">
        <f t="shared" si="73"/>
        <v>2209.6400000000003</v>
      </c>
      <c r="L102" s="108">
        <f t="shared" si="73"/>
        <v>2212.2400000000007</v>
      </c>
      <c r="M102" s="108">
        <f t="shared" si="73"/>
        <v>2223.2400000000007</v>
      </c>
      <c r="N102" s="108">
        <f t="shared" si="73"/>
        <v>2225.6400000000003</v>
      </c>
      <c r="O102" s="108">
        <f t="shared" si="73"/>
        <v>2242.84</v>
      </c>
      <c r="P102" s="108">
        <f t="shared" si="73"/>
        <v>2242.84</v>
      </c>
      <c r="Q102" s="108">
        <f t="shared" si="73"/>
        <v>2242.84</v>
      </c>
      <c r="R102" s="108">
        <f t="shared" si="73"/>
        <v>2239.4400000000005</v>
      </c>
      <c r="S102" s="108">
        <f t="shared" si="73"/>
        <v>2386.1400000000003</v>
      </c>
      <c r="T102" s="108">
        <f t="shared" si="73"/>
        <v>2382.84</v>
      </c>
      <c r="U102" s="108">
        <f t="shared" si="73"/>
        <v>2389.5400000000004</v>
      </c>
      <c r="V102" s="108">
        <f t="shared" si="73"/>
        <v>2385.2400000000002</v>
      </c>
      <c r="W102" s="108">
        <f t="shared" si="73"/>
        <v>2265.7400000000002</v>
      </c>
      <c r="X102" s="108">
        <f t="shared" si="73"/>
        <v>2326.2400000000002</v>
      </c>
      <c r="Y102" s="108">
        <f t="shared" si="73"/>
        <v>2340.4</v>
      </c>
      <c r="Z102" s="108">
        <f t="shared" si="73"/>
        <v>2368.6</v>
      </c>
      <c r="AA102" s="108">
        <f t="shared" si="73"/>
        <v>2335.2400000000002</v>
      </c>
      <c r="AB102" s="108">
        <f t="shared" ref="AB102:AC102" si="74">AB100+AB101</f>
        <v>2335.2400000000002</v>
      </c>
      <c r="AC102" s="108">
        <f t="shared" si="74"/>
        <v>2344.2400000000002</v>
      </c>
      <c r="AD102" s="108">
        <f t="shared" ref="AD102:AE102" si="75">AD100+AD101</f>
        <v>2330.7400000000002</v>
      </c>
      <c r="AE102" s="108">
        <f t="shared" si="75"/>
        <v>2302.2400000000002</v>
      </c>
      <c r="AF102" s="108">
        <f t="shared" ref="AF102" si="76">AF100+AF101</f>
        <v>2299.2400000000002</v>
      </c>
      <c r="AG102" s="101">
        <f>AG99+AG95+AG83+AG79+AG61+AG101</f>
        <v>2117.34</v>
      </c>
      <c r="AH102" s="48">
        <f t="shared" si="44"/>
        <v>2389.5400000000004</v>
      </c>
      <c r="AI102" s="49">
        <f t="shared" si="45"/>
        <v>2169.94</v>
      </c>
      <c r="BF102" s="81"/>
      <c r="BG102" s="82">
        <v>18</v>
      </c>
      <c r="BH102" s="82">
        <v>0</v>
      </c>
      <c r="BI102" s="82">
        <v>-618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" si="77">B102-(B110)</f>
        <v>1587.94</v>
      </c>
      <c r="C103" s="108">
        <f t="shared" ref="C103:AA103" si="78">C102-(C110)</f>
        <v>1595.2399999999998</v>
      </c>
      <c r="D103" s="108">
        <f t="shared" si="78"/>
        <v>1566.6400000000003</v>
      </c>
      <c r="E103" s="108">
        <f t="shared" si="78"/>
        <v>1545.8400000000006</v>
      </c>
      <c r="F103" s="108">
        <f t="shared" si="78"/>
        <v>1495.3400000000001</v>
      </c>
      <c r="G103" s="108">
        <f t="shared" si="78"/>
        <v>1465.7400000000002</v>
      </c>
      <c r="H103" s="108">
        <f t="shared" si="78"/>
        <v>1455.3400000000001</v>
      </c>
      <c r="I103" s="108">
        <f t="shared" si="78"/>
        <v>1497.3400000000001</v>
      </c>
      <c r="J103" s="108">
        <f t="shared" si="78"/>
        <v>1496.94</v>
      </c>
      <c r="K103" s="108">
        <f t="shared" si="78"/>
        <v>1472.6400000000003</v>
      </c>
      <c r="L103" s="108">
        <f t="shared" si="78"/>
        <v>1538.6400000000008</v>
      </c>
      <c r="M103" s="108">
        <f t="shared" si="78"/>
        <v>1480.2400000000007</v>
      </c>
      <c r="N103" s="108">
        <f t="shared" si="78"/>
        <v>1482.6400000000003</v>
      </c>
      <c r="O103" s="108">
        <f t="shared" si="78"/>
        <v>1604.8400000000001</v>
      </c>
      <c r="P103" s="108">
        <f t="shared" si="78"/>
        <v>1577.8400000000001</v>
      </c>
      <c r="Q103" s="108">
        <f t="shared" si="78"/>
        <v>1588.8400000000001</v>
      </c>
      <c r="R103" s="108">
        <f t="shared" si="78"/>
        <v>1629.4400000000005</v>
      </c>
      <c r="S103" s="108">
        <f t="shared" si="78"/>
        <v>1752.9400000000005</v>
      </c>
      <c r="T103" s="108">
        <f t="shared" si="78"/>
        <v>1662.0400000000002</v>
      </c>
      <c r="U103" s="108">
        <f t="shared" si="78"/>
        <v>1693.4400000000005</v>
      </c>
      <c r="V103" s="108">
        <f t="shared" si="78"/>
        <v>1719.0400000000002</v>
      </c>
      <c r="W103" s="108">
        <f t="shared" si="78"/>
        <v>1609.0400000000002</v>
      </c>
      <c r="X103" s="108">
        <f t="shared" si="78"/>
        <v>1623.5400000000002</v>
      </c>
      <c r="Y103" s="108">
        <f t="shared" si="78"/>
        <v>1691.9</v>
      </c>
      <c r="Z103" s="108">
        <f t="shared" si="78"/>
        <v>1744.1999999999998</v>
      </c>
      <c r="AA103" s="108">
        <f t="shared" si="78"/>
        <v>1768.6400000000003</v>
      </c>
      <c r="AB103" s="108">
        <f t="shared" ref="AB103:AC103" si="79">AB102-(AB110)</f>
        <v>1788.2400000000002</v>
      </c>
      <c r="AC103" s="108">
        <f t="shared" si="79"/>
        <v>1787.2400000000002</v>
      </c>
      <c r="AD103" s="108">
        <f t="shared" ref="AD103:AE103" si="80">AD102-(AD110)</f>
        <v>1712.7400000000002</v>
      </c>
      <c r="AE103" s="108">
        <f t="shared" si="80"/>
        <v>1682.2400000000002</v>
      </c>
      <c r="AF103" s="108">
        <f t="shared" ref="AF103" si="81">AF102-(AF110)</f>
        <v>1673.2400000000002</v>
      </c>
      <c r="AG103" s="101"/>
      <c r="AH103" s="48">
        <f t="shared" si="44"/>
        <v>1788.2400000000002</v>
      </c>
      <c r="AI103" s="49">
        <f t="shared" si="45"/>
        <v>1455.3400000000001</v>
      </c>
      <c r="BF103" s="81"/>
      <c r="BG103" s="82">
        <v>20</v>
      </c>
      <c r="BH103" s="82">
        <v>0</v>
      </c>
      <c r="BI103" s="82">
        <v>-620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82">IF(B84&lt;0,B84*-1,0)</f>
        <v>51</v>
      </c>
      <c r="C104" s="89">
        <f t="shared" ref="C104:AA109" si="83">IF(C84&lt;0,C84*-1,0)</f>
        <v>53.4</v>
      </c>
      <c r="D104" s="89">
        <f t="shared" si="83"/>
        <v>55.4</v>
      </c>
      <c r="E104" s="89">
        <f t="shared" si="83"/>
        <v>54</v>
      </c>
      <c r="F104" s="89">
        <f t="shared" si="83"/>
        <v>55</v>
      </c>
      <c r="G104" s="89">
        <f t="shared" si="83"/>
        <v>53</v>
      </c>
      <c r="H104" s="89">
        <f t="shared" si="83"/>
        <v>56.5</v>
      </c>
      <c r="I104" s="89">
        <f t="shared" si="83"/>
        <v>69</v>
      </c>
      <c r="J104" s="89">
        <f t="shared" si="83"/>
        <v>68</v>
      </c>
      <c r="K104" s="89">
        <f t="shared" si="83"/>
        <v>66</v>
      </c>
      <c r="L104" s="89">
        <f t="shared" si="83"/>
        <v>48</v>
      </c>
      <c r="M104" s="89">
        <f t="shared" si="83"/>
        <v>44</v>
      </c>
      <c r="N104" s="89">
        <f t="shared" si="83"/>
        <v>44</v>
      </c>
      <c r="O104" s="89">
        <f t="shared" si="83"/>
        <v>22</v>
      </c>
      <c r="P104" s="89">
        <f t="shared" si="83"/>
        <v>0</v>
      </c>
      <c r="Q104" s="89">
        <f t="shared" si="83"/>
        <v>16</v>
      </c>
      <c r="R104" s="89">
        <f t="shared" si="83"/>
        <v>0</v>
      </c>
      <c r="S104" s="89">
        <f t="shared" si="83"/>
        <v>18.899999999999999</v>
      </c>
      <c r="T104" s="89">
        <f t="shared" si="83"/>
        <v>38</v>
      </c>
      <c r="U104" s="89">
        <f t="shared" si="83"/>
        <v>16.100000000000001</v>
      </c>
      <c r="V104" s="89">
        <f t="shared" si="83"/>
        <v>28</v>
      </c>
      <c r="W104" s="89">
        <f t="shared" si="83"/>
        <v>0</v>
      </c>
      <c r="X104" s="89">
        <f t="shared" si="83"/>
        <v>2.7</v>
      </c>
      <c r="Y104" s="89">
        <f t="shared" si="83"/>
        <v>0</v>
      </c>
      <c r="Z104" s="89">
        <f t="shared" si="83"/>
        <v>7.3</v>
      </c>
      <c r="AA104" s="89">
        <f t="shared" si="83"/>
        <v>6.1</v>
      </c>
      <c r="AB104" s="89">
        <f t="shared" ref="AB104:AC104" si="84">IF(AB84&lt;0,AB84*-1,0)</f>
        <v>0</v>
      </c>
      <c r="AC104" s="89">
        <f t="shared" si="84"/>
        <v>9</v>
      </c>
      <c r="AD104" s="89">
        <f t="shared" ref="AD104:AE104" si="85">IF(AD84&lt;0,AD84*-1,0)</f>
        <v>0</v>
      </c>
      <c r="AE104" s="89">
        <f t="shared" si="85"/>
        <v>0</v>
      </c>
      <c r="AF104" s="89">
        <f t="shared" ref="AF104" si="86">IF(AF84&lt;0,AF84*-1,0)</f>
        <v>0</v>
      </c>
      <c r="AG104" s="61"/>
      <c r="AH104" s="48">
        <f t="shared" si="44"/>
        <v>69</v>
      </c>
      <c r="AI104" s="49">
        <f t="shared" si="45"/>
        <v>0</v>
      </c>
      <c r="BG104" s="82">
        <v>17</v>
      </c>
      <c r="BH104" s="82">
        <v>0</v>
      </c>
      <c r="BI104" s="82">
        <v>-626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2"/>
        <v>0</v>
      </c>
      <c r="C105" s="89">
        <f t="shared" si="83"/>
        <v>0</v>
      </c>
      <c r="D105" s="89">
        <f t="shared" si="83"/>
        <v>0</v>
      </c>
      <c r="E105" s="89">
        <f t="shared" si="83"/>
        <v>0</v>
      </c>
      <c r="F105" s="89">
        <f t="shared" si="83"/>
        <v>0</v>
      </c>
      <c r="G105" s="89">
        <f t="shared" si="83"/>
        <v>0</v>
      </c>
      <c r="H105" s="89">
        <f t="shared" si="83"/>
        <v>0</v>
      </c>
      <c r="I105" s="89">
        <f t="shared" si="83"/>
        <v>0</v>
      </c>
      <c r="J105" s="89">
        <f t="shared" si="83"/>
        <v>0</v>
      </c>
      <c r="K105" s="89">
        <f t="shared" si="83"/>
        <v>0</v>
      </c>
      <c r="L105" s="89">
        <f t="shared" si="83"/>
        <v>0</v>
      </c>
      <c r="M105" s="89">
        <f t="shared" si="83"/>
        <v>0</v>
      </c>
      <c r="N105" s="89">
        <f t="shared" si="83"/>
        <v>0</v>
      </c>
      <c r="O105" s="89">
        <f t="shared" si="83"/>
        <v>0</v>
      </c>
      <c r="P105" s="89">
        <f t="shared" si="83"/>
        <v>0</v>
      </c>
      <c r="Q105" s="89">
        <f t="shared" si="83"/>
        <v>0</v>
      </c>
      <c r="R105" s="89">
        <f t="shared" si="83"/>
        <v>0</v>
      </c>
      <c r="S105" s="89">
        <f t="shared" si="83"/>
        <v>0</v>
      </c>
      <c r="T105" s="89">
        <f t="shared" si="83"/>
        <v>0</v>
      </c>
      <c r="U105" s="89">
        <f t="shared" si="83"/>
        <v>0</v>
      </c>
      <c r="V105" s="89">
        <f t="shared" si="83"/>
        <v>0</v>
      </c>
      <c r="W105" s="89">
        <f t="shared" si="83"/>
        <v>0</v>
      </c>
      <c r="X105" s="89">
        <f t="shared" si="83"/>
        <v>0</v>
      </c>
      <c r="Y105" s="89">
        <f t="shared" si="83"/>
        <v>0</v>
      </c>
      <c r="Z105" s="89">
        <f t="shared" si="83"/>
        <v>0</v>
      </c>
      <c r="AA105" s="89">
        <f t="shared" si="83"/>
        <v>0</v>
      </c>
      <c r="AB105" s="89">
        <f t="shared" ref="AB105:AC105" si="87">IF(AB85&lt;0,AB85*-1,0)</f>
        <v>0</v>
      </c>
      <c r="AC105" s="89">
        <f t="shared" si="87"/>
        <v>0</v>
      </c>
      <c r="AD105" s="89">
        <f t="shared" ref="AD105:AE105" si="88">IF(AD85&lt;0,AD85*-1,0)</f>
        <v>0</v>
      </c>
      <c r="AE105" s="89">
        <f t="shared" si="88"/>
        <v>0</v>
      </c>
      <c r="AF105" s="89">
        <f t="shared" ref="AF105" si="89">IF(AF85&lt;0,AF85*-1,0)</f>
        <v>0</v>
      </c>
      <c r="AG105" s="66"/>
      <c r="AH105" s="48">
        <f t="shared" si="44"/>
        <v>0</v>
      </c>
      <c r="AI105" s="49">
        <f t="shared" si="45"/>
        <v>0</v>
      </c>
      <c r="AK105" s="51"/>
      <c r="BG105" s="82">
        <v>-51</v>
      </c>
      <c r="BH105" s="82">
        <v>0</v>
      </c>
      <c r="BI105" s="82">
        <v>-648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2"/>
        <v>648</v>
      </c>
      <c r="C106" s="89">
        <f t="shared" si="83"/>
        <v>638</v>
      </c>
      <c r="D106" s="89">
        <f t="shared" si="83"/>
        <v>645</v>
      </c>
      <c r="E106" s="89">
        <f t="shared" si="83"/>
        <v>645</v>
      </c>
      <c r="F106" s="89">
        <f t="shared" si="83"/>
        <v>655</v>
      </c>
      <c r="G106" s="89">
        <f t="shared" si="83"/>
        <v>680</v>
      </c>
      <c r="H106" s="89">
        <f t="shared" si="83"/>
        <v>687</v>
      </c>
      <c r="I106" s="89">
        <f t="shared" si="83"/>
        <v>624.6</v>
      </c>
      <c r="J106" s="89">
        <f t="shared" si="83"/>
        <v>605</v>
      </c>
      <c r="K106" s="89">
        <f t="shared" si="83"/>
        <v>671</v>
      </c>
      <c r="L106" s="89">
        <f t="shared" si="83"/>
        <v>625.6</v>
      </c>
      <c r="M106" s="89">
        <f t="shared" si="83"/>
        <v>699</v>
      </c>
      <c r="N106" s="89">
        <f t="shared" si="83"/>
        <v>699</v>
      </c>
      <c r="O106" s="89">
        <f t="shared" si="83"/>
        <v>616</v>
      </c>
      <c r="P106" s="89">
        <f t="shared" si="83"/>
        <v>665</v>
      </c>
      <c r="Q106" s="89">
        <f t="shared" si="83"/>
        <v>638</v>
      </c>
      <c r="R106" s="89">
        <f t="shared" si="83"/>
        <v>610</v>
      </c>
      <c r="S106" s="89">
        <f t="shared" si="83"/>
        <v>614.29999999999995</v>
      </c>
      <c r="T106" s="89">
        <f t="shared" si="83"/>
        <v>682.8</v>
      </c>
      <c r="U106" s="89">
        <f t="shared" si="83"/>
        <v>680</v>
      </c>
      <c r="V106" s="89">
        <f t="shared" si="83"/>
        <v>638.20000000000005</v>
      </c>
      <c r="W106" s="89">
        <f t="shared" si="83"/>
        <v>656.7</v>
      </c>
      <c r="X106" s="89">
        <f t="shared" si="83"/>
        <v>700</v>
      </c>
      <c r="Y106" s="89">
        <f t="shared" si="83"/>
        <v>648.5</v>
      </c>
      <c r="Z106" s="89">
        <f t="shared" si="83"/>
        <v>617.1</v>
      </c>
      <c r="AA106" s="89">
        <f t="shared" si="83"/>
        <v>560.5</v>
      </c>
      <c r="AB106" s="89">
        <f t="shared" ref="AB106:AC106" si="90">IF(AB86&lt;0,AB86*-1,0)</f>
        <v>547</v>
      </c>
      <c r="AC106" s="89">
        <f t="shared" si="90"/>
        <v>548</v>
      </c>
      <c r="AD106" s="89">
        <f t="shared" ref="AD106:AE106" si="91">IF(AD86&lt;0,AD86*-1,0)</f>
        <v>618</v>
      </c>
      <c r="AE106" s="89">
        <f t="shared" si="91"/>
        <v>620</v>
      </c>
      <c r="AF106" s="89">
        <f t="shared" ref="AF106" si="92">IF(AF86&lt;0,AF86*-1,0)</f>
        <v>626</v>
      </c>
      <c r="AG106" s="111"/>
      <c r="AH106" s="48">
        <f t="shared" si="44"/>
        <v>700</v>
      </c>
      <c r="AI106" s="49">
        <f t="shared" si="45"/>
        <v>547</v>
      </c>
    </row>
    <row r="107" spans="1:64" x14ac:dyDescent="0.25">
      <c r="A107" s="97" t="s">
        <v>107</v>
      </c>
      <c r="B107" s="89">
        <f t="shared" si="82"/>
        <v>0</v>
      </c>
      <c r="C107" s="89">
        <f t="shared" si="83"/>
        <v>0</v>
      </c>
      <c r="D107" s="89">
        <f t="shared" si="83"/>
        <v>0</v>
      </c>
      <c r="E107" s="89">
        <f t="shared" si="83"/>
        <v>0</v>
      </c>
      <c r="F107" s="89">
        <f t="shared" si="83"/>
        <v>0</v>
      </c>
      <c r="G107" s="89">
        <f t="shared" si="83"/>
        <v>0</v>
      </c>
      <c r="H107" s="89">
        <f t="shared" si="83"/>
        <v>0</v>
      </c>
      <c r="I107" s="89">
        <f t="shared" si="83"/>
        <v>0</v>
      </c>
      <c r="J107" s="89">
        <f t="shared" si="83"/>
        <v>0</v>
      </c>
      <c r="K107" s="89">
        <f t="shared" si="83"/>
        <v>0</v>
      </c>
      <c r="L107" s="89">
        <f t="shared" si="83"/>
        <v>0</v>
      </c>
      <c r="M107" s="89">
        <f t="shared" si="83"/>
        <v>0</v>
      </c>
      <c r="N107" s="89">
        <f t="shared" si="83"/>
        <v>0</v>
      </c>
      <c r="O107" s="89">
        <f t="shared" si="83"/>
        <v>0</v>
      </c>
      <c r="P107" s="89">
        <f t="shared" si="83"/>
        <v>0</v>
      </c>
      <c r="Q107" s="89">
        <f t="shared" si="83"/>
        <v>0</v>
      </c>
      <c r="R107" s="89">
        <f t="shared" si="83"/>
        <v>0</v>
      </c>
      <c r="S107" s="89">
        <f t="shared" si="83"/>
        <v>0</v>
      </c>
      <c r="T107" s="89">
        <f t="shared" si="83"/>
        <v>0</v>
      </c>
      <c r="U107" s="89">
        <f t="shared" si="83"/>
        <v>0</v>
      </c>
      <c r="V107" s="89">
        <f t="shared" si="83"/>
        <v>0</v>
      </c>
      <c r="W107" s="89">
        <f t="shared" si="83"/>
        <v>0</v>
      </c>
      <c r="X107" s="89">
        <f t="shared" si="83"/>
        <v>0</v>
      </c>
      <c r="Y107" s="89">
        <f t="shared" si="83"/>
        <v>0</v>
      </c>
      <c r="Z107" s="89">
        <f t="shared" si="83"/>
        <v>0</v>
      </c>
      <c r="AA107" s="89">
        <f t="shared" si="83"/>
        <v>0</v>
      </c>
      <c r="AB107" s="89">
        <f t="shared" ref="AB107:AC107" si="93">IF(AB87&lt;0,AB87*-1,0)</f>
        <v>0</v>
      </c>
      <c r="AC107" s="89">
        <f t="shared" si="93"/>
        <v>0</v>
      </c>
      <c r="AD107" s="89">
        <f t="shared" ref="AD107:AE107" si="94">IF(AD87&lt;0,AD87*-1,0)</f>
        <v>0</v>
      </c>
      <c r="AE107" s="89">
        <f t="shared" si="94"/>
        <v>0</v>
      </c>
      <c r="AF107" s="89">
        <f t="shared" ref="AF107" si="95">IF(AF87&lt;0,AF87*-1,0)</f>
        <v>0</v>
      </c>
      <c r="AG107" s="111"/>
      <c r="AH107" s="48">
        <f t="shared" si="44"/>
        <v>0</v>
      </c>
      <c r="AI107" s="49">
        <f t="shared" si="45"/>
        <v>0</v>
      </c>
    </row>
    <row r="108" spans="1:64" x14ac:dyDescent="0.25">
      <c r="A108" s="97" t="s">
        <v>108</v>
      </c>
      <c r="B108" s="89">
        <f t="shared" si="82"/>
        <v>0</v>
      </c>
      <c r="C108" s="89">
        <f t="shared" si="83"/>
        <v>0</v>
      </c>
      <c r="D108" s="89">
        <f t="shared" si="83"/>
        <v>0</v>
      </c>
      <c r="E108" s="89">
        <f t="shared" si="83"/>
        <v>0</v>
      </c>
      <c r="F108" s="89">
        <f t="shared" si="83"/>
        <v>0</v>
      </c>
      <c r="G108" s="89">
        <f t="shared" si="83"/>
        <v>0</v>
      </c>
      <c r="H108" s="89">
        <f t="shared" si="83"/>
        <v>0</v>
      </c>
      <c r="I108" s="89">
        <f t="shared" si="83"/>
        <v>0</v>
      </c>
      <c r="J108" s="89">
        <f t="shared" si="83"/>
        <v>0</v>
      </c>
      <c r="K108" s="89">
        <f t="shared" si="83"/>
        <v>0</v>
      </c>
      <c r="L108" s="89">
        <f t="shared" si="83"/>
        <v>0</v>
      </c>
      <c r="M108" s="89">
        <f t="shared" si="83"/>
        <v>0</v>
      </c>
      <c r="N108" s="89">
        <f t="shared" si="83"/>
        <v>0</v>
      </c>
      <c r="O108" s="89">
        <f t="shared" si="83"/>
        <v>0</v>
      </c>
      <c r="P108" s="89">
        <f t="shared" si="83"/>
        <v>0</v>
      </c>
      <c r="Q108" s="89">
        <f t="shared" si="83"/>
        <v>0</v>
      </c>
      <c r="R108" s="89">
        <f t="shared" si="83"/>
        <v>0</v>
      </c>
      <c r="S108" s="89">
        <f t="shared" si="83"/>
        <v>0</v>
      </c>
      <c r="T108" s="89">
        <f t="shared" si="83"/>
        <v>0</v>
      </c>
      <c r="U108" s="89">
        <f t="shared" si="83"/>
        <v>0</v>
      </c>
      <c r="V108" s="89">
        <f t="shared" si="83"/>
        <v>0</v>
      </c>
      <c r="W108" s="89">
        <f t="shared" si="83"/>
        <v>0</v>
      </c>
      <c r="X108" s="89">
        <f t="shared" si="83"/>
        <v>0</v>
      </c>
      <c r="Y108" s="89">
        <f t="shared" si="83"/>
        <v>0</v>
      </c>
      <c r="Z108" s="89">
        <f t="shared" si="83"/>
        <v>0</v>
      </c>
      <c r="AA108" s="89">
        <f t="shared" si="83"/>
        <v>0</v>
      </c>
      <c r="AB108" s="89">
        <f t="shared" ref="AB108:AC108" si="96">IF(AB88&lt;0,AB88*-1,0)</f>
        <v>0</v>
      </c>
      <c r="AC108" s="89">
        <f t="shared" si="96"/>
        <v>0</v>
      </c>
      <c r="AD108" s="89">
        <f t="shared" ref="AD108:AE108" si="97">IF(AD88&lt;0,AD88*-1,0)</f>
        <v>0</v>
      </c>
      <c r="AE108" s="89">
        <f t="shared" si="97"/>
        <v>0</v>
      </c>
      <c r="AF108" s="89">
        <f t="shared" ref="AF108" si="98">IF(AF88&lt;0,AF88*-1,0)</f>
        <v>0</v>
      </c>
      <c r="AG108" s="111"/>
      <c r="AH108" s="48">
        <f t="shared" si="44"/>
        <v>0</v>
      </c>
      <c r="AI108" s="49">
        <f t="shared" si="45"/>
        <v>0</v>
      </c>
    </row>
    <row r="109" spans="1:64" ht="15.75" thickBot="1" x14ac:dyDescent="0.3">
      <c r="A109" s="97" t="s">
        <v>117</v>
      </c>
      <c r="B109" s="89">
        <f t="shared" si="82"/>
        <v>0</v>
      </c>
      <c r="C109" s="89">
        <f t="shared" si="83"/>
        <v>0</v>
      </c>
      <c r="D109" s="89">
        <f t="shared" si="83"/>
        <v>0</v>
      </c>
      <c r="E109" s="89">
        <f t="shared" si="83"/>
        <v>0</v>
      </c>
      <c r="F109" s="89">
        <f t="shared" si="83"/>
        <v>0</v>
      </c>
      <c r="G109" s="89">
        <f t="shared" si="83"/>
        <v>0</v>
      </c>
      <c r="H109" s="89">
        <f t="shared" si="83"/>
        <v>0</v>
      </c>
      <c r="I109" s="89">
        <f t="shared" si="83"/>
        <v>0</v>
      </c>
      <c r="J109" s="89">
        <f t="shared" si="83"/>
        <v>0</v>
      </c>
      <c r="K109" s="89">
        <f t="shared" si="83"/>
        <v>0</v>
      </c>
      <c r="L109" s="89">
        <f t="shared" si="83"/>
        <v>0</v>
      </c>
      <c r="M109" s="89">
        <f t="shared" si="83"/>
        <v>0</v>
      </c>
      <c r="N109" s="89">
        <f t="shared" si="83"/>
        <v>0</v>
      </c>
      <c r="O109" s="89">
        <f t="shared" si="83"/>
        <v>0</v>
      </c>
      <c r="P109" s="89">
        <f t="shared" si="83"/>
        <v>0</v>
      </c>
      <c r="Q109" s="89">
        <f t="shared" si="83"/>
        <v>0</v>
      </c>
      <c r="R109" s="89">
        <f t="shared" si="83"/>
        <v>0</v>
      </c>
      <c r="S109" s="89">
        <f t="shared" si="83"/>
        <v>0</v>
      </c>
      <c r="T109" s="89">
        <f t="shared" si="83"/>
        <v>0</v>
      </c>
      <c r="U109" s="89">
        <f t="shared" si="83"/>
        <v>0</v>
      </c>
      <c r="V109" s="89">
        <f t="shared" si="83"/>
        <v>0</v>
      </c>
      <c r="W109" s="89">
        <f t="shared" si="83"/>
        <v>0</v>
      </c>
      <c r="X109" s="89">
        <f t="shared" si="83"/>
        <v>0</v>
      </c>
      <c r="Y109" s="89">
        <f t="shared" si="83"/>
        <v>0</v>
      </c>
      <c r="Z109" s="89">
        <f t="shared" si="83"/>
        <v>0</v>
      </c>
      <c r="AA109" s="89">
        <f t="shared" si="83"/>
        <v>0</v>
      </c>
      <c r="AB109" s="89">
        <f t="shared" ref="AB109:AC109" si="99">IF(AB89&lt;0,AB89*-1,0)</f>
        <v>0</v>
      </c>
      <c r="AC109" s="89">
        <f t="shared" si="99"/>
        <v>0</v>
      </c>
      <c r="AD109" s="89">
        <f t="shared" ref="AD109:AE109" si="100">IF(AD89&lt;0,AD89*-1,0)</f>
        <v>0</v>
      </c>
      <c r="AE109" s="89">
        <f t="shared" si="100"/>
        <v>0</v>
      </c>
      <c r="AF109" s="89">
        <f t="shared" ref="AF109" si="101">IF(AF89&lt;0,AF89*-1,0)</f>
        <v>0</v>
      </c>
      <c r="AG109" s="98"/>
      <c r="AH109" s="48">
        <f t="shared" si="44"/>
        <v>0</v>
      </c>
      <c r="AI109" s="49">
        <f t="shared" si="45"/>
        <v>0</v>
      </c>
    </row>
    <row r="110" spans="1:64" ht="15.75" thickBot="1" x14ac:dyDescent="0.3">
      <c r="A110" s="112" t="s">
        <v>130</v>
      </c>
      <c r="B110" s="71">
        <f t="shared" ref="B110" si="102">SUM(B104:B109)</f>
        <v>699</v>
      </c>
      <c r="C110" s="71">
        <f t="shared" ref="C110:AA110" si="103">SUM(C104:C109)</f>
        <v>691.4</v>
      </c>
      <c r="D110" s="71">
        <f t="shared" si="103"/>
        <v>700.4</v>
      </c>
      <c r="E110" s="71">
        <f t="shared" si="103"/>
        <v>699</v>
      </c>
      <c r="F110" s="71">
        <f t="shared" si="103"/>
        <v>710</v>
      </c>
      <c r="G110" s="71">
        <f t="shared" si="103"/>
        <v>733</v>
      </c>
      <c r="H110" s="71">
        <f t="shared" si="103"/>
        <v>743.5</v>
      </c>
      <c r="I110" s="71">
        <f t="shared" si="103"/>
        <v>693.6</v>
      </c>
      <c r="J110" s="71">
        <f t="shared" si="103"/>
        <v>673</v>
      </c>
      <c r="K110" s="71">
        <f t="shared" si="103"/>
        <v>737</v>
      </c>
      <c r="L110" s="71">
        <f t="shared" si="103"/>
        <v>673.6</v>
      </c>
      <c r="M110" s="71">
        <f t="shared" si="103"/>
        <v>743</v>
      </c>
      <c r="N110" s="71">
        <f t="shared" si="103"/>
        <v>743</v>
      </c>
      <c r="O110" s="71">
        <f t="shared" si="103"/>
        <v>638</v>
      </c>
      <c r="P110" s="71">
        <f t="shared" si="103"/>
        <v>665</v>
      </c>
      <c r="Q110" s="71">
        <f t="shared" si="103"/>
        <v>654</v>
      </c>
      <c r="R110" s="71">
        <f t="shared" si="103"/>
        <v>610</v>
      </c>
      <c r="S110" s="71">
        <f t="shared" si="103"/>
        <v>633.19999999999993</v>
      </c>
      <c r="T110" s="71">
        <f t="shared" si="103"/>
        <v>720.8</v>
      </c>
      <c r="U110" s="71">
        <f t="shared" si="103"/>
        <v>696.1</v>
      </c>
      <c r="V110" s="71">
        <f t="shared" si="103"/>
        <v>666.2</v>
      </c>
      <c r="W110" s="71">
        <f t="shared" si="103"/>
        <v>656.7</v>
      </c>
      <c r="X110" s="71">
        <f t="shared" si="103"/>
        <v>702.7</v>
      </c>
      <c r="Y110" s="71">
        <f t="shared" si="103"/>
        <v>648.5</v>
      </c>
      <c r="Z110" s="71">
        <f t="shared" si="103"/>
        <v>624.4</v>
      </c>
      <c r="AA110" s="71">
        <f t="shared" si="103"/>
        <v>566.6</v>
      </c>
      <c r="AB110" s="71">
        <f t="shared" ref="AB110:AC110" si="104">SUM(AB104:AB109)</f>
        <v>547</v>
      </c>
      <c r="AC110" s="71">
        <f t="shared" si="104"/>
        <v>557</v>
      </c>
      <c r="AD110" s="71">
        <f t="shared" ref="AD110:AE110" si="105">SUM(AD104:AD109)</f>
        <v>618</v>
      </c>
      <c r="AE110" s="71">
        <f t="shared" si="105"/>
        <v>620</v>
      </c>
      <c r="AF110" s="71">
        <f t="shared" ref="AF110" si="106">SUM(AF104:AF109)</f>
        <v>626</v>
      </c>
      <c r="AG110" s="101"/>
      <c r="AH110" s="48">
        <f t="shared" si="44"/>
        <v>743.5</v>
      </c>
      <c r="AI110" s="49">
        <f t="shared" si="45"/>
        <v>547</v>
      </c>
    </row>
    <row r="111" spans="1:64" ht="15.75" thickBot="1" x14ac:dyDescent="0.3">
      <c r="A111" s="87" t="s">
        <v>131</v>
      </c>
      <c r="B111" s="71">
        <f t="shared" ref="B111" si="107">B95-B110</f>
        <v>-699</v>
      </c>
      <c r="C111" s="71">
        <f t="shared" ref="C111:AA111" si="108">C95-C110</f>
        <v>-691.4</v>
      </c>
      <c r="D111" s="71">
        <f t="shared" si="108"/>
        <v>-700.4</v>
      </c>
      <c r="E111" s="71">
        <f t="shared" si="108"/>
        <v>-699</v>
      </c>
      <c r="F111" s="71">
        <f t="shared" si="108"/>
        <v>-710</v>
      </c>
      <c r="G111" s="71">
        <f t="shared" si="108"/>
        <v>-733</v>
      </c>
      <c r="H111" s="71">
        <f t="shared" si="108"/>
        <v>-743.5</v>
      </c>
      <c r="I111" s="71">
        <f t="shared" si="108"/>
        <v>-693.6</v>
      </c>
      <c r="J111" s="71">
        <f t="shared" si="108"/>
        <v>-673</v>
      </c>
      <c r="K111" s="71">
        <f t="shared" si="108"/>
        <v>-737</v>
      </c>
      <c r="L111" s="71">
        <f t="shared" si="108"/>
        <v>-673.6</v>
      </c>
      <c r="M111" s="71">
        <f t="shared" si="108"/>
        <v>-743</v>
      </c>
      <c r="N111" s="71">
        <f t="shared" si="108"/>
        <v>-743</v>
      </c>
      <c r="O111" s="71">
        <f t="shared" si="108"/>
        <v>-638</v>
      </c>
      <c r="P111" s="71">
        <f t="shared" si="108"/>
        <v>-665</v>
      </c>
      <c r="Q111" s="71">
        <f t="shared" si="108"/>
        <v>-654</v>
      </c>
      <c r="R111" s="71">
        <f t="shared" si="108"/>
        <v>-608.6</v>
      </c>
      <c r="S111" s="71">
        <f t="shared" si="108"/>
        <v>-633.19999999999993</v>
      </c>
      <c r="T111" s="71">
        <f t="shared" si="108"/>
        <v>-720.8</v>
      </c>
      <c r="U111" s="71">
        <f t="shared" si="108"/>
        <v>-696.1</v>
      </c>
      <c r="V111" s="71">
        <f t="shared" si="108"/>
        <v>-666.2</v>
      </c>
      <c r="W111" s="71">
        <f t="shared" si="108"/>
        <v>-650.30000000000007</v>
      </c>
      <c r="X111" s="71">
        <f t="shared" si="108"/>
        <v>-702.7</v>
      </c>
      <c r="Y111" s="71">
        <f t="shared" si="108"/>
        <v>-634.79999999999995</v>
      </c>
      <c r="Z111" s="71">
        <f t="shared" si="108"/>
        <v>-624.4</v>
      </c>
      <c r="AA111" s="71">
        <f t="shared" si="108"/>
        <v>-566.6</v>
      </c>
      <c r="AB111" s="71">
        <f t="shared" ref="AB111:AC111" si="109">AB95-AB110</f>
        <v>-547</v>
      </c>
      <c r="AC111" s="71">
        <f t="shared" si="109"/>
        <v>-557</v>
      </c>
      <c r="AD111" s="71">
        <f t="shared" ref="AD111:AE111" si="110">AD95-AD110</f>
        <v>-600</v>
      </c>
      <c r="AE111" s="71">
        <f t="shared" si="110"/>
        <v>-600</v>
      </c>
      <c r="AF111" s="71">
        <f t="shared" ref="AF111" si="111">AF95-AF110</f>
        <v>-609</v>
      </c>
      <c r="AG111" s="101"/>
      <c r="AH111" s="48">
        <f t="shared" si="44"/>
        <v>-547</v>
      </c>
      <c r="AI111" s="49">
        <f t="shared" si="45"/>
        <v>-743.5</v>
      </c>
    </row>
    <row r="112" spans="1:64" x14ac:dyDescent="0.25">
      <c r="A112" s="113" t="s">
        <v>132</v>
      </c>
      <c r="B112" s="114">
        <v>50.04</v>
      </c>
      <c r="C112" s="114">
        <v>50.05</v>
      </c>
      <c r="D112" s="114">
        <v>49.94</v>
      </c>
      <c r="E112" s="114">
        <v>49.95</v>
      </c>
      <c r="F112" s="114">
        <v>49.93</v>
      </c>
      <c r="G112" s="114">
        <v>50.01</v>
      </c>
      <c r="H112" s="114">
        <v>49.981000000000002</v>
      </c>
      <c r="I112" s="114">
        <v>49.985999999999997</v>
      </c>
      <c r="J112" s="114">
        <v>49.845999999999997</v>
      </c>
      <c r="K112" s="114">
        <v>49.97</v>
      </c>
      <c r="L112" s="114">
        <v>49.93</v>
      </c>
      <c r="M112" s="114">
        <v>50.061</v>
      </c>
      <c r="N112" s="114">
        <v>50</v>
      </c>
      <c r="O112" s="114">
        <v>49.98</v>
      </c>
      <c r="P112" s="114">
        <v>50.009</v>
      </c>
      <c r="Q112" s="114">
        <v>50.023000000000003</v>
      </c>
      <c r="R112" s="114">
        <v>49.956000000000003</v>
      </c>
      <c r="S112" s="114">
        <v>49.912999999999997</v>
      </c>
      <c r="T112" s="114">
        <v>50.151000000000003</v>
      </c>
      <c r="U112" s="114">
        <v>49.993000000000002</v>
      </c>
      <c r="V112" s="114">
        <v>49.969000000000001</v>
      </c>
      <c r="W112" s="114">
        <v>50.024000000000001</v>
      </c>
      <c r="X112" s="114">
        <v>50.097000000000001</v>
      </c>
      <c r="Y112" s="114">
        <v>49.927999999999997</v>
      </c>
      <c r="Z112" s="114">
        <v>49.976999999999997</v>
      </c>
      <c r="AA112" s="114">
        <v>49.932000000000002</v>
      </c>
      <c r="AB112" s="114">
        <v>49.932000000000002</v>
      </c>
      <c r="AC112" s="114">
        <v>49.86</v>
      </c>
      <c r="AD112" s="114">
        <v>49.863</v>
      </c>
      <c r="AE112" s="114">
        <v>49.863</v>
      </c>
      <c r="AF112" s="114">
        <v>49.88</v>
      </c>
      <c r="AG112" s="115"/>
      <c r="AH112" s="48">
        <f t="shared" si="44"/>
        <v>50.151000000000003</v>
      </c>
      <c r="AI112" s="49">
        <f t="shared" si="45"/>
        <v>49.845999999999997</v>
      </c>
    </row>
    <row r="113" spans="1:35" x14ac:dyDescent="0.25">
      <c r="A113" s="116" t="s">
        <v>133</v>
      </c>
      <c r="B113" s="76">
        <v>121.2</v>
      </c>
      <c r="C113" s="76">
        <v>121.5</v>
      </c>
      <c r="D113" s="76">
        <v>123.4</v>
      </c>
      <c r="E113" s="76">
        <v>122.2</v>
      </c>
      <c r="F113" s="76">
        <v>121.5</v>
      </c>
      <c r="G113" s="76">
        <v>124.7</v>
      </c>
      <c r="H113" s="76">
        <v>122.8</v>
      </c>
      <c r="I113" s="76">
        <v>123</v>
      </c>
      <c r="J113" s="76">
        <v>121.7</v>
      </c>
      <c r="K113" s="76">
        <v>121.7</v>
      </c>
      <c r="L113" s="76">
        <v>121.1</v>
      </c>
      <c r="M113" s="76">
        <v>122.6</v>
      </c>
      <c r="N113" s="76">
        <v>120.1</v>
      </c>
      <c r="O113" s="76">
        <v>120.1</v>
      </c>
      <c r="P113" s="76">
        <v>121.2</v>
      </c>
      <c r="Q113" s="76">
        <v>120.1</v>
      </c>
      <c r="R113" s="76">
        <v>120.5</v>
      </c>
      <c r="S113" s="76">
        <v>121.3</v>
      </c>
      <c r="T113" s="76">
        <v>119.5</v>
      </c>
      <c r="U113" s="76">
        <v>120.9</v>
      </c>
      <c r="V113" s="76">
        <v>122.9</v>
      </c>
      <c r="W113" s="76">
        <v>123.9</v>
      </c>
      <c r="X113" s="76">
        <v>123.1</v>
      </c>
      <c r="Y113" s="76">
        <v>123.2</v>
      </c>
      <c r="Z113" s="76">
        <v>121.5</v>
      </c>
      <c r="AA113" s="76">
        <v>122.6</v>
      </c>
      <c r="AB113" s="76">
        <v>122.6</v>
      </c>
      <c r="AC113" s="76">
        <v>123.5</v>
      </c>
      <c r="AD113" s="76">
        <v>123.5</v>
      </c>
      <c r="AE113" s="76">
        <v>123.5</v>
      </c>
      <c r="AF113" s="76">
        <v>123.5</v>
      </c>
      <c r="AG113" s="117"/>
      <c r="AH113" s="48">
        <f t="shared" si="44"/>
        <v>124.7</v>
      </c>
      <c r="AI113" s="49">
        <f t="shared" si="45"/>
        <v>119.5</v>
      </c>
    </row>
    <row r="114" spans="1:35" x14ac:dyDescent="0.25">
      <c r="A114" s="116" t="s">
        <v>134</v>
      </c>
      <c r="B114" s="76">
        <v>126.5</v>
      </c>
      <c r="C114" s="76">
        <v>126.4</v>
      </c>
      <c r="D114" s="76">
        <v>128.19999999999999</v>
      </c>
      <c r="E114" s="76">
        <v>127.3</v>
      </c>
      <c r="F114" s="76">
        <v>126.8</v>
      </c>
      <c r="G114" s="76">
        <v>128.9</v>
      </c>
      <c r="H114" s="76">
        <v>127.7</v>
      </c>
      <c r="I114" s="76">
        <v>127.1</v>
      </c>
      <c r="J114" s="76">
        <v>125.6</v>
      </c>
      <c r="K114" s="76">
        <v>124.8</v>
      </c>
      <c r="L114" s="76">
        <v>124.8</v>
      </c>
      <c r="M114" s="76">
        <v>125.3</v>
      </c>
      <c r="N114" s="76">
        <v>123.9</v>
      </c>
      <c r="O114" s="76">
        <v>123.9</v>
      </c>
      <c r="P114" s="76">
        <v>124.6</v>
      </c>
      <c r="Q114" s="76">
        <v>124.4</v>
      </c>
      <c r="R114" s="76">
        <v>124.1</v>
      </c>
      <c r="S114" s="76">
        <v>125.1</v>
      </c>
      <c r="T114" s="76">
        <v>123.7</v>
      </c>
      <c r="U114" s="76">
        <v>124.5</v>
      </c>
      <c r="V114" s="76">
        <v>125.6</v>
      </c>
      <c r="W114" s="76">
        <v>126.4</v>
      </c>
      <c r="X114" s="76">
        <v>125.8</v>
      </c>
      <c r="Y114" s="76">
        <v>125.5</v>
      </c>
      <c r="Z114" s="76">
        <v>124.4</v>
      </c>
      <c r="AA114" s="76">
        <v>125.4</v>
      </c>
      <c r="AB114" s="76">
        <v>125.4</v>
      </c>
      <c r="AC114" s="76">
        <v>127.2</v>
      </c>
      <c r="AD114" s="76">
        <v>127.2</v>
      </c>
      <c r="AE114" s="76">
        <v>127.2</v>
      </c>
      <c r="AF114" s="76">
        <v>127.2</v>
      </c>
      <c r="AG114" s="117"/>
      <c r="AH114" s="48">
        <f t="shared" si="44"/>
        <v>128.9</v>
      </c>
      <c r="AI114" s="49">
        <f t="shared" si="45"/>
        <v>123.7</v>
      </c>
    </row>
    <row r="115" spans="1:35" x14ac:dyDescent="0.25">
      <c r="A115" s="116" t="s">
        <v>135</v>
      </c>
      <c r="B115" s="76">
        <v>128.69999999999999</v>
      </c>
      <c r="C115" s="76">
        <v>129.30000000000001</v>
      </c>
      <c r="D115" s="76">
        <v>130.19999999999999</v>
      </c>
      <c r="E115" s="76">
        <v>131.5</v>
      </c>
      <c r="F115" s="76">
        <v>130.69999999999999</v>
      </c>
      <c r="G115" s="76">
        <v>131.1</v>
      </c>
      <c r="H115" s="76">
        <v>131.4</v>
      </c>
      <c r="I115" s="76">
        <v>132.1</v>
      </c>
      <c r="J115" s="76">
        <v>131.30000000000001</v>
      </c>
      <c r="K115" s="76">
        <v>129.80000000000001</v>
      </c>
      <c r="L115" s="76">
        <v>129.80000000000001</v>
      </c>
      <c r="M115" s="76">
        <v>128.69999999999999</v>
      </c>
      <c r="N115" s="76">
        <v>129.9</v>
      </c>
      <c r="O115" s="76">
        <v>129.9</v>
      </c>
      <c r="P115" s="76">
        <v>128.80000000000001</v>
      </c>
      <c r="Q115" s="76">
        <v>130.4</v>
      </c>
      <c r="R115" s="76">
        <v>130</v>
      </c>
      <c r="S115" s="76">
        <v>130</v>
      </c>
      <c r="T115" s="76">
        <v>129.69999999999999</v>
      </c>
      <c r="U115" s="76">
        <v>128.80000000000001</v>
      </c>
      <c r="V115" s="76">
        <v>130</v>
      </c>
      <c r="W115" s="76">
        <v>130.69999999999999</v>
      </c>
      <c r="X115" s="76">
        <v>129.9</v>
      </c>
      <c r="Y115" s="76">
        <v>125.5</v>
      </c>
      <c r="Z115" s="76">
        <v>126.7</v>
      </c>
      <c r="AA115" s="76">
        <v>126.1</v>
      </c>
      <c r="AB115" s="76">
        <v>126.1</v>
      </c>
      <c r="AC115" s="76">
        <v>128.6</v>
      </c>
      <c r="AD115" s="76">
        <v>128.6</v>
      </c>
      <c r="AE115" s="76">
        <v>128.6</v>
      </c>
      <c r="AF115" s="76">
        <v>128.6</v>
      </c>
      <c r="AG115" s="117"/>
      <c r="AH115" s="48">
        <f t="shared" si="44"/>
        <v>132.1</v>
      </c>
      <c r="AI115" s="49">
        <f t="shared" si="45"/>
        <v>125.5</v>
      </c>
    </row>
    <row r="116" spans="1:35" x14ac:dyDescent="0.25">
      <c r="A116" s="118" t="s">
        <v>136</v>
      </c>
      <c r="B116" s="76">
        <v>130.1</v>
      </c>
      <c r="C116" s="76">
        <v>131</v>
      </c>
      <c r="D116" s="76">
        <v>131.9</v>
      </c>
      <c r="E116" s="76">
        <v>133.80000000000001</v>
      </c>
      <c r="F116" s="76">
        <v>131.30000000000001</v>
      </c>
      <c r="G116" s="76">
        <v>130.9</v>
      </c>
      <c r="H116" s="76">
        <v>131.4</v>
      </c>
      <c r="I116" s="76">
        <v>130.5</v>
      </c>
      <c r="J116" s="76">
        <v>130.9</v>
      </c>
      <c r="K116" s="76">
        <v>130.69999999999999</v>
      </c>
      <c r="L116" s="76">
        <v>130.69999999999999</v>
      </c>
      <c r="M116" s="76">
        <v>127.1</v>
      </c>
      <c r="N116" s="76">
        <v>129.69999999999999</v>
      </c>
      <c r="O116" s="76">
        <v>129.69999999999999</v>
      </c>
      <c r="P116" s="76">
        <v>128.30000000000001</v>
      </c>
      <c r="Q116" s="76">
        <v>133.4</v>
      </c>
      <c r="R116" s="76">
        <v>132.30000000000001</v>
      </c>
      <c r="S116" s="76">
        <v>132.1</v>
      </c>
      <c r="T116" s="76">
        <v>131.69999999999999</v>
      </c>
      <c r="U116" s="76">
        <v>130</v>
      </c>
      <c r="V116" s="76">
        <v>132.5</v>
      </c>
      <c r="W116" s="76">
        <v>132.5</v>
      </c>
      <c r="X116" s="76">
        <v>131.6</v>
      </c>
      <c r="Y116" s="76">
        <v>129.9</v>
      </c>
      <c r="Z116" s="76">
        <v>131.4</v>
      </c>
      <c r="AA116" s="76">
        <v>131.80000000000001</v>
      </c>
      <c r="AB116" s="76">
        <v>131.80000000000001</v>
      </c>
      <c r="AC116" s="76">
        <v>132.30000000000001</v>
      </c>
      <c r="AD116" s="76">
        <v>132.30000000000001</v>
      </c>
      <c r="AE116" s="76">
        <v>132.30000000000001</v>
      </c>
      <c r="AF116" s="76">
        <v>132.30000000000001</v>
      </c>
      <c r="AG116" s="117"/>
      <c r="AH116" s="48">
        <f t="shared" si="44"/>
        <v>133.80000000000001</v>
      </c>
      <c r="AI116" s="49">
        <f t="shared" si="45"/>
        <v>127.1</v>
      </c>
    </row>
    <row r="117" spans="1:35" x14ac:dyDescent="0.25">
      <c r="A117" s="118" t="s">
        <v>137</v>
      </c>
      <c r="B117" s="119">
        <v>135.19999999999999</v>
      </c>
      <c r="C117" s="119">
        <v>135</v>
      </c>
      <c r="D117" s="119">
        <v>136.19999999999999</v>
      </c>
      <c r="E117" s="119">
        <v>136</v>
      </c>
      <c r="F117" s="119">
        <v>134.80000000000001</v>
      </c>
      <c r="G117" s="119">
        <v>135.4</v>
      </c>
      <c r="H117" s="119">
        <v>134.6</v>
      </c>
      <c r="I117" s="119">
        <v>134</v>
      </c>
      <c r="J117" s="119">
        <v>132</v>
      </c>
      <c r="K117" s="119">
        <v>134.5</v>
      </c>
      <c r="L117" s="119">
        <v>134.5</v>
      </c>
      <c r="M117" s="119">
        <v>133.4</v>
      </c>
      <c r="N117" s="119">
        <v>133.4</v>
      </c>
      <c r="O117" s="119">
        <v>133.4</v>
      </c>
      <c r="P117" s="119">
        <v>134.80000000000001</v>
      </c>
      <c r="Q117" s="119">
        <v>136.30000000000001</v>
      </c>
      <c r="R117" s="119">
        <v>134.30000000000001</v>
      </c>
      <c r="S117" s="119">
        <v>135.19999999999999</v>
      </c>
      <c r="T117" s="119">
        <v>133.80000000000001</v>
      </c>
      <c r="U117" s="119">
        <v>134.80000000000001</v>
      </c>
      <c r="V117" s="119">
        <v>129</v>
      </c>
      <c r="W117" s="119">
        <v>133.80000000000001</v>
      </c>
      <c r="X117" s="119">
        <v>135.9</v>
      </c>
      <c r="Y117" s="119">
        <v>131.6</v>
      </c>
      <c r="Z117" s="119">
        <v>131.80000000000001</v>
      </c>
      <c r="AA117" s="119">
        <v>130.6</v>
      </c>
      <c r="AB117" s="119">
        <v>130.6</v>
      </c>
      <c r="AC117" s="119">
        <v>132</v>
      </c>
      <c r="AD117" s="119">
        <v>132</v>
      </c>
      <c r="AE117" s="119">
        <v>132</v>
      </c>
      <c r="AF117" s="119">
        <v>132</v>
      </c>
      <c r="AG117" s="120"/>
      <c r="AH117" s="48">
        <f t="shared" si="44"/>
        <v>136.30000000000001</v>
      </c>
      <c r="AI117" s="49">
        <f t="shared" si="45"/>
        <v>129</v>
      </c>
    </row>
    <row r="118" spans="1:35" x14ac:dyDescent="0.25">
      <c r="A118" s="116" t="s">
        <v>138</v>
      </c>
      <c r="B118" s="76">
        <v>132.19999999999999</v>
      </c>
      <c r="C118" s="76">
        <v>132.1</v>
      </c>
      <c r="D118" s="76">
        <v>132</v>
      </c>
      <c r="E118" s="76">
        <v>130</v>
      </c>
      <c r="F118" s="76">
        <v>131.30000000000001</v>
      </c>
      <c r="G118" s="76">
        <v>131.9</v>
      </c>
      <c r="H118" s="76">
        <v>129.69999999999999</v>
      </c>
      <c r="I118" s="76">
        <v>128.19999999999999</v>
      </c>
      <c r="J118" s="76">
        <v>128.1</v>
      </c>
      <c r="K118" s="76">
        <v>128</v>
      </c>
      <c r="L118" s="76">
        <v>128</v>
      </c>
      <c r="M118" s="76">
        <v>130.19999999999999</v>
      </c>
      <c r="N118" s="76">
        <v>123.8</v>
      </c>
      <c r="O118" s="76">
        <v>123.8</v>
      </c>
      <c r="P118" s="76">
        <v>132</v>
      </c>
      <c r="Q118" s="76">
        <v>132.30000000000001</v>
      </c>
      <c r="R118" s="76">
        <v>132.1</v>
      </c>
      <c r="S118" s="76">
        <v>129.80000000000001</v>
      </c>
      <c r="T118" s="76">
        <v>133.1</v>
      </c>
      <c r="U118" s="76">
        <v>129.1</v>
      </c>
      <c r="V118" s="76">
        <v>124</v>
      </c>
      <c r="W118" s="76">
        <v>124.5</v>
      </c>
      <c r="X118" s="76">
        <v>121.9</v>
      </c>
      <c r="Y118" s="76">
        <v>125.6</v>
      </c>
      <c r="Z118" s="76">
        <v>123.7</v>
      </c>
      <c r="AA118" s="76">
        <v>120.9</v>
      </c>
      <c r="AB118" s="76">
        <v>120.9</v>
      </c>
      <c r="AC118" s="76">
        <v>124</v>
      </c>
      <c r="AD118" s="76">
        <v>124</v>
      </c>
      <c r="AE118" s="76">
        <v>124</v>
      </c>
      <c r="AF118" s="76">
        <v>124</v>
      </c>
      <c r="AG118" s="117"/>
      <c r="AH118" s="48">
        <f t="shared" si="44"/>
        <v>133.1</v>
      </c>
      <c r="AI118" s="49">
        <f t="shared" si="45"/>
        <v>120.9</v>
      </c>
    </row>
    <row r="119" spans="1:35" ht="15.75" thickBot="1" x14ac:dyDescent="0.3">
      <c r="A119" s="116" t="s">
        <v>139</v>
      </c>
      <c r="B119" s="105">
        <v>63.7</v>
      </c>
      <c r="C119" s="105">
        <v>63.5</v>
      </c>
      <c r="D119" s="105">
        <v>64.599999999999994</v>
      </c>
      <c r="E119" s="105">
        <v>64</v>
      </c>
      <c r="F119" s="105">
        <v>63.7</v>
      </c>
      <c r="G119" s="105">
        <v>64.8</v>
      </c>
      <c r="H119" s="105">
        <v>63.8</v>
      </c>
      <c r="I119" s="105">
        <v>63.9</v>
      </c>
      <c r="J119" s="105">
        <v>63.5</v>
      </c>
      <c r="K119" s="105">
        <v>62.5</v>
      </c>
      <c r="L119" s="105">
        <v>62.5</v>
      </c>
      <c r="M119" s="105">
        <v>63.1</v>
      </c>
      <c r="N119" s="105">
        <v>62</v>
      </c>
      <c r="O119" s="105">
        <v>62</v>
      </c>
      <c r="P119" s="105">
        <v>62.3</v>
      </c>
      <c r="Q119" s="105">
        <v>62.1</v>
      </c>
      <c r="R119" s="105">
        <v>62.3</v>
      </c>
      <c r="S119" s="105">
        <v>62.5</v>
      </c>
      <c r="T119" s="105">
        <v>61.9</v>
      </c>
      <c r="U119" s="105">
        <v>62.3</v>
      </c>
      <c r="V119" s="105">
        <v>63.1</v>
      </c>
      <c r="W119" s="105">
        <v>63.6</v>
      </c>
      <c r="X119" s="105">
        <v>63.4</v>
      </c>
      <c r="Y119" s="105">
        <v>63</v>
      </c>
      <c r="Z119" s="105">
        <v>62.5</v>
      </c>
      <c r="AA119" s="105">
        <v>63.3</v>
      </c>
      <c r="AB119" s="105">
        <v>63.3</v>
      </c>
      <c r="AC119" s="105">
        <v>63.3</v>
      </c>
      <c r="AD119" s="105">
        <v>63.3</v>
      </c>
      <c r="AE119" s="105">
        <v>63.3</v>
      </c>
      <c r="AF119" s="105">
        <v>63.3</v>
      </c>
      <c r="AG119" s="121"/>
      <c r="AH119" s="48">
        <f t="shared" si="44"/>
        <v>64.8</v>
      </c>
      <c r="AI119" s="49">
        <f t="shared" si="45"/>
        <v>61.9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4"/>
        <v>0</v>
      </c>
      <c r="AI120" s="49">
        <f t="shared" si="45"/>
        <v>0</v>
      </c>
    </row>
    <row r="121" spans="1:35" ht="15.75" thickBot="1" x14ac:dyDescent="0.3">
      <c r="A121" s="123" t="s">
        <v>141</v>
      </c>
      <c r="B121" s="124">
        <f t="shared" ref="B121" si="112">SUM(B25,B31,B34:B35,B69,B71:B72,B74,B76,B122:B126,B158,B164,B170,B179,B181,B193,B200,B203:B204,B211,B213,B215,B219:B221,B223:B225,B230,B236:B237,B239:B241,B249,B254)</f>
        <v>81.339999999999961</v>
      </c>
      <c r="C121" s="124">
        <f t="shared" ref="C121:O121" si="113">SUM(C25,C31,C34:C35,C69,C71:C72,C74,C76,C122:C126,C158,C164,C170,C179,C181,C193,C200,C203:C204,C211,C213,C215,C219:C221,C223:C225,C230,C236:C237,C239:C241,C249,C254)</f>
        <v>74.340000000000032</v>
      </c>
      <c r="D121" s="124">
        <f t="shared" si="113"/>
        <v>70.039999999999992</v>
      </c>
      <c r="E121" s="124">
        <f t="shared" si="113"/>
        <v>64.040000000000006</v>
      </c>
      <c r="F121" s="124">
        <f t="shared" si="113"/>
        <v>59.440000000000012</v>
      </c>
      <c r="G121" s="124">
        <f t="shared" si="113"/>
        <v>88.640000000000043</v>
      </c>
      <c r="H121" s="124">
        <f t="shared" si="113"/>
        <v>110.74000000000004</v>
      </c>
      <c r="I121" s="124">
        <f t="shared" si="113"/>
        <v>117.94000000000003</v>
      </c>
      <c r="J121" s="124">
        <f t="shared" si="113"/>
        <v>126.43999999999997</v>
      </c>
      <c r="K121" s="124">
        <f t="shared" si="113"/>
        <v>198.83999999999997</v>
      </c>
      <c r="L121" s="124">
        <f t="shared" si="113"/>
        <v>219.34000000000003</v>
      </c>
      <c r="M121" s="124">
        <f t="shared" si="113"/>
        <v>239.14000000000004</v>
      </c>
      <c r="N121" s="124">
        <f t="shared" si="113"/>
        <v>257.53999999999996</v>
      </c>
      <c r="O121" s="124">
        <f t="shared" si="113"/>
        <v>270.53999999999996</v>
      </c>
      <c r="P121" s="124">
        <v>42</v>
      </c>
      <c r="Q121" s="124">
        <f t="shared" ref="Q121:X121" si="114">SUM(Q25,Q31,Q34:Q35,Q69,Q71:Q72,Q74,Q76,Q122:Q126,Q158,Q164,Q170,Q179,Q181,Q193,Q200,Q203:Q204,Q211,Q213,Q215,Q219:Q221,Q223:Q225,Q230,Q236:Q237,Q239:Q241,Q249,Q254)</f>
        <v>188.84</v>
      </c>
      <c r="R121" s="124">
        <f t="shared" si="114"/>
        <v>179.04</v>
      </c>
      <c r="S121" s="124">
        <f t="shared" si="114"/>
        <v>181.14000000000007</v>
      </c>
      <c r="T121" s="124">
        <f t="shared" si="114"/>
        <v>204.04000000000005</v>
      </c>
      <c r="U121" s="124">
        <f t="shared" si="114"/>
        <v>259.04000000000002</v>
      </c>
      <c r="V121" s="124">
        <f t="shared" si="114"/>
        <v>242.34</v>
      </c>
      <c r="W121" s="124">
        <f t="shared" si="114"/>
        <v>222.63999999999996</v>
      </c>
      <c r="X121" s="124">
        <f t="shared" si="114"/>
        <v>206.53999999999996</v>
      </c>
      <c r="Y121" s="124">
        <f>SUM(Y23,Y29,Y40:Y41,Y69,Y71:Y72,Y74,Y76,Y122:Y126,Y151,Y157,Y163,Y172,Y174,Y186,Y193,Y196:Y197,Y204,Y206,Y208,Y212:Y214,Y216:Y218,Y223,Y229:Y230,Y232:Y234,Y242,Y247)</f>
        <v>213.99999999999994</v>
      </c>
      <c r="Z121" s="124">
        <f>SUM(Z23,Z29,Z40:Z41,Z69,Z71:Z72,Z74,Z76,Z122:Z126,Z151,Z157,Z163,Z172,Z174,Z186,Z193,Z196:Z197,Z204,Z206,Z208,Z212:Z214,Z216:Z218,Z223,Z229:Z230,Z232:Z234,Z242,Z247)</f>
        <v>209</v>
      </c>
      <c r="AA121" s="124">
        <f t="shared" ref="AA121" si="115">SUM(AA25,AA31,AA34:AA35,AA69,AA71:AA72,AA74,AA76,AA122:AA126,AA158,AA164,AA170,AA179,AA181,AA193,AA200,AA203:AA204,AA211,AA213,AA215,AA219:AA221,AA223:AA225,AA230,AA236:AA237,AA239:AA241,AA249,AA254)</f>
        <v>213.34000000000003</v>
      </c>
      <c r="AB121" s="124">
        <f t="shared" ref="AB121:AC121" si="116">SUM(AB25,AB31,AB34:AB35,AB69,AB71:AB72,AB74,AB76,AB122:AB126,AB158,AB164,AB170,AB179,AB181,AB193,AB200,AB203:AB204,AB211,AB213,AB215,AB219:AB221,AB223:AB225,AB230,AB236:AB237,AB239:AB241,AB249,AB254)</f>
        <v>201.73999999999995</v>
      </c>
      <c r="AC121" s="124">
        <f t="shared" si="116"/>
        <v>190.73999999999995</v>
      </c>
      <c r="AD121" s="124">
        <f t="shared" ref="AD121:AE121" si="117">SUM(AD25,AD31,AD34:AD35,AD69,AD71:AD72,AD74,AD76,AD122:AD126,AD158,AD164,AD170,AD179,AD181,AD193,AD200,AD203:AD204,AD211,AD213,AD215,AD219:AD221,AD223:AD225,AD230,AD236:AD237,AD239:AD241,AD249,AD254)</f>
        <v>179.73999999999995</v>
      </c>
      <c r="AE121" s="124">
        <f t="shared" si="117"/>
        <v>179.73999999999995</v>
      </c>
      <c r="AF121" s="124">
        <f t="shared" ref="AF121" si="118">SUM(AF25,AF31,AF34:AF35,AF69,AF71:AF72,AF74,AF76,AF122:AF126,AF158,AF164,AF170,AF179,AF181,AF193,AF200,AF203:AF204,AF211,AF213,AF215,AF219:AF221,AF223:AF225,AF230,AF236:AF237,AF239:AF241,AF249,AF254)</f>
        <v>128.73999999999995</v>
      </c>
      <c r="AG121" s="125"/>
      <c r="AH121" s="48">
        <f t="shared" si="44"/>
        <v>270.53999999999996</v>
      </c>
      <c r="AI121" s="49">
        <f t="shared" si="45"/>
        <v>42</v>
      </c>
    </row>
    <row r="122" spans="1:35" x14ac:dyDescent="0.25">
      <c r="A122" s="126" t="s">
        <v>142</v>
      </c>
      <c r="B122" s="127">
        <v>63.6</v>
      </c>
      <c r="C122" s="127">
        <v>56.8</v>
      </c>
      <c r="D122" s="127">
        <v>67</v>
      </c>
      <c r="E122" s="127">
        <v>53</v>
      </c>
      <c r="F122" s="127">
        <v>58.4</v>
      </c>
      <c r="G122" s="127">
        <v>82.8</v>
      </c>
      <c r="H122" s="127">
        <v>69.900000000000006</v>
      </c>
      <c r="I122" s="127">
        <v>68.099999999999994</v>
      </c>
      <c r="J122" s="127">
        <v>35.799999999999997</v>
      </c>
      <c r="K122" s="127">
        <v>78.2</v>
      </c>
      <c r="L122" s="127">
        <v>86.4</v>
      </c>
      <c r="M122" s="127">
        <v>68.8</v>
      </c>
      <c r="N122" s="127">
        <v>67</v>
      </c>
      <c r="O122" s="127">
        <v>66</v>
      </c>
      <c r="P122" s="127">
        <v>72</v>
      </c>
      <c r="Q122" s="127">
        <v>61.5</v>
      </c>
      <c r="R122" s="127">
        <v>50.1</v>
      </c>
      <c r="S122" s="127">
        <v>53.5</v>
      </c>
      <c r="T122" s="127">
        <v>69.099999999999994</v>
      </c>
      <c r="U122" s="127">
        <v>64.099999999999994</v>
      </c>
      <c r="V122" s="127">
        <v>24.1</v>
      </c>
      <c r="W122" s="127">
        <v>30.6</v>
      </c>
      <c r="X122" s="127">
        <v>68</v>
      </c>
      <c r="Y122" s="127">
        <v>70.099999999999994</v>
      </c>
      <c r="Z122" s="127">
        <v>70.5</v>
      </c>
      <c r="AA122" s="127">
        <v>55.2</v>
      </c>
      <c r="AB122" s="127">
        <v>60</v>
      </c>
      <c r="AC122" s="127">
        <v>65</v>
      </c>
      <c r="AD122" s="127">
        <v>77</v>
      </c>
      <c r="AE122" s="127">
        <v>77</v>
      </c>
      <c r="AF122" s="127">
        <v>76</v>
      </c>
      <c r="AG122" s="128">
        <v>75</v>
      </c>
      <c r="AH122" s="48">
        <f t="shared" si="44"/>
        <v>86.4</v>
      </c>
      <c r="AI122" s="49">
        <f t="shared" si="45"/>
        <v>24.1</v>
      </c>
    </row>
    <row r="123" spans="1:35" x14ac:dyDescent="0.25">
      <c r="A123" s="129" t="s">
        <v>143</v>
      </c>
      <c r="B123" s="130">
        <v>90.8</v>
      </c>
      <c r="C123" s="130">
        <v>83.3</v>
      </c>
      <c r="D123" s="130">
        <v>96.1</v>
      </c>
      <c r="E123" s="130">
        <v>72.3</v>
      </c>
      <c r="F123" s="130">
        <v>78.400000000000006</v>
      </c>
      <c r="G123" s="130">
        <v>56.6</v>
      </c>
      <c r="H123" s="130">
        <v>100.2</v>
      </c>
      <c r="I123" s="130">
        <v>100</v>
      </c>
      <c r="J123" s="130">
        <v>96.6</v>
      </c>
      <c r="K123" s="130">
        <v>115.7</v>
      </c>
      <c r="L123" s="130">
        <v>129</v>
      </c>
      <c r="M123" s="130">
        <v>103.6</v>
      </c>
      <c r="N123" s="130">
        <v>99.1</v>
      </c>
      <c r="O123" s="130">
        <v>99.1</v>
      </c>
      <c r="P123" s="130">
        <v>108</v>
      </c>
      <c r="Q123" s="130">
        <v>91</v>
      </c>
      <c r="R123" s="130">
        <v>79.599999999999994</v>
      </c>
      <c r="S123" s="130">
        <v>84</v>
      </c>
      <c r="T123" s="130">
        <v>102.6</v>
      </c>
      <c r="U123" s="130">
        <v>96.6</v>
      </c>
      <c r="V123" s="130">
        <v>38.700000000000003</v>
      </c>
      <c r="W123" s="130">
        <v>50</v>
      </c>
      <c r="X123" s="130">
        <v>102.6</v>
      </c>
      <c r="Y123" s="130">
        <v>103</v>
      </c>
      <c r="Z123" s="130">
        <v>103.9</v>
      </c>
      <c r="AA123" s="130">
        <v>84.6</v>
      </c>
      <c r="AB123" s="130">
        <v>72</v>
      </c>
      <c r="AC123" s="130">
        <v>65</v>
      </c>
      <c r="AD123" s="130">
        <v>51</v>
      </c>
      <c r="AE123" s="130">
        <v>51</v>
      </c>
      <c r="AF123" s="130">
        <v>51</v>
      </c>
      <c r="AG123" s="128">
        <v>240</v>
      </c>
      <c r="AH123" s="48">
        <f t="shared" si="44"/>
        <v>129</v>
      </c>
      <c r="AI123" s="49">
        <f t="shared" si="45"/>
        <v>38.700000000000003</v>
      </c>
    </row>
    <row r="124" spans="1:35" x14ac:dyDescent="0.25">
      <c r="A124" s="129" t="s">
        <v>144</v>
      </c>
      <c r="B124" s="130">
        <f>-74-78.4</f>
        <v>-152.4</v>
      </c>
      <c r="C124" s="130">
        <f>-70.5-73.6</f>
        <v>-144.1</v>
      </c>
      <c r="D124" s="130">
        <f>-81-85.1</f>
        <v>-166.1</v>
      </c>
      <c r="E124" s="130">
        <f>-65-70</f>
        <v>-135</v>
      </c>
      <c r="F124" s="130">
        <f>-69-74</f>
        <v>-143</v>
      </c>
      <c r="G124" s="130">
        <f>-70-74</f>
        <v>-144</v>
      </c>
      <c r="H124" s="130">
        <f>-79-83</f>
        <v>-162</v>
      </c>
      <c r="I124" s="130">
        <f>-72-77</f>
        <v>-149</v>
      </c>
      <c r="J124" s="130">
        <f>-78-84</f>
        <v>-162</v>
      </c>
      <c r="K124" s="130">
        <f>-82-87</f>
        <v>-169</v>
      </c>
      <c r="L124" s="130">
        <f>-84-89</f>
        <v>-173</v>
      </c>
      <c r="M124" s="130">
        <v>-140</v>
      </c>
      <c r="N124" s="130">
        <v>-143</v>
      </c>
      <c r="O124" s="130">
        <v>-143</v>
      </c>
      <c r="P124" s="130">
        <v>-150</v>
      </c>
      <c r="Q124" s="130">
        <v>-150</v>
      </c>
      <c r="R124" s="130">
        <v>-136</v>
      </c>
      <c r="S124" s="130">
        <v>-151</v>
      </c>
      <c r="T124" s="130">
        <v>-160</v>
      </c>
      <c r="U124" s="130">
        <v>-150</v>
      </c>
      <c r="V124" s="130">
        <v>-100</v>
      </c>
      <c r="W124" s="130">
        <v>-107</v>
      </c>
      <c r="X124" s="130">
        <v>-143</v>
      </c>
      <c r="Y124" s="130">
        <v>-126</v>
      </c>
      <c r="Z124" s="130">
        <v>-131</v>
      </c>
      <c r="AA124" s="130">
        <v>-115</v>
      </c>
      <c r="AB124" s="130">
        <v>-120</v>
      </c>
      <c r="AC124" s="130">
        <v>-130</v>
      </c>
      <c r="AD124" s="130">
        <v>-140</v>
      </c>
      <c r="AE124" s="130">
        <v>-140</v>
      </c>
      <c r="AF124" s="130">
        <v>-160</v>
      </c>
      <c r="AG124" s="128">
        <v>240</v>
      </c>
      <c r="AH124" s="48">
        <f t="shared" si="44"/>
        <v>-100</v>
      </c>
      <c r="AI124" s="49">
        <f t="shared" si="45"/>
        <v>-173</v>
      </c>
    </row>
    <row r="125" spans="1:35" ht="15.75" thickBot="1" x14ac:dyDescent="0.3">
      <c r="A125" s="129" t="s">
        <v>145</v>
      </c>
      <c r="B125" s="130">
        <v>-17.8</v>
      </c>
      <c r="C125" s="130">
        <v>-16.899999999999999</v>
      </c>
      <c r="D125" s="130">
        <v>-20.7</v>
      </c>
      <c r="E125" s="130">
        <v>-17</v>
      </c>
      <c r="F125" s="130">
        <v>-19.3</v>
      </c>
      <c r="G125" s="130">
        <v>-13.7</v>
      </c>
      <c r="H125" s="130">
        <v>-19.7</v>
      </c>
      <c r="I125" s="130">
        <v>-15.2</v>
      </c>
      <c r="J125" s="130">
        <v>-23.9</v>
      </c>
      <c r="K125" s="130">
        <v>-25.5</v>
      </c>
      <c r="L125" s="130">
        <v>-23.5</v>
      </c>
      <c r="M125" s="130">
        <v>-16</v>
      </c>
      <c r="N125" s="130">
        <v>-5</v>
      </c>
      <c r="O125" s="130">
        <v>-5</v>
      </c>
      <c r="P125" s="130">
        <v>-3.9</v>
      </c>
      <c r="Q125" s="130">
        <v>-4.4000000000000004</v>
      </c>
      <c r="R125" s="130">
        <v>-0.6</v>
      </c>
      <c r="S125" s="130">
        <v>-7.6</v>
      </c>
      <c r="T125" s="130">
        <v>-6.6</v>
      </c>
      <c r="U125" s="130">
        <v>-4.9000000000000004</v>
      </c>
      <c r="V125" s="130">
        <v>4.0999999999999996</v>
      </c>
      <c r="W125" s="130">
        <v>3.9</v>
      </c>
      <c r="X125" s="130">
        <v>-3.8</v>
      </c>
      <c r="Y125" s="130">
        <v>-1.2</v>
      </c>
      <c r="Z125" s="130">
        <v>-3.5</v>
      </c>
      <c r="AA125" s="130">
        <v>5.8</v>
      </c>
      <c r="AB125" s="130">
        <v>7</v>
      </c>
      <c r="AC125" s="130">
        <v>8</v>
      </c>
      <c r="AD125" s="130">
        <v>9</v>
      </c>
      <c r="AE125" s="130">
        <v>9</v>
      </c>
      <c r="AF125" s="130">
        <v>-21</v>
      </c>
      <c r="AG125" s="128">
        <v>60</v>
      </c>
      <c r="AH125" s="48">
        <f t="shared" si="44"/>
        <v>9</v>
      </c>
      <c r="AI125" s="49">
        <f t="shared" si="45"/>
        <v>-25.5</v>
      </c>
    </row>
    <row r="126" spans="1:35" x14ac:dyDescent="0.25">
      <c r="A126" s="126" t="s">
        <v>146</v>
      </c>
      <c r="B126" s="131">
        <v>-69.8</v>
      </c>
      <c r="C126" s="131">
        <v>-72</v>
      </c>
      <c r="D126" s="131">
        <v>-73.5</v>
      </c>
      <c r="E126" s="131">
        <v>-67.2</v>
      </c>
      <c r="F126" s="131">
        <v>-67</v>
      </c>
      <c r="G126" s="131">
        <v>-45</v>
      </c>
      <c r="H126" s="131">
        <v>-29.6</v>
      </c>
      <c r="I126" s="131">
        <v>-28.4</v>
      </c>
      <c r="J126" s="131">
        <v>36.5</v>
      </c>
      <c r="K126" s="131">
        <v>33.700000000000003</v>
      </c>
      <c r="L126" s="131">
        <v>34.700000000000003</v>
      </c>
      <c r="M126" s="131">
        <v>46</v>
      </c>
      <c r="N126" s="131">
        <v>62.7</v>
      </c>
      <c r="O126" s="131">
        <v>62.7</v>
      </c>
      <c r="P126" s="131"/>
      <c r="Q126" s="131"/>
      <c r="R126" s="131"/>
      <c r="S126" s="131"/>
      <c r="T126" s="131"/>
      <c r="U126" s="131">
        <v>58</v>
      </c>
      <c r="V126" s="131">
        <v>84.5</v>
      </c>
      <c r="W126" s="131">
        <v>76.599999999999994</v>
      </c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44"/>
        <v>84.5</v>
      </c>
      <c r="AI126" s="49">
        <f t="shared" si="45"/>
        <v>-73.5</v>
      </c>
    </row>
    <row r="127" spans="1:35" x14ac:dyDescent="0.25">
      <c r="A127" s="129" t="s">
        <v>147</v>
      </c>
      <c r="B127" s="131">
        <v>32.200000000000003</v>
      </c>
      <c r="C127" s="131">
        <v>28</v>
      </c>
      <c r="D127" s="131">
        <v>27.5</v>
      </c>
      <c r="E127" s="131">
        <v>26.1</v>
      </c>
      <c r="F127" s="131">
        <v>27.2</v>
      </c>
      <c r="G127" s="131">
        <v>37.200000000000003</v>
      </c>
      <c r="H127" s="131">
        <v>45.2</v>
      </c>
      <c r="I127" s="131">
        <v>51.4</v>
      </c>
      <c r="J127" s="131">
        <v>82</v>
      </c>
      <c r="K127" s="131">
        <v>84.5</v>
      </c>
      <c r="L127" s="131">
        <v>86.8</v>
      </c>
      <c r="M127" s="131">
        <v>96</v>
      </c>
      <c r="N127" s="131">
        <v>89.4</v>
      </c>
      <c r="O127" s="131">
        <v>89.4</v>
      </c>
      <c r="P127" s="131">
        <v>91</v>
      </c>
      <c r="Q127" s="131">
        <v>99.6</v>
      </c>
      <c r="R127" s="131">
        <v>103</v>
      </c>
      <c r="S127" s="131">
        <v>98</v>
      </c>
      <c r="T127" s="131">
        <v>90.3</v>
      </c>
      <c r="U127" s="131">
        <v>95.5</v>
      </c>
      <c r="V127" s="131">
        <v>107.2</v>
      </c>
      <c r="W127" s="131">
        <v>104.6</v>
      </c>
      <c r="X127" s="131">
        <v>88.7</v>
      </c>
      <c r="Y127" s="131">
        <v>93.3</v>
      </c>
      <c r="Z127" s="131">
        <v>100.9</v>
      </c>
      <c r="AA127" s="131">
        <v>108.9</v>
      </c>
      <c r="AB127" s="131">
        <v>100</v>
      </c>
      <c r="AC127" s="131">
        <v>90</v>
      </c>
      <c r="AD127" s="131">
        <v>85</v>
      </c>
      <c r="AE127" s="131">
        <v>85</v>
      </c>
      <c r="AF127" s="131">
        <v>63</v>
      </c>
      <c r="AG127" s="132"/>
      <c r="AH127" s="48">
        <f t="shared" si="44"/>
        <v>108.9</v>
      </c>
      <c r="AI127" s="49">
        <f t="shared" si="45"/>
        <v>26.1</v>
      </c>
    </row>
    <row r="128" spans="1:35" x14ac:dyDescent="0.25">
      <c r="A128" s="129" t="s">
        <v>148</v>
      </c>
      <c r="B128" s="131">
        <v>-9.5</v>
      </c>
      <c r="C128" s="131">
        <v>-13.5</v>
      </c>
      <c r="D128" s="131">
        <v>-8.8000000000000007</v>
      </c>
      <c r="E128" s="131">
        <v>-7</v>
      </c>
      <c r="F128" s="131">
        <v>-8.1</v>
      </c>
      <c r="G128" s="131">
        <v>-9.3000000000000007</v>
      </c>
      <c r="H128" s="131">
        <v>-12.6</v>
      </c>
      <c r="I128" s="131">
        <v>-14.9</v>
      </c>
      <c r="J128" s="131">
        <v>20.8</v>
      </c>
      <c r="K128" s="131">
        <v>9.9</v>
      </c>
      <c r="L128" s="131">
        <v>-0.5</v>
      </c>
      <c r="M128" s="131">
        <v>9</v>
      </c>
      <c r="N128" s="131">
        <v>15</v>
      </c>
      <c r="O128" s="131">
        <v>15</v>
      </c>
      <c r="P128" s="131">
        <v>15</v>
      </c>
      <c r="Q128" s="131">
        <v>36</v>
      </c>
      <c r="R128" s="131">
        <v>45.6</v>
      </c>
      <c r="S128" s="131">
        <v>55.2</v>
      </c>
      <c r="T128" s="131">
        <v>29.2</v>
      </c>
      <c r="U128" s="131">
        <v>31.6</v>
      </c>
      <c r="V128" s="131">
        <v>38</v>
      </c>
      <c r="W128" s="131">
        <v>46.9</v>
      </c>
      <c r="X128" s="131">
        <v>5.3</v>
      </c>
      <c r="Y128" s="131">
        <v>3.3</v>
      </c>
      <c r="Z128" s="131">
        <v>7.3</v>
      </c>
      <c r="AA128" s="131">
        <v>19.7</v>
      </c>
      <c r="AB128" s="131">
        <v>21</v>
      </c>
      <c r="AC128" s="131">
        <v>23</v>
      </c>
      <c r="AD128" s="131">
        <v>27</v>
      </c>
      <c r="AE128" s="131">
        <v>27</v>
      </c>
      <c r="AF128" s="131">
        <v>29</v>
      </c>
      <c r="AG128" s="132"/>
      <c r="AH128" s="48">
        <f t="shared" si="44"/>
        <v>55.2</v>
      </c>
      <c r="AI128" s="49">
        <f t="shared" si="45"/>
        <v>-14.9</v>
      </c>
    </row>
    <row r="129" spans="1:37" ht="15.75" thickBot="1" x14ac:dyDescent="0.3">
      <c r="A129" s="129" t="s">
        <v>149</v>
      </c>
      <c r="B129" s="131">
        <v>71.400000000000006</v>
      </c>
      <c r="C129" s="131">
        <v>69.2</v>
      </c>
      <c r="D129" s="131">
        <v>56.7</v>
      </c>
      <c r="E129" s="131">
        <v>80</v>
      </c>
      <c r="F129" s="131">
        <v>69.900000000000006</v>
      </c>
      <c r="G129" s="131">
        <v>48.6</v>
      </c>
      <c r="H129" s="131">
        <v>38.700000000000003</v>
      </c>
      <c r="I129" s="131">
        <v>45.4</v>
      </c>
      <c r="J129" s="131">
        <v>39.700000000000003</v>
      </c>
      <c r="K129" s="131">
        <v>37.4</v>
      </c>
      <c r="L129" s="131">
        <v>41.1</v>
      </c>
      <c r="M129" s="131">
        <v>44</v>
      </c>
      <c r="N129" s="131">
        <v>51.3</v>
      </c>
      <c r="O129" s="131">
        <v>51.3</v>
      </c>
      <c r="P129" s="131">
        <v>34</v>
      </c>
      <c r="Q129" s="131">
        <v>54</v>
      </c>
      <c r="R129" s="131">
        <v>60.5</v>
      </c>
      <c r="S129" s="131">
        <v>50.8</v>
      </c>
      <c r="T129" s="131">
        <v>47.6</v>
      </c>
      <c r="U129" s="131">
        <v>41.9</v>
      </c>
      <c r="V129" s="131">
        <v>50.4</v>
      </c>
      <c r="W129" s="131">
        <v>50.1</v>
      </c>
      <c r="X129" s="131">
        <v>32</v>
      </c>
      <c r="Y129" s="131">
        <v>36.200000000000003</v>
      </c>
      <c r="Z129" s="131">
        <v>51</v>
      </c>
      <c r="AA129" s="131">
        <v>64.7</v>
      </c>
      <c r="AB129" s="131">
        <v>60</v>
      </c>
      <c r="AC129" s="131">
        <v>50</v>
      </c>
      <c r="AD129" s="131">
        <v>38</v>
      </c>
      <c r="AE129" s="131">
        <v>38</v>
      </c>
      <c r="AF129" s="131">
        <v>67</v>
      </c>
      <c r="AG129" s="128"/>
      <c r="AH129" s="48">
        <f>MAX(B129:AF129)</f>
        <v>80</v>
      </c>
      <c r="AI129" s="49">
        <f>MIN(B129:AF129)</f>
        <v>32</v>
      </c>
    </row>
    <row r="130" spans="1:37" x14ac:dyDescent="0.25">
      <c r="A130" s="126" t="s">
        <v>150</v>
      </c>
      <c r="B130" s="131">
        <v>-385.9</v>
      </c>
      <c r="C130" s="131">
        <v>-388</v>
      </c>
      <c r="D130" s="131">
        <v>-382</v>
      </c>
      <c r="E130" s="131">
        <v>-378</v>
      </c>
      <c r="F130" s="131">
        <v>-378</v>
      </c>
      <c r="G130" s="131">
        <v>-366</v>
      </c>
      <c r="H130" s="131">
        <v>-359.6</v>
      </c>
      <c r="I130" s="131">
        <v>-358.4</v>
      </c>
      <c r="J130" s="131">
        <v>-328</v>
      </c>
      <c r="K130" s="131">
        <v>-344.2</v>
      </c>
      <c r="L130" s="131">
        <v>-339.3</v>
      </c>
      <c r="M130" s="131">
        <v>-337</v>
      </c>
      <c r="N130" s="131">
        <v>-327</v>
      </c>
      <c r="O130" s="131">
        <v>-327</v>
      </c>
      <c r="P130" s="131">
        <v>-338</v>
      </c>
      <c r="Q130" s="131">
        <v>-334</v>
      </c>
      <c r="R130" s="131">
        <v>-327</v>
      </c>
      <c r="S130" s="131">
        <v>-342.1</v>
      </c>
      <c r="T130" s="131">
        <v>-341.8</v>
      </c>
      <c r="U130" s="131">
        <v>-356.4</v>
      </c>
      <c r="V130" s="131">
        <v>-340.3</v>
      </c>
      <c r="W130" s="131">
        <v>-341.7</v>
      </c>
      <c r="X130" s="131">
        <v>-343.1</v>
      </c>
      <c r="Y130" s="131">
        <v>-345.7</v>
      </c>
      <c r="Z130" s="131">
        <v>-338.3</v>
      </c>
      <c r="AA130" s="131">
        <v>-325.8</v>
      </c>
      <c r="AB130" s="131">
        <v>-330</v>
      </c>
      <c r="AC130" s="131">
        <v>-333</v>
      </c>
      <c r="AD130" s="131">
        <v>-341</v>
      </c>
      <c r="AE130" s="131">
        <v>-341</v>
      </c>
      <c r="AF130" s="131">
        <v>-354</v>
      </c>
      <c r="AG130" s="128"/>
      <c r="AH130" s="48">
        <f>MAX(B130:AF130)</f>
        <v>-325.8</v>
      </c>
      <c r="AI130" s="49">
        <f>MIN(B130:AF130)</f>
        <v>-388</v>
      </c>
    </row>
    <row r="131" spans="1:37" x14ac:dyDescent="0.25">
      <c r="A131" s="129" t="s">
        <v>151</v>
      </c>
      <c r="B131" s="119">
        <v>107.2</v>
      </c>
      <c r="C131" s="119">
        <v>113</v>
      </c>
      <c r="D131" s="119">
        <v>113.4</v>
      </c>
      <c r="E131" s="119">
        <v>119</v>
      </c>
      <c r="F131" s="119">
        <v>113.7</v>
      </c>
      <c r="G131" s="119">
        <v>118.7</v>
      </c>
      <c r="H131" s="119">
        <v>116.2</v>
      </c>
      <c r="I131" s="119">
        <v>57</v>
      </c>
      <c r="J131" s="119">
        <v>95.6</v>
      </c>
      <c r="K131" s="119">
        <v>114.7</v>
      </c>
      <c r="L131" s="119">
        <v>102.3</v>
      </c>
      <c r="M131" s="119">
        <v>105</v>
      </c>
      <c r="N131" s="119">
        <v>100</v>
      </c>
      <c r="O131" s="119">
        <v>100</v>
      </c>
      <c r="P131" s="119">
        <v>93</v>
      </c>
      <c r="Q131" s="119">
        <v>113</v>
      </c>
      <c r="R131" s="119">
        <v>118</v>
      </c>
      <c r="S131" s="119">
        <v>92.3</v>
      </c>
      <c r="T131" s="119">
        <v>112.1</v>
      </c>
      <c r="U131" s="119">
        <v>117.2</v>
      </c>
      <c r="V131" s="119">
        <v>75.099999999999994</v>
      </c>
      <c r="W131" s="119">
        <v>67.599999999999994</v>
      </c>
      <c r="X131" s="119">
        <v>91.7</v>
      </c>
      <c r="Y131" s="119">
        <v>98.9</v>
      </c>
      <c r="Z131" s="119">
        <v>88.5</v>
      </c>
      <c r="AA131" s="119">
        <v>91</v>
      </c>
      <c r="AB131" s="119">
        <v>91</v>
      </c>
      <c r="AC131" s="119">
        <v>91</v>
      </c>
      <c r="AD131" s="119">
        <v>84</v>
      </c>
      <c r="AE131" s="119">
        <v>84</v>
      </c>
      <c r="AF131" s="119">
        <v>101</v>
      </c>
      <c r="AG131" s="128"/>
      <c r="AH131" s="48">
        <f>MAX(B131:AF131)</f>
        <v>119</v>
      </c>
      <c r="AI131" s="49">
        <f>MIN(B131:AF131)</f>
        <v>57</v>
      </c>
    </row>
    <row r="132" spans="1:37" x14ac:dyDescent="0.25">
      <c r="A132" s="129" t="s">
        <v>152</v>
      </c>
      <c r="B132" s="119">
        <v>-18.399999999999999</v>
      </c>
      <c r="C132" s="119">
        <v>-22.7</v>
      </c>
      <c r="D132" s="119">
        <v>-22.5</v>
      </c>
      <c r="E132" s="119">
        <v>-26.8</v>
      </c>
      <c r="F132" s="119">
        <v>-30</v>
      </c>
      <c r="G132" s="119">
        <v>-29.7</v>
      </c>
      <c r="H132" s="119">
        <v>-25.3</v>
      </c>
      <c r="I132" s="119">
        <v>-21.8</v>
      </c>
      <c r="J132" s="119">
        <v>-27.5</v>
      </c>
      <c r="K132" s="119">
        <v>-27.3</v>
      </c>
      <c r="L132" s="119">
        <v>-26.5</v>
      </c>
      <c r="M132" s="119">
        <v>-32</v>
      </c>
      <c r="N132" s="119">
        <v>-36.1</v>
      </c>
      <c r="O132" s="119">
        <v>-36.1</v>
      </c>
      <c r="P132" s="119">
        <v>-28</v>
      </c>
      <c r="Q132" s="119"/>
      <c r="R132" s="119">
        <v>-35.4</v>
      </c>
      <c r="S132" s="119">
        <v>-29.2</v>
      </c>
      <c r="T132" s="119">
        <v>-32.9</v>
      </c>
      <c r="U132" s="119">
        <v>-30.6</v>
      </c>
      <c r="V132" s="119">
        <v>-25.6</v>
      </c>
      <c r="W132" s="119">
        <v>-25.1</v>
      </c>
      <c r="X132" s="119">
        <v>-33</v>
      </c>
      <c r="Y132" s="119">
        <v>-26.7</v>
      </c>
      <c r="Z132" s="119">
        <v>-26.5</v>
      </c>
      <c r="AA132" s="119">
        <v>-26.1</v>
      </c>
      <c r="AB132" s="119">
        <v>-26.1</v>
      </c>
      <c r="AC132" s="119">
        <v>-26.1</v>
      </c>
      <c r="AD132" s="119">
        <v>-22</v>
      </c>
      <c r="AE132" s="119">
        <v>-22</v>
      </c>
      <c r="AF132" s="119">
        <v>-27</v>
      </c>
      <c r="AG132" s="128"/>
      <c r="AH132" s="48">
        <f>MAX(B132:AF132)</f>
        <v>-18.399999999999999</v>
      </c>
      <c r="AI132" s="49">
        <f>MIN(B132:AF132)</f>
        <v>-36.1</v>
      </c>
    </row>
    <row r="133" spans="1:37" ht="15.75" thickBot="1" x14ac:dyDescent="0.3">
      <c r="A133" s="129" t="s">
        <v>153</v>
      </c>
      <c r="B133" s="119">
        <v>41.1</v>
      </c>
      <c r="C133" s="119">
        <v>41.5</v>
      </c>
      <c r="D133" s="119">
        <v>42.4</v>
      </c>
      <c r="E133" s="119">
        <v>35.5</v>
      </c>
      <c r="F133" s="119">
        <v>35.9</v>
      </c>
      <c r="G133" s="119">
        <v>32.200000000000003</v>
      </c>
      <c r="H133" s="119">
        <v>32.700000000000003</v>
      </c>
      <c r="I133" s="119">
        <v>43.2</v>
      </c>
      <c r="J133" s="119">
        <v>37.1</v>
      </c>
      <c r="K133" s="119">
        <v>35.6</v>
      </c>
      <c r="L133" s="119">
        <v>36.200000000000003</v>
      </c>
      <c r="M133" s="119">
        <v>36</v>
      </c>
      <c r="N133" s="119">
        <v>35.1</v>
      </c>
      <c r="O133" s="119">
        <v>35.1</v>
      </c>
      <c r="P133" s="119">
        <v>38</v>
      </c>
      <c r="Q133" s="119">
        <v>32</v>
      </c>
      <c r="R133" s="119">
        <v>31.5</v>
      </c>
      <c r="S133" s="119">
        <v>42.2</v>
      </c>
      <c r="T133" s="119">
        <v>38.299999999999997</v>
      </c>
      <c r="U133" s="119">
        <v>40.1</v>
      </c>
      <c r="V133" s="119">
        <v>35.200000000000003</v>
      </c>
      <c r="W133" s="119">
        <v>41.3</v>
      </c>
      <c r="X133" s="119">
        <v>33.1</v>
      </c>
      <c r="Y133" s="119">
        <v>39.200000000000003</v>
      </c>
      <c r="Z133" s="119">
        <v>38.4</v>
      </c>
      <c r="AA133" s="119">
        <v>39.9</v>
      </c>
      <c r="AB133" s="119">
        <v>40</v>
      </c>
      <c r="AC133" s="119">
        <v>42</v>
      </c>
      <c r="AD133" s="119">
        <v>44</v>
      </c>
      <c r="AE133" s="119">
        <v>44</v>
      </c>
      <c r="AF133" s="119">
        <v>38</v>
      </c>
      <c r="AG133" s="128"/>
      <c r="AH133" s="48">
        <f>MAX(B133:AF133)</f>
        <v>44</v>
      </c>
      <c r="AI133" s="49">
        <f>MIN(B133:AF133)</f>
        <v>31.5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19">SUM(B142:B246)</f>
        <v>0</v>
      </c>
      <c r="C247" s="161">
        <f t="shared" si="119"/>
        <v>0</v>
      </c>
      <c r="D247" s="161">
        <f t="shared" si="119"/>
        <v>0</v>
      </c>
      <c r="E247" s="161">
        <f t="shared" si="119"/>
        <v>0</v>
      </c>
      <c r="F247" s="161">
        <f t="shared" si="119"/>
        <v>0</v>
      </c>
      <c r="G247" s="161">
        <f t="shared" si="119"/>
        <v>0</v>
      </c>
      <c r="H247" s="161">
        <f t="shared" si="119"/>
        <v>0</v>
      </c>
      <c r="I247" s="161">
        <f t="shared" si="119"/>
        <v>0</v>
      </c>
      <c r="J247" s="161">
        <f t="shared" si="119"/>
        <v>0</v>
      </c>
      <c r="K247" s="161">
        <f t="shared" si="119"/>
        <v>0</v>
      </c>
      <c r="L247" s="161">
        <f t="shared" si="119"/>
        <v>0</v>
      </c>
      <c r="M247" s="161">
        <f t="shared" si="119"/>
        <v>0</v>
      </c>
      <c r="N247" s="161">
        <f t="shared" si="119"/>
        <v>0</v>
      </c>
      <c r="O247" s="161">
        <f t="shared" si="119"/>
        <v>0</v>
      </c>
      <c r="P247" s="161">
        <f t="shared" si="119"/>
        <v>0</v>
      </c>
      <c r="Q247" s="161">
        <f t="shared" si="119"/>
        <v>0</v>
      </c>
      <c r="R247" s="161">
        <f t="shared" si="119"/>
        <v>0</v>
      </c>
      <c r="S247" s="161">
        <f t="shared" si="119"/>
        <v>0</v>
      </c>
      <c r="T247" s="161">
        <f t="shared" si="119"/>
        <v>0</v>
      </c>
      <c r="U247" s="161">
        <f t="shared" si="119"/>
        <v>0</v>
      </c>
      <c r="V247" s="161">
        <f t="shared" si="119"/>
        <v>0</v>
      </c>
      <c r="W247" s="161">
        <f t="shared" si="119"/>
        <v>0</v>
      </c>
      <c r="X247" s="161">
        <f t="shared" si="119"/>
        <v>0</v>
      </c>
      <c r="Y247" s="161">
        <f t="shared" si="119"/>
        <v>0</v>
      </c>
      <c r="Z247" s="161">
        <f t="shared" si="119"/>
        <v>0</v>
      </c>
      <c r="AA247" s="161">
        <f t="shared" si="119"/>
        <v>0</v>
      </c>
      <c r="AB247" s="161">
        <f t="shared" si="119"/>
        <v>0</v>
      </c>
      <c r="AC247" s="161">
        <f t="shared" si="119"/>
        <v>0</v>
      </c>
      <c r="AD247" s="161">
        <f t="shared" si="119"/>
        <v>0</v>
      </c>
      <c r="AE247" s="161">
        <f t="shared" si="119"/>
        <v>0</v>
      </c>
      <c r="AF247" s="162">
        <f t="shared" si="119"/>
        <v>0</v>
      </c>
      <c r="AG247" s="163">
        <f t="shared" si="119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20">AF249</f>
        <v>0.3</v>
      </c>
      <c r="C249" s="166">
        <v>0.3</v>
      </c>
      <c r="D249" s="166">
        <f t="shared" ref="D249:S254" si="121">C249</f>
        <v>0.3</v>
      </c>
      <c r="E249" s="166">
        <f t="shared" si="121"/>
        <v>0.3</v>
      </c>
      <c r="F249" s="166">
        <f t="shared" si="121"/>
        <v>0.3</v>
      </c>
      <c r="G249" s="166">
        <f t="shared" si="121"/>
        <v>0.3</v>
      </c>
      <c r="H249" s="166">
        <f t="shared" si="121"/>
        <v>0.3</v>
      </c>
      <c r="I249" s="166">
        <f t="shared" si="121"/>
        <v>0.3</v>
      </c>
      <c r="J249" s="166">
        <f t="shared" si="121"/>
        <v>0.3</v>
      </c>
      <c r="K249" s="166">
        <f t="shared" si="121"/>
        <v>0.3</v>
      </c>
      <c r="L249" s="166">
        <f t="shared" si="121"/>
        <v>0.3</v>
      </c>
      <c r="M249" s="166">
        <f t="shared" si="121"/>
        <v>0.3</v>
      </c>
      <c r="N249" s="166">
        <f t="shared" si="121"/>
        <v>0.3</v>
      </c>
      <c r="O249" s="166">
        <f t="shared" si="121"/>
        <v>0.3</v>
      </c>
      <c r="P249" s="166">
        <f t="shared" si="121"/>
        <v>0.3</v>
      </c>
      <c r="Q249" s="166">
        <f t="shared" si="121"/>
        <v>0.3</v>
      </c>
      <c r="R249" s="166">
        <f t="shared" si="121"/>
        <v>0.3</v>
      </c>
      <c r="S249" s="166">
        <f t="shared" si="121"/>
        <v>0.3</v>
      </c>
      <c r="T249" s="166">
        <f t="shared" ref="T249:AF254" si="122">S249</f>
        <v>0.3</v>
      </c>
      <c r="U249" s="166">
        <f t="shared" si="122"/>
        <v>0.3</v>
      </c>
      <c r="V249" s="166">
        <f t="shared" si="122"/>
        <v>0.3</v>
      </c>
      <c r="W249" s="166">
        <f t="shared" si="122"/>
        <v>0.3</v>
      </c>
      <c r="X249" s="166">
        <f t="shared" si="122"/>
        <v>0.3</v>
      </c>
      <c r="Y249" s="166">
        <f t="shared" si="122"/>
        <v>0.3</v>
      </c>
      <c r="Z249" s="166">
        <f t="shared" si="122"/>
        <v>0.3</v>
      </c>
      <c r="AA249" s="166">
        <f t="shared" si="122"/>
        <v>0.3</v>
      </c>
      <c r="AB249" s="166">
        <f t="shared" si="122"/>
        <v>0.3</v>
      </c>
      <c r="AC249" s="166">
        <f t="shared" si="122"/>
        <v>0.3</v>
      </c>
      <c r="AD249" s="166">
        <f t="shared" si="122"/>
        <v>0.3</v>
      </c>
      <c r="AE249" s="166">
        <f t="shared" si="122"/>
        <v>0.3</v>
      </c>
      <c r="AF249" s="166">
        <f t="shared" si="122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20"/>
        <v>0.4</v>
      </c>
      <c r="C250" s="152">
        <v>0.4</v>
      </c>
      <c r="D250" s="152">
        <f t="shared" si="121"/>
        <v>0.4</v>
      </c>
      <c r="E250" s="152">
        <f t="shared" si="121"/>
        <v>0.4</v>
      </c>
      <c r="F250" s="152">
        <f t="shared" si="121"/>
        <v>0.4</v>
      </c>
      <c r="G250" s="152">
        <f t="shared" si="121"/>
        <v>0.4</v>
      </c>
      <c r="H250" s="152">
        <f t="shared" si="121"/>
        <v>0.4</v>
      </c>
      <c r="I250" s="152">
        <f t="shared" si="121"/>
        <v>0.4</v>
      </c>
      <c r="J250" s="152">
        <f t="shared" si="121"/>
        <v>0.4</v>
      </c>
      <c r="K250" s="152">
        <f t="shared" si="121"/>
        <v>0.4</v>
      </c>
      <c r="L250" s="152">
        <f t="shared" si="121"/>
        <v>0.4</v>
      </c>
      <c r="M250" s="152">
        <f t="shared" si="121"/>
        <v>0.4</v>
      </c>
      <c r="N250" s="152">
        <f t="shared" si="121"/>
        <v>0.4</v>
      </c>
      <c r="O250" s="152">
        <f t="shared" si="121"/>
        <v>0.4</v>
      </c>
      <c r="P250" s="152">
        <f t="shared" si="121"/>
        <v>0.4</v>
      </c>
      <c r="Q250" s="152">
        <f t="shared" si="121"/>
        <v>0.4</v>
      </c>
      <c r="R250" s="152">
        <f t="shared" si="121"/>
        <v>0.4</v>
      </c>
      <c r="S250" s="152">
        <f t="shared" si="121"/>
        <v>0.4</v>
      </c>
      <c r="T250" s="152">
        <f t="shared" si="122"/>
        <v>0.4</v>
      </c>
      <c r="U250" s="152">
        <f t="shared" si="122"/>
        <v>0.4</v>
      </c>
      <c r="V250" s="152">
        <f t="shared" si="122"/>
        <v>0.4</v>
      </c>
      <c r="W250" s="152">
        <f t="shared" si="122"/>
        <v>0.4</v>
      </c>
      <c r="X250" s="152">
        <f t="shared" si="122"/>
        <v>0.4</v>
      </c>
      <c r="Y250" s="152">
        <f t="shared" si="122"/>
        <v>0.4</v>
      </c>
      <c r="Z250" s="152">
        <f t="shared" si="122"/>
        <v>0.4</v>
      </c>
      <c r="AA250" s="152">
        <f t="shared" si="122"/>
        <v>0.4</v>
      </c>
      <c r="AB250" s="152">
        <f t="shared" si="122"/>
        <v>0.4</v>
      </c>
      <c r="AC250" s="152">
        <f t="shared" si="122"/>
        <v>0.4</v>
      </c>
      <c r="AD250" s="152">
        <f t="shared" si="122"/>
        <v>0.4</v>
      </c>
      <c r="AE250" s="152">
        <f t="shared" si="122"/>
        <v>0.4</v>
      </c>
      <c r="AF250" s="152">
        <f t="shared" si="122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20"/>
        <v>1.5</v>
      </c>
      <c r="C251" s="152">
        <v>1.5</v>
      </c>
      <c r="D251" s="152">
        <f t="shared" si="121"/>
        <v>1.5</v>
      </c>
      <c r="E251" s="152">
        <f t="shared" si="121"/>
        <v>1.5</v>
      </c>
      <c r="F251" s="152">
        <f t="shared" si="121"/>
        <v>1.5</v>
      </c>
      <c r="G251" s="152">
        <f t="shared" si="121"/>
        <v>1.5</v>
      </c>
      <c r="H251" s="152">
        <f t="shared" si="121"/>
        <v>1.5</v>
      </c>
      <c r="I251" s="152">
        <f t="shared" si="121"/>
        <v>1.5</v>
      </c>
      <c r="J251" s="152">
        <f t="shared" si="121"/>
        <v>1.5</v>
      </c>
      <c r="K251" s="152">
        <f t="shared" si="121"/>
        <v>1.5</v>
      </c>
      <c r="L251" s="152">
        <f t="shared" si="121"/>
        <v>1.5</v>
      </c>
      <c r="M251" s="152">
        <f t="shared" si="121"/>
        <v>1.5</v>
      </c>
      <c r="N251" s="152">
        <f t="shared" si="121"/>
        <v>1.5</v>
      </c>
      <c r="O251" s="152">
        <f t="shared" si="121"/>
        <v>1.5</v>
      </c>
      <c r="P251" s="152">
        <f t="shared" si="121"/>
        <v>1.5</v>
      </c>
      <c r="Q251" s="152">
        <f t="shared" si="121"/>
        <v>1.5</v>
      </c>
      <c r="R251" s="152">
        <f t="shared" si="121"/>
        <v>1.5</v>
      </c>
      <c r="S251" s="152">
        <f t="shared" si="121"/>
        <v>1.5</v>
      </c>
      <c r="T251" s="152">
        <f t="shared" si="122"/>
        <v>1.5</v>
      </c>
      <c r="U251" s="152">
        <f t="shared" si="122"/>
        <v>1.5</v>
      </c>
      <c r="V251" s="152">
        <f t="shared" si="122"/>
        <v>1.5</v>
      </c>
      <c r="W251" s="152">
        <f t="shared" si="122"/>
        <v>1.5</v>
      </c>
      <c r="X251" s="152">
        <f t="shared" si="122"/>
        <v>1.5</v>
      </c>
      <c r="Y251" s="152">
        <f t="shared" si="122"/>
        <v>1.5</v>
      </c>
      <c r="Z251" s="152">
        <f t="shared" si="122"/>
        <v>1.5</v>
      </c>
      <c r="AA251" s="152">
        <f t="shared" si="122"/>
        <v>1.5</v>
      </c>
      <c r="AB251" s="152">
        <f t="shared" si="122"/>
        <v>1.5</v>
      </c>
      <c r="AC251" s="152">
        <f t="shared" si="122"/>
        <v>1.5</v>
      </c>
      <c r="AD251" s="152">
        <f t="shared" si="122"/>
        <v>1.5</v>
      </c>
      <c r="AE251" s="152">
        <f t="shared" si="122"/>
        <v>1.5</v>
      </c>
      <c r="AF251" s="152">
        <f t="shared" si="122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20"/>
        <v>0.3</v>
      </c>
      <c r="C252" s="152">
        <v>0.3</v>
      </c>
      <c r="D252" s="152">
        <f t="shared" si="121"/>
        <v>0.3</v>
      </c>
      <c r="E252" s="152">
        <f t="shared" si="121"/>
        <v>0.3</v>
      </c>
      <c r="F252" s="152">
        <f t="shared" si="121"/>
        <v>0.3</v>
      </c>
      <c r="G252" s="152">
        <f t="shared" si="121"/>
        <v>0.3</v>
      </c>
      <c r="H252" s="152">
        <f t="shared" si="121"/>
        <v>0.3</v>
      </c>
      <c r="I252" s="152">
        <f t="shared" si="121"/>
        <v>0.3</v>
      </c>
      <c r="J252" s="152">
        <f t="shared" si="121"/>
        <v>0.3</v>
      </c>
      <c r="K252" s="152">
        <f t="shared" si="121"/>
        <v>0.3</v>
      </c>
      <c r="L252" s="152">
        <f t="shared" si="121"/>
        <v>0.3</v>
      </c>
      <c r="M252" s="152">
        <f t="shared" si="121"/>
        <v>0.3</v>
      </c>
      <c r="N252" s="152">
        <f t="shared" si="121"/>
        <v>0.3</v>
      </c>
      <c r="O252" s="152">
        <f t="shared" si="121"/>
        <v>0.3</v>
      </c>
      <c r="P252" s="152">
        <f t="shared" si="121"/>
        <v>0.3</v>
      </c>
      <c r="Q252" s="152">
        <f t="shared" si="121"/>
        <v>0.3</v>
      </c>
      <c r="R252" s="152">
        <f t="shared" si="121"/>
        <v>0.3</v>
      </c>
      <c r="S252" s="152">
        <f t="shared" si="121"/>
        <v>0.3</v>
      </c>
      <c r="T252" s="152">
        <f t="shared" si="122"/>
        <v>0.3</v>
      </c>
      <c r="U252" s="152">
        <f t="shared" si="122"/>
        <v>0.3</v>
      </c>
      <c r="V252" s="152">
        <f t="shared" si="122"/>
        <v>0.3</v>
      </c>
      <c r="W252" s="152">
        <f t="shared" si="122"/>
        <v>0.3</v>
      </c>
      <c r="X252" s="152">
        <f t="shared" si="122"/>
        <v>0.3</v>
      </c>
      <c r="Y252" s="152">
        <f t="shared" si="122"/>
        <v>0.3</v>
      </c>
      <c r="Z252" s="152">
        <f t="shared" si="122"/>
        <v>0.3</v>
      </c>
      <c r="AA252" s="152">
        <f t="shared" si="122"/>
        <v>0.3</v>
      </c>
      <c r="AB252" s="152">
        <f t="shared" si="122"/>
        <v>0.3</v>
      </c>
      <c r="AC252" s="152">
        <f t="shared" si="122"/>
        <v>0.3</v>
      </c>
      <c r="AD252" s="152">
        <f t="shared" si="122"/>
        <v>0.3</v>
      </c>
      <c r="AE252" s="152">
        <f t="shared" si="122"/>
        <v>0.3</v>
      </c>
      <c r="AF252" s="152">
        <f t="shared" si="122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20"/>
        <v>0.4</v>
      </c>
      <c r="C253" s="152">
        <v>0.4</v>
      </c>
      <c r="D253" s="152">
        <f t="shared" si="121"/>
        <v>0.4</v>
      </c>
      <c r="E253" s="152">
        <f t="shared" si="121"/>
        <v>0.4</v>
      </c>
      <c r="F253" s="152">
        <f t="shared" si="121"/>
        <v>0.4</v>
      </c>
      <c r="G253" s="152">
        <f t="shared" si="121"/>
        <v>0.4</v>
      </c>
      <c r="H253" s="152">
        <f t="shared" si="121"/>
        <v>0.4</v>
      </c>
      <c r="I253" s="152">
        <f t="shared" si="121"/>
        <v>0.4</v>
      </c>
      <c r="J253" s="152">
        <f t="shared" si="121"/>
        <v>0.4</v>
      </c>
      <c r="K253" s="152">
        <f t="shared" si="121"/>
        <v>0.4</v>
      </c>
      <c r="L253" s="152">
        <f t="shared" si="121"/>
        <v>0.4</v>
      </c>
      <c r="M253" s="152">
        <f t="shared" si="121"/>
        <v>0.4</v>
      </c>
      <c r="N253" s="152">
        <f t="shared" si="121"/>
        <v>0.4</v>
      </c>
      <c r="O253" s="152">
        <f t="shared" si="121"/>
        <v>0.4</v>
      </c>
      <c r="P253" s="152">
        <f t="shared" si="121"/>
        <v>0.4</v>
      </c>
      <c r="Q253" s="152">
        <f t="shared" si="121"/>
        <v>0.4</v>
      </c>
      <c r="R253" s="152">
        <f t="shared" si="121"/>
        <v>0.4</v>
      </c>
      <c r="S253" s="152">
        <f t="shared" si="121"/>
        <v>0.4</v>
      </c>
      <c r="T253" s="152">
        <f t="shared" si="122"/>
        <v>0.4</v>
      </c>
      <c r="U253" s="152">
        <f t="shared" si="122"/>
        <v>0.4</v>
      </c>
      <c r="V253" s="152">
        <f t="shared" si="122"/>
        <v>0.4</v>
      </c>
      <c r="W253" s="152">
        <f t="shared" si="122"/>
        <v>0.4</v>
      </c>
      <c r="X253" s="152">
        <f t="shared" si="122"/>
        <v>0.4</v>
      </c>
      <c r="Y253" s="152">
        <f t="shared" si="122"/>
        <v>0.4</v>
      </c>
      <c r="Z253" s="152">
        <f t="shared" si="122"/>
        <v>0.4</v>
      </c>
      <c r="AA253" s="152">
        <f t="shared" si="122"/>
        <v>0.4</v>
      </c>
      <c r="AB253" s="152">
        <f t="shared" si="122"/>
        <v>0.4</v>
      </c>
      <c r="AC253" s="152">
        <f t="shared" si="122"/>
        <v>0.4</v>
      </c>
      <c r="AD253" s="152">
        <f t="shared" si="122"/>
        <v>0.4</v>
      </c>
      <c r="AE253" s="152">
        <f t="shared" si="122"/>
        <v>0.4</v>
      </c>
      <c r="AF253" s="152">
        <f t="shared" si="122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20"/>
        <v>0.64</v>
      </c>
      <c r="C254" s="157">
        <v>0.64</v>
      </c>
      <c r="D254" s="157">
        <f t="shared" si="121"/>
        <v>0.64</v>
      </c>
      <c r="E254" s="157">
        <f t="shared" si="121"/>
        <v>0.64</v>
      </c>
      <c r="F254" s="157">
        <f t="shared" si="121"/>
        <v>0.64</v>
      </c>
      <c r="G254" s="157">
        <f t="shared" si="121"/>
        <v>0.64</v>
      </c>
      <c r="H254" s="157">
        <f t="shared" si="121"/>
        <v>0.64</v>
      </c>
      <c r="I254" s="157">
        <f t="shared" si="121"/>
        <v>0.64</v>
      </c>
      <c r="J254" s="157">
        <f t="shared" si="121"/>
        <v>0.64</v>
      </c>
      <c r="K254" s="157">
        <f t="shared" si="121"/>
        <v>0.64</v>
      </c>
      <c r="L254" s="157">
        <f t="shared" si="121"/>
        <v>0.64</v>
      </c>
      <c r="M254" s="157">
        <f t="shared" si="121"/>
        <v>0.64</v>
      </c>
      <c r="N254" s="157">
        <f t="shared" si="121"/>
        <v>0.64</v>
      </c>
      <c r="O254" s="157">
        <f t="shared" si="121"/>
        <v>0.64</v>
      </c>
      <c r="P254" s="157">
        <f t="shared" si="121"/>
        <v>0.64</v>
      </c>
      <c r="Q254" s="157">
        <f t="shared" si="121"/>
        <v>0.64</v>
      </c>
      <c r="R254" s="157">
        <f t="shared" si="121"/>
        <v>0.64</v>
      </c>
      <c r="S254" s="157">
        <f t="shared" si="121"/>
        <v>0.64</v>
      </c>
      <c r="T254" s="157">
        <f t="shared" si="122"/>
        <v>0.64</v>
      </c>
      <c r="U254" s="157">
        <f t="shared" si="122"/>
        <v>0.64</v>
      </c>
      <c r="V254" s="157">
        <f t="shared" si="122"/>
        <v>0.64</v>
      </c>
      <c r="W254" s="157">
        <f t="shared" si="122"/>
        <v>0.64</v>
      </c>
      <c r="X254" s="157">
        <f t="shared" si="122"/>
        <v>0.64</v>
      </c>
      <c r="Y254" s="157">
        <f t="shared" si="122"/>
        <v>0.64</v>
      </c>
      <c r="Z254" s="157">
        <f t="shared" si="122"/>
        <v>0.64</v>
      </c>
      <c r="AA254" s="157">
        <f t="shared" si="122"/>
        <v>0.64</v>
      </c>
      <c r="AB254" s="157">
        <f t="shared" si="122"/>
        <v>0.64</v>
      </c>
      <c r="AC254" s="157">
        <f t="shared" si="122"/>
        <v>0.64</v>
      </c>
      <c r="AD254" s="157">
        <f t="shared" si="122"/>
        <v>0.64</v>
      </c>
      <c r="AE254" s="157">
        <f t="shared" si="122"/>
        <v>0.64</v>
      </c>
      <c r="AF254" s="157">
        <f t="shared" si="122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23">SUM(B249:B254)</f>
        <v>3.54</v>
      </c>
      <c r="C255" s="161">
        <f t="shared" si="123"/>
        <v>3.54</v>
      </c>
      <c r="D255" s="161">
        <f t="shared" si="123"/>
        <v>3.54</v>
      </c>
      <c r="E255" s="161">
        <f t="shared" si="123"/>
        <v>3.54</v>
      </c>
      <c r="F255" s="161">
        <f t="shared" si="123"/>
        <v>3.54</v>
      </c>
      <c r="G255" s="161">
        <f t="shared" si="123"/>
        <v>3.54</v>
      </c>
      <c r="H255" s="161">
        <f t="shared" si="123"/>
        <v>3.54</v>
      </c>
      <c r="I255" s="161">
        <f t="shared" si="123"/>
        <v>3.54</v>
      </c>
      <c r="J255" s="161">
        <f t="shared" si="123"/>
        <v>3.54</v>
      </c>
      <c r="K255" s="161">
        <f t="shared" si="123"/>
        <v>3.54</v>
      </c>
      <c r="L255" s="161">
        <f t="shared" si="123"/>
        <v>3.54</v>
      </c>
      <c r="M255" s="161">
        <f t="shared" si="123"/>
        <v>3.54</v>
      </c>
      <c r="N255" s="161">
        <f t="shared" si="123"/>
        <v>3.54</v>
      </c>
      <c r="O255" s="161">
        <f t="shared" si="123"/>
        <v>3.54</v>
      </c>
      <c r="P255" s="161">
        <f t="shared" si="123"/>
        <v>3.54</v>
      </c>
      <c r="Q255" s="161">
        <f t="shared" si="123"/>
        <v>3.54</v>
      </c>
      <c r="R255" s="161">
        <f t="shared" si="123"/>
        <v>3.54</v>
      </c>
      <c r="S255" s="161">
        <f t="shared" si="123"/>
        <v>3.54</v>
      </c>
      <c r="T255" s="161">
        <f t="shared" si="123"/>
        <v>3.54</v>
      </c>
      <c r="U255" s="161">
        <f t="shared" si="123"/>
        <v>3.54</v>
      </c>
      <c r="V255" s="161">
        <f t="shared" si="123"/>
        <v>3.54</v>
      </c>
      <c r="W255" s="161">
        <f t="shared" si="123"/>
        <v>3.54</v>
      </c>
      <c r="X255" s="161">
        <f t="shared" si="123"/>
        <v>3.54</v>
      </c>
      <c r="Y255" s="161">
        <f t="shared" si="123"/>
        <v>3.54</v>
      </c>
      <c r="Z255" s="161">
        <f t="shared" si="123"/>
        <v>3.54</v>
      </c>
      <c r="AA255" s="161">
        <f t="shared" si="123"/>
        <v>3.54</v>
      </c>
      <c r="AB255" s="161">
        <f t="shared" si="123"/>
        <v>3.54</v>
      </c>
      <c r="AC255" s="161">
        <f t="shared" si="123"/>
        <v>3.54</v>
      </c>
      <c r="AD255" s="161">
        <f t="shared" si="123"/>
        <v>3.54</v>
      </c>
      <c r="AE255" s="161">
        <f t="shared" si="123"/>
        <v>3.54</v>
      </c>
      <c r="AF255" s="161">
        <f t="shared" si="123"/>
        <v>3.54</v>
      </c>
      <c r="AG255" s="171">
        <f t="shared" si="123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2225.6400000000003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2080/10/25)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1263" priority="110">
      <formula>$AH11=0</formula>
    </cfRule>
  </conditionalFormatting>
  <conditionalFormatting sqref="A89">
    <cfRule type="expression" dxfId="1262" priority="168">
      <formula>$AH94=0</formula>
    </cfRule>
  </conditionalFormatting>
  <conditionalFormatting sqref="A90:A94">
    <cfRule type="expression" dxfId="1261" priority="111">
      <formula>$AH89=0</formula>
    </cfRule>
  </conditionalFormatting>
  <conditionalFormatting sqref="B8">
    <cfRule type="expression" dxfId="1260" priority="164">
      <formula>AND(C$9&gt;=14/24,C$9&lt;20/24)</formula>
    </cfRule>
    <cfRule type="expression" dxfId="1259" priority="165">
      <formula>AND(C$9&gt;=8/24,C$9&lt;14/24)</formula>
    </cfRule>
    <cfRule type="expression" dxfId="1258" priority="166">
      <formula>C$9&lt;8/24</formula>
    </cfRule>
    <cfRule type="expression" dxfId="1257" priority="167">
      <formula>C$9&gt;=20/24</formula>
    </cfRule>
  </conditionalFormatting>
  <conditionalFormatting sqref="B60:D60">
    <cfRule type="expression" dxfId="1256" priority="9">
      <formula>B$9&lt;8/24</formula>
    </cfRule>
  </conditionalFormatting>
  <conditionalFormatting sqref="B62:R71">
    <cfRule type="expression" dxfId="1255" priority="15">
      <formula>B$9&gt;=20/24</formula>
    </cfRule>
    <cfRule type="expression" dxfId="1254" priority="16">
      <formula>AND(B$9&gt;=14/24,B$9&lt;20/24)</formula>
    </cfRule>
    <cfRule type="expression" dxfId="1253" priority="17">
      <formula>AND(B$9&gt;=8/24,B$9&lt;14/24)</formula>
    </cfRule>
    <cfRule type="expression" dxfId="1252" priority="18">
      <formula>B$9&lt;8/24</formula>
    </cfRule>
  </conditionalFormatting>
  <conditionalFormatting sqref="B66:R71">
    <cfRule type="expression" dxfId="1251" priority="23">
      <formula>B$9&gt;=20/24</formula>
    </cfRule>
    <cfRule type="expression" dxfId="1250" priority="24">
      <formula>AND(B$9&gt;=14/24,B$9&lt;20/24)</formula>
    </cfRule>
    <cfRule type="expression" dxfId="1249" priority="25">
      <formula>AND(B$9&gt;=8/24,B$9&lt;14/24)</formula>
    </cfRule>
    <cfRule type="expression" dxfId="1248" priority="26">
      <formula>B$9&lt;8/24</formula>
    </cfRule>
  </conditionalFormatting>
  <conditionalFormatting sqref="B9:AF57 L72:R76 B72:K77 C80:D86 B80:B102 C87:AA102 B104:AF120 B122:AF140">
    <cfRule type="expression" dxfId="1247" priority="5">
      <formula>B$9&gt;=20/24</formula>
    </cfRule>
    <cfRule type="expression" dxfId="1246" priority="6">
      <formula>AND(B$9&gt;=14/24,B$9&lt;20/24)</formula>
    </cfRule>
    <cfRule type="expression" dxfId="1245" priority="7">
      <formula>AND(B$9&gt;=8/24,B$9&lt;14/24)</formula>
    </cfRule>
  </conditionalFormatting>
  <conditionalFormatting sqref="B9:AF59 L72:R76 B72:K77 C80:D86 B80:B102 C87:AA102 B104:AF120 B122:AF140">
    <cfRule type="expression" dxfId="1244" priority="8">
      <formula>B$9&lt;8/24</formula>
    </cfRule>
  </conditionalFormatting>
  <conditionalFormatting sqref="B11:AF59 E60:AA65 B60:D83 L66:R76 E66:K77">
    <cfRule type="expression" dxfId="1243" priority="4">
      <formula>B11&gt;$AG11</formula>
    </cfRule>
  </conditionalFormatting>
  <conditionalFormatting sqref="B58:AF60">
    <cfRule type="expression" dxfId="1242" priority="1">
      <formula>B$9&gt;=20/24</formula>
    </cfRule>
    <cfRule type="expression" dxfId="1241" priority="2">
      <formula>AND(B$9&gt;=14/24,B$9&lt;20/24)</formula>
    </cfRule>
    <cfRule type="expression" dxfId="1240" priority="3">
      <formula>AND(B$9&gt;=8/24,B$9&lt;14/24)</formula>
    </cfRule>
  </conditionalFormatting>
  <conditionalFormatting sqref="D249:AF255">
    <cfRule type="expression" dxfId="1239" priority="149">
      <formula>D$9&gt;=20/24</formula>
    </cfRule>
    <cfRule type="expression" dxfId="1238" priority="150">
      <formula>AND(D$9&gt;=14/24,D$9&lt;20/24)</formula>
    </cfRule>
    <cfRule type="expression" dxfId="1237" priority="151">
      <formula>AND(D$9&gt;=8/24,D$9&lt;14/24)</formula>
    </cfRule>
    <cfRule type="expression" dxfId="1236" priority="152">
      <formula>D$9&lt;8/24</formula>
    </cfRule>
  </conditionalFormatting>
  <conditionalFormatting sqref="E60:AF60">
    <cfRule type="expression" dxfId="1235" priority="79">
      <formula>E$9&lt;8/24</formula>
    </cfRule>
  </conditionalFormatting>
  <conditionalFormatting sqref="M8 S8 AB8">
    <cfRule type="expression" dxfId="1234" priority="156">
      <formula>AND(N$9&gt;=14/24,N$9&lt;20/24)</formula>
    </cfRule>
    <cfRule type="expression" dxfId="1233" priority="157">
      <formula>AND(N$9&gt;=8/24,N$9&lt;14/24)</formula>
    </cfRule>
    <cfRule type="expression" dxfId="1232" priority="158">
      <formula>N$9&lt;8/24</formula>
    </cfRule>
  </conditionalFormatting>
  <conditionalFormatting sqref="O3:P3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31" priority="155">
      <formula>N$9&gt;=20/24</formula>
    </cfRule>
  </conditionalFormatting>
  <conditionalFormatting sqref="S8">
    <cfRule type="expression" dxfId="1230" priority="142">
      <formula>U$9&gt;=20/24</formula>
    </cfRule>
    <cfRule type="expression" dxfId="1229" priority="143">
      <formula>AND(U$9&gt;=14/24,U$9&lt;20/24)</formula>
    </cfRule>
    <cfRule type="expression" dxfId="1228" priority="144">
      <formula>AND(U$9&gt;=8/24,U$9&lt;14/24)</formula>
    </cfRule>
    <cfRule type="expression" dxfId="1227" priority="145">
      <formula>U$9&lt;8/24</formula>
    </cfRule>
  </conditionalFormatting>
  <conditionalFormatting sqref="S62:AF65">
    <cfRule type="expression" dxfId="1226" priority="90">
      <formula>S$9&gt;=20/24</formula>
    </cfRule>
    <cfRule type="expression" dxfId="1225" priority="91">
      <formula>AND(S$9&gt;=14/24,S$9&lt;20/24)</formula>
    </cfRule>
    <cfRule type="expression" dxfId="1224" priority="92">
      <formula>AND(S$9&gt;=8/24,S$9&lt;14/24)</formula>
    </cfRule>
    <cfRule type="expression" dxfId="1223" priority="93">
      <formula>S$9&lt;8/24</formula>
    </cfRule>
  </conditionalFormatting>
  <conditionalFormatting sqref="S66:AF71">
    <cfRule type="expression" dxfId="1222" priority="98">
      <formula>S$9&gt;=20/24</formula>
    </cfRule>
    <cfRule type="expression" dxfId="1221" priority="99">
      <formula>AND(S$9&gt;=14/24,S$9&lt;20/24)</formula>
    </cfRule>
    <cfRule type="expression" dxfId="1220" priority="100">
      <formula>AND(S$9&gt;=8/24,S$9&lt;14/24)</formula>
    </cfRule>
    <cfRule type="expression" dxfId="1219" priority="101">
      <formula>S$9&lt;8/24</formula>
    </cfRule>
  </conditionalFormatting>
  <conditionalFormatting sqref="S72:AF77 L77:R77 E80:AA86 AB80:AF102 B247:AF247 B249:B255">
    <cfRule type="expression" dxfId="1218" priority="71">
      <formula>B$9&gt;=20/24</formula>
    </cfRule>
    <cfRule type="expression" dxfId="1217" priority="72">
      <formula>AND(B$9&gt;=14/24,B$9&lt;20/24)</formula>
    </cfRule>
    <cfRule type="expression" dxfId="1216" priority="73">
      <formula>AND(B$9&gt;=8/24,B$9&lt;14/24)</formula>
    </cfRule>
    <cfRule type="expression" dxfId="1215" priority="74">
      <formula>B$9&lt;8/24</formula>
    </cfRule>
  </conditionalFormatting>
  <conditionalFormatting sqref="T66:AF71">
    <cfRule type="expression" dxfId="1214" priority="94">
      <formula>T$9&gt;=20/24</formula>
    </cfRule>
    <cfRule type="expression" dxfId="1213" priority="95">
      <formula>AND(T$9&gt;=14/24,T$9&lt;20/24)</formula>
    </cfRule>
    <cfRule type="expression" dxfId="1212" priority="96">
      <formula>AND(T$9&gt;=8/24,T$9&lt;14/24)</formula>
    </cfRule>
    <cfRule type="expression" dxfId="1211" priority="97">
      <formula>T$9&lt;8/24</formula>
    </cfRule>
  </conditionalFormatting>
  <conditionalFormatting sqref="V3 AB3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210" priority="138">
      <formula>AD$9&gt;=20/24</formula>
    </cfRule>
    <cfRule type="expression" dxfId="1209" priority="139">
      <formula>AND(AD$9&gt;=14/24,AD$9&lt;20/24)</formula>
    </cfRule>
    <cfRule type="expression" dxfId="1208" priority="140">
      <formula>AND(AD$9&gt;=8/24,AD$9&lt;14/24)</formula>
    </cfRule>
    <cfRule type="expression" dxfId="1207" priority="141">
      <formula>AD$9&lt;8/24</formula>
    </cfRule>
  </conditionalFormatting>
  <conditionalFormatting sqref="AB60:AF83 AG61 AG65 S66:AA83 L77:M77 N77:R83 E78:M83 AG83">
    <cfRule type="expression" dxfId="1206" priority="70">
      <formula>E60&gt;$AG60</formula>
    </cfRule>
  </conditionalFormatting>
  <conditionalFormatting sqref="AG65">
    <cfRule type="expression" dxfId="1205" priority="117">
      <formula>AG$9&gt;=20/24</formula>
    </cfRule>
    <cfRule type="expression" dxfId="1204" priority="118">
      <formula>AND(AG$9&gt;=14/24,AG$9&lt;20/24)</formula>
    </cfRule>
    <cfRule type="expression" dxfId="1203" priority="119">
      <formula>AND(AG$9&gt;=8/24,AG$9&lt;14/24)</formula>
    </cfRule>
    <cfRule type="expression" dxfId="1202" priority="120">
      <formula>AG$9&lt;8/24</formula>
    </cfRule>
  </conditionalFormatting>
  <conditionalFormatting sqref="AG78:AG79">
    <cfRule type="expression" dxfId="1201" priority="112">
      <formula>AG78&gt;$AG78</formula>
    </cfRule>
  </conditionalFormatting>
  <conditionalFormatting sqref="AG83">
    <cfRule type="expression" dxfId="1200" priority="113">
      <formula>AG$9&gt;=20/24</formula>
    </cfRule>
    <cfRule type="expression" dxfId="1199" priority="114">
      <formula>AND(AG$9&gt;=14/24,AG$9&lt;20/24)</formula>
    </cfRule>
    <cfRule type="expression" dxfId="1198" priority="115">
      <formula>AND(AG$9&gt;=8/24,AG$9&lt;14/24)</formula>
    </cfRule>
    <cfRule type="expression" dxfId="1197" priority="116">
      <formula>AG$9&lt;8/24</formula>
    </cfRule>
  </conditionalFormatting>
  <conditionalFormatting sqref="AG100">
    <cfRule type="expression" dxfId="1196" priority="134">
      <formula>AG$9&gt;=20/24</formula>
    </cfRule>
    <cfRule type="expression" dxfId="1195" priority="135">
      <formula>AND(AG$9&gt;=14/24,AG$9&lt;20/24)</formula>
    </cfRule>
    <cfRule type="expression" dxfId="1194" priority="136">
      <formula>AND(AG$9&gt;=8/24,AG$9&lt;14/24)</formula>
    </cfRule>
    <cfRule type="expression" dxfId="1193" priority="137">
      <formula>AG$9&lt;8/24</formula>
    </cfRule>
  </conditionalFormatting>
  <conditionalFormatting sqref="AL4:AL6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192" priority="159">
      <formula>AJ$9&gt;=20/24</formula>
    </cfRule>
    <cfRule type="expression" dxfId="1191" priority="160">
      <formula>AND(AJ$9&gt;=14/24,AJ$9&lt;20/24)</formula>
    </cfRule>
    <cfRule type="expression" dxfId="1190" priority="161">
      <formula>AND(AJ$9&gt;=8/24,AJ$9&lt;14/24)</formula>
    </cfRule>
    <cfRule type="expression" dxfId="1189" priority="162">
      <formula>AJ$9&lt;8/24</formula>
    </cfRule>
  </conditionalFormatting>
  <conditionalFormatting sqref="AL86:AN86 AL92:AN92">
    <cfRule type="expression" dxfId="1188" priority="127">
      <formula>AL$9&gt;=20/24</formula>
    </cfRule>
    <cfRule type="expression" dxfId="1187" priority="128">
      <formula>AND(AL$9&gt;=14/24,AL$9&lt;20/24)</formula>
    </cfRule>
    <cfRule type="expression" dxfId="1186" priority="129">
      <formula>AND(AL$9&gt;=8/24,AL$9&lt;14/24)</formula>
    </cfRule>
    <cfRule type="expression" dxfId="1185" priority="130">
      <formula>AL$9&lt;8/24</formula>
    </cfRule>
  </conditionalFormatting>
  <conditionalFormatting sqref="AM15:AM21 AN16:AR21">
    <cfRule type="expression" dxfId="1184" priority="43">
      <formula>AX$9&gt;=20/24</formula>
    </cfRule>
    <cfRule type="expression" dxfId="1183" priority="44">
      <formula>AND(AX$9&gt;=14/24,AX$9&lt;20/24)</formula>
    </cfRule>
    <cfRule type="expression" dxfId="1182" priority="45">
      <formula>AND(AX$9&gt;=8/24,AX$9&lt;14/24)</formula>
    </cfRule>
    <cfRule type="expression" dxfId="1181" priority="46">
      <formula>AX$9&lt;8/24</formula>
    </cfRule>
  </conditionalFormatting>
  <conditionalFormatting sqref="AN87:AN90">
    <cfRule type="expression" dxfId="1180" priority="123">
      <formula>AN$9&gt;=20/24</formula>
    </cfRule>
    <cfRule type="expression" dxfId="1179" priority="124">
      <formula>AND(AN$9&gt;=14/24,AN$9&lt;20/24)</formula>
    </cfRule>
    <cfRule type="expression" dxfId="1178" priority="125">
      <formula>AND(AN$9&gt;=8/24,AN$9&lt;14/24)</formula>
    </cfRule>
    <cfRule type="expression" dxfId="1177" priority="126">
      <formula>AN$9&lt;8/24</formula>
    </cfRule>
  </conditionalFormatting>
  <conditionalFormatting sqref="AN15:AR15">
    <cfRule type="expression" dxfId="1176" priority="31">
      <formula>U$9&gt;=20/24</formula>
    </cfRule>
    <cfRule type="expression" dxfId="1175" priority="32">
      <formula>AND(U$9&gt;=14/24,U$9&lt;20/24)</formula>
    </cfRule>
    <cfRule type="expression" dxfId="1174" priority="33">
      <formula>AND(U$9&gt;=8/24,U$9&lt;14/24)</formula>
    </cfRule>
    <cfRule type="expression" dxfId="1173" priority="34">
      <formula>U$9&lt;8/24</formula>
    </cfRule>
  </conditionalFormatting>
  <conditionalFormatting sqref="AS15">
    <cfRule type="expression" dxfId="1172" priority="39">
      <formula>AA$9&gt;=20/24</formula>
    </cfRule>
    <cfRule type="expression" dxfId="1171" priority="40">
      <formula>AND(AA$9&gt;=14/24,AA$9&lt;20/24)</formula>
    </cfRule>
    <cfRule type="expression" dxfId="1170" priority="41">
      <formula>AND(AA$9&gt;=8/24,AA$9&lt;14/24)</formula>
    </cfRule>
    <cfRule type="expression" dxfId="1169" priority="42">
      <formula>AA$9&lt;8/24</formula>
    </cfRule>
  </conditionalFormatting>
  <conditionalFormatting sqref="AS16:AS21">
    <cfRule type="expression" dxfId="1168" priority="47">
      <formula>BE$9&gt;=20/24</formula>
    </cfRule>
    <cfRule type="expression" dxfId="1167" priority="48">
      <formula>AND(BE$9&gt;=14/24,BE$9&lt;20/24)</formula>
    </cfRule>
    <cfRule type="expression" dxfId="1166" priority="49">
      <formula>AND(BE$9&gt;=8/24,BE$9&lt;14/24)</formula>
    </cfRule>
    <cfRule type="expression" dxfId="1165" priority="50">
      <formula>BE$9&lt;8/24</formula>
    </cfRule>
  </conditionalFormatting>
  <conditionalFormatting sqref="AT15 AX15:BJ15">
    <cfRule type="expression" dxfId="1164" priority="51">
      <formula>AC$9&gt;=20/24</formula>
    </cfRule>
    <cfRule type="expression" dxfId="1163" priority="52">
      <formula>AND(AC$9&gt;=14/24,AC$9&lt;20/24)</formula>
    </cfRule>
    <cfRule type="expression" dxfId="1162" priority="53">
      <formula>AND(AC$9&gt;=8/24,AC$9&lt;14/24)</formula>
    </cfRule>
    <cfRule type="expression" dxfId="1161" priority="54">
      <formula>AC$9&lt;8/24</formula>
    </cfRule>
  </conditionalFormatting>
  <conditionalFormatting sqref="AT16:AT21">
    <cfRule type="expression" dxfId="1160" priority="55">
      <formula>BG$9&gt;=20/24</formula>
    </cfRule>
    <cfRule type="expression" dxfId="1159" priority="56">
      <formula>AND(BG$9&gt;=14/24,BG$9&lt;20/24)</formula>
    </cfRule>
    <cfRule type="expression" dxfId="1158" priority="57">
      <formula>AND(BG$9&gt;=8/24,BG$9&lt;14/24)</formula>
    </cfRule>
    <cfRule type="expression" dxfId="1157" priority="58">
      <formula>BG$9&lt;8/24</formula>
    </cfRule>
  </conditionalFormatting>
  <conditionalFormatting sqref="AU15:AV15">
    <cfRule type="expression" dxfId="1156" priority="59">
      <formula>AE$9&gt;=20/24</formula>
    </cfRule>
    <cfRule type="expression" dxfId="1155" priority="60">
      <formula>AND(AE$9&gt;=14/24,AE$9&lt;20/24)</formula>
    </cfRule>
    <cfRule type="expression" dxfId="1154" priority="61">
      <formula>AND(AE$9&gt;=8/24,AE$9&lt;14/24)</formula>
    </cfRule>
    <cfRule type="expression" dxfId="1153" priority="62">
      <formula>AE$9&lt;8/24</formula>
    </cfRule>
  </conditionalFormatting>
  <conditionalFormatting sqref="AU16:BJ21">
    <cfRule type="expression" dxfId="1152" priority="63">
      <formula>BI$9&gt;=20/24</formula>
    </cfRule>
    <cfRule type="expression" dxfId="1151" priority="64">
      <formula>AND(BI$9&gt;=14/24,BI$9&lt;20/24)</formula>
    </cfRule>
    <cfRule type="expression" dxfId="1150" priority="65">
      <formula>AND(BI$9&gt;=8/24,BI$9&lt;14/24)</formula>
    </cfRule>
    <cfRule type="expression" dxfId="1149" priority="66">
      <formula>BI$9&lt;8/24</formula>
    </cfRule>
  </conditionalFormatting>
  <conditionalFormatting sqref="AW15">
    <cfRule type="expression" dxfId="1148" priority="35">
      <formula>B$9&gt;=20/24</formula>
    </cfRule>
    <cfRule type="expression" dxfId="1147" priority="36">
      <formula>AND(B$9&gt;=14/24,B$9&lt;20/24)</formula>
    </cfRule>
    <cfRule type="expression" dxfId="1146" priority="37">
      <formula>AND(B$9&gt;=8/24,B$9&lt;14/24)</formula>
    </cfRule>
    <cfRule type="expression" dxfId="1145" priority="3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D5AB-47F6-42F4-B162-CAD90C5A12B0}">
  <dimension ref="A1:CJ297"/>
  <sheetViews>
    <sheetView zoomScale="106" workbookViewId="0">
      <pane xSplit="1" ySplit="10" topLeftCell="B6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8.8554687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2080/10/26</v>
      </c>
      <c r="C4" s="189"/>
      <c r="D4" s="189"/>
      <c r="E4" s="190" t="str">
        <f ca="1">"2080/"&amp;"10/"&amp;INT(MID(CELL("filename",G6),FIND("]",CELL("filename",G6))+1,200))</f>
        <v>2080/10/26</v>
      </c>
      <c r="F4" s="190"/>
      <c r="G4" s="190"/>
      <c r="H4" s="190" t="str">
        <f ca="1">TEXT(E4,"dddd")</f>
        <v>Saturday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16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2327MW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Load=1393</v>
      </c>
      <c r="B7" s="35">
        <f t="shared" ref="B7:AF7" si="1">B103</f>
        <v>1640.7400000000002</v>
      </c>
      <c r="C7" s="35">
        <f t="shared" si="1"/>
        <v>1636.6400000000003</v>
      </c>
      <c r="D7" s="35">
        <f t="shared" si="1"/>
        <v>1607.6400000000003</v>
      </c>
      <c r="E7" s="35">
        <f t="shared" si="1"/>
        <v>1478.8400000000001</v>
      </c>
      <c r="F7" s="35">
        <f t="shared" si="1"/>
        <v>1487.94</v>
      </c>
      <c r="G7" s="35">
        <f t="shared" si="1"/>
        <v>1477.94</v>
      </c>
      <c r="H7" s="35">
        <f t="shared" si="1"/>
        <v>1444.8400000000001</v>
      </c>
      <c r="I7" s="35">
        <f t="shared" si="1"/>
        <v>1422.94</v>
      </c>
      <c r="J7" s="35">
        <f t="shared" si="1"/>
        <v>1417.8400000000001</v>
      </c>
      <c r="K7" s="35">
        <f t="shared" si="1"/>
        <v>1418.8400000000001</v>
      </c>
      <c r="L7" s="35">
        <f t="shared" si="1"/>
        <v>1443.2400000000002</v>
      </c>
      <c r="M7" s="35">
        <f t="shared" si="1"/>
        <v>1622.99</v>
      </c>
      <c r="N7" s="35">
        <f t="shared" si="1"/>
        <v>1615.49</v>
      </c>
      <c r="O7" s="35">
        <f t="shared" si="1"/>
        <v>1519.4900000000002</v>
      </c>
      <c r="P7" s="35">
        <f t="shared" si="1"/>
        <v>1549.0400000000004</v>
      </c>
      <c r="Q7" s="35">
        <f t="shared" si="1"/>
        <v>1563.69</v>
      </c>
      <c r="R7" s="35">
        <f t="shared" si="1"/>
        <v>1490.69</v>
      </c>
      <c r="S7" s="35">
        <f t="shared" si="1"/>
        <v>1524.3899999999996</v>
      </c>
      <c r="T7" s="35">
        <f t="shared" si="1"/>
        <v>1521.5400000000002</v>
      </c>
      <c r="U7" s="35">
        <f t="shared" si="1"/>
        <v>1512.2400000000002</v>
      </c>
      <c r="V7" s="35">
        <f t="shared" si="1"/>
        <v>1392.94</v>
      </c>
      <c r="W7" s="35">
        <f t="shared" si="1"/>
        <v>1484.54</v>
      </c>
      <c r="X7" s="35">
        <f t="shared" si="1"/>
        <v>1429.0400000000004</v>
      </c>
      <c r="Y7" s="35">
        <f t="shared" si="1"/>
        <v>1453.0000000000005</v>
      </c>
      <c r="Z7" s="35">
        <f t="shared" si="1"/>
        <v>1565.5</v>
      </c>
      <c r="AA7" s="35">
        <f t="shared" si="1"/>
        <v>1663.2400000000002</v>
      </c>
      <c r="AB7" s="35">
        <f t="shared" si="1"/>
        <v>1681.6399999999999</v>
      </c>
      <c r="AC7" s="35">
        <f t="shared" si="1"/>
        <v>1663.84</v>
      </c>
      <c r="AD7" s="35">
        <f t="shared" si="1"/>
        <v>1666.5400000000004</v>
      </c>
      <c r="AE7" s="35">
        <f t="shared" si="1"/>
        <v>1541.24</v>
      </c>
      <c r="AF7" s="35">
        <f t="shared" si="1"/>
        <v>1514.24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2375.14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1681.64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86.9</v>
      </c>
      <c r="C11" s="46">
        <v>86.9</v>
      </c>
      <c r="D11" s="46">
        <v>86.9</v>
      </c>
      <c r="E11" s="46">
        <v>86.9</v>
      </c>
      <c r="F11" s="46">
        <v>86.9</v>
      </c>
      <c r="G11" s="46">
        <v>86.9</v>
      </c>
      <c r="H11" s="46">
        <v>86.9</v>
      </c>
      <c r="I11" s="46">
        <v>86.9</v>
      </c>
      <c r="J11" s="46">
        <v>86.9</v>
      </c>
      <c r="K11" s="46">
        <v>86.9</v>
      </c>
      <c r="L11" s="46">
        <v>86.9</v>
      </c>
      <c r="M11" s="46">
        <v>86.7</v>
      </c>
      <c r="N11" s="46">
        <v>86.7</v>
      </c>
      <c r="O11" s="46">
        <v>86.8</v>
      </c>
      <c r="P11" s="46">
        <v>86.8</v>
      </c>
      <c r="Q11" s="46">
        <v>86.8</v>
      </c>
      <c r="R11" s="46">
        <v>86.8</v>
      </c>
      <c r="S11" s="46">
        <v>86.8</v>
      </c>
      <c r="T11" s="46">
        <v>86.9</v>
      </c>
      <c r="U11" s="46">
        <v>86.8</v>
      </c>
      <c r="V11" s="46">
        <v>86.9</v>
      </c>
      <c r="W11" s="46">
        <v>86.9</v>
      </c>
      <c r="X11" s="46">
        <v>87</v>
      </c>
      <c r="Y11" s="46">
        <v>87</v>
      </c>
      <c r="Z11" s="46">
        <v>86.9</v>
      </c>
      <c r="AA11" s="46">
        <v>86.9</v>
      </c>
      <c r="AB11" s="46">
        <v>86.9</v>
      </c>
      <c r="AC11" s="46">
        <v>86.9</v>
      </c>
      <c r="AD11" s="46">
        <v>86.9</v>
      </c>
      <c r="AE11" s="46">
        <v>86.9</v>
      </c>
      <c r="AF11" s="46">
        <v>86.9</v>
      </c>
      <c r="AG11" s="47">
        <v>86</v>
      </c>
      <c r="AH11" s="48">
        <f t="shared" ref="AH11:AH74" si="2">MAX(B11:AF11)</f>
        <v>87</v>
      </c>
      <c r="AI11" s="49">
        <f t="shared" ref="AI11:AI74" si="3">MIN(B11:AF11)</f>
        <v>86.7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57</v>
      </c>
      <c r="C12" s="46">
        <v>57</v>
      </c>
      <c r="D12" s="46">
        <v>57</v>
      </c>
      <c r="E12" s="46">
        <v>60</v>
      </c>
      <c r="F12" s="46">
        <v>60</v>
      </c>
      <c r="G12" s="46">
        <v>60</v>
      </c>
      <c r="H12" s="46">
        <v>60</v>
      </c>
      <c r="I12" s="46">
        <v>60</v>
      </c>
      <c r="J12" s="46">
        <v>60</v>
      </c>
      <c r="K12" s="46">
        <v>60</v>
      </c>
      <c r="L12" s="46">
        <v>60</v>
      </c>
      <c r="M12" s="46">
        <v>61.6</v>
      </c>
      <c r="N12" s="46">
        <v>61.6</v>
      </c>
      <c r="O12" s="46">
        <v>67.2</v>
      </c>
      <c r="P12" s="46">
        <v>67.2</v>
      </c>
      <c r="Q12" s="46">
        <v>67.2</v>
      </c>
      <c r="R12" s="46">
        <v>67.2</v>
      </c>
      <c r="S12" s="46">
        <v>67.2</v>
      </c>
      <c r="T12" s="46">
        <v>51.6</v>
      </c>
      <c r="U12" s="46">
        <v>51.6</v>
      </c>
      <c r="V12" s="46">
        <v>0</v>
      </c>
      <c r="W12" s="46">
        <v>0</v>
      </c>
      <c r="X12" s="46">
        <v>0</v>
      </c>
      <c r="Y12" s="46">
        <v>15.5</v>
      </c>
      <c r="Z12" s="46">
        <v>54.3</v>
      </c>
      <c r="AA12" s="46">
        <v>83.1</v>
      </c>
      <c r="AB12" s="46">
        <v>61.6</v>
      </c>
      <c r="AC12" s="46">
        <v>61.6</v>
      </c>
      <c r="AD12" s="46">
        <v>61.6</v>
      </c>
      <c r="AE12" s="46">
        <v>51.7</v>
      </c>
      <c r="AF12" s="46">
        <v>51.7</v>
      </c>
      <c r="AG12" s="50">
        <v>77</v>
      </c>
      <c r="AH12" s="48">
        <f t="shared" si="2"/>
        <v>83.1</v>
      </c>
      <c r="AI12" s="49">
        <f t="shared" si="3"/>
        <v>0</v>
      </c>
      <c r="AK12" s="51"/>
      <c r="AL12" s="52" t="str">
        <f ca="1">MID(CELL("filename",C7),FIND("]",CELL("filename",C7))+1,600)</f>
        <v>26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60.9</v>
      </c>
      <c r="C13" s="46">
        <v>60.9</v>
      </c>
      <c r="D13" s="46">
        <v>60.9</v>
      </c>
      <c r="E13" s="46">
        <v>43</v>
      </c>
      <c r="F13" s="46">
        <v>43</v>
      </c>
      <c r="G13" s="46">
        <v>43</v>
      </c>
      <c r="H13" s="46">
        <v>27</v>
      </c>
      <c r="I13" s="46">
        <v>27</v>
      </c>
      <c r="J13" s="46">
        <v>27</v>
      </c>
      <c r="K13" s="46">
        <v>27</v>
      </c>
      <c r="L13" s="46">
        <v>27</v>
      </c>
      <c r="M13" s="46">
        <v>56.9</v>
      </c>
      <c r="N13" s="46">
        <v>56.9</v>
      </c>
      <c r="O13" s="46">
        <v>41.4</v>
      </c>
      <c r="P13" s="46">
        <v>41.4</v>
      </c>
      <c r="Q13" s="46">
        <v>41.4</v>
      </c>
      <c r="R13" s="46">
        <v>41.4</v>
      </c>
      <c r="S13" s="46">
        <v>41.4</v>
      </c>
      <c r="T13" s="46">
        <v>19.5</v>
      </c>
      <c r="U13" s="46">
        <v>19.5</v>
      </c>
      <c r="V13" s="46">
        <v>40</v>
      </c>
      <c r="W13" s="46">
        <v>30</v>
      </c>
      <c r="X13" s="46">
        <v>30</v>
      </c>
      <c r="Y13" s="46">
        <v>30</v>
      </c>
      <c r="Z13" s="46">
        <v>34</v>
      </c>
      <c r="AA13" s="46">
        <v>60</v>
      </c>
      <c r="AB13" s="46">
        <v>60</v>
      </c>
      <c r="AC13" s="46">
        <v>59</v>
      </c>
      <c r="AD13" s="46">
        <v>59</v>
      </c>
      <c r="AE13" s="46">
        <v>59</v>
      </c>
      <c r="AF13" s="46">
        <v>59</v>
      </c>
      <c r="AG13" s="50">
        <v>73</v>
      </c>
      <c r="AH13" s="48">
        <f t="shared" si="2"/>
        <v>60.9</v>
      </c>
      <c r="AI13" s="49">
        <f t="shared" si="3"/>
        <v>19.5</v>
      </c>
      <c r="AK13" s="51"/>
      <c r="AL13" s="52" t="str">
        <f ca="1">"Daily Load Curve(Excluding of Export) of Nepal ("&amp;A4&amp;" "&amp;B4&amp;")"</f>
        <v>Daily Load Curve(Excluding of Export) of Nepal (Nepali Date: 2080/10/26)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25</v>
      </c>
      <c r="C14" s="46">
        <v>25</v>
      </c>
      <c r="D14" s="46">
        <v>25</v>
      </c>
      <c r="E14" s="46">
        <v>25</v>
      </c>
      <c r="F14" s="46">
        <v>25</v>
      </c>
      <c r="G14" s="46">
        <v>25</v>
      </c>
      <c r="H14" s="46">
        <v>25</v>
      </c>
      <c r="I14" s="46">
        <v>25</v>
      </c>
      <c r="J14" s="46">
        <v>25</v>
      </c>
      <c r="K14" s="46">
        <v>25</v>
      </c>
      <c r="L14" s="46">
        <v>25</v>
      </c>
      <c r="M14" s="46">
        <v>34.6</v>
      </c>
      <c r="N14" s="46">
        <v>34.6</v>
      </c>
      <c r="O14" s="46">
        <v>32.299999999999997</v>
      </c>
      <c r="P14" s="46">
        <v>32.299999999999997</v>
      </c>
      <c r="Q14" s="46">
        <v>32.299999999999997</v>
      </c>
      <c r="R14" s="46">
        <v>32.299999999999997</v>
      </c>
      <c r="S14" s="46">
        <v>32.299999999999997</v>
      </c>
      <c r="T14" s="46">
        <v>35.200000000000003</v>
      </c>
      <c r="U14" s="46">
        <v>35.200000000000003</v>
      </c>
      <c r="V14" s="46">
        <v>35.200000000000003</v>
      </c>
      <c r="W14" s="46">
        <v>40</v>
      </c>
      <c r="X14" s="46">
        <v>39.799999999999997</v>
      </c>
      <c r="Y14" s="46">
        <v>39.799999999999997</v>
      </c>
      <c r="Z14" s="46">
        <v>31.5</v>
      </c>
      <c r="AA14" s="46">
        <v>40</v>
      </c>
      <c r="AB14" s="46">
        <v>40.299999999999997</v>
      </c>
      <c r="AC14" s="46">
        <v>40.299999999999997</v>
      </c>
      <c r="AD14" s="46">
        <v>40.299999999999997</v>
      </c>
      <c r="AE14" s="46">
        <v>30</v>
      </c>
      <c r="AF14" s="46">
        <v>30</v>
      </c>
      <c r="AG14" s="50">
        <v>71</v>
      </c>
      <c r="AH14" s="48">
        <f t="shared" si="2"/>
        <v>40.299999999999997</v>
      </c>
      <c r="AI14" s="49">
        <f t="shared" si="3"/>
        <v>25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40</v>
      </c>
      <c r="C15" s="46">
        <v>40</v>
      </c>
      <c r="D15" s="46">
        <v>40</v>
      </c>
      <c r="E15" s="46">
        <v>35</v>
      </c>
      <c r="F15" s="46">
        <v>35</v>
      </c>
      <c r="G15" s="46">
        <v>35</v>
      </c>
      <c r="H15" s="46">
        <v>35</v>
      </c>
      <c r="I15" s="46">
        <v>35</v>
      </c>
      <c r="J15" s="46">
        <v>35</v>
      </c>
      <c r="K15" s="46">
        <v>35</v>
      </c>
      <c r="L15" s="46">
        <v>35</v>
      </c>
      <c r="M15" s="46">
        <v>55</v>
      </c>
      <c r="N15" s="46">
        <v>55</v>
      </c>
      <c r="O15" s="46">
        <v>41.4</v>
      </c>
      <c r="P15" s="46">
        <v>41.4</v>
      </c>
      <c r="Q15" s="46">
        <v>41.4</v>
      </c>
      <c r="R15" s="46">
        <v>41.4</v>
      </c>
      <c r="S15" s="46">
        <v>41.4</v>
      </c>
      <c r="T15" s="46">
        <v>31.4</v>
      </c>
      <c r="U15" s="46">
        <v>31.4</v>
      </c>
      <c r="V15" s="46">
        <v>31.4</v>
      </c>
      <c r="W15" s="46">
        <v>35.5</v>
      </c>
      <c r="X15" s="46">
        <v>26.1</v>
      </c>
      <c r="Y15" s="46">
        <v>35.700000000000003</v>
      </c>
      <c r="Z15" s="46">
        <v>31.7</v>
      </c>
      <c r="AA15" s="46">
        <v>59.3</v>
      </c>
      <c r="AB15" s="46">
        <v>47.1</v>
      </c>
      <c r="AC15" s="46">
        <v>47.1</v>
      </c>
      <c r="AD15" s="46">
        <v>47.1</v>
      </c>
      <c r="AE15" s="46">
        <v>40</v>
      </c>
      <c r="AF15" s="46">
        <v>40</v>
      </c>
      <c r="AG15" s="50">
        <v>54</v>
      </c>
      <c r="AH15" s="48">
        <f t="shared" si="2"/>
        <v>59.3</v>
      </c>
      <c r="AI15" s="49">
        <f t="shared" si="3"/>
        <v>26.1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27.1</v>
      </c>
      <c r="C16" s="46">
        <v>27.1</v>
      </c>
      <c r="D16" s="46">
        <v>27.1</v>
      </c>
      <c r="E16" s="46">
        <v>27.1</v>
      </c>
      <c r="F16" s="46">
        <v>27.1</v>
      </c>
      <c r="G16" s="46">
        <v>27.1</v>
      </c>
      <c r="H16" s="46">
        <v>27.1</v>
      </c>
      <c r="I16" s="46">
        <v>27.1</v>
      </c>
      <c r="J16" s="46">
        <v>27.1</v>
      </c>
      <c r="K16" s="46">
        <v>27.1</v>
      </c>
      <c r="L16" s="46">
        <v>27.1</v>
      </c>
      <c r="M16" s="46">
        <v>27.2</v>
      </c>
      <c r="N16" s="46">
        <v>27.2</v>
      </c>
      <c r="O16" s="46">
        <v>27.2</v>
      </c>
      <c r="P16" s="46">
        <v>27.2</v>
      </c>
      <c r="Q16" s="46">
        <v>27.2</v>
      </c>
      <c r="R16" s="46">
        <v>27.2</v>
      </c>
      <c r="S16" s="46">
        <v>27.2</v>
      </c>
      <c r="T16" s="46">
        <v>27.2</v>
      </c>
      <c r="U16" s="46">
        <v>27.2</v>
      </c>
      <c r="V16" s="46">
        <v>27.2</v>
      </c>
      <c r="W16" s="46">
        <v>27.2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20</v>
      </c>
      <c r="AF16" s="46">
        <v>20</v>
      </c>
      <c r="AG16" s="50">
        <v>54</v>
      </c>
      <c r="AH16" s="48">
        <f t="shared" si="2"/>
        <v>27.2</v>
      </c>
      <c r="AI16" s="49">
        <f t="shared" si="3"/>
        <v>20</v>
      </c>
      <c r="AK16" s="51"/>
      <c r="AL16" s="54" t="s">
        <v>7</v>
      </c>
      <c r="AM16" s="59">
        <f t="shared" ref="AM16:AR16" si="4">B61</f>
        <v>1367.3000000000004</v>
      </c>
      <c r="AN16" s="59">
        <f t="shared" si="4"/>
        <v>1367.3000000000004</v>
      </c>
      <c r="AO16" s="59">
        <f t="shared" si="4"/>
        <v>1367.3000000000004</v>
      </c>
      <c r="AP16" s="59">
        <f t="shared" si="4"/>
        <v>1343.2000000000003</v>
      </c>
      <c r="AQ16" s="59">
        <f t="shared" si="4"/>
        <v>1351.2000000000003</v>
      </c>
      <c r="AR16" s="59">
        <f t="shared" si="4"/>
        <v>1343.2000000000003</v>
      </c>
      <c r="AS16" s="59">
        <f>I61</f>
        <v>1258.1000000000001</v>
      </c>
      <c r="AT16" s="59">
        <f>K61</f>
        <v>1265.1000000000001</v>
      </c>
      <c r="AU16" s="59">
        <f t="shared" ref="AU16:BD16" si="5">M61</f>
        <v>1412.8</v>
      </c>
      <c r="AV16" s="59">
        <f t="shared" si="5"/>
        <v>1409.8</v>
      </c>
      <c r="AW16" s="59">
        <f t="shared" si="5"/>
        <v>1336.15</v>
      </c>
      <c r="AX16" s="59">
        <f t="shared" si="5"/>
        <v>1336.15</v>
      </c>
      <c r="AY16" s="59">
        <f t="shared" si="5"/>
        <v>1336.15</v>
      </c>
      <c r="AZ16" s="59">
        <f t="shared" si="5"/>
        <v>1336.15</v>
      </c>
      <c r="BA16" s="59">
        <f t="shared" si="5"/>
        <v>1366.1499999999999</v>
      </c>
      <c r="BB16" s="59">
        <f t="shared" si="5"/>
        <v>1293.9000000000001</v>
      </c>
      <c r="BC16" s="59">
        <f t="shared" si="5"/>
        <v>1293.8000000000002</v>
      </c>
      <c r="BD16" s="59">
        <f t="shared" si="5"/>
        <v>1270.5</v>
      </c>
      <c r="BE16" s="60">
        <f>X61</f>
        <v>1230.6000000000001</v>
      </c>
      <c r="BF16" s="60">
        <f>Z61</f>
        <v>1294.5</v>
      </c>
      <c r="BG16" s="60">
        <f>AB61</f>
        <v>1420.7</v>
      </c>
      <c r="BH16" s="60">
        <f>AD61</f>
        <v>1429.7</v>
      </c>
      <c r="BI16" s="60">
        <f>AE61</f>
        <v>1352</v>
      </c>
      <c r="BJ16" s="60">
        <f>AF61</f>
        <v>1339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55.8</v>
      </c>
      <c r="C17" s="46">
        <v>55.8</v>
      </c>
      <c r="D17" s="46">
        <v>55.8</v>
      </c>
      <c r="E17" s="46">
        <v>55.8</v>
      </c>
      <c r="F17" s="46">
        <v>55.8</v>
      </c>
      <c r="G17" s="46">
        <v>55.8</v>
      </c>
      <c r="H17" s="46">
        <v>55.8</v>
      </c>
      <c r="I17" s="46">
        <v>55.8</v>
      </c>
      <c r="J17" s="46">
        <v>55.8</v>
      </c>
      <c r="K17" s="46">
        <v>55.8</v>
      </c>
      <c r="L17" s="46">
        <v>55.8</v>
      </c>
      <c r="M17" s="46">
        <v>55.6</v>
      </c>
      <c r="N17" s="46">
        <v>55.6</v>
      </c>
      <c r="O17" s="46">
        <v>55.4</v>
      </c>
      <c r="P17" s="46">
        <v>55.4</v>
      </c>
      <c r="Q17" s="46">
        <v>55.4</v>
      </c>
      <c r="R17" s="46">
        <v>55.4</v>
      </c>
      <c r="S17" s="46">
        <v>55.4</v>
      </c>
      <c r="T17" s="46">
        <v>53.1</v>
      </c>
      <c r="U17" s="46">
        <v>53.1</v>
      </c>
      <c r="V17" s="46">
        <v>53.1</v>
      </c>
      <c r="W17" s="46">
        <v>53.1</v>
      </c>
      <c r="X17" s="46">
        <v>53.4</v>
      </c>
      <c r="Y17" s="46">
        <v>53.4</v>
      </c>
      <c r="Z17" s="46">
        <v>53.4</v>
      </c>
      <c r="AA17" s="46">
        <v>53.4</v>
      </c>
      <c r="AB17" s="46">
        <v>53.4</v>
      </c>
      <c r="AC17" s="46">
        <v>53.4</v>
      </c>
      <c r="AD17" s="46">
        <v>53.4</v>
      </c>
      <c r="AE17" s="46">
        <v>53.4</v>
      </c>
      <c r="AF17" s="46">
        <v>53.4</v>
      </c>
      <c r="AG17" s="47">
        <v>52.4</v>
      </c>
      <c r="AH17" s="48">
        <f t="shared" si="2"/>
        <v>55.8</v>
      </c>
      <c r="AI17" s="49">
        <f t="shared" si="3"/>
        <v>53.1</v>
      </c>
      <c r="AK17" s="51"/>
      <c r="AL17" s="54" t="s">
        <v>27</v>
      </c>
      <c r="AM17" s="59">
        <f t="shared" ref="AM17:AR17" si="6">B65</f>
        <v>540.29999999999995</v>
      </c>
      <c r="AN17" s="59">
        <f t="shared" si="6"/>
        <v>518.29999999999995</v>
      </c>
      <c r="AO17" s="59">
        <f t="shared" si="6"/>
        <v>518.29999999999995</v>
      </c>
      <c r="AP17" s="59">
        <f t="shared" si="6"/>
        <v>534.29999999999995</v>
      </c>
      <c r="AQ17" s="59">
        <f t="shared" si="6"/>
        <v>534.29999999999995</v>
      </c>
      <c r="AR17" s="59">
        <f t="shared" si="6"/>
        <v>534.29999999999995</v>
      </c>
      <c r="AS17" s="59">
        <f>I65</f>
        <v>534.29999999999995</v>
      </c>
      <c r="AT17" s="59">
        <f>K65</f>
        <v>534.29999999999995</v>
      </c>
      <c r="AU17" s="59">
        <f t="shared" ref="AU17:BD17" si="7">M65</f>
        <v>533.79999999999995</v>
      </c>
      <c r="AV17" s="59">
        <f t="shared" si="7"/>
        <v>533.79999999999995</v>
      </c>
      <c r="AW17" s="59">
        <f t="shared" si="7"/>
        <v>517.79999999999995</v>
      </c>
      <c r="AX17" s="59">
        <f t="shared" si="7"/>
        <v>533.79999999999995</v>
      </c>
      <c r="AY17" s="59">
        <f t="shared" si="7"/>
        <v>533.79999999999995</v>
      </c>
      <c r="AZ17" s="59">
        <f t="shared" si="7"/>
        <v>533.79999999999995</v>
      </c>
      <c r="BA17" s="59">
        <f t="shared" si="7"/>
        <v>534</v>
      </c>
      <c r="BB17" s="59">
        <f t="shared" si="7"/>
        <v>540</v>
      </c>
      <c r="BC17" s="59">
        <f t="shared" si="7"/>
        <v>540</v>
      </c>
      <c r="BD17" s="59">
        <f t="shared" si="7"/>
        <v>540</v>
      </c>
      <c r="BE17" s="60">
        <f>X65</f>
        <v>540.20000000000005</v>
      </c>
      <c r="BF17" s="60">
        <f>Z65</f>
        <v>540.20000000000005</v>
      </c>
      <c r="BG17" s="60">
        <f>AB65</f>
        <v>540.20000000000005</v>
      </c>
      <c r="BH17" s="60">
        <f>AD65</f>
        <v>540.20000000000005</v>
      </c>
      <c r="BI17" s="60">
        <f>AE65</f>
        <v>540.20000000000005</v>
      </c>
      <c r="BJ17" s="60">
        <f>AF65</f>
        <v>540.20000000000005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50.6</v>
      </c>
      <c r="C18" s="46">
        <v>50.6</v>
      </c>
      <c r="D18" s="46">
        <v>50.6</v>
      </c>
      <c r="E18" s="46">
        <v>50.6</v>
      </c>
      <c r="F18" s="46">
        <v>50.6</v>
      </c>
      <c r="G18" s="46">
        <v>50.6</v>
      </c>
      <c r="H18" s="46">
        <v>50.6</v>
      </c>
      <c r="I18" s="46">
        <v>50.6</v>
      </c>
      <c r="J18" s="46">
        <v>50.6</v>
      </c>
      <c r="K18" s="46">
        <v>50.6</v>
      </c>
      <c r="L18" s="46">
        <v>50.6</v>
      </c>
      <c r="M18" s="46">
        <v>50.5</v>
      </c>
      <c r="N18" s="46">
        <v>50.5</v>
      </c>
      <c r="O18" s="46">
        <v>50.4</v>
      </c>
      <c r="P18" s="46">
        <v>50.4</v>
      </c>
      <c r="Q18" s="46">
        <v>50.4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46">
        <v>50.4</v>
      </c>
      <c r="AB18" s="53">
        <v>50.4</v>
      </c>
      <c r="AC18" s="53">
        <v>50.4</v>
      </c>
      <c r="AD18" s="53">
        <v>50.4</v>
      </c>
      <c r="AE18" s="53">
        <v>50.4</v>
      </c>
      <c r="AF18" s="53">
        <v>50.4</v>
      </c>
      <c r="AG18" s="50">
        <v>50</v>
      </c>
      <c r="AH18" s="48">
        <f t="shared" si="2"/>
        <v>50.6</v>
      </c>
      <c r="AI18" s="49">
        <f t="shared" si="3"/>
        <v>50.4</v>
      </c>
      <c r="AK18" s="51"/>
      <c r="AL18" s="54" t="s">
        <v>29</v>
      </c>
      <c r="AM18" s="59">
        <f t="shared" ref="AM18:AR18" si="8">B79</f>
        <v>395.14</v>
      </c>
      <c r="AN18" s="59">
        <f t="shared" si="8"/>
        <v>380.03999999999996</v>
      </c>
      <c r="AO18" s="59">
        <f t="shared" si="8"/>
        <v>380.03999999999996</v>
      </c>
      <c r="AP18" s="59">
        <f t="shared" si="8"/>
        <v>326.44</v>
      </c>
      <c r="AQ18" s="59">
        <f t="shared" si="8"/>
        <v>332.44</v>
      </c>
      <c r="AR18" s="59">
        <f t="shared" si="8"/>
        <v>362.44</v>
      </c>
      <c r="AS18" s="59">
        <f>I79</f>
        <v>375.04</v>
      </c>
      <c r="AT18" s="59">
        <f>K79</f>
        <v>352.44</v>
      </c>
      <c r="AU18" s="59">
        <f t="shared" ref="AU18:BD18" si="9">M79</f>
        <v>380.69000000000005</v>
      </c>
      <c r="AV18" s="59">
        <f t="shared" si="9"/>
        <v>380.69000000000005</v>
      </c>
      <c r="AW18" s="59">
        <f t="shared" si="9"/>
        <v>370.74</v>
      </c>
      <c r="AX18" s="59">
        <f t="shared" si="9"/>
        <v>370.74</v>
      </c>
      <c r="AY18" s="59">
        <f t="shared" si="9"/>
        <v>370.74</v>
      </c>
      <c r="AZ18" s="59">
        <f t="shared" si="9"/>
        <v>370.74</v>
      </c>
      <c r="BA18" s="59">
        <f t="shared" si="9"/>
        <v>370.03999999999996</v>
      </c>
      <c r="BB18" s="59">
        <f t="shared" si="9"/>
        <v>369.34</v>
      </c>
      <c r="BC18" s="59">
        <f t="shared" si="9"/>
        <v>370.03999999999996</v>
      </c>
      <c r="BD18" s="59">
        <f t="shared" si="9"/>
        <v>274.04000000000002</v>
      </c>
      <c r="BE18" s="60">
        <f>X79</f>
        <v>394.83999999999992</v>
      </c>
      <c r="BF18" s="60">
        <f>Z79</f>
        <v>390.79999999999995</v>
      </c>
      <c r="BG18" s="60">
        <f>AB79</f>
        <v>401.14</v>
      </c>
      <c r="BH18" s="60">
        <f>AD79</f>
        <v>405.24</v>
      </c>
      <c r="BI18" s="60">
        <f>AE79</f>
        <v>342.74</v>
      </c>
      <c r="BJ18" s="60">
        <f>AF79</f>
        <v>337.24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</v>
      </c>
      <c r="C19" s="46">
        <v>44</v>
      </c>
      <c r="D19" s="46">
        <v>44</v>
      </c>
      <c r="E19" s="46">
        <v>44</v>
      </c>
      <c r="F19" s="46">
        <v>44</v>
      </c>
      <c r="G19" s="46">
        <v>44</v>
      </c>
      <c r="H19" s="46">
        <v>44</v>
      </c>
      <c r="I19" s="46">
        <v>44</v>
      </c>
      <c r="J19" s="46">
        <v>44</v>
      </c>
      <c r="K19" s="46">
        <v>44</v>
      </c>
      <c r="L19" s="46">
        <v>44</v>
      </c>
      <c r="M19" s="46">
        <v>44</v>
      </c>
      <c r="N19" s="46">
        <v>44</v>
      </c>
      <c r="O19" s="46">
        <v>44</v>
      </c>
      <c r="P19" s="46">
        <v>44</v>
      </c>
      <c r="Q19" s="46">
        <v>44</v>
      </c>
      <c r="R19" s="46">
        <v>44</v>
      </c>
      <c r="S19" s="46">
        <v>44</v>
      </c>
      <c r="T19" s="46">
        <v>44</v>
      </c>
      <c r="U19" s="46">
        <v>44</v>
      </c>
      <c r="V19" s="46">
        <v>44</v>
      </c>
      <c r="W19" s="46">
        <v>44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>
        <v>44</v>
      </c>
      <c r="AE19" s="46">
        <v>44</v>
      </c>
      <c r="AF19" s="46">
        <v>44</v>
      </c>
      <c r="AG19" s="50">
        <v>45</v>
      </c>
      <c r="AH19" s="48">
        <f t="shared" si="2"/>
        <v>44</v>
      </c>
      <c r="AI19" s="49">
        <f t="shared" si="3"/>
        <v>44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44.8</v>
      </c>
      <c r="C20" s="46">
        <v>44.8</v>
      </c>
      <c r="D20" s="46">
        <v>44.8</v>
      </c>
      <c r="E20" s="46">
        <v>44.8</v>
      </c>
      <c r="F20" s="46">
        <v>44.8</v>
      </c>
      <c r="G20" s="46">
        <v>44.8</v>
      </c>
      <c r="H20" s="46">
        <v>44.8</v>
      </c>
      <c r="I20" s="46">
        <v>44.8</v>
      </c>
      <c r="J20" s="46">
        <v>44.8</v>
      </c>
      <c r="K20" s="46">
        <v>44.8</v>
      </c>
      <c r="L20" s="46">
        <v>44.8</v>
      </c>
      <c r="M20" s="46">
        <v>44.8</v>
      </c>
      <c r="N20" s="46">
        <v>44.8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44.8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-37.6</v>
      </c>
      <c r="AX20" s="59">
        <f t="shared" si="13"/>
        <v>21.95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27</v>
      </c>
      <c r="F22" s="46">
        <v>27</v>
      </c>
      <c r="G22" s="46">
        <v>27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27.5</v>
      </c>
      <c r="N22" s="46">
        <v>27.5</v>
      </c>
      <c r="O22" s="46">
        <v>27</v>
      </c>
      <c r="P22" s="46">
        <v>27</v>
      </c>
      <c r="Q22" s="46">
        <v>27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>
        <v>27</v>
      </c>
      <c r="X22" s="46">
        <v>27</v>
      </c>
      <c r="Y22" s="46">
        <v>27</v>
      </c>
      <c r="Z22" s="46">
        <v>27</v>
      </c>
      <c r="AA22" s="46">
        <v>27</v>
      </c>
      <c r="AB22" s="46">
        <v>27</v>
      </c>
      <c r="AC22" s="46">
        <v>27</v>
      </c>
      <c r="AD22" s="46">
        <v>27</v>
      </c>
      <c r="AE22" s="46">
        <v>27</v>
      </c>
      <c r="AF22" s="46">
        <v>27</v>
      </c>
      <c r="AG22" s="50">
        <v>38.46</v>
      </c>
      <c r="AH22" s="48">
        <f t="shared" si="2"/>
        <v>27.5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2302.7400000000002</v>
      </c>
      <c r="AN22" s="63">
        <f t="shared" si="16"/>
        <v>2265.6400000000003</v>
      </c>
      <c r="AO22" s="63">
        <f t="shared" si="16"/>
        <v>2265.6400000000003</v>
      </c>
      <c r="AP22" s="63">
        <f t="shared" si="16"/>
        <v>2203.94</v>
      </c>
      <c r="AQ22" s="63">
        <f t="shared" si="16"/>
        <v>2217.94</v>
      </c>
      <c r="AR22" s="63">
        <f t="shared" si="16"/>
        <v>2239.94</v>
      </c>
      <c r="AS22" s="63">
        <f t="shared" si="16"/>
        <v>2167.44</v>
      </c>
      <c r="AT22" s="63">
        <f t="shared" si="16"/>
        <v>2151.84</v>
      </c>
      <c r="AU22" s="63">
        <f t="shared" si="16"/>
        <v>2327.29</v>
      </c>
      <c r="AV22" s="63">
        <f t="shared" si="16"/>
        <v>2324.29</v>
      </c>
      <c r="AW22" s="63">
        <f t="shared" si="16"/>
        <v>2187.09</v>
      </c>
      <c r="AX22" s="63">
        <f t="shared" si="16"/>
        <v>2262.64</v>
      </c>
      <c r="AY22" s="63">
        <f t="shared" si="16"/>
        <v>2240.69</v>
      </c>
      <c r="AZ22" s="63">
        <f t="shared" si="16"/>
        <v>2240.69</v>
      </c>
      <c r="BA22" s="63">
        <f t="shared" si="16"/>
        <v>2270.1899999999996</v>
      </c>
      <c r="BB22" s="63">
        <f t="shared" si="16"/>
        <v>2203.2400000000002</v>
      </c>
      <c r="BC22" s="63">
        <f t="shared" si="16"/>
        <v>2203.84</v>
      </c>
      <c r="BD22" s="63">
        <f t="shared" si="16"/>
        <v>2084.54</v>
      </c>
      <c r="BE22" s="63">
        <f t="shared" si="16"/>
        <v>2165.6400000000003</v>
      </c>
      <c r="BF22" s="63">
        <f t="shared" si="16"/>
        <v>2225.5</v>
      </c>
      <c r="BG22" s="63">
        <f t="shared" si="16"/>
        <v>2362.04</v>
      </c>
      <c r="BH22" s="63">
        <f t="shared" si="16"/>
        <v>2375.1400000000003</v>
      </c>
      <c r="BI22" s="63">
        <f t="shared" si="16"/>
        <v>2234.94</v>
      </c>
      <c r="BJ22" s="63">
        <f t="shared" si="16"/>
        <v>2216.44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27.7</v>
      </c>
      <c r="C23" s="46">
        <v>27.7</v>
      </c>
      <c r="D23" s="46">
        <v>27.7</v>
      </c>
      <c r="E23" s="46">
        <v>27.7</v>
      </c>
      <c r="F23" s="46">
        <v>27.7</v>
      </c>
      <c r="G23" s="46">
        <v>27.7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41.4</v>
      </c>
      <c r="N23" s="46">
        <v>41.4</v>
      </c>
      <c r="O23" s="46">
        <v>40.6</v>
      </c>
      <c r="P23" s="46">
        <v>40.6</v>
      </c>
      <c r="Q23" s="46">
        <v>40.6</v>
      </c>
      <c r="R23" s="46">
        <v>40.6</v>
      </c>
      <c r="S23" s="46">
        <v>40.6</v>
      </c>
      <c r="T23" s="46">
        <v>40.6</v>
      </c>
      <c r="U23" s="46">
        <v>40.6</v>
      </c>
      <c r="V23" s="46">
        <v>40.6</v>
      </c>
      <c r="W23" s="46">
        <v>40.6</v>
      </c>
      <c r="X23" s="46">
        <v>39.5</v>
      </c>
      <c r="Y23" s="46">
        <v>39.5</v>
      </c>
      <c r="Z23" s="46">
        <v>39.5</v>
      </c>
      <c r="AA23" s="46">
        <v>39.5</v>
      </c>
      <c r="AB23" s="46">
        <v>39.5</v>
      </c>
      <c r="AC23" s="46">
        <v>39.5</v>
      </c>
      <c r="AD23" s="46">
        <v>39.5</v>
      </c>
      <c r="AE23" s="46">
        <v>41</v>
      </c>
      <c r="AF23" s="46">
        <v>41</v>
      </c>
      <c r="AG23" s="50">
        <v>38.46</v>
      </c>
      <c r="AH23" s="48">
        <f t="shared" si="2"/>
        <v>41.4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-662</v>
      </c>
      <c r="AN23" s="63">
        <f t="shared" si="17"/>
        <v>-629</v>
      </c>
      <c r="AO23" s="63">
        <f t="shared" si="17"/>
        <v>-658</v>
      </c>
      <c r="AP23" s="63">
        <f t="shared" si="17"/>
        <v>-725.1</v>
      </c>
      <c r="AQ23" s="63">
        <f t="shared" si="17"/>
        <v>-730</v>
      </c>
      <c r="AR23" s="63">
        <f t="shared" si="17"/>
        <v>-762</v>
      </c>
      <c r="AS23" s="63">
        <f>I110*-1</f>
        <v>-744.5</v>
      </c>
      <c r="AT23" s="63">
        <f>K110*-1</f>
        <v>-733</v>
      </c>
      <c r="AU23" s="63">
        <f t="shared" ref="AU23:BD23" si="18">M110*-1</f>
        <v>-704.3</v>
      </c>
      <c r="AV23" s="63">
        <f t="shared" si="18"/>
        <v>-708.8</v>
      </c>
      <c r="AW23" s="63">
        <f t="shared" si="18"/>
        <v>-667.6</v>
      </c>
      <c r="AX23" s="63">
        <f t="shared" si="18"/>
        <v>-713.6</v>
      </c>
      <c r="AY23" s="63">
        <f t="shared" si="18"/>
        <v>-677</v>
      </c>
      <c r="AZ23" s="63">
        <f t="shared" si="18"/>
        <v>-750</v>
      </c>
      <c r="BA23" s="63">
        <f t="shared" si="18"/>
        <v>-745.8</v>
      </c>
      <c r="BB23" s="63">
        <f t="shared" si="18"/>
        <v>-681.7</v>
      </c>
      <c r="BC23" s="63">
        <f t="shared" si="18"/>
        <v>-691.6</v>
      </c>
      <c r="BD23" s="63">
        <f t="shared" si="18"/>
        <v>-691.6</v>
      </c>
      <c r="BE23" s="63">
        <f>X110*-1</f>
        <v>-736.6</v>
      </c>
      <c r="BF23" s="63">
        <f>Z110*-1</f>
        <v>-660</v>
      </c>
      <c r="BG23" s="63">
        <f>AB110*-1</f>
        <v>-680.4</v>
      </c>
      <c r="BH23" s="63">
        <f>AD110*-1</f>
        <v>-708.6</v>
      </c>
      <c r="BI23" s="63">
        <f>AE110*-1</f>
        <v>-693.7</v>
      </c>
      <c r="BJ23" s="63">
        <f>AF110*-1</f>
        <v>-702.2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6</v>
      </c>
      <c r="P24" s="46">
        <v>6</v>
      </c>
      <c r="Q24" s="46">
        <v>6</v>
      </c>
      <c r="R24" s="46">
        <v>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6</v>
      </c>
      <c r="AK24" s="51"/>
      <c r="AL24" s="62" t="s">
        <v>41</v>
      </c>
      <c r="AM24" s="63">
        <f t="shared" ref="AM24:BJ24" si="19">AM22+AM23</f>
        <v>1640.7400000000002</v>
      </c>
      <c r="AN24" s="63">
        <f t="shared" si="19"/>
        <v>1636.6400000000003</v>
      </c>
      <c r="AO24" s="63">
        <f t="shared" si="19"/>
        <v>1607.6400000000003</v>
      </c>
      <c r="AP24" s="63">
        <f t="shared" si="19"/>
        <v>1478.8400000000001</v>
      </c>
      <c r="AQ24" s="63">
        <f t="shared" si="19"/>
        <v>1487.94</v>
      </c>
      <c r="AR24" s="63">
        <f t="shared" si="19"/>
        <v>1477.94</v>
      </c>
      <c r="AS24" s="63">
        <f t="shared" si="19"/>
        <v>1422.94</v>
      </c>
      <c r="AT24" s="63">
        <f t="shared" si="19"/>
        <v>1418.8400000000001</v>
      </c>
      <c r="AU24" s="63">
        <f t="shared" si="19"/>
        <v>1622.99</v>
      </c>
      <c r="AV24" s="63">
        <f t="shared" si="19"/>
        <v>1615.49</v>
      </c>
      <c r="AW24" s="63">
        <f t="shared" si="19"/>
        <v>1519.4900000000002</v>
      </c>
      <c r="AX24" s="63">
        <f t="shared" si="19"/>
        <v>1549.04</v>
      </c>
      <c r="AY24" s="63">
        <f t="shared" si="19"/>
        <v>1563.69</v>
      </c>
      <c r="AZ24" s="63">
        <f t="shared" si="19"/>
        <v>1490.69</v>
      </c>
      <c r="BA24" s="63">
        <f t="shared" si="19"/>
        <v>1524.3899999999996</v>
      </c>
      <c r="BB24" s="63">
        <f t="shared" si="19"/>
        <v>1521.5400000000002</v>
      </c>
      <c r="BC24" s="63">
        <f t="shared" si="19"/>
        <v>1512.2400000000002</v>
      </c>
      <c r="BD24" s="63">
        <f t="shared" si="19"/>
        <v>1392.94</v>
      </c>
      <c r="BE24" s="63">
        <f t="shared" si="19"/>
        <v>1429.0400000000004</v>
      </c>
      <c r="BF24" s="63">
        <f t="shared" si="19"/>
        <v>1565.5</v>
      </c>
      <c r="BG24" s="63">
        <f t="shared" si="19"/>
        <v>1681.6399999999999</v>
      </c>
      <c r="BH24" s="63">
        <f t="shared" si="19"/>
        <v>1666.5400000000004</v>
      </c>
      <c r="BI24" s="63">
        <f t="shared" si="19"/>
        <v>1541.24</v>
      </c>
      <c r="BJ24" s="63">
        <f t="shared" si="19"/>
        <v>1514.24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30.1</v>
      </c>
      <c r="C25" s="46">
        <v>30.1</v>
      </c>
      <c r="D25" s="46">
        <v>30.1</v>
      </c>
      <c r="E25" s="46">
        <v>24</v>
      </c>
      <c r="F25" s="46">
        <v>24</v>
      </c>
      <c r="G25" s="46">
        <v>24</v>
      </c>
      <c r="H25" s="46">
        <v>24</v>
      </c>
      <c r="I25" s="46">
        <v>18</v>
      </c>
      <c r="J25" s="46">
        <v>18</v>
      </c>
      <c r="K25" s="46">
        <v>18</v>
      </c>
      <c r="L25" s="46">
        <v>18</v>
      </c>
      <c r="M25" s="46">
        <v>24.7</v>
      </c>
      <c r="N25" s="46">
        <v>24.7</v>
      </c>
      <c r="O25" s="46">
        <v>30</v>
      </c>
      <c r="P25" s="46">
        <v>30</v>
      </c>
      <c r="Q25" s="46">
        <v>30</v>
      </c>
      <c r="R25" s="46">
        <v>30</v>
      </c>
      <c r="S25" s="46">
        <v>30</v>
      </c>
      <c r="T25" s="46">
        <v>30</v>
      </c>
      <c r="U25" s="46">
        <v>30</v>
      </c>
      <c r="V25" s="46">
        <v>30</v>
      </c>
      <c r="W25" s="46">
        <v>24</v>
      </c>
      <c r="X25" s="46">
        <v>15.6</v>
      </c>
      <c r="Y25" s="46">
        <v>15.6</v>
      </c>
      <c r="Z25" s="46">
        <v>24</v>
      </c>
      <c r="AA25" s="46">
        <v>30</v>
      </c>
      <c r="AB25" s="46">
        <v>30</v>
      </c>
      <c r="AC25" s="46">
        <v>30</v>
      </c>
      <c r="AD25" s="46">
        <v>30</v>
      </c>
      <c r="AE25" s="46">
        <v>20</v>
      </c>
      <c r="AF25" s="46">
        <v>20</v>
      </c>
      <c r="AG25" s="61">
        <v>30</v>
      </c>
      <c r="AH25" s="48">
        <f t="shared" si="2"/>
        <v>30.1</v>
      </c>
      <c r="AI25" s="49">
        <f t="shared" si="3"/>
        <v>15.6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>
        <v>33</v>
      </c>
      <c r="D26" s="46">
        <v>33</v>
      </c>
      <c r="E26" s="46">
        <v>33</v>
      </c>
      <c r="F26" s="46">
        <v>33</v>
      </c>
      <c r="G26" s="46">
        <v>33</v>
      </c>
      <c r="H26" s="46">
        <v>33</v>
      </c>
      <c r="I26" s="46">
        <v>33</v>
      </c>
      <c r="J26" s="46">
        <v>33</v>
      </c>
      <c r="K26" s="46">
        <v>33</v>
      </c>
      <c r="L26" s="46">
        <v>33</v>
      </c>
      <c r="M26" s="46">
        <v>33</v>
      </c>
      <c r="N26" s="46">
        <v>33</v>
      </c>
      <c r="O26" s="46">
        <v>33</v>
      </c>
      <c r="P26" s="46">
        <v>33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25.6</v>
      </c>
      <c r="AF26" s="46">
        <v>25.6</v>
      </c>
      <c r="AG26" s="50">
        <v>24.2</v>
      </c>
      <c r="AH26" s="48">
        <f t="shared" si="2"/>
        <v>33</v>
      </c>
      <c r="AI26" s="49">
        <f t="shared" si="3"/>
        <v>25.6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28.6</v>
      </c>
      <c r="C27" s="46">
        <v>28.6</v>
      </c>
      <c r="D27" s="46">
        <v>28.6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28.7</v>
      </c>
      <c r="N27" s="46">
        <v>28.7</v>
      </c>
      <c r="O27" s="46">
        <v>27.6</v>
      </c>
      <c r="P27" s="46">
        <v>27.6</v>
      </c>
      <c r="Q27" s="46">
        <v>27.6</v>
      </c>
      <c r="R27" s="46">
        <v>27.6</v>
      </c>
      <c r="S27" s="46">
        <v>27.6</v>
      </c>
      <c r="T27" s="46">
        <v>27.6</v>
      </c>
      <c r="U27" s="46">
        <v>27.6</v>
      </c>
      <c r="V27" s="46">
        <v>27.6</v>
      </c>
      <c r="W27" s="46">
        <v>27.6</v>
      </c>
      <c r="X27" s="46">
        <v>27.6</v>
      </c>
      <c r="Y27" s="46">
        <v>27.6</v>
      </c>
      <c r="Z27" s="46">
        <v>27.6</v>
      </c>
      <c r="AA27" s="46">
        <v>27.6</v>
      </c>
      <c r="AB27" s="46">
        <v>27.6</v>
      </c>
      <c r="AC27" s="46">
        <v>27.6</v>
      </c>
      <c r="AD27" s="46">
        <v>27.6</v>
      </c>
      <c r="AE27" s="46">
        <v>27.6</v>
      </c>
      <c r="AF27" s="46">
        <v>27.6</v>
      </c>
      <c r="AG27" s="50">
        <v>28</v>
      </c>
      <c r="AH27" s="48">
        <f t="shared" si="2"/>
        <v>28.7</v>
      </c>
      <c r="AI27" s="49">
        <f t="shared" si="3"/>
        <v>27.6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26.5</v>
      </c>
      <c r="C28" s="46">
        <v>26.5</v>
      </c>
      <c r="D28" s="46">
        <v>26.5</v>
      </c>
      <c r="E28" s="46">
        <v>20.7</v>
      </c>
      <c r="F28" s="46">
        <v>20.7</v>
      </c>
      <c r="G28" s="46">
        <v>20.7</v>
      </c>
      <c r="H28" s="46">
        <v>20.7</v>
      </c>
      <c r="I28" s="46">
        <v>17</v>
      </c>
      <c r="J28" s="46">
        <v>17</v>
      </c>
      <c r="K28" s="46">
        <v>17</v>
      </c>
      <c r="L28" s="46">
        <v>17</v>
      </c>
      <c r="M28" s="46">
        <v>22.2</v>
      </c>
      <c r="N28" s="46">
        <v>22.2</v>
      </c>
      <c r="O28" s="46">
        <v>26.85</v>
      </c>
      <c r="P28" s="46">
        <v>26.85</v>
      </c>
      <c r="Q28" s="46">
        <v>26.85</v>
      </c>
      <c r="R28" s="46">
        <v>26.85</v>
      </c>
      <c r="S28" s="46">
        <v>26.85</v>
      </c>
      <c r="T28" s="46">
        <v>13.5</v>
      </c>
      <c r="U28" s="46">
        <v>13.5</v>
      </c>
      <c r="V28" s="46">
        <v>13.5</v>
      </c>
      <c r="W28" s="46">
        <v>22.5</v>
      </c>
      <c r="X28" s="46">
        <v>14.1</v>
      </c>
      <c r="Y28" s="46">
        <v>14.1</v>
      </c>
      <c r="Z28" s="46">
        <v>14.1</v>
      </c>
      <c r="AA28" s="46">
        <v>27</v>
      </c>
      <c r="AB28" s="46">
        <v>27</v>
      </c>
      <c r="AC28" s="46">
        <v>27</v>
      </c>
      <c r="AD28" s="46">
        <v>27</v>
      </c>
      <c r="AE28" s="46">
        <v>19</v>
      </c>
      <c r="AF28" s="46">
        <v>19</v>
      </c>
      <c r="AG28" s="61">
        <v>30</v>
      </c>
      <c r="AH28" s="48">
        <f t="shared" si="2"/>
        <v>27</v>
      </c>
      <c r="AI28" s="49">
        <f t="shared" si="3"/>
        <v>13.5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13.1</v>
      </c>
      <c r="C29" s="46">
        <v>13.1</v>
      </c>
      <c r="D29" s="46">
        <v>13.1</v>
      </c>
      <c r="E29" s="46">
        <v>26.1</v>
      </c>
      <c r="F29" s="46">
        <v>26.1</v>
      </c>
      <c r="G29" s="46">
        <v>26.1</v>
      </c>
      <c r="H29" s="46">
        <v>26.1</v>
      </c>
      <c r="I29" s="46">
        <v>26.1</v>
      </c>
      <c r="J29" s="46">
        <v>26.1</v>
      </c>
      <c r="K29" s="46">
        <v>26.1</v>
      </c>
      <c r="L29" s="46">
        <v>26.1</v>
      </c>
      <c r="M29" s="46">
        <v>25.8</v>
      </c>
      <c r="N29" s="46">
        <v>25.8</v>
      </c>
      <c r="O29" s="46">
        <v>25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2"/>
        <v>26.1</v>
      </c>
      <c r="AI29" s="49">
        <f t="shared" si="3"/>
        <v>13.1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23</v>
      </c>
      <c r="C30" s="46">
        <v>23</v>
      </c>
      <c r="D30" s="46">
        <v>23</v>
      </c>
      <c r="E30" s="46">
        <v>23</v>
      </c>
      <c r="F30" s="46">
        <v>23</v>
      </c>
      <c r="G30" s="46">
        <v>23</v>
      </c>
      <c r="H30" s="46">
        <v>23</v>
      </c>
      <c r="I30" s="46">
        <v>23</v>
      </c>
      <c r="J30" s="46">
        <v>23</v>
      </c>
      <c r="K30" s="46">
        <v>23</v>
      </c>
      <c r="L30" s="46">
        <v>23</v>
      </c>
      <c r="M30" s="46">
        <v>25</v>
      </c>
      <c r="N30" s="46">
        <v>25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25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25</v>
      </c>
      <c r="C31" s="46">
        <v>25</v>
      </c>
      <c r="D31" s="46">
        <v>25</v>
      </c>
      <c r="E31" s="46">
        <v>25</v>
      </c>
      <c r="F31" s="46">
        <v>25</v>
      </c>
      <c r="G31" s="46">
        <v>25</v>
      </c>
      <c r="H31" s="46">
        <v>25</v>
      </c>
      <c r="I31" s="46">
        <v>25</v>
      </c>
      <c r="J31" s="46">
        <v>25</v>
      </c>
      <c r="K31" s="46">
        <v>25</v>
      </c>
      <c r="L31" s="46">
        <v>25</v>
      </c>
      <c r="M31" s="46">
        <v>25</v>
      </c>
      <c r="N31" s="46">
        <v>25</v>
      </c>
      <c r="O31" s="46">
        <v>25</v>
      </c>
      <c r="P31" s="46">
        <v>25</v>
      </c>
      <c r="Q31" s="46">
        <v>25</v>
      </c>
      <c r="R31" s="46">
        <v>25</v>
      </c>
      <c r="S31" s="46">
        <v>25</v>
      </c>
      <c r="T31" s="46">
        <v>25</v>
      </c>
      <c r="U31" s="46">
        <v>25</v>
      </c>
      <c r="V31" s="46">
        <v>25</v>
      </c>
      <c r="W31" s="46">
        <v>25</v>
      </c>
      <c r="X31" s="46">
        <v>25</v>
      </c>
      <c r="Y31" s="46">
        <v>25</v>
      </c>
      <c r="Z31" s="46">
        <v>25</v>
      </c>
      <c r="AA31" s="46">
        <v>25</v>
      </c>
      <c r="AB31" s="46">
        <v>25</v>
      </c>
      <c r="AC31" s="46">
        <v>25</v>
      </c>
      <c r="AD31" s="46">
        <v>25</v>
      </c>
      <c r="AE31" s="46">
        <v>25</v>
      </c>
      <c r="AF31" s="46">
        <v>25</v>
      </c>
      <c r="AG31" s="50">
        <v>25</v>
      </c>
      <c r="AH31" s="48">
        <f t="shared" si="2"/>
        <v>25</v>
      </c>
      <c r="AI31" s="49">
        <f t="shared" si="3"/>
        <v>25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26</v>
      </c>
      <c r="C32" s="46">
        <v>26</v>
      </c>
      <c r="D32" s="46">
        <v>26</v>
      </c>
      <c r="E32" s="46">
        <v>20.7</v>
      </c>
      <c r="F32" s="46">
        <v>20.7</v>
      </c>
      <c r="G32" s="46">
        <v>20.7</v>
      </c>
      <c r="H32" s="46">
        <v>20.7</v>
      </c>
      <c r="I32" s="46">
        <v>16</v>
      </c>
      <c r="J32" s="46">
        <v>16</v>
      </c>
      <c r="K32" s="46">
        <v>16</v>
      </c>
      <c r="L32" s="46">
        <v>16</v>
      </c>
      <c r="M32" s="46">
        <v>20.6</v>
      </c>
      <c r="N32" s="46">
        <v>20.6</v>
      </c>
      <c r="O32" s="46">
        <v>25.5</v>
      </c>
      <c r="P32" s="46">
        <v>25.5</v>
      </c>
      <c r="Q32" s="46">
        <v>25.5</v>
      </c>
      <c r="R32" s="46">
        <v>25.5</v>
      </c>
      <c r="S32" s="46">
        <v>25.5</v>
      </c>
      <c r="T32" s="46">
        <v>12.5</v>
      </c>
      <c r="U32" s="46">
        <v>12.5</v>
      </c>
      <c r="V32" s="46">
        <v>12.5</v>
      </c>
      <c r="W32" s="46">
        <v>20.5</v>
      </c>
      <c r="X32" s="46">
        <v>13.2</v>
      </c>
      <c r="Y32" s="46">
        <v>13.2</v>
      </c>
      <c r="Z32" s="46">
        <v>13.2</v>
      </c>
      <c r="AA32" s="46">
        <v>25</v>
      </c>
      <c r="AB32" s="46">
        <v>25</v>
      </c>
      <c r="AC32" s="46">
        <v>25</v>
      </c>
      <c r="AD32" s="46">
        <v>25</v>
      </c>
      <c r="AE32" s="46">
        <v>17.5</v>
      </c>
      <c r="AF32" s="46">
        <v>17.5</v>
      </c>
      <c r="AG32" s="50">
        <v>25</v>
      </c>
      <c r="AH32" s="48">
        <f t="shared" si="2"/>
        <v>26</v>
      </c>
      <c r="AI32" s="49">
        <f t="shared" si="3"/>
        <v>12.5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25.2</v>
      </c>
      <c r="C33" s="46">
        <v>25.2</v>
      </c>
      <c r="D33" s="46">
        <v>25.2</v>
      </c>
      <c r="E33" s="46">
        <v>25.2</v>
      </c>
      <c r="F33" s="46">
        <v>25.2</v>
      </c>
      <c r="G33" s="46">
        <v>25.2</v>
      </c>
      <c r="H33" s="46">
        <v>25.2</v>
      </c>
      <c r="I33" s="46">
        <v>25.2</v>
      </c>
      <c r="J33" s="46">
        <v>25.2</v>
      </c>
      <c r="K33" s="46">
        <v>25.2</v>
      </c>
      <c r="L33" s="46">
        <v>25.2</v>
      </c>
      <c r="M33" s="46">
        <v>25</v>
      </c>
      <c r="N33" s="46">
        <v>25</v>
      </c>
      <c r="O33" s="46">
        <v>25.2</v>
      </c>
      <c r="P33" s="46">
        <v>25.2</v>
      </c>
      <c r="Q33" s="46">
        <v>25.2</v>
      </c>
      <c r="R33" s="46">
        <v>25.2</v>
      </c>
      <c r="S33" s="46">
        <v>25.2</v>
      </c>
      <c r="T33" s="46">
        <v>25.2</v>
      </c>
      <c r="U33" s="46">
        <v>25.2</v>
      </c>
      <c r="V33" s="46">
        <v>25.2</v>
      </c>
      <c r="W33" s="46">
        <v>25.2</v>
      </c>
      <c r="X33" s="46">
        <v>25.2</v>
      </c>
      <c r="Y33" s="46">
        <v>25.2</v>
      </c>
      <c r="Z33" s="46">
        <v>25.2</v>
      </c>
      <c r="AA33" s="46">
        <v>25.2</v>
      </c>
      <c r="AB33" s="46">
        <v>25.2</v>
      </c>
      <c r="AC33" s="46">
        <v>25.2</v>
      </c>
      <c r="AD33" s="46">
        <v>25.2</v>
      </c>
      <c r="AE33" s="46">
        <v>24.7</v>
      </c>
      <c r="AF33" s="46">
        <v>24.7</v>
      </c>
      <c r="AG33" s="50">
        <v>23.5</v>
      </c>
      <c r="AH33" s="48">
        <f t="shared" si="2"/>
        <v>25.2</v>
      </c>
      <c r="AI33" s="49">
        <f t="shared" si="3"/>
        <v>24.7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3</v>
      </c>
      <c r="Y34" s="46">
        <v>3</v>
      </c>
      <c r="Z34" s="46">
        <v>3</v>
      </c>
      <c r="AA34" s="46">
        <v>3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3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22</v>
      </c>
      <c r="F37" s="46">
        <v>22</v>
      </c>
      <c r="G37" s="46">
        <v>22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>
        <v>22</v>
      </c>
      <c r="O37" s="46">
        <v>21</v>
      </c>
      <c r="P37" s="46">
        <v>21</v>
      </c>
      <c r="Q37" s="46">
        <v>21</v>
      </c>
      <c r="R37" s="46">
        <v>21</v>
      </c>
      <c r="S37" s="46">
        <v>21</v>
      </c>
      <c r="T37" s="46">
        <v>21</v>
      </c>
      <c r="U37" s="46">
        <v>21</v>
      </c>
      <c r="V37" s="46">
        <v>21</v>
      </c>
      <c r="W37" s="46">
        <v>21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22</v>
      </c>
      <c r="AI37" s="49">
        <f t="shared" si="3"/>
        <v>21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7</v>
      </c>
      <c r="K38" s="46">
        <v>7</v>
      </c>
      <c r="L38" s="46">
        <v>7</v>
      </c>
      <c r="M38" s="46">
        <v>7</v>
      </c>
      <c r="N38" s="46">
        <v>7</v>
      </c>
      <c r="O38" s="46">
        <v>4.3</v>
      </c>
      <c r="P38" s="46">
        <v>4.3</v>
      </c>
      <c r="Q38" s="46">
        <v>4.3</v>
      </c>
      <c r="R38" s="46">
        <v>4.3</v>
      </c>
      <c r="S38" s="46">
        <v>4.3</v>
      </c>
      <c r="T38" s="46">
        <v>11.2</v>
      </c>
      <c r="U38" s="46">
        <v>11.2</v>
      </c>
      <c r="V38" s="46">
        <v>11.2</v>
      </c>
      <c r="W38" s="46">
        <v>11.2</v>
      </c>
      <c r="X38" s="46">
        <v>11.3</v>
      </c>
      <c r="Y38" s="46">
        <v>11.3</v>
      </c>
      <c r="Z38" s="46">
        <v>11.3</v>
      </c>
      <c r="AA38" s="46">
        <v>11.3</v>
      </c>
      <c r="AB38" s="46">
        <v>11.3</v>
      </c>
      <c r="AC38" s="46">
        <v>11.3</v>
      </c>
      <c r="AD38" s="46">
        <v>11.3</v>
      </c>
      <c r="AE38" s="46">
        <v>0</v>
      </c>
      <c r="AF38" s="46">
        <v>0</v>
      </c>
      <c r="AG38" s="50">
        <v>20</v>
      </c>
      <c r="AH38" s="48">
        <f t="shared" si="2"/>
        <v>11.3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8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8</v>
      </c>
      <c r="AC40" s="46">
        <v>8</v>
      </c>
      <c r="AD40" s="46">
        <v>8</v>
      </c>
      <c r="AE40" s="46">
        <v>8</v>
      </c>
      <c r="AF40" s="46">
        <v>0</v>
      </c>
      <c r="AG40" s="50">
        <v>18</v>
      </c>
      <c r="AH40" s="48">
        <f t="shared" si="2"/>
        <v>8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8.3000000000000007</v>
      </c>
      <c r="C41" s="46">
        <v>8.3000000000000007</v>
      </c>
      <c r="D41" s="46">
        <v>8.3000000000000007</v>
      </c>
      <c r="E41" s="46">
        <v>8.3000000000000007</v>
      </c>
      <c r="F41" s="46">
        <v>8.3000000000000007</v>
      </c>
      <c r="G41" s="46">
        <v>8.3000000000000007</v>
      </c>
      <c r="H41" s="46">
        <v>8.3000000000000007</v>
      </c>
      <c r="I41" s="46">
        <v>8.3000000000000007</v>
      </c>
      <c r="J41" s="46">
        <v>8.3000000000000007</v>
      </c>
      <c r="K41" s="46">
        <v>8.3000000000000007</v>
      </c>
      <c r="L41" s="46">
        <v>8.3000000000000007</v>
      </c>
      <c r="M41" s="46">
        <v>8.3000000000000007</v>
      </c>
      <c r="N41" s="46">
        <v>8.3000000000000007</v>
      </c>
      <c r="O41" s="46">
        <v>8.3000000000000007</v>
      </c>
      <c r="P41" s="46">
        <v>8.3000000000000007</v>
      </c>
      <c r="Q41" s="46">
        <v>8.3000000000000007</v>
      </c>
      <c r="R41" s="46">
        <v>8.3000000000000007</v>
      </c>
      <c r="S41" s="46">
        <v>8.3000000000000007</v>
      </c>
      <c r="T41" s="46">
        <v>8.3000000000000007</v>
      </c>
      <c r="U41" s="46">
        <v>8.3000000000000007</v>
      </c>
      <c r="V41" s="46">
        <v>16</v>
      </c>
      <c r="W41" s="46">
        <v>16</v>
      </c>
      <c r="X41" s="46">
        <v>15.5</v>
      </c>
      <c r="Y41" s="46">
        <v>15.5</v>
      </c>
      <c r="Z41" s="46">
        <v>15.5</v>
      </c>
      <c r="AA41" s="46">
        <v>15.5</v>
      </c>
      <c r="AB41" s="46">
        <v>15.5</v>
      </c>
      <c r="AC41" s="46">
        <v>15.5</v>
      </c>
      <c r="AD41" s="46">
        <v>15.5</v>
      </c>
      <c r="AE41" s="46">
        <v>15.5</v>
      </c>
      <c r="AF41" s="46">
        <v>15.5</v>
      </c>
      <c r="AG41" s="50">
        <v>15.33</v>
      </c>
      <c r="AH41" s="48">
        <f t="shared" si="2"/>
        <v>16</v>
      </c>
      <c r="AI41" s="49">
        <f t="shared" si="3"/>
        <v>8.3000000000000007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</v>
      </c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>
        <v>7</v>
      </c>
      <c r="O46" s="46">
        <v>7</v>
      </c>
      <c r="P46" s="46">
        <v>7</v>
      </c>
      <c r="Q46" s="46">
        <v>7</v>
      </c>
      <c r="R46" s="46">
        <v>7</v>
      </c>
      <c r="S46" s="46">
        <v>7</v>
      </c>
      <c r="T46" s="46">
        <v>7</v>
      </c>
      <c r="U46" s="46">
        <v>7</v>
      </c>
      <c r="V46" s="46">
        <v>7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7</v>
      </c>
      <c r="AC46" s="46">
        <v>7</v>
      </c>
      <c r="AD46" s="46">
        <v>7</v>
      </c>
      <c r="AE46" s="46">
        <v>7</v>
      </c>
      <c r="AF46" s="46">
        <v>7</v>
      </c>
      <c r="AG46" s="50">
        <v>14</v>
      </c>
      <c r="AH46" s="48">
        <f t="shared" si="2"/>
        <v>7</v>
      </c>
      <c r="AI46" s="49">
        <f t="shared" si="3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12</v>
      </c>
      <c r="C49" s="46">
        <v>12</v>
      </c>
      <c r="D49" s="46">
        <v>12</v>
      </c>
      <c r="E49" s="46">
        <v>12</v>
      </c>
      <c r="F49" s="46">
        <v>12</v>
      </c>
      <c r="G49" s="46">
        <v>12</v>
      </c>
      <c r="H49" s="46">
        <v>12</v>
      </c>
      <c r="I49" s="46">
        <v>12</v>
      </c>
      <c r="J49" s="46">
        <v>12</v>
      </c>
      <c r="K49" s="46">
        <v>12</v>
      </c>
      <c r="L49" s="46">
        <v>12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6</v>
      </c>
      <c r="U49" s="46">
        <v>6</v>
      </c>
      <c r="V49" s="46">
        <v>6</v>
      </c>
      <c r="W49" s="46">
        <v>9.6</v>
      </c>
      <c r="X49" s="46">
        <v>6</v>
      </c>
      <c r="Y49" s="46">
        <v>6</v>
      </c>
      <c r="Z49" s="46">
        <v>6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8</v>
      </c>
      <c r="AC50" s="46">
        <v>8</v>
      </c>
      <c r="AD50" s="46">
        <v>8</v>
      </c>
      <c r="AE50" s="46">
        <v>8</v>
      </c>
      <c r="AF50" s="46">
        <v>8</v>
      </c>
      <c r="AG50" s="50">
        <v>12</v>
      </c>
      <c r="AH50" s="48">
        <f t="shared" si="2"/>
        <v>8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11</v>
      </c>
      <c r="C53" s="46">
        <v>11</v>
      </c>
      <c r="D53" s="46">
        <v>11</v>
      </c>
      <c r="E53" s="46">
        <v>11</v>
      </c>
      <c r="F53" s="46">
        <v>11</v>
      </c>
      <c r="G53" s="46">
        <v>11</v>
      </c>
      <c r="H53" s="46">
        <v>11</v>
      </c>
      <c r="I53" s="46">
        <v>11</v>
      </c>
      <c r="J53" s="46">
        <v>11</v>
      </c>
      <c r="K53" s="46">
        <v>11</v>
      </c>
      <c r="L53" s="46">
        <v>11</v>
      </c>
      <c r="M53" s="46">
        <v>11</v>
      </c>
      <c r="N53" s="46">
        <v>11</v>
      </c>
      <c r="O53" s="46">
        <v>11</v>
      </c>
      <c r="P53" s="46">
        <v>11</v>
      </c>
      <c r="Q53" s="46">
        <v>11</v>
      </c>
      <c r="R53" s="46">
        <v>11</v>
      </c>
      <c r="S53" s="46">
        <v>11</v>
      </c>
      <c r="T53" s="46">
        <v>11</v>
      </c>
      <c r="U53" s="46">
        <v>11</v>
      </c>
      <c r="V53" s="46">
        <v>11</v>
      </c>
      <c r="W53" s="46">
        <v>11</v>
      </c>
      <c r="X53" s="46">
        <v>11</v>
      </c>
      <c r="Y53" s="46">
        <v>11</v>
      </c>
      <c r="Z53" s="46">
        <v>11</v>
      </c>
      <c r="AA53" s="46">
        <v>11</v>
      </c>
      <c r="AB53" s="46">
        <v>11</v>
      </c>
      <c r="AC53" s="46">
        <v>11</v>
      </c>
      <c r="AD53" s="46">
        <v>11</v>
      </c>
      <c r="AE53" s="46">
        <v>11</v>
      </c>
      <c r="AF53" s="46">
        <v>11</v>
      </c>
      <c r="AG53" s="61">
        <v>11.88</v>
      </c>
      <c r="AH53" s="48">
        <f t="shared" si="2"/>
        <v>11</v>
      </c>
      <c r="AI53" s="49">
        <f t="shared" si="3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11.7</v>
      </c>
      <c r="C55" s="46">
        <v>11.7</v>
      </c>
      <c r="D55" s="46">
        <v>11.7</v>
      </c>
      <c r="E55" s="46">
        <v>11.7</v>
      </c>
      <c r="F55" s="46">
        <v>11.7</v>
      </c>
      <c r="G55" s="46">
        <v>11.7</v>
      </c>
      <c r="H55" s="46">
        <v>11.7</v>
      </c>
      <c r="I55" s="46">
        <v>11.7</v>
      </c>
      <c r="J55" s="46">
        <v>11.7</v>
      </c>
      <c r="K55" s="46">
        <v>11.7</v>
      </c>
      <c r="L55" s="46">
        <v>11.7</v>
      </c>
      <c r="M55" s="46">
        <v>11.7</v>
      </c>
      <c r="N55" s="46">
        <v>11.7</v>
      </c>
      <c r="O55" s="46">
        <v>11.7</v>
      </c>
      <c r="P55" s="46">
        <v>11.7</v>
      </c>
      <c r="Q55" s="46">
        <v>11.7</v>
      </c>
      <c r="R55" s="46">
        <v>11.7</v>
      </c>
      <c r="S55" s="46">
        <v>11.7</v>
      </c>
      <c r="T55" s="46">
        <v>11.7</v>
      </c>
      <c r="U55" s="46">
        <v>11.7</v>
      </c>
      <c r="V55" s="46">
        <v>11.7</v>
      </c>
      <c r="W55" s="46">
        <v>11.7</v>
      </c>
      <c r="X55" s="46">
        <v>11.7</v>
      </c>
      <c r="Y55" s="46">
        <v>11.7</v>
      </c>
      <c r="Z55" s="46">
        <v>11.7</v>
      </c>
      <c r="AA55" s="46">
        <v>11.7</v>
      </c>
      <c r="AB55" s="46">
        <v>11.7</v>
      </c>
      <c r="AC55" s="46">
        <v>11.7</v>
      </c>
      <c r="AD55" s="46">
        <v>11.7</v>
      </c>
      <c r="AE55" s="46">
        <v>11.7</v>
      </c>
      <c r="AF55" s="46">
        <v>11.7</v>
      </c>
      <c r="AG55" s="66">
        <v>11</v>
      </c>
      <c r="AH55" s="48">
        <f t="shared" si="2"/>
        <v>11.7</v>
      </c>
      <c r="AI55" s="49">
        <f t="shared" si="3"/>
        <v>11.7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5</v>
      </c>
      <c r="O57" s="46">
        <v>5</v>
      </c>
      <c r="P57" s="46">
        <v>5</v>
      </c>
      <c r="Q57" s="46">
        <v>5</v>
      </c>
      <c r="R57" s="46">
        <v>5</v>
      </c>
      <c r="S57" s="46">
        <v>5</v>
      </c>
      <c r="T57" s="46">
        <v>5</v>
      </c>
      <c r="U57" s="46">
        <v>5</v>
      </c>
      <c r="V57" s="46">
        <v>5</v>
      </c>
      <c r="W57" s="46">
        <v>5</v>
      </c>
      <c r="X57" s="46">
        <v>5</v>
      </c>
      <c r="Y57" s="46">
        <v>5</v>
      </c>
      <c r="Z57" s="46">
        <v>5</v>
      </c>
      <c r="AA57" s="46">
        <v>5</v>
      </c>
      <c r="AB57" s="46">
        <v>5</v>
      </c>
      <c r="AC57" s="46">
        <v>5</v>
      </c>
      <c r="AD57" s="46">
        <v>5</v>
      </c>
      <c r="AE57" s="46">
        <v>5</v>
      </c>
      <c r="AF57" s="46">
        <v>0</v>
      </c>
      <c r="AG57" s="66">
        <v>10</v>
      </c>
      <c r="AH57" s="48">
        <f t="shared" si="2"/>
        <v>5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8</v>
      </c>
      <c r="C58" s="46">
        <v>8</v>
      </c>
      <c r="D58" s="46">
        <v>8</v>
      </c>
      <c r="E58" s="46">
        <v>8</v>
      </c>
      <c r="F58" s="46">
        <v>8</v>
      </c>
      <c r="G58" s="46">
        <v>8</v>
      </c>
      <c r="H58" s="46">
        <v>8</v>
      </c>
      <c r="I58" s="46">
        <v>8</v>
      </c>
      <c r="J58" s="46">
        <v>8</v>
      </c>
      <c r="K58" s="46">
        <v>8</v>
      </c>
      <c r="L58" s="46">
        <v>8</v>
      </c>
      <c r="M58" s="46">
        <v>8</v>
      </c>
      <c r="N58" s="46">
        <v>8</v>
      </c>
      <c r="O58" s="46">
        <v>8</v>
      </c>
      <c r="P58" s="46">
        <v>8</v>
      </c>
      <c r="Q58" s="46">
        <v>8</v>
      </c>
      <c r="R58" s="46">
        <v>8</v>
      </c>
      <c r="S58" s="46">
        <v>8</v>
      </c>
      <c r="T58" s="46">
        <v>8</v>
      </c>
      <c r="U58" s="46">
        <v>8</v>
      </c>
      <c r="V58" s="46">
        <v>8</v>
      </c>
      <c r="W58" s="46">
        <v>8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5</v>
      </c>
      <c r="AD58" s="46">
        <v>10</v>
      </c>
      <c r="AE58" s="46">
        <v>10</v>
      </c>
      <c r="AF58" s="46">
        <v>10</v>
      </c>
      <c r="AG58" s="66">
        <v>10</v>
      </c>
      <c r="AH58" s="48">
        <f t="shared" si="2"/>
        <v>10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f>80.9+67.7</f>
        <v>148.60000000000002</v>
      </c>
      <c r="C60" s="68">
        <f>80.9+67.7</f>
        <v>148.60000000000002</v>
      </c>
      <c r="D60" s="68">
        <f>80.9+67.7</f>
        <v>148.60000000000002</v>
      </c>
      <c r="E60" s="68">
        <f>73+103</f>
        <v>176</v>
      </c>
      <c r="F60" s="68">
        <f t="shared" ref="F60:G60" si="20">73+103</f>
        <v>176</v>
      </c>
      <c r="G60" s="68">
        <f t="shared" si="20"/>
        <v>176</v>
      </c>
      <c r="H60" s="68">
        <f>62.5+102.2</f>
        <v>164.7</v>
      </c>
      <c r="I60" s="68">
        <f>60+102</f>
        <v>162</v>
      </c>
      <c r="J60" s="68">
        <f>61+89</f>
        <v>150</v>
      </c>
      <c r="K60" s="68">
        <f>61+89</f>
        <v>150</v>
      </c>
      <c r="L60" s="68">
        <v>175</v>
      </c>
      <c r="M60" s="68">
        <v>164.6</v>
      </c>
      <c r="N60" s="68">
        <v>164.6</v>
      </c>
      <c r="O60" s="53">
        <v>146</v>
      </c>
      <c r="P60" s="53">
        <v>146</v>
      </c>
      <c r="Q60" s="53">
        <v>146</v>
      </c>
      <c r="R60" s="53">
        <v>146</v>
      </c>
      <c r="S60" s="53">
        <f>55+97.8</f>
        <v>152.80000000000001</v>
      </c>
      <c r="T60" s="53">
        <f>98.2+69.8</f>
        <v>168</v>
      </c>
      <c r="U60" s="53">
        <f>98.7+68.5</f>
        <v>167.2</v>
      </c>
      <c r="V60" s="53">
        <f t="shared" ref="V60:W60" si="21">98.7+68.5</f>
        <v>167.2</v>
      </c>
      <c r="W60" s="53">
        <f t="shared" si="21"/>
        <v>167.2</v>
      </c>
      <c r="X60" s="53">
        <f>69.4+97</f>
        <v>166.4</v>
      </c>
      <c r="Y60" s="68">
        <f>98+69.3</f>
        <v>167.3</v>
      </c>
      <c r="Z60" s="68">
        <f>97.4+48.1</f>
        <v>145.5</v>
      </c>
      <c r="AA60" s="68">
        <f>102.8+72.3</f>
        <v>175.1</v>
      </c>
      <c r="AB60" s="68">
        <v>144</v>
      </c>
      <c r="AC60" s="68">
        <v>170</v>
      </c>
      <c r="AD60" s="68">
        <v>170</v>
      </c>
      <c r="AE60" s="68">
        <v>170</v>
      </c>
      <c r="AF60" s="68">
        <v>170</v>
      </c>
      <c r="AG60" s="66">
        <v>240</v>
      </c>
      <c r="AH60" s="48">
        <f t="shared" si="2"/>
        <v>176</v>
      </c>
      <c r="AI60" s="49">
        <f t="shared" si="3"/>
        <v>144</v>
      </c>
      <c r="AK60" s="51"/>
    </row>
    <row r="61" spans="1:88" ht="15.75" thickBot="1" x14ac:dyDescent="0.3">
      <c r="A61" s="70" t="s">
        <v>75</v>
      </c>
      <c r="B61" s="71">
        <f t="shared" ref="B61:C61" si="22">SUM(B11:B59)</f>
        <v>1367.3000000000004</v>
      </c>
      <c r="C61" s="71">
        <f t="shared" si="22"/>
        <v>1367.3000000000004</v>
      </c>
      <c r="D61" s="71">
        <f t="shared" ref="D61:E61" si="23">SUM(D11:D59)</f>
        <v>1367.3000000000004</v>
      </c>
      <c r="E61" s="71">
        <f t="shared" si="23"/>
        <v>1343.2000000000003</v>
      </c>
      <c r="F61" s="71">
        <f t="shared" ref="F61:G61" si="24">SUM(F11:F59)</f>
        <v>1351.2000000000003</v>
      </c>
      <c r="G61" s="71">
        <f t="shared" si="24"/>
        <v>1343.2000000000003</v>
      </c>
      <c r="H61" s="71">
        <f t="shared" ref="H61:I61" si="25">SUM(H11:H59)</f>
        <v>1272.5000000000002</v>
      </c>
      <c r="I61" s="71">
        <f t="shared" si="25"/>
        <v>1258.1000000000001</v>
      </c>
      <c r="J61" s="71">
        <f t="shared" ref="J61:K61" si="26">SUM(J11:J59)</f>
        <v>1265.1000000000001</v>
      </c>
      <c r="K61" s="71">
        <f t="shared" si="26"/>
        <v>1265.1000000000001</v>
      </c>
      <c r="L61" s="71">
        <f t="shared" ref="L61" si="27">SUM(L11:L59)</f>
        <v>1265.1000000000001</v>
      </c>
      <c r="M61" s="71">
        <f t="shared" ref="M61:AG61" si="28">SUM(M11:M59)</f>
        <v>1412.8</v>
      </c>
      <c r="N61" s="71">
        <f t="shared" si="28"/>
        <v>1409.8</v>
      </c>
      <c r="O61" s="71">
        <f t="shared" si="28"/>
        <v>1336.15</v>
      </c>
      <c r="P61" s="71">
        <f t="shared" si="28"/>
        <v>1336.15</v>
      </c>
      <c r="Q61" s="71">
        <f t="shared" si="28"/>
        <v>1336.15</v>
      </c>
      <c r="R61" s="71">
        <f t="shared" si="28"/>
        <v>1336.15</v>
      </c>
      <c r="S61" s="71">
        <f t="shared" si="28"/>
        <v>1366.1499999999999</v>
      </c>
      <c r="T61" s="71">
        <f t="shared" si="28"/>
        <v>1293.9000000000001</v>
      </c>
      <c r="U61" s="71">
        <f t="shared" si="28"/>
        <v>1293.8000000000002</v>
      </c>
      <c r="V61" s="71">
        <f t="shared" ref="V61:W61" si="29">SUM(V11:V59)</f>
        <v>1270.5</v>
      </c>
      <c r="W61" s="71">
        <f t="shared" si="29"/>
        <v>1284.0000000000002</v>
      </c>
      <c r="X61" s="71">
        <f t="shared" si="28"/>
        <v>1230.6000000000001</v>
      </c>
      <c r="Y61" s="71">
        <f t="shared" si="28"/>
        <v>1255.7000000000003</v>
      </c>
      <c r="Z61" s="71">
        <f t="shared" si="28"/>
        <v>1294.5</v>
      </c>
      <c r="AA61" s="71">
        <f t="shared" si="28"/>
        <v>1422.1000000000001</v>
      </c>
      <c r="AB61" s="71">
        <f t="shared" si="28"/>
        <v>1420.7</v>
      </c>
      <c r="AC61" s="71">
        <f t="shared" si="28"/>
        <v>1424.7</v>
      </c>
      <c r="AD61" s="71">
        <f t="shared" si="28"/>
        <v>1429.7</v>
      </c>
      <c r="AE61" s="71">
        <f t="shared" si="28"/>
        <v>1352</v>
      </c>
      <c r="AF61" s="71">
        <f t="shared" si="28"/>
        <v>1339</v>
      </c>
      <c r="AG61" s="71">
        <f t="shared" si="28"/>
        <v>1466.0300000000002</v>
      </c>
      <c r="AH61" s="48">
        <f t="shared" si="2"/>
        <v>1429.7</v>
      </c>
      <c r="AI61" s="49">
        <f t="shared" si="3"/>
        <v>1230.6000000000001</v>
      </c>
      <c r="AK61" s="51"/>
    </row>
    <row r="62" spans="1:88" x14ac:dyDescent="0.25">
      <c r="A62" s="73" t="s">
        <v>76</v>
      </c>
      <c r="B62" s="46">
        <v>458.3</v>
      </c>
      <c r="C62" s="46">
        <v>458.3</v>
      </c>
      <c r="D62" s="46">
        <v>458.3</v>
      </c>
      <c r="E62" s="46">
        <v>458.3</v>
      </c>
      <c r="F62" s="46">
        <v>458.3</v>
      </c>
      <c r="G62" s="46">
        <v>458.3</v>
      </c>
      <c r="H62" s="46">
        <v>458.3</v>
      </c>
      <c r="I62" s="46">
        <v>458.3</v>
      </c>
      <c r="J62" s="46">
        <v>458.3</v>
      </c>
      <c r="K62" s="46">
        <v>458.3</v>
      </c>
      <c r="L62" s="46">
        <v>458.3</v>
      </c>
      <c r="M62" s="46">
        <v>457.8</v>
      </c>
      <c r="N62" s="46">
        <v>457.8</v>
      </c>
      <c r="O62" s="46">
        <v>457.8</v>
      </c>
      <c r="P62" s="46">
        <v>457.8</v>
      </c>
      <c r="Q62" s="46">
        <v>457.8</v>
      </c>
      <c r="R62" s="46">
        <v>457.8</v>
      </c>
      <c r="S62" s="74">
        <v>457.8</v>
      </c>
      <c r="T62" s="74">
        <v>457.8</v>
      </c>
      <c r="U62" s="74">
        <v>457.8</v>
      </c>
      <c r="V62" s="74">
        <v>457.8</v>
      </c>
      <c r="W62" s="74">
        <v>457.8</v>
      </c>
      <c r="X62" s="46">
        <v>458</v>
      </c>
      <c r="Y62" s="46">
        <v>458</v>
      </c>
      <c r="Z62" s="46">
        <v>458</v>
      </c>
      <c r="AA62" s="46">
        <v>458</v>
      </c>
      <c r="AB62" s="46">
        <v>458</v>
      </c>
      <c r="AC62" s="46">
        <v>458</v>
      </c>
      <c r="AD62" s="46">
        <v>458</v>
      </c>
      <c r="AE62" s="46">
        <v>458</v>
      </c>
      <c r="AF62" s="46">
        <v>458</v>
      </c>
      <c r="AG62" s="61">
        <v>456</v>
      </c>
      <c r="AH62" s="48">
        <f t="shared" si="2"/>
        <v>458.3</v>
      </c>
      <c r="AI62" s="49">
        <f t="shared" si="3"/>
        <v>457.8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60.2</v>
      </c>
      <c r="T63" s="76">
        <v>60.2</v>
      </c>
      <c r="U63" s="76">
        <v>60.2</v>
      </c>
      <c r="V63" s="76">
        <v>60.2</v>
      </c>
      <c r="W63" s="76">
        <v>60.2</v>
      </c>
      <c r="X63" s="76">
        <v>60.2</v>
      </c>
      <c r="Y63" s="76">
        <v>60.2</v>
      </c>
      <c r="Z63" s="76">
        <v>60.2</v>
      </c>
      <c r="AA63" s="76">
        <v>60.2</v>
      </c>
      <c r="AB63" s="76">
        <v>60.2</v>
      </c>
      <c r="AC63" s="76">
        <v>60.2</v>
      </c>
      <c r="AD63" s="76">
        <v>60.2</v>
      </c>
      <c r="AE63" s="76">
        <v>60.2</v>
      </c>
      <c r="AF63" s="76">
        <v>60.2</v>
      </c>
      <c r="AG63" s="66">
        <v>60</v>
      </c>
      <c r="AH63" s="48">
        <f t="shared" si="2"/>
        <v>60.2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</v>
      </c>
      <c r="C64" s="78">
        <v>0</v>
      </c>
      <c r="D64" s="78">
        <v>0</v>
      </c>
      <c r="E64" s="78">
        <v>16</v>
      </c>
      <c r="F64" s="78">
        <v>16</v>
      </c>
      <c r="G64" s="78">
        <v>16</v>
      </c>
      <c r="H64" s="78">
        <v>16</v>
      </c>
      <c r="I64" s="78">
        <v>16</v>
      </c>
      <c r="J64" s="78">
        <v>16</v>
      </c>
      <c r="K64" s="78">
        <v>16</v>
      </c>
      <c r="L64" s="78">
        <v>16</v>
      </c>
      <c r="M64" s="78">
        <v>16</v>
      </c>
      <c r="N64" s="78">
        <v>16</v>
      </c>
      <c r="O64" s="78">
        <v>0</v>
      </c>
      <c r="P64" s="78">
        <v>16</v>
      </c>
      <c r="Q64" s="78">
        <v>16</v>
      </c>
      <c r="R64" s="78">
        <v>16</v>
      </c>
      <c r="S64" s="78">
        <v>16</v>
      </c>
      <c r="T64" s="78">
        <v>22</v>
      </c>
      <c r="U64" s="78">
        <v>22</v>
      </c>
      <c r="V64" s="78">
        <v>22</v>
      </c>
      <c r="W64" s="78">
        <v>22</v>
      </c>
      <c r="X64" s="78">
        <v>22</v>
      </c>
      <c r="Y64" s="78">
        <v>22</v>
      </c>
      <c r="Z64" s="78">
        <v>22</v>
      </c>
      <c r="AA64" s="78">
        <v>22</v>
      </c>
      <c r="AB64" s="78">
        <v>22</v>
      </c>
      <c r="AC64" s="78">
        <v>22</v>
      </c>
      <c r="AD64" s="78">
        <v>22</v>
      </c>
      <c r="AE64" s="78">
        <v>22</v>
      </c>
      <c r="AF64" s="78">
        <v>22</v>
      </c>
      <c r="AG64" s="79">
        <v>22.1</v>
      </c>
      <c r="AH64" s="48">
        <f t="shared" si="2"/>
        <v>22</v>
      </c>
      <c r="AI64" s="49">
        <f t="shared" si="3"/>
        <v>0</v>
      </c>
      <c r="AK64" s="51"/>
    </row>
    <row r="65" spans="1:75" ht="15.75" thickBot="1" x14ac:dyDescent="0.3">
      <c r="A65" s="80" t="s">
        <v>79</v>
      </c>
      <c r="B65" s="71">
        <f t="shared" ref="B65:C65" si="30">SUM(B62:B64)</f>
        <v>540.29999999999995</v>
      </c>
      <c r="C65" s="71">
        <f t="shared" si="30"/>
        <v>518.29999999999995</v>
      </c>
      <c r="D65" s="71">
        <f t="shared" ref="D65:E65" si="31">SUM(D62:D64)</f>
        <v>518.29999999999995</v>
      </c>
      <c r="E65" s="71">
        <f t="shared" si="31"/>
        <v>534.29999999999995</v>
      </c>
      <c r="F65" s="71">
        <f t="shared" ref="F65:G65" si="32">SUM(F62:F64)</f>
        <v>534.29999999999995</v>
      </c>
      <c r="G65" s="71">
        <f t="shared" si="32"/>
        <v>534.29999999999995</v>
      </c>
      <c r="H65" s="71">
        <f t="shared" ref="H65:I65" si="33">SUM(H62:H64)</f>
        <v>534.29999999999995</v>
      </c>
      <c r="I65" s="71">
        <f t="shared" si="33"/>
        <v>534.29999999999995</v>
      </c>
      <c r="J65" s="71">
        <f t="shared" ref="J65:K65" si="34">SUM(J62:J64)</f>
        <v>534.29999999999995</v>
      </c>
      <c r="K65" s="71">
        <f t="shared" si="34"/>
        <v>534.29999999999995</v>
      </c>
      <c r="L65" s="71">
        <f t="shared" ref="L65" si="35">SUM(L62:L64)</f>
        <v>534.29999999999995</v>
      </c>
      <c r="M65" s="71">
        <f t="shared" ref="M65:AG65" si="36">SUM(M62:M64)</f>
        <v>533.79999999999995</v>
      </c>
      <c r="N65" s="71">
        <f t="shared" si="36"/>
        <v>533.79999999999995</v>
      </c>
      <c r="O65" s="71">
        <f t="shared" si="36"/>
        <v>517.79999999999995</v>
      </c>
      <c r="P65" s="71">
        <f t="shared" si="36"/>
        <v>533.79999999999995</v>
      </c>
      <c r="Q65" s="71">
        <f t="shared" si="36"/>
        <v>533.79999999999995</v>
      </c>
      <c r="R65" s="71">
        <f t="shared" si="36"/>
        <v>533.79999999999995</v>
      </c>
      <c r="S65" s="71">
        <f t="shared" si="36"/>
        <v>534</v>
      </c>
      <c r="T65" s="71">
        <f t="shared" ref="T65" si="37">SUM(T62:T64)</f>
        <v>540</v>
      </c>
      <c r="U65" s="71">
        <f>SUM(U62:U64)</f>
        <v>540</v>
      </c>
      <c r="V65" s="71">
        <f t="shared" ref="V65:W65" si="38">SUM(V62:V64)</f>
        <v>540</v>
      </c>
      <c r="W65" s="71">
        <f t="shared" si="38"/>
        <v>540</v>
      </c>
      <c r="X65" s="71">
        <f t="shared" si="36"/>
        <v>540.20000000000005</v>
      </c>
      <c r="Y65" s="71">
        <f t="shared" si="36"/>
        <v>540.20000000000005</v>
      </c>
      <c r="Z65" s="71">
        <f t="shared" si="36"/>
        <v>540.20000000000005</v>
      </c>
      <c r="AA65" s="71">
        <f t="shared" si="36"/>
        <v>540.20000000000005</v>
      </c>
      <c r="AB65" s="71">
        <f t="shared" si="36"/>
        <v>540.20000000000005</v>
      </c>
      <c r="AC65" s="71">
        <f t="shared" si="36"/>
        <v>540.20000000000005</v>
      </c>
      <c r="AD65" s="71">
        <f t="shared" si="36"/>
        <v>540.20000000000005</v>
      </c>
      <c r="AE65" s="71">
        <f t="shared" si="36"/>
        <v>540.20000000000005</v>
      </c>
      <c r="AF65" s="71">
        <f t="shared" si="36"/>
        <v>540.20000000000005</v>
      </c>
      <c r="AG65" s="72">
        <f t="shared" si="36"/>
        <v>538.1</v>
      </c>
      <c r="AH65" s="48">
        <f t="shared" si="2"/>
        <v>540.29999999999995</v>
      </c>
      <c r="AI65" s="49">
        <f t="shared" si="3"/>
        <v>517.79999999999995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130</v>
      </c>
      <c r="C66" s="46">
        <v>130</v>
      </c>
      <c r="D66" s="46">
        <v>130</v>
      </c>
      <c r="E66" s="46">
        <v>130</v>
      </c>
      <c r="F66" s="46">
        <v>130</v>
      </c>
      <c r="G66" s="46">
        <v>130</v>
      </c>
      <c r="H66" s="46">
        <v>130</v>
      </c>
      <c r="I66" s="46">
        <v>130</v>
      </c>
      <c r="J66" s="46">
        <v>110</v>
      </c>
      <c r="K66" s="46">
        <v>110</v>
      </c>
      <c r="L66" s="46">
        <v>110</v>
      </c>
      <c r="M66" s="46">
        <v>121</v>
      </c>
      <c r="N66" s="46">
        <v>121</v>
      </c>
      <c r="O66" s="46">
        <v>121</v>
      </c>
      <c r="P66" s="46">
        <v>121</v>
      </c>
      <c r="Q66" s="46">
        <v>121</v>
      </c>
      <c r="R66" s="46">
        <v>121</v>
      </c>
      <c r="S66" s="46">
        <v>101</v>
      </c>
      <c r="T66" s="46">
        <v>101</v>
      </c>
      <c r="U66" s="46">
        <v>101</v>
      </c>
      <c r="V66" s="46">
        <v>0</v>
      </c>
      <c r="W66" s="46">
        <v>101</v>
      </c>
      <c r="X66" s="46">
        <v>130.1</v>
      </c>
      <c r="Y66" s="46">
        <v>130.1</v>
      </c>
      <c r="Z66" s="46">
        <v>130.1</v>
      </c>
      <c r="AA66" s="46">
        <v>130.1</v>
      </c>
      <c r="AB66" s="46">
        <v>130.1</v>
      </c>
      <c r="AC66" s="46">
        <v>130.1</v>
      </c>
      <c r="AD66" s="46">
        <v>130.1</v>
      </c>
      <c r="AE66" s="46">
        <v>130.1</v>
      </c>
      <c r="AF66" s="46">
        <v>130.1</v>
      </c>
      <c r="AG66" s="61">
        <v>144</v>
      </c>
      <c r="AH66" s="48">
        <f t="shared" si="2"/>
        <v>130.1</v>
      </c>
      <c r="AI66" s="49">
        <f t="shared" si="3"/>
        <v>0</v>
      </c>
      <c r="AK66" s="51"/>
      <c r="AY66" s="1" t="s">
        <v>86</v>
      </c>
      <c r="AZ66" s="82">
        <f>ROUND(C84,0)</f>
        <v>-12</v>
      </c>
      <c r="BA66" s="81">
        <f t="shared" ref="BA66:BD70" si="39">D84</f>
        <v>-28</v>
      </c>
      <c r="BB66" s="81">
        <f t="shared" si="39"/>
        <v>-30.1</v>
      </c>
      <c r="BC66" s="81">
        <f t="shared" si="39"/>
        <v>-60</v>
      </c>
      <c r="BD66" s="81">
        <f t="shared" si="39"/>
        <v>-63</v>
      </c>
      <c r="BE66" s="82">
        <f>I84</f>
        <v>-41.5</v>
      </c>
      <c r="BF66" s="82">
        <f>K84</f>
        <v>-52</v>
      </c>
      <c r="BG66" s="82">
        <f t="shared" ref="BG66:BP70" si="40">M84</f>
        <v>-56.3</v>
      </c>
      <c r="BH66" s="82">
        <f t="shared" si="40"/>
        <v>-50.8</v>
      </c>
      <c r="BI66" s="82">
        <f t="shared" si="40"/>
        <v>-37.6</v>
      </c>
      <c r="BJ66" s="82">
        <f t="shared" si="40"/>
        <v>-38.6</v>
      </c>
      <c r="BK66" s="82">
        <f t="shared" si="40"/>
        <v>-46</v>
      </c>
      <c r="BL66" s="82">
        <f t="shared" si="40"/>
        <v>-40</v>
      </c>
      <c r="BM66" s="82">
        <f t="shared" si="40"/>
        <v>-41.4</v>
      </c>
      <c r="BN66" s="82">
        <f t="shared" si="40"/>
        <v>-40.700000000000003</v>
      </c>
      <c r="BO66" s="82">
        <f t="shared" si="40"/>
        <v>-49.7</v>
      </c>
      <c r="BP66" s="82">
        <f t="shared" si="40"/>
        <v>-49.7</v>
      </c>
      <c r="BQ66" s="82">
        <f>X84</f>
        <v>-50.6</v>
      </c>
      <c r="BR66" s="82">
        <f>Z84</f>
        <v>-53.7</v>
      </c>
      <c r="BS66" s="81">
        <f>AB84</f>
        <v>-40.4</v>
      </c>
      <c r="BT66" s="81">
        <f t="shared" ref="BT66:BV70" si="41">AD84</f>
        <v>-41.6</v>
      </c>
      <c r="BU66" s="81">
        <f t="shared" si="41"/>
        <v>-46.7</v>
      </c>
      <c r="BV66" s="81">
        <f t="shared" si="41"/>
        <v>-48.2</v>
      </c>
      <c r="BW66" s="81">
        <f>B84</f>
        <v>-22</v>
      </c>
    </row>
    <row r="67" spans="1:75" x14ac:dyDescent="0.25">
      <c r="A67" s="65" t="s">
        <v>81</v>
      </c>
      <c r="B67" s="76">
        <v>69</v>
      </c>
      <c r="C67" s="76">
        <v>69</v>
      </c>
      <c r="D67" s="76">
        <v>69</v>
      </c>
      <c r="E67" s="76">
        <v>69</v>
      </c>
      <c r="F67" s="76">
        <v>69</v>
      </c>
      <c r="G67" s="76">
        <v>69</v>
      </c>
      <c r="H67" s="76">
        <v>69</v>
      </c>
      <c r="I67" s="76">
        <v>69</v>
      </c>
      <c r="J67" s="76">
        <v>69</v>
      </c>
      <c r="K67" s="76">
        <v>69</v>
      </c>
      <c r="L67" s="76">
        <v>69</v>
      </c>
      <c r="M67" s="76">
        <v>69</v>
      </c>
      <c r="N67" s="76">
        <v>69</v>
      </c>
      <c r="O67" s="76">
        <v>69</v>
      </c>
      <c r="P67" s="76">
        <v>69</v>
      </c>
      <c r="Q67" s="76">
        <v>69</v>
      </c>
      <c r="R67" s="76">
        <v>69</v>
      </c>
      <c r="S67" s="76">
        <v>69</v>
      </c>
      <c r="T67" s="76">
        <v>69</v>
      </c>
      <c r="U67" s="76">
        <v>69</v>
      </c>
      <c r="V67" s="76">
        <v>69</v>
      </c>
      <c r="W67" s="76">
        <v>69</v>
      </c>
      <c r="X67" s="46">
        <v>69</v>
      </c>
      <c r="Y67" s="46">
        <v>69</v>
      </c>
      <c r="Z67" s="46">
        <v>69</v>
      </c>
      <c r="AA67" s="46">
        <v>69</v>
      </c>
      <c r="AB67" s="46">
        <v>69</v>
      </c>
      <c r="AC67" s="46">
        <v>69</v>
      </c>
      <c r="AD67" s="46">
        <v>69</v>
      </c>
      <c r="AE67" s="46">
        <v>69</v>
      </c>
      <c r="AF67" s="46">
        <v>69</v>
      </c>
      <c r="AG67" s="66">
        <v>70</v>
      </c>
      <c r="AH67" s="48">
        <f t="shared" si="2"/>
        <v>69</v>
      </c>
      <c r="AI67" s="49">
        <f t="shared" si="3"/>
        <v>69</v>
      </c>
      <c r="AK67" s="51"/>
      <c r="AY67" s="1" t="s">
        <v>88</v>
      </c>
      <c r="AZ67" s="82">
        <f>ROUND(C85,0)</f>
        <v>0</v>
      </c>
      <c r="BA67" s="81">
        <f t="shared" si="39"/>
        <v>0</v>
      </c>
      <c r="BB67" s="81">
        <f t="shared" si="39"/>
        <v>0</v>
      </c>
      <c r="BC67" s="81">
        <f t="shared" si="39"/>
        <v>0</v>
      </c>
      <c r="BD67" s="81">
        <f t="shared" si="39"/>
        <v>0</v>
      </c>
      <c r="BE67" s="82">
        <f>I85</f>
        <v>0</v>
      </c>
      <c r="BF67" s="82">
        <f>K85</f>
        <v>0</v>
      </c>
      <c r="BG67" s="82">
        <f t="shared" si="40"/>
        <v>0</v>
      </c>
      <c r="BH67" s="82">
        <f t="shared" si="40"/>
        <v>0</v>
      </c>
      <c r="BI67" s="82">
        <f t="shared" si="40"/>
        <v>0</v>
      </c>
      <c r="BJ67" s="82">
        <f t="shared" si="40"/>
        <v>0</v>
      </c>
      <c r="BK67" s="82">
        <f t="shared" si="40"/>
        <v>0</v>
      </c>
      <c r="BL67" s="82">
        <f t="shared" si="40"/>
        <v>0</v>
      </c>
      <c r="BM67" s="82">
        <f t="shared" si="40"/>
        <v>0</v>
      </c>
      <c r="BN67" s="82">
        <f t="shared" si="40"/>
        <v>0</v>
      </c>
      <c r="BO67" s="82">
        <f t="shared" si="40"/>
        <v>0</v>
      </c>
      <c r="BP67" s="82">
        <f t="shared" si="40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1"/>
        <v>0</v>
      </c>
      <c r="BU67" s="81">
        <f t="shared" si="41"/>
        <v>0</v>
      </c>
      <c r="BV67" s="81">
        <f t="shared" si="41"/>
        <v>0</v>
      </c>
      <c r="BW67" s="81">
        <f>B85</f>
        <v>0</v>
      </c>
    </row>
    <row r="68" spans="1:75" x14ac:dyDescent="0.25">
      <c r="A68" s="65" t="s">
        <v>82</v>
      </c>
      <c r="B68" s="76">
        <v>64</v>
      </c>
      <c r="C68" s="76">
        <v>64</v>
      </c>
      <c r="D68" s="76">
        <v>64</v>
      </c>
      <c r="E68" s="76">
        <v>64</v>
      </c>
      <c r="F68" s="76">
        <v>64</v>
      </c>
      <c r="G68" s="76">
        <v>64</v>
      </c>
      <c r="H68" s="76">
        <v>64</v>
      </c>
      <c r="I68" s="76">
        <v>64</v>
      </c>
      <c r="J68" s="76">
        <v>64</v>
      </c>
      <c r="K68" s="76">
        <v>64</v>
      </c>
      <c r="L68" s="76">
        <v>64</v>
      </c>
      <c r="M68" s="76">
        <v>63.2</v>
      </c>
      <c r="N68" s="76">
        <v>63.2</v>
      </c>
      <c r="O68" s="76">
        <v>62.4</v>
      </c>
      <c r="P68" s="76">
        <v>62.4</v>
      </c>
      <c r="Q68" s="76">
        <v>62.4</v>
      </c>
      <c r="R68" s="76">
        <v>62.4</v>
      </c>
      <c r="S68" s="76">
        <v>63.3</v>
      </c>
      <c r="T68" s="76">
        <v>63.3</v>
      </c>
      <c r="U68" s="76">
        <v>63.3</v>
      </c>
      <c r="V68" s="76">
        <v>63.3</v>
      </c>
      <c r="W68" s="76">
        <v>63.3</v>
      </c>
      <c r="X68" s="46">
        <v>63.4</v>
      </c>
      <c r="Y68" s="46">
        <v>63.4</v>
      </c>
      <c r="Z68" s="46">
        <v>63.4</v>
      </c>
      <c r="AA68" s="46">
        <v>63.4</v>
      </c>
      <c r="AB68" s="46">
        <v>63.4</v>
      </c>
      <c r="AC68" s="46">
        <v>63.4</v>
      </c>
      <c r="AD68" s="46">
        <v>63.4</v>
      </c>
      <c r="AE68" s="46">
        <v>0</v>
      </c>
      <c r="AF68" s="46">
        <v>0</v>
      </c>
      <c r="AG68" s="66">
        <v>69</v>
      </c>
      <c r="AH68" s="48">
        <f t="shared" si="2"/>
        <v>64</v>
      </c>
      <c r="AI68" s="49">
        <f t="shared" si="3"/>
        <v>0</v>
      </c>
      <c r="AK68" s="51"/>
      <c r="AL68" s="83"/>
      <c r="AO68" s="83"/>
      <c r="AY68" s="1" t="s">
        <v>90</v>
      </c>
      <c r="AZ68" s="82">
        <f>ROUND(C86,0)</f>
        <v>-617</v>
      </c>
      <c r="BA68" s="81">
        <f t="shared" si="39"/>
        <v>-630</v>
      </c>
      <c r="BB68" s="81">
        <f t="shared" si="39"/>
        <v>-695</v>
      </c>
      <c r="BC68" s="81">
        <f t="shared" si="39"/>
        <v>-670</v>
      </c>
      <c r="BD68" s="81">
        <f t="shared" si="39"/>
        <v>-699</v>
      </c>
      <c r="BE68" s="82">
        <f>I86</f>
        <v>-703</v>
      </c>
      <c r="BF68" s="82">
        <f>K86</f>
        <v>-681</v>
      </c>
      <c r="BG68" s="82">
        <f t="shared" si="40"/>
        <v>-648</v>
      </c>
      <c r="BH68" s="82">
        <f t="shared" si="40"/>
        <v>-658</v>
      </c>
      <c r="BI68" s="82">
        <f t="shared" si="40"/>
        <v>-630</v>
      </c>
      <c r="BJ68" s="82">
        <f t="shared" si="40"/>
        <v>-675</v>
      </c>
      <c r="BK68" s="82">
        <f t="shared" si="40"/>
        <v>-631</v>
      </c>
      <c r="BL68" s="82">
        <f t="shared" si="40"/>
        <v>-710</v>
      </c>
      <c r="BM68" s="82">
        <f t="shared" si="40"/>
        <v>-704.4</v>
      </c>
      <c r="BN68" s="82">
        <f t="shared" si="40"/>
        <v>-641</v>
      </c>
      <c r="BO68" s="82">
        <f t="shared" si="40"/>
        <v>-641.9</v>
      </c>
      <c r="BP68" s="82">
        <f t="shared" si="40"/>
        <v>-641.9</v>
      </c>
      <c r="BQ68" s="82">
        <f>X86</f>
        <v>-686</v>
      </c>
      <c r="BR68" s="82">
        <f>Z86</f>
        <v>-606.29999999999995</v>
      </c>
      <c r="BS68" s="81">
        <f>AB86</f>
        <v>-640</v>
      </c>
      <c r="BT68" s="81">
        <f t="shared" si="41"/>
        <v>-667</v>
      </c>
      <c r="BU68" s="81">
        <f t="shared" si="41"/>
        <v>-647</v>
      </c>
      <c r="BV68" s="81">
        <f t="shared" si="41"/>
        <v>-654</v>
      </c>
      <c r="BW68" s="81">
        <f>B86</f>
        <v>-640</v>
      </c>
    </row>
    <row r="69" spans="1:75" s="83" customFormat="1" x14ac:dyDescent="0.25">
      <c r="A69" s="65" t="s">
        <v>83</v>
      </c>
      <c r="B69" s="76">
        <v>57.2</v>
      </c>
      <c r="C69" s="76">
        <v>57.2</v>
      </c>
      <c r="D69" s="76">
        <v>57.2</v>
      </c>
      <c r="E69" s="76">
        <v>0</v>
      </c>
      <c r="F69" s="76">
        <v>0</v>
      </c>
      <c r="G69" s="76">
        <v>30</v>
      </c>
      <c r="H69" s="76">
        <v>41</v>
      </c>
      <c r="I69" s="76">
        <v>41</v>
      </c>
      <c r="J69" s="76">
        <v>41</v>
      </c>
      <c r="K69" s="76">
        <v>41</v>
      </c>
      <c r="L69" s="76">
        <v>41</v>
      </c>
      <c r="M69" s="76">
        <v>61.2</v>
      </c>
      <c r="N69" s="76">
        <v>61.2</v>
      </c>
      <c r="O69" s="76">
        <v>60.9</v>
      </c>
      <c r="P69" s="76">
        <v>60.9</v>
      </c>
      <c r="Q69" s="76">
        <v>60.9</v>
      </c>
      <c r="R69" s="76">
        <v>60.9</v>
      </c>
      <c r="S69" s="76">
        <v>61.2</v>
      </c>
      <c r="T69" s="76">
        <v>61.2</v>
      </c>
      <c r="U69" s="76">
        <v>61.2</v>
      </c>
      <c r="V69" s="76">
        <v>61.2</v>
      </c>
      <c r="W69" s="76">
        <v>61.2</v>
      </c>
      <c r="X69" s="76">
        <v>61.2</v>
      </c>
      <c r="Y69" s="76">
        <v>61.2</v>
      </c>
      <c r="Z69" s="76">
        <v>60.9</v>
      </c>
      <c r="AA69" s="76">
        <v>60.9</v>
      </c>
      <c r="AB69" s="76">
        <v>60.9</v>
      </c>
      <c r="AC69" s="76">
        <v>60.9</v>
      </c>
      <c r="AD69" s="76">
        <v>60.9</v>
      </c>
      <c r="AE69" s="76">
        <v>60.9</v>
      </c>
      <c r="AF69" s="76">
        <v>60.9</v>
      </c>
      <c r="AG69" s="66">
        <v>60</v>
      </c>
      <c r="AH69" s="48">
        <f t="shared" si="2"/>
        <v>61.2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9"/>
        <v>0</v>
      </c>
      <c r="BB69" s="81">
        <f t="shared" si="39"/>
        <v>0</v>
      </c>
      <c r="BC69" s="81">
        <f t="shared" si="39"/>
        <v>0</v>
      </c>
      <c r="BD69" s="81">
        <f t="shared" si="39"/>
        <v>0</v>
      </c>
      <c r="BE69" s="82">
        <f>I87</f>
        <v>0</v>
      </c>
      <c r="BF69" s="82">
        <f>K87</f>
        <v>0</v>
      </c>
      <c r="BG69" s="82">
        <f t="shared" si="40"/>
        <v>0</v>
      </c>
      <c r="BH69" s="82">
        <f t="shared" si="40"/>
        <v>0</v>
      </c>
      <c r="BI69" s="82">
        <f t="shared" si="40"/>
        <v>0</v>
      </c>
      <c r="BJ69" s="82">
        <f t="shared" si="40"/>
        <v>0</v>
      </c>
      <c r="BK69" s="82">
        <f t="shared" si="40"/>
        <v>0</v>
      </c>
      <c r="BL69" s="82">
        <f t="shared" si="40"/>
        <v>0</v>
      </c>
      <c r="BM69" s="82">
        <f t="shared" si="40"/>
        <v>0</v>
      </c>
      <c r="BN69" s="82">
        <f t="shared" si="40"/>
        <v>0</v>
      </c>
      <c r="BO69" s="82">
        <f t="shared" si="40"/>
        <v>0</v>
      </c>
      <c r="BP69" s="82">
        <f t="shared" si="40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1"/>
        <v>0</v>
      </c>
      <c r="BU69" s="81">
        <f t="shared" si="41"/>
        <v>0</v>
      </c>
      <c r="BV69" s="81">
        <f t="shared" si="41"/>
        <v>0</v>
      </c>
      <c r="BW69" s="81">
        <f>B87</f>
        <v>0</v>
      </c>
    </row>
    <row r="70" spans="1:75" x14ac:dyDescent="0.25">
      <c r="A70" s="65" t="s">
        <v>84</v>
      </c>
      <c r="B70" s="46">
        <v>27.4</v>
      </c>
      <c r="C70" s="46">
        <v>27.4</v>
      </c>
      <c r="D70" s="46">
        <v>27.4</v>
      </c>
      <c r="E70" s="46">
        <v>27.4</v>
      </c>
      <c r="F70" s="46">
        <v>27.4</v>
      </c>
      <c r="G70" s="46">
        <v>27.4</v>
      </c>
      <c r="H70" s="46">
        <v>0</v>
      </c>
      <c r="I70" s="46">
        <v>27</v>
      </c>
      <c r="J70" s="46">
        <v>27</v>
      </c>
      <c r="K70" s="46">
        <v>27</v>
      </c>
      <c r="L70" s="46">
        <v>27</v>
      </c>
      <c r="M70" s="76">
        <v>27.2</v>
      </c>
      <c r="N70" s="76">
        <v>27.2</v>
      </c>
      <c r="O70" s="76">
        <v>27.3</v>
      </c>
      <c r="P70" s="76">
        <v>27.3</v>
      </c>
      <c r="Q70" s="76">
        <v>27.3</v>
      </c>
      <c r="R70" s="76">
        <v>27.3</v>
      </c>
      <c r="S70" s="76">
        <v>27.4</v>
      </c>
      <c r="T70" s="76">
        <v>27.4</v>
      </c>
      <c r="U70" s="76">
        <v>27.4</v>
      </c>
      <c r="V70" s="76">
        <v>27.4</v>
      </c>
      <c r="W70" s="76">
        <v>27.4</v>
      </c>
      <c r="X70" s="76">
        <v>27.4</v>
      </c>
      <c r="Y70" s="76">
        <v>27.4</v>
      </c>
      <c r="Z70" s="76">
        <v>27.4</v>
      </c>
      <c r="AA70" s="76">
        <v>27.4</v>
      </c>
      <c r="AB70" s="76">
        <v>27.4</v>
      </c>
      <c r="AC70" s="76">
        <v>27.4</v>
      </c>
      <c r="AD70" s="76">
        <v>27.4</v>
      </c>
      <c r="AE70" s="76">
        <v>27.4</v>
      </c>
      <c r="AF70" s="76">
        <v>27.4</v>
      </c>
      <c r="AG70" s="66">
        <v>30</v>
      </c>
      <c r="AH70" s="48">
        <f t="shared" si="2"/>
        <v>27.4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9"/>
        <v>0</v>
      </c>
      <c r="BB70" s="81">
        <f t="shared" si="39"/>
        <v>0</v>
      </c>
      <c r="BC70" s="81">
        <f t="shared" si="39"/>
        <v>0</v>
      </c>
      <c r="BD70" s="81">
        <f t="shared" si="39"/>
        <v>0</v>
      </c>
      <c r="BE70" s="82">
        <f>I88</f>
        <v>0</v>
      </c>
      <c r="BF70" s="82">
        <f>K88</f>
        <v>0</v>
      </c>
      <c r="BG70" s="82">
        <f t="shared" si="40"/>
        <v>0</v>
      </c>
      <c r="BH70" s="82">
        <f t="shared" si="40"/>
        <v>0</v>
      </c>
      <c r="BI70" s="82">
        <f t="shared" si="40"/>
        <v>0</v>
      </c>
      <c r="BJ70" s="82">
        <f t="shared" si="40"/>
        <v>0</v>
      </c>
      <c r="BK70" s="82">
        <f t="shared" si="40"/>
        <v>0</v>
      </c>
      <c r="BL70" s="82">
        <f t="shared" si="40"/>
        <v>0</v>
      </c>
      <c r="BM70" s="82">
        <f t="shared" si="40"/>
        <v>0</v>
      </c>
      <c r="BN70" s="82">
        <f t="shared" si="40"/>
        <v>0</v>
      </c>
      <c r="BO70" s="82">
        <f t="shared" si="40"/>
        <v>0</v>
      </c>
      <c r="BP70" s="82">
        <f t="shared" si="40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1"/>
        <v>0</v>
      </c>
      <c r="BU70" s="81">
        <f t="shared" si="41"/>
        <v>0</v>
      </c>
      <c r="BV70" s="81">
        <f t="shared" si="41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0.4</v>
      </c>
      <c r="K71" s="46">
        <v>0.4</v>
      </c>
      <c r="L71" s="46">
        <v>2.8</v>
      </c>
      <c r="M71" s="76">
        <v>4.8499999999999996</v>
      </c>
      <c r="N71" s="76">
        <v>4.8499999999999996</v>
      </c>
      <c r="O71" s="76">
        <v>5.7</v>
      </c>
      <c r="P71" s="76">
        <v>5.7</v>
      </c>
      <c r="Q71" s="76">
        <v>5.7</v>
      </c>
      <c r="R71" s="76">
        <v>5.7</v>
      </c>
      <c r="S71" s="76">
        <v>8.9</v>
      </c>
      <c r="T71" s="76">
        <v>8.1999999999999993</v>
      </c>
      <c r="U71" s="76">
        <v>8.9</v>
      </c>
      <c r="V71" s="76">
        <v>8.9</v>
      </c>
      <c r="W71" s="76">
        <v>8.9</v>
      </c>
      <c r="X71" s="76">
        <v>8.9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8.9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2">M94</f>
        <v>0</v>
      </c>
      <c r="BH71" s="82">
        <f t="shared" si="42"/>
        <v>0</v>
      </c>
      <c r="BI71" s="82">
        <f t="shared" si="42"/>
        <v>0</v>
      </c>
      <c r="BJ71" s="82">
        <f t="shared" si="42"/>
        <v>0</v>
      </c>
      <c r="BK71" s="82">
        <f t="shared" si="42"/>
        <v>0</v>
      </c>
      <c r="BL71" s="82">
        <f t="shared" si="42"/>
        <v>0</v>
      </c>
      <c r="BM71" s="82">
        <f t="shared" si="42"/>
        <v>0</v>
      </c>
      <c r="BN71" s="82">
        <f t="shared" si="42"/>
        <v>0</v>
      </c>
      <c r="BO71" s="82">
        <f t="shared" si="42"/>
        <v>0</v>
      </c>
      <c r="BP71" s="82">
        <f t="shared" si="42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15.1</v>
      </c>
      <c r="C72" s="76">
        <v>0</v>
      </c>
      <c r="D72" s="76">
        <v>0</v>
      </c>
      <c r="E72" s="76">
        <v>0</v>
      </c>
      <c r="F72" s="76">
        <v>6</v>
      </c>
      <c r="G72" s="76">
        <v>6</v>
      </c>
      <c r="H72" s="76">
        <v>8</v>
      </c>
      <c r="I72" s="76">
        <v>8</v>
      </c>
      <c r="J72" s="76">
        <v>8</v>
      </c>
      <c r="K72" s="76">
        <v>8</v>
      </c>
      <c r="L72" s="76">
        <v>8</v>
      </c>
      <c r="M72" s="76">
        <v>6</v>
      </c>
      <c r="N72" s="76">
        <v>6</v>
      </c>
      <c r="O72" s="76">
        <v>0</v>
      </c>
      <c r="P72" s="76">
        <v>0</v>
      </c>
      <c r="Q72" s="76">
        <v>0</v>
      </c>
      <c r="R72" s="76">
        <v>0</v>
      </c>
      <c r="S72" s="76">
        <v>14.8</v>
      </c>
      <c r="T72" s="76">
        <v>14.8</v>
      </c>
      <c r="U72" s="76">
        <v>14.8</v>
      </c>
      <c r="V72" s="76">
        <v>14.8</v>
      </c>
      <c r="W72" s="76">
        <v>14.8</v>
      </c>
      <c r="X72" s="76">
        <v>6.4</v>
      </c>
      <c r="Y72" s="76">
        <v>4</v>
      </c>
      <c r="Z72" s="76">
        <v>4</v>
      </c>
      <c r="AA72" s="76">
        <v>4</v>
      </c>
      <c r="AB72" s="76">
        <v>11</v>
      </c>
      <c r="AC72" s="76">
        <v>11</v>
      </c>
      <c r="AD72" s="76">
        <v>14</v>
      </c>
      <c r="AE72" s="76">
        <v>15.2</v>
      </c>
      <c r="AF72" s="76">
        <v>15.2</v>
      </c>
      <c r="AG72" s="66">
        <v>24</v>
      </c>
      <c r="AH72" s="48">
        <f t="shared" si="2"/>
        <v>15.2</v>
      </c>
      <c r="AI72" s="49">
        <f t="shared" si="3"/>
        <v>0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2.1</v>
      </c>
      <c r="N73" s="76">
        <v>2.1</v>
      </c>
      <c r="O73" s="76">
        <v>2.2000000000000002</v>
      </c>
      <c r="P73" s="76">
        <v>2.2000000000000002</v>
      </c>
      <c r="Q73" s="76">
        <v>2.2000000000000002</v>
      </c>
      <c r="R73" s="76">
        <v>2.2000000000000002</v>
      </c>
      <c r="S73" s="76">
        <v>2.2000000000000002</v>
      </c>
      <c r="T73" s="76">
        <v>2.2000000000000002</v>
      </c>
      <c r="U73" s="76">
        <v>2.2000000000000002</v>
      </c>
      <c r="V73" s="76">
        <v>2.2000000000000002</v>
      </c>
      <c r="W73" s="76">
        <v>2.2000000000000002</v>
      </c>
      <c r="X73" s="76">
        <v>2.2000000000000002</v>
      </c>
      <c r="Y73" s="76">
        <v>1.8</v>
      </c>
      <c r="Z73" s="76">
        <v>1.8</v>
      </c>
      <c r="AA73" s="76">
        <v>1.8</v>
      </c>
      <c r="AB73" s="76">
        <v>1.8</v>
      </c>
      <c r="AC73" s="76">
        <v>1.8</v>
      </c>
      <c r="AD73" s="76">
        <v>1.8</v>
      </c>
      <c r="AE73" s="76">
        <v>1.8</v>
      </c>
      <c r="AF73" s="76">
        <v>1.8</v>
      </c>
      <c r="AG73" s="66">
        <v>15</v>
      </c>
      <c r="AH73" s="48">
        <f t="shared" si="2"/>
        <v>2.2000000000000002</v>
      </c>
      <c r="AI73" s="49">
        <f t="shared" si="3"/>
        <v>0</v>
      </c>
      <c r="AK73" s="51"/>
      <c r="AZ73" s="82">
        <f t="shared" ref="AZ73:BW78" si="43">VALUE(AZ66)</f>
        <v>-12</v>
      </c>
      <c r="BA73" s="82">
        <f t="shared" si="43"/>
        <v>-28</v>
      </c>
      <c r="BB73" s="82">
        <f t="shared" si="43"/>
        <v>-30.1</v>
      </c>
      <c r="BC73" s="82">
        <f t="shared" si="43"/>
        <v>-60</v>
      </c>
      <c r="BD73" s="82">
        <f t="shared" si="43"/>
        <v>-63</v>
      </c>
      <c r="BE73" s="82">
        <f t="shared" si="43"/>
        <v>-41.5</v>
      </c>
      <c r="BF73" s="82">
        <f t="shared" si="43"/>
        <v>-52</v>
      </c>
      <c r="BG73" s="82">
        <f t="shared" si="43"/>
        <v>-56.3</v>
      </c>
      <c r="BH73" s="82">
        <f t="shared" si="43"/>
        <v>-50.8</v>
      </c>
      <c r="BI73" s="82">
        <f t="shared" si="43"/>
        <v>-37.6</v>
      </c>
      <c r="BJ73" s="82">
        <f t="shared" si="43"/>
        <v>-38.6</v>
      </c>
      <c r="BK73" s="82">
        <f t="shared" si="43"/>
        <v>-46</v>
      </c>
      <c r="BL73" s="82">
        <f t="shared" si="43"/>
        <v>-40</v>
      </c>
      <c r="BM73" s="82">
        <f t="shared" si="43"/>
        <v>-41.4</v>
      </c>
      <c r="BN73" s="82">
        <f t="shared" si="43"/>
        <v>-40.700000000000003</v>
      </c>
      <c r="BO73" s="82">
        <f t="shared" si="43"/>
        <v>-49.7</v>
      </c>
      <c r="BP73" s="82">
        <f t="shared" si="43"/>
        <v>-49.7</v>
      </c>
      <c r="BQ73" s="82">
        <f t="shared" si="43"/>
        <v>-50.6</v>
      </c>
      <c r="BR73" s="82">
        <f t="shared" si="43"/>
        <v>-53.7</v>
      </c>
      <c r="BS73" s="82">
        <f t="shared" si="43"/>
        <v>-40.4</v>
      </c>
      <c r="BT73" s="82">
        <f t="shared" si="43"/>
        <v>-41.6</v>
      </c>
      <c r="BU73" s="82">
        <f t="shared" si="43"/>
        <v>-46.7</v>
      </c>
      <c r="BV73" s="82">
        <f t="shared" si="43"/>
        <v>-48.2</v>
      </c>
      <c r="BW73" s="82">
        <f t="shared" si="43"/>
        <v>-22</v>
      </c>
    </row>
    <row r="74" spans="1:75" x14ac:dyDescent="0.25">
      <c r="A74" s="65" t="s">
        <v>91</v>
      </c>
      <c r="B74" s="76">
        <v>11.2</v>
      </c>
      <c r="C74" s="76">
        <v>11.2</v>
      </c>
      <c r="D74" s="76">
        <v>11.2</v>
      </c>
      <c r="E74" s="76">
        <v>11.2</v>
      </c>
      <c r="F74" s="76">
        <v>11.2</v>
      </c>
      <c r="G74" s="76">
        <v>11.2</v>
      </c>
      <c r="H74" s="76">
        <v>11.2</v>
      </c>
      <c r="I74" s="76">
        <v>11.2</v>
      </c>
      <c r="J74" s="76">
        <v>11.2</v>
      </c>
      <c r="K74" s="76">
        <v>11.2</v>
      </c>
      <c r="L74" s="76">
        <v>11.2</v>
      </c>
      <c r="M74" s="76">
        <v>6.6</v>
      </c>
      <c r="N74" s="76">
        <v>6.6</v>
      </c>
      <c r="O74" s="76">
        <v>2.7</v>
      </c>
      <c r="P74" s="76">
        <v>2.7</v>
      </c>
      <c r="Q74" s="76">
        <v>2.7</v>
      </c>
      <c r="R74" s="76">
        <v>2.7</v>
      </c>
      <c r="S74" s="76">
        <v>2.7</v>
      </c>
      <c r="T74" s="76">
        <v>2.7</v>
      </c>
      <c r="U74" s="76">
        <v>2.7</v>
      </c>
      <c r="V74" s="76">
        <v>2.7</v>
      </c>
      <c r="W74" s="76">
        <v>2.7</v>
      </c>
      <c r="X74" s="76">
        <v>2.7</v>
      </c>
      <c r="Y74" s="76">
        <v>2.7</v>
      </c>
      <c r="Z74" s="76">
        <v>2.7</v>
      </c>
      <c r="AA74" s="76">
        <v>2.7</v>
      </c>
      <c r="AB74" s="76">
        <v>8</v>
      </c>
      <c r="AC74" s="76">
        <v>8</v>
      </c>
      <c r="AD74" s="76">
        <v>9.1</v>
      </c>
      <c r="AE74" s="76">
        <v>9.1</v>
      </c>
      <c r="AF74" s="76">
        <v>9.1</v>
      </c>
      <c r="AG74" s="66">
        <v>14.1</v>
      </c>
      <c r="AH74" s="48">
        <f t="shared" si="2"/>
        <v>11.2</v>
      </c>
      <c r="AI74" s="49">
        <f t="shared" si="3"/>
        <v>2.7</v>
      </c>
      <c r="AK74" s="51"/>
      <c r="AZ74" s="82">
        <f t="shared" si="43"/>
        <v>0</v>
      </c>
      <c r="BA74" s="82">
        <f t="shared" si="43"/>
        <v>0</v>
      </c>
      <c r="BB74" s="82">
        <f t="shared" si="43"/>
        <v>0</v>
      </c>
      <c r="BC74" s="82">
        <f t="shared" si="43"/>
        <v>0</v>
      </c>
      <c r="BD74" s="82">
        <f t="shared" si="43"/>
        <v>0</v>
      </c>
      <c r="BE74" s="82">
        <f t="shared" si="43"/>
        <v>0</v>
      </c>
      <c r="BF74" s="82">
        <f t="shared" si="43"/>
        <v>0</v>
      </c>
      <c r="BG74" s="82">
        <f t="shared" si="43"/>
        <v>0</v>
      </c>
      <c r="BH74" s="82">
        <f t="shared" si="43"/>
        <v>0</v>
      </c>
      <c r="BI74" s="82">
        <f t="shared" si="43"/>
        <v>0</v>
      </c>
      <c r="BJ74" s="82">
        <f t="shared" si="43"/>
        <v>0</v>
      </c>
      <c r="BK74" s="82">
        <f t="shared" si="43"/>
        <v>0</v>
      </c>
      <c r="BL74" s="82">
        <f t="shared" si="43"/>
        <v>0</v>
      </c>
      <c r="BM74" s="82">
        <f t="shared" si="43"/>
        <v>0</v>
      </c>
      <c r="BN74" s="82">
        <f t="shared" si="43"/>
        <v>0</v>
      </c>
      <c r="BO74" s="82">
        <f t="shared" si="43"/>
        <v>0</v>
      </c>
      <c r="BP74" s="82">
        <f t="shared" si="43"/>
        <v>0</v>
      </c>
      <c r="BQ74" s="82">
        <f t="shared" si="43"/>
        <v>0</v>
      </c>
      <c r="BR74" s="82">
        <f t="shared" si="43"/>
        <v>0</v>
      </c>
      <c r="BS74" s="82">
        <f t="shared" si="43"/>
        <v>0</v>
      </c>
      <c r="BT74" s="82">
        <f t="shared" si="43"/>
        <v>0</v>
      </c>
      <c r="BU74" s="82">
        <f t="shared" si="43"/>
        <v>0</v>
      </c>
      <c r="BV74" s="82">
        <f t="shared" si="43"/>
        <v>0</v>
      </c>
      <c r="BW74" s="82">
        <f t="shared" si="43"/>
        <v>0</v>
      </c>
    </row>
    <row r="75" spans="1:75" x14ac:dyDescent="0.25">
      <c r="A75" s="84" t="s">
        <v>93</v>
      </c>
      <c r="B75" s="76">
        <v>1.7</v>
      </c>
      <c r="C75" s="76">
        <v>1.7</v>
      </c>
      <c r="D75" s="76">
        <v>1.7</v>
      </c>
      <c r="E75" s="76">
        <v>5.3</v>
      </c>
      <c r="F75" s="76">
        <v>5.3</v>
      </c>
      <c r="G75" s="76">
        <v>5.3</v>
      </c>
      <c r="H75" s="76">
        <v>5.3</v>
      </c>
      <c r="I75" s="76">
        <v>5.3</v>
      </c>
      <c r="J75" s="76">
        <v>2.2999999999999998</v>
      </c>
      <c r="K75" s="76">
        <v>2.2999999999999998</v>
      </c>
      <c r="L75" s="76">
        <v>2.2999999999999998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5</v>
      </c>
      <c r="W75" s="76">
        <v>11</v>
      </c>
      <c r="X75" s="76">
        <v>4</v>
      </c>
      <c r="Y75" s="76">
        <v>10</v>
      </c>
      <c r="Z75" s="76">
        <v>10</v>
      </c>
      <c r="AA75" s="76">
        <v>10</v>
      </c>
      <c r="AB75" s="76">
        <v>10</v>
      </c>
      <c r="AC75" s="76">
        <v>10</v>
      </c>
      <c r="AD75" s="76">
        <v>10</v>
      </c>
      <c r="AE75" s="76">
        <v>9.6999999999999993</v>
      </c>
      <c r="AF75" s="76">
        <v>4.2</v>
      </c>
      <c r="AG75" s="66">
        <v>14</v>
      </c>
      <c r="AH75" s="48">
        <f t="shared" ref="AH75:AH126" si="44">MAX(B75:AF75)</f>
        <v>11</v>
      </c>
      <c r="AI75" s="49">
        <f t="shared" ref="AI75:AI126" si="45">MIN(B75:AF75)</f>
        <v>0</v>
      </c>
      <c r="AK75" s="51"/>
      <c r="AZ75" s="82">
        <f t="shared" si="43"/>
        <v>-617</v>
      </c>
      <c r="BA75" s="82">
        <f t="shared" si="43"/>
        <v>-630</v>
      </c>
      <c r="BB75" s="82">
        <f t="shared" si="43"/>
        <v>-695</v>
      </c>
      <c r="BC75" s="82">
        <f t="shared" si="43"/>
        <v>-670</v>
      </c>
      <c r="BD75" s="82">
        <f t="shared" si="43"/>
        <v>-699</v>
      </c>
      <c r="BE75" s="82">
        <f t="shared" si="43"/>
        <v>-703</v>
      </c>
      <c r="BF75" s="82">
        <f t="shared" si="43"/>
        <v>-681</v>
      </c>
      <c r="BG75" s="82">
        <f t="shared" si="43"/>
        <v>-648</v>
      </c>
      <c r="BH75" s="82">
        <f t="shared" si="43"/>
        <v>-658</v>
      </c>
      <c r="BI75" s="82">
        <f t="shared" si="43"/>
        <v>-630</v>
      </c>
      <c r="BJ75" s="82">
        <f t="shared" si="43"/>
        <v>-675</v>
      </c>
      <c r="BK75" s="82">
        <f t="shared" si="43"/>
        <v>-631</v>
      </c>
      <c r="BL75" s="82">
        <f t="shared" si="43"/>
        <v>-710</v>
      </c>
      <c r="BM75" s="82">
        <f t="shared" si="43"/>
        <v>-704.4</v>
      </c>
      <c r="BN75" s="82">
        <f t="shared" si="43"/>
        <v>-641</v>
      </c>
      <c r="BO75" s="82">
        <f t="shared" si="43"/>
        <v>-641.9</v>
      </c>
      <c r="BP75" s="82">
        <f t="shared" si="43"/>
        <v>-641.9</v>
      </c>
      <c r="BQ75" s="82">
        <f t="shared" si="43"/>
        <v>-686</v>
      </c>
      <c r="BR75" s="82">
        <f t="shared" si="43"/>
        <v>-606.29999999999995</v>
      </c>
      <c r="BS75" s="82">
        <f t="shared" si="43"/>
        <v>-640</v>
      </c>
      <c r="BT75" s="82">
        <f t="shared" si="43"/>
        <v>-667</v>
      </c>
      <c r="BU75" s="82">
        <f t="shared" si="43"/>
        <v>-647</v>
      </c>
      <c r="BV75" s="82">
        <f t="shared" si="43"/>
        <v>-654</v>
      </c>
      <c r="BW75" s="82">
        <f t="shared" si="43"/>
        <v>-640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4"/>
        <v>10</v>
      </c>
      <c r="AI76" s="49">
        <f t="shared" si="45"/>
        <v>10</v>
      </c>
      <c r="AK76" s="51"/>
      <c r="AZ76" s="82">
        <f t="shared" si="43"/>
        <v>0</v>
      </c>
      <c r="BA76" s="82">
        <f t="shared" si="43"/>
        <v>0</v>
      </c>
      <c r="BB76" s="82">
        <f t="shared" si="43"/>
        <v>0</v>
      </c>
      <c r="BC76" s="82">
        <f t="shared" si="43"/>
        <v>0</v>
      </c>
      <c r="BD76" s="82">
        <f t="shared" si="43"/>
        <v>0</v>
      </c>
      <c r="BE76" s="82">
        <f t="shared" si="43"/>
        <v>0</v>
      </c>
      <c r="BF76" s="82">
        <f t="shared" si="43"/>
        <v>0</v>
      </c>
      <c r="BG76" s="82">
        <f t="shared" si="43"/>
        <v>0</v>
      </c>
      <c r="BH76" s="82">
        <f t="shared" si="43"/>
        <v>0</v>
      </c>
      <c r="BI76" s="82">
        <f t="shared" si="43"/>
        <v>0</v>
      </c>
      <c r="BJ76" s="82">
        <f t="shared" si="43"/>
        <v>0</v>
      </c>
      <c r="BK76" s="82">
        <f t="shared" si="43"/>
        <v>0</v>
      </c>
      <c r="BL76" s="82">
        <f t="shared" si="43"/>
        <v>0</v>
      </c>
      <c r="BM76" s="82">
        <f t="shared" si="43"/>
        <v>0</v>
      </c>
      <c r="BN76" s="82">
        <f t="shared" si="43"/>
        <v>0</v>
      </c>
      <c r="BO76" s="82">
        <f t="shared" si="43"/>
        <v>0</v>
      </c>
      <c r="BP76" s="82">
        <f t="shared" si="43"/>
        <v>0</v>
      </c>
      <c r="BQ76" s="82">
        <f t="shared" si="43"/>
        <v>0</v>
      </c>
      <c r="BR76" s="82">
        <f t="shared" si="43"/>
        <v>0</v>
      </c>
      <c r="BS76" s="82">
        <f t="shared" si="43"/>
        <v>0</v>
      </c>
      <c r="BT76" s="82">
        <f t="shared" si="43"/>
        <v>0</v>
      </c>
      <c r="BU76" s="82">
        <f t="shared" si="43"/>
        <v>0</v>
      </c>
      <c r="BV76" s="82">
        <f t="shared" si="43"/>
        <v>0</v>
      </c>
      <c r="BW76" s="82">
        <f t="shared" si="43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4"/>
        <v>6</v>
      </c>
      <c r="AI77" s="49">
        <f t="shared" si="45"/>
        <v>6</v>
      </c>
      <c r="AK77" s="51"/>
      <c r="AZ77" s="82">
        <f t="shared" si="43"/>
        <v>0</v>
      </c>
      <c r="BA77" s="82">
        <f t="shared" si="43"/>
        <v>0</v>
      </c>
      <c r="BB77" s="82">
        <f t="shared" si="43"/>
        <v>0</v>
      </c>
      <c r="BC77" s="82">
        <f t="shared" si="43"/>
        <v>0</v>
      </c>
      <c r="BD77" s="82">
        <f t="shared" si="43"/>
        <v>0</v>
      </c>
      <c r="BE77" s="82">
        <f t="shared" si="43"/>
        <v>0</v>
      </c>
      <c r="BF77" s="82">
        <f t="shared" si="43"/>
        <v>0</v>
      </c>
      <c r="BG77" s="82">
        <f t="shared" si="43"/>
        <v>0</v>
      </c>
      <c r="BH77" s="82">
        <f t="shared" si="43"/>
        <v>0</v>
      </c>
      <c r="BI77" s="82">
        <f t="shared" si="43"/>
        <v>0</v>
      </c>
      <c r="BJ77" s="82">
        <f t="shared" si="43"/>
        <v>0</v>
      </c>
      <c r="BK77" s="82">
        <f t="shared" si="43"/>
        <v>0</v>
      </c>
      <c r="BL77" s="82">
        <f t="shared" si="43"/>
        <v>0</v>
      </c>
      <c r="BM77" s="82">
        <f t="shared" si="43"/>
        <v>0</v>
      </c>
      <c r="BN77" s="82">
        <f t="shared" si="43"/>
        <v>0</v>
      </c>
      <c r="BO77" s="82">
        <f t="shared" si="43"/>
        <v>0</v>
      </c>
      <c r="BP77" s="82">
        <f t="shared" si="43"/>
        <v>0</v>
      </c>
      <c r="BQ77" s="82">
        <f t="shared" si="43"/>
        <v>0</v>
      </c>
      <c r="BR77" s="82">
        <f t="shared" si="43"/>
        <v>0</v>
      </c>
      <c r="BS77" s="82">
        <f t="shared" si="43"/>
        <v>0</v>
      </c>
      <c r="BT77" s="82">
        <f t="shared" si="43"/>
        <v>0</v>
      </c>
      <c r="BU77" s="82">
        <f t="shared" si="43"/>
        <v>0</v>
      </c>
      <c r="BV77" s="82">
        <f t="shared" si="43"/>
        <v>0</v>
      </c>
      <c r="BW77" s="82">
        <f t="shared" si="43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4"/>
        <v>5.5</v>
      </c>
      <c r="AI78" s="49">
        <f t="shared" si="45"/>
        <v>3.5</v>
      </c>
      <c r="AK78" s="51"/>
      <c r="AZ78" s="82">
        <f t="shared" si="43"/>
        <v>0</v>
      </c>
      <c r="BA78" s="82">
        <f t="shared" si="43"/>
        <v>0</v>
      </c>
      <c r="BB78" s="82">
        <f t="shared" si="43"/>
        <v>0</v>
      </c>
      <c r="BC78" s="82">
        <f t="shared" si="43"/>
        <v>0</v>
      </c>
      <c r="BD78" s="82">
        <f t="shared" si="43"/>
        <v>0</v>
      </c>
      <c r="BE78" s="82">
        <f t="shared" si="43"/>
        <v>0</v>
      </c>
      <c r="BF78" s="82">
        <f t="shared" si="43"/>
        <v>0</v>
      </c>
      <c r="BG78" s="82">
        <f t="shared" si="43"/>
        <v>0</v>
      </c>
      <c r="BH78" s="82">
        <f t="shared" si="43"/>
        <v>0</v>
      </c>
      <c r="BI78" s="82">
        <f t="shared" si="43"/>
        <v>0</v>
      </c>
      <c r="BJ78" s="82">
        <f t="shared" si="43"/>
        <v>0</v>
      </c>
      <c r="BK78" s="82">
        <f t="shared" si="43"/>
        <v>0</v>
      </c>
      <c r="BL78" s="82">
        <f t="shared" si="43"/>
        <v>0</v>
      </c>
      <c r="BM78" s="82">
        <f t="shared" si="43"/>
        <v>0</v>
      </c>
      <c r="BN78" s="82">
        <f t="shared" si="43"/>
        <v>0</v>
      </c>
      <c r="BO78" s="82">
        <f t="shared" si="43"/>
        <v>0</v>
      </c>
      <c r="BP78" s="82">
        <f t="shared" si="43"/>
        <v>0</v>
      </c>
      <c r="BQ78" s="82">
        <f t="shared" si="43"/>
        <v>0</v>
      </c>
      <c r="BR78" s="82">
        <f t="shared" si="43"/>
        <v>0</v>
      </c>
      <c r="BS78" s="82">
        <f t="shared" si="43"/>
        <v>0</v>
      </c>
      <c r="BT78" s="82">
        <f t="shared" si="43"/>
        <v>0</v>
      </c>
      <c r="BU78" s="82">
        <f t="shared" si="43"/>
        <v>0</v>
      </c>
      <c r="BV78" s="82">
        <f t="shared" si="43"/>
        <v>0</v>
      </c>
      <c r="BW78" s="82">
        <f t="shared" si="43"/>
        <v>0</v>
      </c>
    </row>
    <row r="79" spans="1:75" ht="15.75" thickBot="1" x14ac:dyDescent="0.3">
      <c r="A79" s="87" t="s">
        <v>99</v>
      </c>
      <c r="B79" s="71">
        <f t="shared" ref="B79:C79" si="46">SUM(B66:B78)</f>
        <v>395.14</v>
      </c>
      <c r="C79" s="71">
        <f t="shared" si="46"/>
        <v>380.03999999999996</v>
      </c>
      <c r="D79" s="71">
        <f t="shared" ref="D79:E79" si="47">SUM(D66:D78)</f>
        <v>380.03999999999996</v>
      </c>
      <c r="E79" s="71">
        <f t="shared" si="47"/>
        <v>326.44</v>
      </c>
      <c r="F79" s="71">
        <f t="shared" ref="F79:G79" si="48">SUM(F66:F78)</f>
        <v>332.44</v>
      </c>
      <c r="G79" s="71">
        <f t="shared" si="48"/>
        <v>362.44</v>
      </c>
      <c r="H79" s="71">
        <f t="shared" ref="H79:I79" si="49">SUM(H66:H78)</f>
        <v>348.04</v>
      </c>
      <c r="I79" s="71">
        <f t="shared" si="49"/>
        <v>375.04</v>
      </c>
      <c r="J79" s="71">
        <f t="shared" ref="J79:K79" si="50">SUM(J66:J78)</f>
        <v>352.44</v>
      </c>
      <c r="K79" s="71">
        <f t="shared" si="50"/>
        <v>352.44</v>
      </c>
      <c r="L79" s="71">
        <f t="shared" ref="L79" si="51">SUM(L66:L78)</f>
        <v>354.84000000000003</v>
      </c>
      <c r="M79" s="71">
        <f t="shared" ref="M79:AG79" si="52">SUM(M66:M78)</f>
        <v>380.69000000000005</v>
      </c>
      <c r="N79" s="71">
        <f t="shared" si="52"/>
        <v>380.69000000000005</v>
      </c>
      <c r="O79" s="71">
        <f t="shared" si="52"/>
        <v>370.74</v>
      </c>
      <c r="P79" s="71">
        <f t="shared" si="52"/>
        <v>370.74</v>
      </c>
      <c r="Q79" s="71">
        <f t="shared" si="52"/>
        <v>370.74</v>
      </c>
      <c r="R79" s="71">
        <f t="shared" si="52"/>
        <v>370.74</v>
      </c>
      <c r="S79" s="71">
        <f t="shared" si="52"/>
        <v>370.03999999999996</v>
      </c>
      <c r="T79" s="71">
        <f t="shared" si="52"/>
        <v>369.34</v>
      </c>
      <c r="U79" s="71">
        <f t="shared" si="52"/>
        <v>370.03999999999996</v>
      </c>
      <c r="V79" s="71">
        <f t="shared" si="52"/>
        <v>274.04000000000002</v>
      </c>
      <c r="W79" s="71">
        <f t="shared" si="52"/>
        <v>381.03999999999996</v>
      </c>
      <c r="X79" s="71">
        <f t="shared" si="52"/>
        <v>394.83999999999992</v>
      </c>
      <c r="Y79" s="71">
        <f t="shared" si="52"/>
        <v>389.09999999999997</v>
      </c>
      <c r="Z79" s="71">
        <f t="shared" si="52"/>
        <v>390.79999999999995</v>
      </c>
      <c r="AA79" s="71">
        <f t="shared" si="52"/>
        <v>388.84</v>
      </c>
      <c r="AB79" s="71">
        <f t="shared" si="52"/>
        <v>401.14</v>
      </c>
      <c r="AC79" s="71">
        <f t="shared" si="52"/>
        <v>401.14</v>
      </c>
      <c r="AD79" s="71">
        <f t="shared" si="52"/>
        <v>405.24</v>
      </c>
      <c r="AE79" s="71">
        <f t="shared" si="52"/>
        <v>342.74</v>
      </c>
      <c r="AF79" s="71">
        <f t="shared" si="52"/>
        <v>337.24</v>
      </c>
      <c r="AG79" s="72">
        <f t="shared" si="52"/>
        <v>489.91</v>
      </c>
      <c r="AH79" s="48">
        <f t="shared" si="44"/>
        <v>405.24</v>
      </c>
      <c r="AI79" s="49">
        <f t="shared" si="45"/>
        <v>274.04000000000002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20.5</v>
      </c>
      <c r="P80" s="46">
        <v>13.75</v>
      </c>
      <c r="Q80" s="46">
        <v>0</v>
      </c>
      <c r="R80" s="46">
        <v>0</v>
      </c>
      <c r="S80" s="46">
        <v>0</v>
      </c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44"/>
        <v>20.5</v>
      </c>
      <c r="AI80" s="49">
        <f t="shared" si="45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7</v>
      </c>
      <c r="P81" s="76">
        <v>6</v>
      </c>
      <c r="Q81" s="76">
        <v>0</v>
      </c>
      <c r="R81" s="76">
        <v>0</v>
      </c>
      <c r="S81" s="76">
        <v>0</v>
      </c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44"/>
        <v>7</v>
      </c>
      <c r="AI81" s="49">
        <f t="shared" si="45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2.6</v>
      </c>
      <c r="P82" s="78">
        <v>2.2000000000000002</v>
      </c>
      <c r="Q82" s="78">
        <v>0</v>
      </c>
      <c r="R82" s="78">
        <v>0</v>
      </c>
      <c r="S82" s="78">
        <v>0</v>
      </c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44"/>
        <v>2.6</v>
      </c>
      <c r="AI82" s="49">
        <f t="shared" si="45"/>
        <v>0</v>
      </c>
      <c r="AK82" s="51"/>
      <c r="AY82" s="82"/>
      <c r="BF82" s="81"/>
      <c r="BG82" s="82">
        <f t="array" ref="BG82:BL105">TRANSPOSE(AZ66:BW71)</f>
        <v>-12</v>
      </c>
      <c r="BH82" s="82">
        <v>0</v>
      </c>
      <c r="BI82" s="82">
        <v>-617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53">B80+B81+B82</f>
        <v>0</v>
      </c>
      <c r="C83" s="71">
        <f t="shared" si="53"/>
        <v>0</v>
      </c>
      <c r="D83" s="71">
        <f t="shared" ref="D83:E83" si="54">D80+D81+D82</f>
        <v>0</v>
      </c>
      <c r="E83" s="71">
        <f t="shared" si="54"/>
        <v>0</v>
      </c>
      <c r="F83" s="71">
        <f t="shared" ref="F83:G83" si="55">F80+F81+F82</f>
        <v>0</v>
      </c>
      <c r="G83" s="71">
        <f t="shared" si="55"/>
        <v>0</v>
      </c>
      <c r="H83" s="71">
        <f t="shared" ref="H83:I83" si="56">H80+H81+H82</f>
        <v>0</v>
      </c>
      <c r="I83" s="71">
        <f t="shared" si="56"/>
        <v>0</v>
      </c>
      <c r="J83" s="71">
        <f t="shared" ref="J83:K83" si="57">J80+J81+J82</f>
        <v>0</v>
      </c>
      <c r="K83" s="71">
        <f t="shared" si="57"/>
        <v>0</v>
      </c>
      <c r="L83" s="71">
        <f t="shared" ref="L83" si="58">L80+L81+L82</f>
        <v>0</v>
      </c>
      <c r="M83" s="71">
        <f t="shared" ref="M83:AF83" si="59">M80+M81+M82</f>
        <v>0</v>
      </c>
      <c r="N83" s="71">
        <f t="shared" si="59"/>
        <v>0</v>
      </c>
      <c r="O83" s="71">
        <v>-37.6</v>
      </c>
      <c r="P83" s="71">
        <f t="shared" si="59"/>
        <v>21.95</v>
      </c>
      <c r="Q83" s="71">
        <f t="shared" si="59"/>
        <v>0</v>
      </c>
      <c r="R83" s="71">
        <f t="shared" si="59"/>
        <v>0</v>
      </c>
      <c r="S83" s="71">
        <f t="shared" si="59"/>
        <v>0</v>
      </c>
      <c r="T83" s="71">
        <f t="shared" si="59"/>
        <v>0</v>
      </c>
      <c r="U83" s="71">
        <f t="shared" si="59"/>
        <v>0</v>
      </c>
      <c r="V83" s="71">
        <f t="shared" si="59"/>
        <v>0</v>
      </c>
      <c r="W83" s="71">
        <f t="shared" si="59"/>
        <v>0</v>
      </c>
      <c r="X83" s="71">
        <f t="shared" si="59"/>
        <v>0</v>
      </c>
      <c r="Y83" s="71">
        <f t="shared" si="59"/>
        <v>0</v>
      </c>
      <c r="Z83" s="71">
        <f t="shared" si="59"/>
        <v>0</v>
      </c>
      <c r="AA83" s="71">
        <f t="shared" si="59"/>
        <v>0</v>
      </c>
      <c r="AB83" s="71">
        <f t="shared" si="59"/>
        <v>0</v>
      </c>
      <c r="AC83" s="71">
        <f t="shared" si="59"/>
        <v>0</v>
      </c>
      <c r="AD83" s="71">
        <f t="shared" si="59"/>
        <v>0</v>
      </c>
      <c r="AE83" s="71">
        <f t="shared" si="59"/>
        <v>0</v>
      </c>
      <c r="AF83" s="71">
        <f t="shared" si="59"/>
        <v>0</v>
      </c>
      <c r="AG83" s="72">
        <f>SUM(AG80:AG82)</f>
        <v>106</v>
      </c>
      <c r="AH83" s="48">
        <f t="shared" si="44"/>
        <v>21.95</v>
      </c>
      <c r="AI83" s="49">
        <f t="shared" si="45"/>
        <v>-37.6</v>
      </c>
      <c r="AK83" s="51"/>
      <c r="AY83" s="82"/>
      <c r="BF83" s="81"/>
      <c r="BG83" s="82">
        <v>-28</v>
      </c>
      <c r="BH83" s="82">
        <v>0</v>
      </c>
      <c r="BI83" s="82">
        <v>-630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-22</v>
      </c>
      <c r="C84" s="46">
        <v>-12</v>
      </c>
      <c r="D84" s="46">
        <v>-28</v>
      </c>
      <c r="E84" s="46">
        <v>-30.1</v>
      </c>
      <c r="F84" s="46">
        <v>-60</v>
      </c>
      <c r="G84" s="46">
        <v>-63</v>
      </c>
      <c r="H84" s="46">
        <v>16</v>
      </c>
      <c r="I84" s="46">
        <v>-41.5</v>
      </c>
      <c r="J84" s="46">
        <v>-44</v>
      </c>
      <c r="K84" s="46">
        <v>-52</v>
      </c>
      <c r="L84" s="46">
        <v>-55</v>
      </c>
      <c r="M84" s="46">
        <v>-56.3</v>
      </c>
      <c r="N84" s="46">
        <v>-50.8</v>
      </c>
      <c r="O84" s="46">
        <v>-37.6</v>
      </c>
      <c r="P84" s="46">
        <v>-38.6</v>
      </c>
      <c r="Q84" s="46">
        <v>-46</v>
      </c>
      <c r="R84" s="46">
        <v>-40</v>
      </c>
      <c r="S84" s="46">
        <v>-41.4</v>
      </c>
      <c r="T84" s="46">
        <v>-40.700000000000003</v>
      </c>
      <c r="U84" s="46">
        <v>-49.7</v>
      </c>
      <c r="V84" s="46">
        <v>-49.7</v>
      </c>
      <c r="W84" s="46">
        <v>-53.5</v>
      </c>
      <c r="X84" s="46">
        <v>-50.6</v>
      </c>
      <c r="Y84" s="46">
        <v>-51</v>
      </c>
      <c r="Z84" s="46">
        <v>-53.7</v>
      </c>
      <c r="AA84" s="46">
        <v>-49</v>
      </c>
      <c r="AB84" s="46">
        <v>-40.4</v>
      </c>
      <c r="AC84" s="46">
        <v>-42.6</v>
      </c>
      <c r="AD84" s="46">
        <v>-41.6</v>
      </c>
      <c r="AE84" s="46">
        <v>-46.7</v>
      </c>
      <c r="AF84" s="46">
        <v>-48.2</v>
      </c>
      <c r="AG84" s="61"/>
      <c r="AH84" s="48">
        <f t="shared" si="44"/>
        <v>16</v>
      </c>
      <c r="AI84" s="49">
        <f t="shared" si="45"/>
        <v>-63</v>
      </c>
      <c r="AK84" s="51"/>
      <c r="AY84" s="82"/>
      <c r="BF84" s="81"/>
      <c r="BG84" s="82">
        <v>-30.1</v>
      </c>
      <c r="BH84" s="82">
        <v>0</v>
      </c>
      <c r="BI84" s="82">
        <v>-695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4"/>
        <v>0</v>
      </c>
      <c r="AI85" s="49">
        <f t="shared" si="45"/>
        <v>0</v>
      </c>
      <c r="AK85" s="51"/>
      <c r="AL85" s="91" t="s">
        <v>111</v>
      </c>
      <c r="AM85" s="91"/>
      <c r="AY85" s="82"/>
      <c r="BF85" s="82"/>
      <c r="BG85" s="82">
        <v>-60</v>
      </c>
      <c r="BH85" s="82">
        <v>0</v>
      </c>
      <c r="BI85" s="82">
        <v>-670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-640</v>
      </c>
      <c r="C86" s="76">
        <v>-617</v>
      </c>
      <c r="D86" s="76">
        <v>-630</v>
      </c>
      <c r="E86" s="76">
        <v>-695</v>
      </c>
      <c r="F86" s="76">
        <v>-670</v>
      </c>
      <c r="G86" s="76">
        <v>-699</v>
      </c>
      <c r="H86" s="76">
        <v>-726</v>
      </c>
      <c r="I86" s="76">
        <v>-703</v>
      </c>
      <c r="J86" s="76">
        <v>-690</v>
      </c>
      <c r="K86" s="76">
        <v>-681</v>
      </c>
      <c r="L86" s="76">
        <v>-656</v>
      </c>
      <c r="M86" s="76">
        <v>-648</v>
      </c>
      <c r="N86" s="76">
        <v>-658</v>
      </c>
      <c r="O86" s="76">
        <v>-630</v>
      </c>
      <c r="P86" s="76">
        <v>-675</v>
      </c>
      <c r="Q86" s="76">
        <v>-631</v>
      </c>
      <c r="R86" s="76">
        <v>-710</v>
      </c>
      <c r="S86" s="76">
        <v>-704.4</v>
      </c>
      <c r="T86" s="76">
        <v>-641</v>
      </c>
      <c r="U86" s="76">
        <v>-641.9</v>
      </c>
      <c r="V86" s="76">
        <v>-641.9</v>
      </c>
      <c r="W86" s="76">
        <v>-667</v>
      </c>
      <c r="X86" s="76">
        <v>-686</v>
      </c>
      <c r="Y86" s="76">
        <v>-681</v>
      </c>
      <c r="Z86" s="76">
        <v>-606.29999999999995</v>
      </c>
      <c r="AA86" s="76">
        <v>-638.9</v>
      </c>
      <c r="AB86" s="76">
        <v>-640</v>
      </c>
      <c r="AC86" s="76">
        <v>-659.6</v>
      </c>
      <c r="AD86" s="76">
        <v>-667</v>
      </c>
      <c r="AE86" s="76">
        <v>-647</v>
      </c>
      <c r="AF86" s="76">
        <v>-654</v>
      </c>
      <c r="AG86" s="88"/>
      <c r="AH86" s="48">
        <f t="shared" si="44"/>
        <v>-606.29999999999995</v>
      </c>
      <c r="AI86" s="49">
        <f t="shared" si="45"/>
        <v>-726</v>
      </c>
      <c r="AK86" s="92"/>
      <c r="AL86" s="93"/>
      <c r="AM86" s="93"/>
      <c r="AN86" s="94"/>
      <c r="AY86" s="82"/>
      <c r="BF86" s="82"/>
      <c r="BG86" s="82">
        <v>-63</v>
      </c>
      <c r="BH86" s="82">
        <v>0</v>
      </c>
      <c r="BI86" s="82">
        <v>-699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4"/>
        <v>0</v>
      </c>
      <c r="AI87" s="49">
        <f t="shared" si="45"/>
        <v>0</v>
      </c>
      <c r="AK87" s="95" t="s">
        <v>114</v>
      </c>
      <c r="AL87" s="76"/>
      <c r="AM87" s="89"/>
      <c r="AN87" s="96"/>
      <c r="AY87" s="82"/>
      <c r="BF87" s="82"/>
      <c r="BG87" s="82">
        <v>-41.5</v>
      </c>
      <c r="BH87" s="82">
        <v>0</v>
      </c>
      <c r="BI87" s="82">
        <v>-703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4"/>
        <v>0</v>
      </c>
      <c r="AI88" s="49">
        <f t="shared" si="45"/>
        <v>0</v>
      </c>
      <c r="AK88" s="95" t="s">
        <v>116</v>
      </c>
      <c r="AL88" s="89"/>
      <c r="AM88" s="89"/>
      <c r="AN88" s="96"/>
      <c r="AY88" s="82"/>
      <c r="BF88" s="82"/>
      <c r="BG88" s="82">
        <v>-52</v>
      </c>
      <c r="BH88" s="82">
        <v>0</v>
      </c>
      <c r="BI88" s="82">
        <v>-681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5"/>
        <v>0</v>
      </c>
      <c r="AK89" s="99"/>
      <c r="AL89" s="46"/>
      <c r="AM89" s="46"/>
      <c r="AN89" s="100"/>
      <c r="AY89" s="82"/>
      <c r="BF89" s="82"/>
      <c r="BG89" s="82">
        <v>-56.3</v>
      </c>
      <c r="BH89" s="82">
        <v>0</v>
      </c>
      <c r="BI89" s="82">
        <v>-648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4"/>
        <v>0</v>
      </c>
      <c r="AI90" s="49">
        <f t="shared" si="45"/>
        <v>0</v>
      </c>
      <c r="AK90" s="99"/>
      <c r="AL90" s="90"/>
      <c r="AM90" s="102"/>
      <c r="AN90" s="204"/>
      <c r="AY90" s="82"/>
      <c r="BF90" s="82"/>
      <c r="BG90" s="82">
        <v>-50.8</v>
      </c>
      <c r="BH90" s="82">
        <v>0</v>
      </c>
      <c r="BI90" s="82">
        <v>-658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4"/>
        <v>0</v>
      </c>
      <c r="AI91" s="49">
        <f t="shared" si="45"/>
        <v>0</v>
      </c>
      <c r="AK91" s="99"/>
      <c r="AL91" s="90"/>
      <c r="AM91" s="90"/>
      <c r="AN91" s="205"/>
      <c r="BF91" s="82"/>
      <c r="BG91" s="82">
        <v>-37.6</v>
      </c>
      <c r="BH91" s="82">
        <v>0</v>
      </c>
      <c r="BI91" s="82">
        <v>-630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4"/>
        <v>0</v>
      </c>
      <c r="AI92" s="49">
        <f t="shared" si="45"/>
        <v>0</v>
      </c>
      <c r="AK92" s="104"/>
      <c r="AL92" s="105"/>
      <c r="AM92" s="105"/>
      <c r="AN92" s="106"/>
      <c r="BF92" s="82"/>
      <c r="BG92" s="82">
        <v>-38.6</v>
      </c>
      <c r="BH92" s="82">
        <v>0</v>
      </c>
      <c r="BI92" s="82">
        <v>-675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4"/>
        <v>0</v>
      </c>
      <c r="AI93" s="49">
        <f t="shared" si="45"/>
        <v>0</v>
      </c>
      <c r="BF93" s="82"/>
      <c r="BG93" s="82">
        <v>-46</v>
      </c>
      <c r="BH93" s="82">
        <v>0</v>
      </c>
      <c r="BI93" s="82">
        <v>-631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4"/>
        <v>0</v>
      </c>
      <c r="AI94" s="49">
        <f t="shared" si="45"/>
        <v>0</v>
      </c>
      <c r="BF94" s="82"/>
      <c r="BG94" s="82">
        <v>-40</v>
      </c>
      <c r="BH94" s="82">
        <v>0</v>
      </c>
      <c r="BI94" s="82">
        <v>-710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60">SUMIF(B84:B94,"&gt;0")</f>
        <v>0</v>
      </c>
      <c r="C95" s="71">
        <f t="shared" si="60"/>
        <v>0</v>
      </c>
      <c r="D95" s="71">
        <f t="shared" ref="D95" si="61">SUMIF(D84:D94,"&gt;0")</f>
        <v>0</v>
      </c>
      <c r="E95" s="71">
        <f t="shared" ref="E95:AF95" si="62">SUMIF(E84:E94,"&gt;0")</f>
        <v>0</v>
      </c>
      <c r="F95" s="71">
        <f t="shared" si="62"/>
        <v>0</v>
      </c>
      <c r="G95" s="71">
        <f t="shared" si="62"/>
        <v>0</v>
      </c>
      <c r="H95" s="71">
        <f t="shared" si="62"/>
        <v>16</v>
      </c>
      <c r="I95" s="71">
        <f t="shared" si="62"/>
        <v>0</v>
      </c>
      <c r="J95" s="71">
        <f t="shared" si="62"/>
        <v>0</v>
      </c>
      <c r="K95" s="71">
        <f t="shared" si="62"/>
        <v>0</v>
      </c>
      <c r="L95" s="71">
        <f t="shared" si="62"/>
        <v>0</v>
      </c>
      <c r="M95" s="71">
        <f t="shared" si="62"/>
        <v>0</v>
      </c>
      <c r="N95" s="71">
        <f t="shared" si="62"/>
        <v>0</v>
      </c>
      <c r="O95" s="71">
        <f t="shared" si="62"/>
        <v>0</v>
      </c>
      <c r="P95" s="71">
        <f t="shared" si="62"/>
        <v>0</v>
      </c>
      <c r="Q95" s="71">
        <f t="shared" si="62"/>
        <v>0</v>
      </c>
      <c r="R95" s="71">
        <f t="shared" si="62"/>
        <v>0</v>
      </c>
      <c r="S95" s="71">
        <f t="shared" si="62"/>
        <v>0</v>
      </c>
      <c r="T95" s="71">
        <f t="shared" si="62"/>
        <v>0</v>
      </c>
      <c r="U95" s="71">
        <f>SUMIF(U84:U94,"&gt;0")</f>
        <v>0</v>
      </c>
      <c r="V95" s="71">
        <f t="shared" si="62"/>
        <v>0</v>
      </c>
      <c r="W95" s="71">
        <f t="shared" si="62"/>
        <v>0</v>
      </c>
      <c r="X95" s="71">
        <f t="shared" si="62"/>
        <v>0</v>
      </c>
      <c r="Y95" s="71">
        <f t="shared" si="62"/>
        <v>0</v>
      </c>
      <c r="Z95" s="71">
        <f t="shared" si="62"/>
        <v>0</v>
      </c>
      <c r="AA95" s="71">
        <f t="shared" si="62"/>
        <v>0</v>
      </c>
      <c r="AB95" s="71">
        <f t="shared" si="62"/>
        <v>0</v>
      </c>
      <c r="AC95" s="71">
        <f t="shared" si="62"/>
        <v>0</v>
      </c>
      <c r="AD95" s="71">
        <f t="shared" si="62"/>
        <v>0</v>
      </c>
      <c r="AE95" s="71">
        <f t="shared" si="62"/>
        <v>0</v>
      </c>
      <c r="AF95" s="71">
        <f t="shared" si="62"/>
        <v>0</v>
      </c>
      <c r="AG95" s="101">
        <f>SUM(AG84:AG94)</f>
        <v>0</v>
      </c>
      <c r="AH95" s="48">
        <f t="shared" si="44"/>
        <v>16</v>
      </c>
      <c r="AI95" s="49">
        <f t="shared" si="45"/>
        <v>0</v>
      </c>
      <c r="BF95" s="82"/>
      <c r="BG95" s="82">
        <v>-41.4</v>
      </c>
      <c r="BH95" s="82">
        <v>0</v>
      </c>
      <c r="BI95" s="82">
        <v>-704.4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4"/>
        <v>0</v>
      </c>
      <c r="AI96" s="49">
        <f t="shared" si="45"/>
        <v>0</v>
      </c>
      <c r="BF96" s="82"/>
      <c r="BG96" s="82">
        <v>-40.700000000000003</v>
      </c>
      <c r="BH96" s="82">
        <v>0</v>
      </c>
      <c r="BI96" s="82">
        <v>-641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4"/>
        <v>0</v>
      </c>
      <c r="AI97" s="49">
        <f t="shared" si="45"/>
        <v>0</v>
      </c>
      <c r="BF97" s="82"/>
      <c r="BG97" s="82">
        <v>-49.7</v>
      </c>
      <c r="BH97" s="82">
        <v>0</v>
      </c>
      <c r="BI97" s="82">
        <v>-641.9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4"/>
        <v>0</v>
      </c>
      <c r="AI98" s="49">
        <f t="shared" si="45"/>
        <v>0</v>
      </c>
      <c r="BF98" s="82"/>
      <c r="BG98" s="82">
        <v>-49.7</v>
      </c>
      <c r="BH98" s="82">
        <v>0</v>
      </c>
      <c r="BI98" s="82">
        <v>-641.9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4"/>
        <v>0</v>
      </c>
      <c r="AI99" s="49">
        <f t="shared" si="45"/>
        <v>0</v>
      </c>
      <c r="BF99" s="81"/>
      <c r="BG99" s="82">
        <v>-50.6</v>
      </c>
      <c r="BH99" s="82">
        <v>0</v>
      </c>
      <c r="BI99" s="82">
        <v>-686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63">B61+B65+B83+B79+B95+B99</f>
        <v>2302.7400000000002</v>
      </c>
      <c r="C100" s="108">
        <f t="shared" si="63"/>
        <v>2265.6400000000003</v>
      </c>
      <c r="D100" s="108">
        <f t="shared" ref="D100" si="64">D61+D65+D83+D79+D95+D99</f>
        <v>2265.6400000000003</v>
      </c>
      <c r="E100" s="108">
        <f t="shared" ref="E100:AG100" si="65">E61+E65+E83+E79+E95+E99</f>
        <v>2203.94</v>
      </c>
      <c r="F100" s="108">
        <f t="shared" si="65"/>
        <v>2217.94</v>
      </c>
      <c r="G100" s="108">
        <f t="shared" si="65"/>
        <v>2239.94</v>
      </c>
      <c r="H100" s="108">
        <f t="shared" si="65"/>
        <v>2170.84</v>
      </c>
      <c r="I100" s="108">
        <f t="shared" si="65"/>
        <v>2167.44</v>
      </c>
      <c r="J100" s="108">
        <f t="shared" si="65"/>
        <v>2151.84</v>
      </c>
      <c r="K100" s="108">
        <f t="shared" si="65"/>
        <v>2151.84</v>
      </c>
      <c r="L100" s="108">
        <f t="shared" si="65"/>
        <v>2154.2400000000002</v>
      </c>
      <c r="M100" s="108">
        <f t="shared" si="65"/>
        <v>2327.29</v>
      </c>
      <c r="N100" s="108">
        <f t="shared" si="65"/>
        <v>2324.29</v>
      </c>
      <c r="O100" s="108">
        <f t="shared" si="65"/>
        <v>2187.09</v>
      </c>
      <c r="P100" s="108">
        <f t="shared" si="65"/>
        <v>2262.6400000000003</v>
      </c>
      <c r="Q100" s="108">
        <f t="shared" si="65"/>
        <v>2240.69</v>
      </c>
      <c r="R100" s="108">
        <f t="shared" si="65"/>
        <v>2240.69</v>
      </c>
      <c r="S100" s="108">
        <f t="shared" si="65"/>
        <v>2270.1899999999996</v>
      </c>
      <c r="T100" s="108">
        <f t="shared" si="65"/>
        <v>2203.2400000000002</v>
      </c>
      <c r="U100" s="108">
        <f t="shared" si="65"/>
        <v>2203.84</v>
      </c>
      <c r="V100" s="108">
        <f t="shared" si="65"/>
        <v>2084.54</v>
      </c>
      <c r="W100" s="108">
        <f t="shared" si="65"/>
        <v>2205.04</v>
      </c>
      <c r="X100" s="108">
        <f t="shared" si="65"/>
        <v>2165.6400000000003</v>
      </c>
      <c r="Y100" s="108">
        <f t="shared" si="65"/>
        <v>2185.0000000000005</v>
      </c>
      <c r="Z100" s="108">
        <f t="shared" si="65"/>
        <v>2225.5</v>
      </c>
      <c r="AA100" s="108">
        <f t="shared" si="65"/>
        <v>2351.1400000000003</v>
      </c>
      <c r="AB100" s="108">
        <f t="shared" si="65"/>
        <v>2362.04</v>
      </c>
      <c r="AC100" s="108">
        <f t="shared" si="65"/>
        <v>2366.04</v>
      </c>
      <c r="AD100" s="108">
        <f t="shared" si="65"/>
        <v>2375.1400000000003</v>
      </c>
      <c r="AE100" s="108">
        <f t="shared" si="65"/>
        <v>2234.94</v>
      </c>
      <c r="AF100" s="108">
        <f t="shared" si="65"/>
        <v>2216.44</v>
      </c>
      <c r="AG100" s="72">
        <f t="shared" si="65"/>
        <v>2655.44</v>
      </c>
      <c r="AH100" s="48">
        <f t="shared" si="44"/>
        <v>2375.1400000000003</v>
      </c>
      <c r="AI100" s="49">
        <f t="shared" si="45"/>
        <v>2084.54</v>
      </c>
      <c r="BF100" s="81"/>
      <c r="BG100" s="82">
        <v>-53.7</v>
      </c>
      <c r="BH100" s="82">
        <v>0</v>
      </c>
      <c r="BI100" s="82">
        <v>-606.29999999999995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4"/>
        <v>0</v>
      </c>
      <c r="AI101" s="49">
        <f t="shared" si="45"/>
        <v>0</v>
      </c>
      <c r="BF101" s="81"/>
      <c r="BG101" s="82">
        <v>-40.4</v>
      </c>
      <c r="BH101" s="82">
        <v>0</v>
      </c>
      <c r="BI101" s="82">
        <v>-640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66">B100+B101</f>
        <v>2302.7400000000002</v>
      </c>
      <c r="C102" s="108">
        <f t="shared" si="66"/>
        <v>2265.6400000000003</v>
      </c>
      <c r="D102" s="108">
        <f t="shared" ref="D102" si="67">D100+D101</f>
        <v>2265.6400000000003</v>
      </c>
      <c r="E102" s="108">
        <f t="shared" ref="E102:AF102" si="68">E100+E101</f>
        <v>2203.94</v>
      </c>
      <c r="F102" s="108">
        <f t="shared" si="68"/>
        <v>2217.94</v>
      </c>
      <c r="G102" s="108">
        <f t="shared" si="68"/>
        <v>2239.94</v>
      </c>
      <c r="H102" s="108">
        <f t="shared" si="68"/>
        <v>2170.84</v>
      </c>
      <c r="I102" s="108">
        <f t="shared" si="68"/>
        <v>2167.44</v>
      </c>
      <c r="J102" s="108">
        <f t="shared" si="68"/>
        <v>2151.84</v>
      </c>
      <c r="K102" s="108">
        <f t="shared" si="68"/>
        <v>2151.84</v>
      </c>
      <c r="L102" s="108">
        <f t="shared" si="68"/>
        <v>2154.2400000000002</v>
      </c>
      <c r="M102" s="108">
        <f t="shared" si="68"/>
        <v>2327.29</v>
      </c>
      <c r="N102" s="108">
        <f t="shared" si="68"/>
        <v>2324.29</v>
      </c>
      <c r="O102" s="108">
        <f t="shared" si="68"/>
        <v>2187.09</v>
      </c>
      <c r="P102" s="108">
        <f t="shared" si="68"/>
        <v>2262.6400000000003</v>
      </c>
      <c r="Q102" s="108">
        <f t="shared" si="68"/>
        <v>2240.69</v>
      </c>
      <c r="R102" s="108">
        <f t="shared" si="68"/>
        <v>2240.69</v>
      </c>
      <c r="S102" s="108">
        <f t="shared" si="68"/>
        <v>2270.1899999999996</v>
      </c>
      <c r="T102" s="108">
        <f t="shared" si="68"/>
        <v>2203.2400000000002</v>
      </c>
      <c r="U102" s="108">
        <f t="shared" si="68"/>
        <v>2203.84</v>
      </c>
      <c r="V102" s="108">
        <f t="shared" si="68"/>
        <v>2084.54</v>
      </c>
      <c r="W102" s="108">
        <f t="shared" si="68"/>
        <v>2205.04</v>
      </c>
      <c r="X102" s="108">
        <f t="shared" si="68"/>
        <v>2165.6400000000003</v>
      </c>
      <c r="Y102" s="108">
        <f t="shared" si="68"/>
        <v>2185.0000000000005</v>
      </c>
      <c r="Z102" s="108">
        <f t="shared" si="68"/>
        <v>2225.5</v>
      </c>
      <c r="AA102" s="108">
        <f t="shared" si="68"/>
        <v>2351.1400000000003</v>
      </c>
      <c r="AB102" s="108">
        <f t="shared" si="68"/>
        <v>2362.04</v>
      </c>
      <c r="AC102" s="108">
        <f t="shared" si="68"/>
        <v>2366.04</v>
      </c>
      <c r="AD102" s="108">
        <f t="shared" si="68"/>
        <v>2375.1400000000003</v>
      </c>
      <c r="AE102" s="108">
        <f t="shared" si="68"/>
        <v>2234.94</v>
      </c>
      <c r="AF102" s="108">
        <f t="shared" si="68"/>
        <v>2216.44</v>
      </c>
      <c r="AG102" s="101">
        <f>AG99+AG95+AG83+AG79+AG61+AG101</f>
        <v>2117.34</v>
      </c>
      <c r="AH102" s="48">
        <f t="shared" si="44"/>
        <v>2375.1400000000003</v>
      </c>
      <c r="AI102" s="49">
        <f t="shared" si="45"/>
        <v>2084.54</v>
      </c>
      <c r="BF102" s="81"/>
      <c r="BG102" s="82">
        <v>-41.6</v>
      </c>
      <c r="BH102" s="82">
        <v>0</v>
      </c>
      <c r="BI102" s="82">
        <v>-667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69">B102-(B110)</f>
        <v>1640.7400000000002</v>
      </c>
      <c r="C103" s="108">
        <f t="shared" si="69"/>
        <v>1636.6400000000003</v>
      </c>
      <c r="D103" s="108">
        <f t="shared" ref="D103" si="70">D102-(D110)</f>
        <v>1607.6400000000003</v>
      </c>
      <c r="E103" s="108">
        <f t="shared" ref="E103:AF103" si="71">E102-(E110)</f>
        <v>1478.8400000000001</v>
      </c>
      <c r="F103" s="108">
        <f t="shared" si="71"/>
        <v>1487.94</v>
      </c>
      <c r="G103" s="108">
        <f t="shared" si="71"/>
        <v>1477.94</v>
      </c>
      <c r="H103" s="108">
        <f t="shared" si="71"/>
        <v>1444.8400000000001</v>
      </c>
      <c r="I103" s="108">
        <f t="shared" si="71"/>
        <v>1422.94</v>
      </c>
      <c r="J103" s="108">
        <f t="shared" si="71"/>
        <v>1417.8400000000001</v>
      </c>
      <c r="K103" s="108">
        <f t="shared" si="71"/>
        <v>1418.8400000000001</v>
      </c>
      <c r="L103" s="108">
        <f t="shared" si="71"/>
        <v>1443.2400000000002</v>
      </c>
      <c r="M103" s="108">
        <f t="shared" si="71"/>
        <v>1622.99</v>
      </c>
      <c r="N103" s="108">
        <f t="shared" si="71"/>
        <v>1615.49</v>
      </c>
      <c r="O103" s="108">
        <f t="shared" si="71"/>
        <v>1519.4900000000002</v>
      </c>
      <c r="P103" s="108">
        <f t="shared" si="71"/>
        <v>1549.0400000000004</v>
      </c>
      <c r="Q103" s="108">
        <f t="shared" si="71"/>
        <v>1563.69</v>
      </c>
      <c r="R103" s="108">
        <f t="shared" si="71"/>
        <v>1490.69</v>
      </c>
      <c r="S103" s="108">
        <f t="shared" si="71"/>
        <v>1524.3899999999996</v>
      </c>
      <c r="T103" s="108">
        <f t="shared" si="71"/>
        <v>1521.5400000000002</v>
      </c>
      <c r="U103" s="108">
        <f t="shared" si="71"/>
        <v>1512.2400000000002</v>
      </c>
      <c r="V103" s="108">
        <f t="shared" si="71"/>
        <v>1392.94</v>
      </c>
      <c r="W103" s="108">
        <f t="shared" si="71"/>
        <v>1484.54</v>
      </c>
      <c r="X103" s="108">
        <f t="shared" si="71"/>
        <v>1429.0400000000004</v>
      </c>
      <c r="Y103" s="108">
        <f t="shared" si="71"/>
        <v>1453.0000000000005</v>
      </c>
      <c r="Z103" s="108">
        <f t="shared" si="71"/>
        <v>1565.5</v>
      </c>
      <c r="AA103" s="108">
        <f t="shared" si="71"/>
        <v>1663.2400000000002</v>
      </c>
      <c r="AB103" s="108">
        <f t="shared" si="71"/>
        <v>1681.6399999999999</v>
      </c>
      <c r="AC103" s="108">
        <f t="shared" si="71"/>
        <v>1663.84</v>
      </c>
      <c r="AD103" s="108">
        <f t="shared" si="71"/>
        <v>1666.5400000000004</v>
      </c>
      <c r="AE103" s="108">
        <f t="shared" si="71"/>
        <v>1541.24</v>
      </c>
      <c r="AF103" s="108">
        <f t="shared" si="71"/>
        <v>1514.24</v>
      </c>
      <c r="AG103" s="101"/>
      <c r="AH103" s="48">
        <f t="shared" si="44"/>
        <v>1681.6399999999999</v>
      </c>
      <c r="AI103" s="49">
        <f t="shared" si="45"/>
        <v>1392.94</v>
      </c>
      <c r="BF103" s="81"/>
      <c r="BG103" s="82">
        <v>-46.7</v>
      </c>
      <c r="BH103" s="82">
        <v>0</v>
      </c>
      <c r="BI103" s="82">
        <v>-647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72">IF(B84&lt;0,B84*-1,0)</f>
        <v>22</v>
      </c>
      <c r="C104" s="89">
        <f t="shared" si="72"/>
        <v>12</v>
      </c>
      <c r="D104" s="89">
        <f t="shared" ref="D104" si="73">IF(D84&lt;0,D84*-1,0)</f>
        <v>28</v>
      </c>
      <c r="E104" s="89">
        <f t="shared" ref="E104:AF109" si="74">IF(E84&lt;0,E84*-1,0)</f>
        <v>30.1</v>
      </c>
      <c r="F104" s="89">
        <f t="shared" si="74"/>
        <v>60</v>
      </c>
      <c r="G104" s="89">
        <f t="shared" si="74"/>
        <v>63</v>
      </c>
      <c r="H104" s="89">
        <f t="shared" si="74"/>
        <v>0</v>
      </c>
      <c r="I104" s="89">
        <f t="shared" si="74"/>
        <v>41.5</v>
      </c>
      <c r="J104" s="89">
        <f t="shared" si="74"/>
        <v>44</v>
      </c>
      <c r="K104" s="89">
        <f t="shared" si="74"/>
        <v>52</v>
      </c>
      <c r="L104" s="89">
        <f t="shared" si="74"/>
        <v>55</v>
      </c>
      <c r="M104" s="89">
        <f t="shared" si="74"/>
        <v>56.3</v>
      </c>
      <c r="N104" s="89">
        <f t="shared" si="74"/>
        <v>50.8</v>
      </c>
      <c r="O104" s="89">
        <f t="shared" si="74"/>
        <v>37.6</v>
      </c>
      <c r="P104" s="89">
        <f t="shared" si="74"/>
        <v>38.6</v>
      </c>
      <c r="Q104" s="89">
        <f t="shared" si="74"/>
        <v>46</v>
      </c>
      <c r="R104" s="89">
        <f t="shared" si="74"/>
        <v>40</v>
      </c>
      <c r="S104" s="89">
        <f t="shared" si="74"/>
        <v>41.4</v>
      </c>
      <c r="T104" s="89">
        <f t="shared" si="74"/>
        <v>40.700000000000003</v>
      </c>
      <c r="U104" s="89">
        <f t="shared" si="74"/>
        <v>49.7</v>
      </c>
      <c r="V104" s="89">
        <f t="shared" si="74"/>
        <v>49.7</v>
      </c>
      <c r="W104" s="89">
        <f t="shared" si="74"/>
        <v>53.5</v>
      </c>
      <c r="X104" s="89">
        <f t="shared" si="74"/>
        <v>50.6</v>
      </c>
      <c r="Y104" s="89">
        <f t="shared" si="74"/>
        <v>51</v>
      </c>
      <c r="Z104" s="89">
        <f t="shared" si="74"/>
        <v>53.7</v>
      </c>
      <c r="AA104" s="89">
        <f t="shared" si="74"/>
        <v>49</v>
      </c>
      <c r="AB104" s="89">
        <f t="shared" si="74"/>
        <v>40.4</v>
      </c>
      <c r="AC104" s="89">
        <f t="shared" si="74"/>
        <v>42.6</v>
      </c>
      <c r="AD104" s="89">
        <f t="shared" si="74"/>
        <v>41.6</v>
      </c>
      <c r="AE104" s="89">
        <f t="shared" si="74"/>
        <v>46.7</v>
      </c>
      <c r="AF104" s="89">
        <f t="shared" si="74"/>
        <v>48.2</v>
      </c>
      <c r="AG104" s="61"/>
      <c r="AH104" s="48">
        <f t="shared" si="44"/>
        <v>63</v>
      </c>
      <c r="AI104" s="49">
        <f t="shared" si="45"/>
        <v>0</v>
      </c>
      <c r="BG104" s="82">
        <v>-48.2</v>
      </c>
      <c r="BH104" s="82">
        <v>0</v>
      </c>
      <c r="BI104" s="82">
        <v>-654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72"/>
        <v>0</v>
      </c>
      <c r="C105" s="89">
        <f t="shared" si="72"/>
        <v>0</v>
      </c>
      <c r="D105" s="89">
        <f t="shared" ref="D105" si="75">IF(D85&lt;0,D85*-1,0)</f>
        <v>0</v>
      </c>
      <c r="E105" s="89">
        <f t="shared" si="74"/>
        <v>0</v>
      </c>
      <c r="F105" s="89">
        <f t="shared" si="74"/>
        <v>0</v>
      </c>
      <c r="G105" s="89">
        <f t="shared" si="74"/>
        <v>0</v>
      </c>
      <c r="H105" s="89">
        <f t="shared" si="74"/>
        <v>0</v>
      </c>
      <c r="I105" s="89">
        <f t="shared" si="74"/>
        <v>0</v>
      </c>
      <c r="J105" s="89">
        <f t="shared" si="74"/>
        <v>0</v>
      </c>
      <c r="K105" s="89">
        <f t="shared" si="74"/>
        <v>0</v>
      </c>
      <c r="L105" s="89">
        <f t="shared" si="74"/>
        <v>0</v>
      </c>
      <c r="M105" s="89">
        <f t="shared" si="74"/>
        <v>0</v>
      </c>
      <c r="N105" s="89">
        <f t="shared" si="74"/>
        <v>0</v>
      </c>
      <c r="O105" s="89">
        <f t="shared" si="74"/>
        <v>0</v>
      </c>
      <c r="P105" s="89">
        <f t="shared" si="74"/>
        <v>0</v>
      </c>
      <c r="Q105" s="89">
        <f t="shared" si="74"/>
        <v>0</v>
      </c>
      <c r="R105" s="89">
        <f t="shared" si="74"/>
        <v>0</v>
      </c>
      <c r="S105" s="89">
        <f t="shared" si="74"/>
        <v>0</v>
      </c>
      <c r="T105" s="89">
        <f t="shared" si="74"/>
        <v>0</v>
      </c>
      <c r="U105" s="89">
        <f t="shared" si="74"/>
        <v>0</v>
      </c>
      <c r="V105" s="89">
        <f t="shared" si="74"/>
        <v>0</v>
      </c>
      <c r="W105" s="89">
        <f t="shared" si="74"/>
        <v>0</v>
      </c>
      <c r="X105" s="89">
        <f t="shared" si="74"/>
        <v>0</v>
      </c>
      <c r="Y105" s="89">
        <f t="shared" si="74"/>
        <v>0</v>
      </c>
      <c r="Z105" s="89">
        <f t="shared" si="74"/>
        <v>0</v>
      </c>
      <c r="AA105" s="89">
        <f t="shared" si="74"/>
        <v>0</v>
      </c>
      <c r="AB105" s="89">
        <f t="shared" si="74"/>
        <v>0</v>
      </c>
      <c r="AC105" s="89">
        <f t="shared" si="74"/>
        <v>0</v>
      </c>
      <c r="AD105" s="89">
        <f t="shared" si="74"/>
        <v>0</v>
      </c>
      <c r="AE105" s="89">
        <f t="shared" si="74"/>
        <v>0</v>
      </c>
      <c r="AF105" s="89">
        <f t="shared" si="74"/>
        <v>0</v>
      </c>
      <c r="AG105" s="66"/>
      <c r="AH105" s="48">
        <f t="shared" si="44"/>
        <v>0</v>
      </c>
      <c r="AI105" s="49">
        <f t="shared" si="45"/>
        <v>0</v>
      </c>
      <c r="AK105" s="51"/>
      <c r="BG105" s="82">
        <v>-22</v>
      </c>
      <c r="BH105" s="82">
        <v>0</v>
      </c>
      <c r="BI105" s="82">
        <v>-640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72"/>
        <v>640</v>
      </c>
      <c r="C106" s="89">
        <f t="shared" si="72"/>
        <v>617</v>
      </c>
      <c r="D106" s="89">
        <f t="shared" ref="D106" si="76">IF(D86&lt;0,D86*-1,0)</f>
        <v>630</v>
      </c>
      <c r="E106" s="89">
        <f t="shared" si="74"/>
        <v>695</v>
      </c>
      <c r="F106" s="89">
        <f t="shared" si="74"/>
        <v>670</v>
      </c>
      <c r="G106" s="89">
        <f t="shared" si="74"/>
        <v>699</v>
      </c>
      <c r="H106" s="89">
        <f t="shared" si="74"/>
        <v>726</v>
      </c>
      <c r="I106" s="89">
        <f t="shared" si="74"/>
        <v>703</v>
      </c>
      <c r="J106" s="89">
        <f t="shared" si="74"/>
        <v>690</v>
      </c>
      <c r="K106" s="89">
        <f t="shared" si="74"/>
        <v>681</v>
      </c>
      <c r="L106" s="89">
        <f t="shared" si="74"/>
        <v>656</v>
      </c>
      <c r="M106" s="89">
        <f t="shared" si="74"/>
        <v>648</v>
      </c>
      <c r="N106" s="89">
        <f t="shared" si="74"/>
        <v>658</v>
      </c>
      <c r="O106" s="89">
        <f t="shared" si="74"/>
        <v>630</v>
      </c>
      <c r="P106" s="89">
        <f t="shared" si="74"/>
        <v>675</v>
      </c>
      <c r="Q106" s="89">
        <f t="shared" si="74"/>
        <v>631</v>
      </c>
      <c r="R106" s="89">
        <f t="shared" si="74"/>
        <v>710</v>
      </c>
      <c r="S106" s="89">
        <f t="shared" si="74"/>
        <v>704.4</v>
      </c>
      <c r="T106" s="89">
        <f t="shared" si="74"/>
        <v>641</v>
      </c>
      <c r="U106" s="89">
        <f t="shared" si="74"/>
        <v>641.9</v>
      </c>
      <c r="V106" s="89">
        <f t="shared" si="74"/>
        <v>641.9</v>
      </c>
      <c r="W106" s="89">
        <f t="shared" si="74"/>
        <v>667</v>
      </c>
      <c r="X106" s="89">
        <f t="shared" si="74"/>
        <v>686</v>
      </c>
      <c r="Y106" s="89">
        <f t="shared" si="74"/>
        <v>681</v>
      </c>
      <c r="Z106" s="89">
        <f t="shared" si="74"/>
        <v>606.29999999999995</v>
      </c>
      <c r="AA106" s="89">
        <f t="shared" si="74"/>
        <v>638.9</v>
      </c>
      <c r="AB106" s="89">
        <f t="shared" si="74"/>
        <v>640</v>
      </c>
      <c r="AC106" s="89">
        <f t="shared" si="74"/>
        <v>659.6</v>
      </c>
      <c r="AD106" s="89">
        <f t="shared" si="74"/>
        <v>667</v>
      </c>
      <c r="AE106" s="89">
        <f t="shared" si="74"/>
        <v>647</v>
      </c>
      <c r="AF106" s="89">
        <f t="shared" si="74"/>
        <v>654</v>
      </c>
      <c r="AG106" s="111"/>
      <c r="AH106" s="48">
        <f t="shared" si="44"/>
        <v>726</v>
      </c>
      <c r="AI106" s="49">
        <f t="shared" si="45"/>
        <v>606.29999999999995</v>
      </c>
    </row>
    <row r="107" spans="1:64" x14ac:dyDescent="0.25">
      <c r="A107" s="97" t="s">
        <v>107</v>
      </c>
      <c r="B107" s="89">
        <f t="shared" si="72"/>
        <v>0</v>
      </c>
      <c r="C107" s="89">
        <f t="shared" si="72"/>
        <v>0</v>
      </c>
      <c r="D107" s="89">
        <f t="shared" ref="D107" si="77">IF(D87&lt;0,D87*-1,0)</f>
        <v>0</v>
      </c>
      <c r="E107" s="89">
        <f t="shared" si="74"/>
        <v>0</v>
      </c>
      <c r="F107" s="89">
        <f t="shared" si="74"/>
        <v>0</v>
      </c>
      <c r="G107" s="89">
        <f t="shared" si="74"/>
        <v>0</v>
      </c>
      <c r="H107" s="89">
        <f t="shared" si="74"/>
        <v>0</v>
      </c>
      <c r="I107" s="89">
        <f t="shared" si="74"/>
        <v>0</v>
      </c>
      <c r="J107" s="89">
        <f t="shared" si="74"/>
        <v>0</v>
      </c>
      <c r="K107" s="89">
        <f t="shared" si="74"/>
        <v>0</v>
      </c>
      <c r="L107" s="89">
        <f t="shared" si="74"/>
        <v>0</v>
      </c>
      <c r="M107" s="89">
        <f t="shared" si="74"/>
        <v>0</v>
      </c>
      <c r="N107" s="89">
        <f t="shared" si="74"/>
        <v>0</v>
      </c>
      <c r="O107" s="89">
        <f t="shared" si="74"/>
        <v>0</v>
      </c>
      <c r="P107" s="89">
        <f t="shared" si="74"/>
        <v>0</v>
      </c>
      <c r="Q107" s="89">
        <f t="shared" si="74"/>
        <v>0</v>
      </c>
      <c r="R107" s="89">
        <f t="shared" si="74"/>
        <v>0</v>
      </c>
      <c r="S107" s="89">
        <f t="shared" si="74"/>
        <v>0</v>
      </c>
      <c r="T107" s="89">
        <f t="shared" si="74"/>
        <v>0</v>
      </c>
      <c r="U107" s="89">
        <f t="shared" si="74"/>
        <v>0</v>
      </c>
      <c r="V107" s="89">
        <f t="shared" si="74"/>
        <v>0</v>
      </c>
      <c r="W107" s="89">
        <f t="shared" si="74"/>
        <v>0</v>
      </c>
      <c r="X107" s="89">
        <f t="shared" si="74"/>
        <v>0</v>
      </c>
      <c r="Y107" s="89">
        <f t="shared" si="74"/>
        <v>0</v>
      </c>
      <c r="Z107" s="89">
        <f t="shared" si="74"/>
        <v>0</v>
      </c>
      <c r="AA107" s="89">
        <f t="shared" si="74"/>
        <v>0</v>
      </c>
      <c r="AB107" s="89">
        <f t="shared" si="74"/>
        <v>0</v>
      </c>
      <c r="AC107" s="89">
        <f t="shared" si="74"/>
        <v>0</v>
      </c>
      <c r="AD107" s="89">
        <f t="shared" si="74"/>
        <v>0</v>
      </c>
      <c r="AE107" s="89">
        <f t="shared" si="74"/>
        <v>0</v>
      </c>
      <c r="AF107" s="89">
        <f t="shared" si="74"/>
        <v>0</v>
      </c>
      <c r="AG107" s="111"/>
      <c r="AH107" s="48">
        <f t="shared" si="44"/>
        <v>0</v>
      </c>
      <c r="AI107" s="49">
        <f t="shared" si="45"/>
        <v>0</v>
      </c>
    </row>
    <row r="108" spans="1:64" x14ac:dyDescent="0.25">
      <c r="A108" s="97" t="s">
        <v>108</v>
      </c>
      <c r="B108" s="89">
        <f t="shared" si="72"/>
        <v>0</v>
      </c>
      <c r="C108" s="89">
        <f t="shared" si="72"/>
        <v>0</v>
      </c>
      <c r="D108" s="89">
        <f t="shared" ref="D108" si="78">IF(D88&lt;0,D88*-1,0)</f>
        <v>0</v>
      </c>
      <c r="E108" s="89">
        <f t="shared" si="74"/>
        <v>0</v>
      </c>
      <c r="F108" s="89">
        <f t="shared" si="74"/>
        <v>0</v>
      </c>
      <c r="G108" s="89">
        <f t="shared" si="74"/>
        <v>0</v>
      </c>
      <c r="H108" s="89">
        <f t="shared" si="74"/>
        <v>0</v>
      </c>
      <c r="I108" s="89">
        <f t="shared" si="74"/>
        <v>0</v>
      </c>
      <c r="J108" s="89">
        <f t="shared" si="74"/>
        <v>0</v>
      </c>
      <c r="K108" s="89">
        <f t="shared" si="74"/>
        <v>0</v>
      </c>
      <c r="L108" s="89">
        <f t="shared" si="74"/>
        <v>0</v>
      </c>
      <c r="M108" s="89">
        <f t="shared" si="74"/>
        <v>0</v>
      </c>
      <c r="N108" s="89">
        <f t="shared" si="74"/>
        <v>0</v>
      </c>
      <c r="O108" s="89">
        <f t="shared" si="74"/>
        <v>0</v>
      </c>
      <c r="P108" s="89">
        <f t="shared" si="74"/>
        <v>0</v>
      </c>
      <c r="Q108" s="89">
        <f t="shared" si="74"/>
        <v>0</v>
      </c>
      <c r="R108" s="89">
        <f t="shared" si="74"/>
        <v>0</v>
      </c>
      <c r="S108" s="89">
        <f t="shared" si="74"/>
        <v>0</v>
      </c>
      <c r="T108" s="89">
        <f t="shared" si="74"/>
        <v>0</v>
      </c>
      <c r="U108" s="89">
        <f t="shared" si="74"/>
        <v>0</v>
      </c>
      <c r="V108" s="89">
        <f t="shared" si="74"/>
        <v>0</v>
      </c>
      <c r="W108" s="89">
        <f t="shared" si="74"/>
        <v>0</v>
      </c>
      <c r="X108" s="89">
        <f t="shared" si="74"/>
        <v>0</v>
      </c>
      <c r="Y108" s="89">
        <f t="shared" si="74"/>
        <v>0</v>
      </c>
      <c r="Z108" s="89">
        <f t="shared" si="74"/>
        <v>0</v>
      </c>
      <c r="AA108" s="89">
        <f t="shared" si="74"/>
        <v>0</v>
      </c>
      <c r="AB108" s="89">
        <f t="shared" si="74"/>
        <v>0</v>
      </c>
      <c r="AC108" s="89">
        <f t="shared" si="74"/>
        <v>0</v>
      </c>
      <c r="AD108" s="89">
        <f t="shared" si="74"/>
        <v>0</v>
      </c>
      <c r="AE108" s="89">
        <f t="shared" si="74"/>
        <v>0</v>
      </c>
      <c r="AF108" s="89">
        <f t="shared" si="74"/>
        <v>0</v>
      </c>
      <c r="AG108" s="111"/>
      <c r="AH108" s="48">
        <f t="shared" si="44"/>
        <v>0</v>
      </c>
      <c r="AI108" s="49">
        <f t="shared" si="45"/>
        <v>0</v>
      </c>
    </row>
    <row r="109" spans="1:64" ht="15.75" thickBot="1" x14ac:dyDescent="0.3">
      <c r="A109" s="97" t="s">
        <v>117</v>
      </c>
      <c r="B109" s="89">
        <f t="shared" si="72"/>
        <v>0</v>
      </c>
      <c r="C109" s="89">
        <f t="shared" si="72"/>
        <v>0</v>
      </c>
      <c r="D109" s="89">
        <f t="shared" ref="D109" si="79">IF(D89&lt;0,D89*-1,0)</f>
        <v>0</v>
      </c>
      <c r="E109" s="89">
        <f t="shared" si="74"/>
        <v>0</v>
      </c>
      <c r="F109" s="89">
        <f t="shared" si="74"/>
        <v>0</v>
      </c>
      <c r="G109" s="89">
        <f t="shared" si="74"/>
        <v>0</v>
      </c>
      <c r="H109" s="89">
        <f t="shared" si="74"/>
        <v>0</v>
      </c>
      <c r="I109" s="89">
        <f t="shared" si="74"/>
        <v>0</v>
      </c>
      <c r="J109" s="89">
        <f t="shared" si="74"/>
        <v>0</v>
      </c>
      <c r="K109" s="89">
        <f t="shared" si="74"/>
        <v>0</v>
      </c>
      <c r="L109" s="89">
        <f t="shared" si="74"/>
        <v>0</v>
      </c>
      <c r="M109" s="89">
        <f t="shared" si="74"/>
        <v>0</v>
      </c>
      <c r="N109" s="89">
        <f t="shared" si="74"/>
        <v>0</v>
      </c>
      <c r="O109" s="89">
        <f t="shared" si="74"/>
        <v>0</v>
      </c>
      <c r="P109" s="89">
        <f t="shared" si="74"/>
        <v>0</v>
      </c>
      <c r="Q109" s="89">
        <f t="shared" si="74"/>
        <v>0</v>
      </c>
      <c r="R109" s="89">
        <f t="shared" si="74"/>
        <v>0</v>
      </c>
      <c r="S109" s="89">
        <f t="shared" si="74"/>
        <v>0</v>
      </c>
      <c r="T109" s="89">
        <f t="shared" si="74"/>
        <v>0</v>
      </c>
      <c r="U109" s="89">
        <f t="shared" si="74"/>
        <v>0</v>
      </c>
      <c r="V109" s="89">
        <f t="shared" si="74"/>
        <v>0</v>
      </c>
      <c r="W109" s="89">
        <f t="shared" si="74"/>
        <v>0</v>
      </c>
      <c r="X109" s="89">
        <f t="shared" si="74"/>
        <v>0</v>
      </c>
      <c r="Y109" s="89">
        <f t="shared" si="74"/>
        <v>0</v>
      </c>
      <c r="Z109" s="89">
        <f t="shared" si="74"/>
        <v>0</v>
      </c>
      <c r="AA109" s="89">
        <f t="shared" si="74"/>
        <v>0</v>
      </c>
      <c r="AB109" s="89">
        <f t="shared" si="74"/>
        <v>0</v>
      </c>
      <c r="AC109" s="89">
        <f t="shared" si="74"/>
        <v>0</v>
      </c>
      <c r="AD109" s="89">
        <f t="shared" si="74"/>
        <v>0</v>
      </c>
      <c r="AE109" s="89">
        <f t="shared" si="74"/>
        <v>0</v>
      </c>
      <c r="AF109" s="89">
        <f t="shared" si="74"/>
        <v>0</v>
      </c>
      <c r="AG109" s="98"/>
      <c r="AH109" s="48">
        <f t="shared" si="44"/>
        <v>0</v>
      </c>
      <c r="AI109" s="49">
        <f t="shared" si="45"/>
        <v>0</v>
      </c>
    </row>
    <row r="110" spans="1:64" ht="15.75" thickBot="1" x14ac:dyDescent="0.3">
      <c r="A110" s="112" t="s">
        <v>130</v>
      </c>
      <c r="B110" s="71">
        <f t="shared" ref="B110:C110" si="80">SUM(B104:B109)</f>
        <v>662</v>
      </c>
      <c r="C110" s="71">
        <f t="shared" si="80"/>
        <v>629</v>
      </c>
      <c r="D110" s="71">
        <f t="shared" ref="D110" si="81">SUM(D104:D109)</f>
        <v>658</v>
      </c>
      <c r="E110" s="71">
        <f t="shared" ref="E110:AF110" si="82">SUM(E104:E109)</f>
        <v>725.1</v>
      </c>
      <c r="F110" s="71">
        <f t="shared" si="82"/>
        <v>730</v>
      </c>
      <c r="G110" s="71">
        <f t="shared" si="82"/>
        <v>762</v>
      </c>
      <c r="H110" s="71">
        <f t="shared" si="82"/>
        <v>726</v>
      </c>
      <c r="I110" s="71">
        <f t="shared" si="82"/>
        <v>744.5</v>
      </c>
      <c r="J110" s="71">
        <f t="shared" si="82"/>
        <v>734</v>
      </c>
      <c r="K110" s="71">
        <f t="shared" si="82"/>
        <v>733</v>
      </c>
      <c r="L110" s="71">
        <f t="shared" si="82"/>
        <v>711</v>
      </c>
      <c r="M110" s="71">
        <f t="shared" si="82"/>
        <v>704.3</v>
      </c>
      <c r="N110" s="71">
        <f t="shared" si="82"/>
        <v>708.8</v>
      </c>
      <c r="O110" s="71">
        <f t="shared" si="82"/>
        <v>667.6</v>
      </c>
      <c r="P110" s="71">
        <f t="shared" si="82"/>
        <v>713.6</v>
      </c>
      <c r="Q110" s="71">
        <f t="shared" si="82"/>
        <v>677</v>
      </c>
      <c r="R110" s="71">
        <f t="shared" si="82"/>
        <v>750</v>
      </c>
      <c r="S110" s="71">
        <f t="shared" si="82"/>
        <v>745.8</v>
      </c>
      <c r="T110" s="71">
        <f t="shared" si="82"/>
        <v>681.7</v>
      </c>
      <c r="U110" s="71">
        <f t="shared" si="82"/>
        <v>691.6</v>
      </c>
      <c r="V110" s="71">
        <f t="shared" si="82"/>
        <v>691.6</v>
      </c>
      <c r="W110" s="71">
        <f t="shared" si="82"/>
        <v>720.5</v>
      </c>
      <c r="X110" s="71">
        <f t="shared" si="82"/>
        <v>736.6</v>
      </c>
      <c r="Y110" s="71">
        <f t="shared" si="82"/>
        <v>732</v>
      </c>
      <c r="Z110" s="71">
        <f t="shared" si="82"/>
        <v>660</v>
      </c>
      <c r="AA110" s="71">
        <f t="shared" si="82"/>
        <v>687.9</v>
      </c>
      <c r="AB110" s="71">
        <f t="shared" si="82"/>
        <v>680.4</v>
      </c>
      <c r="AC110" s="71">
        <f t="shared" si="82"/>
        <v>702.2</v>
      </c>
      <c r="AD110" s="71">
        <f t="shared" si="82"/>
        <v>708.6</v>
      </c>
      <c r="AE110" s="71">
        <f t="shared" si="82"/>
        <v>693.7</v>
      </c>
      <c r="AF110" s="71">
        <f t="shared" si="82"/>
        <v>702.2</v>
      </c>
      <c r="AG110" s="101"/>
      <c r="AH110" s="48">
        <f t="shared" si="44"/>
        <v>762</v>
      </c>
      <c r="AI110" s="49">
        <f t="shared" si="45"/>
        <v>629</v>
      </c>
    </row>
    <row r="111" spans="1:64" ht="15.75" thickBot="1" x14ac:dyDescent="0.3">
      <c r="A111" s="87" t="s">
        <v>131</v>
      </c>
      <c r="B111" s="71">
        <f t="shared" ref="B111:C111" si="83">B95-B110</f>
        <v>-662</v>
      </c>
      <c r="C111" s="71">
        <f t="shared" si="83"/>
        <v>-629</v>
      </c>
      <c r="D111" s="71">
        <f t="shared" ref="D111" si="84">D95-D110</f>
        <v>-658</v>
      </c>
      <c r="E111" s="71">
        <f t="shared" ref="E111:AF111" si="85">E95-E110</f>
        <v>-725.1</v>
      </c>
      <c r="F111" s="71">
        <f t="shared" si="85"/>
        <v>-730</v>
      </c>
      <c r="G111" s="71">
        <f t="shared" si="85"/>
        <v>-762</v>
      </c>
      <c r="H111" s="71">
        <f t="shared" si="85"/>
        <v>-710</v>
      </c>
      <c r="I111" s="71">
        <f t="shared" si="85"/>
        <v>-744.5</v>
      </c>
      <c r="J111" s="71">
        <f t="shared" si="85"/>
        <v>-734</v>
      </c>
      <c r="K111" s="71">
        <f t="shared" si="85"/>
        <v>-733</v>
      </c>
      <c r="L111" s="71">
        <f t="shared" si="85"/>
        <v>-711</v>
      </c>
      <c r="M111" s="71">
        <f t="shared" si="85"/>
        <v>-704.3</v>
      </c>
      <c r="N111" s="71">
        <f t="shared" si="85"/>
        <v>-708.8</v>
      </c>
      <c r="O111" s="71">
        <f t="shared" si="85"/>
        <v>-667.6</v>
      </c>
      <c r="P111" s="71">
        <f t="shared" si="85"/>
        <v>-713.6</v>
      </c>
      <c r="Q111" s="71">
        <f t="shared" si="85"/>
        <v>-677</v>
      </c>
      <c r="R111" s="71">
        <f t="shared" si="85"/>
        <v>-750</v>
      </c>
      <c r="S111" s="71">
        <f t="shared" si="85"/>
        <v>-745.8</v>
      </c>
      <c r="T111" s="71">
        <f t="shared" si="85"/>
        <v>-681.7</v>
      </c>
      <c r="U111" s="71">
        <f t="shared" si="85"/>
        <v>-691.6</v>
      </c>
      <c r="V111" s="71">
        <f t="shared" si="85"/>
        <v>-691.6</v>
      </c>
      <c r="W111" s="71">
        <f t="shared" si="85"/>
        <v>-720.5</v>
      </c>
      <c r="X111" s="71">
        <f t="shared" si="85"/>
        <v>-736.6</v>
      </c>
      <c r="Y111" s="71">
        <f t="shared" si="85"/>
        <v>-732</v>
      </c>
      <c r="Z111" s="71">
        <f t="shared" si="85"/>
        <v>-660</v>
      </c>
      <c r="AA111" s="71">
        <f t="shared" si="85"/>
        <v>-687.9</v>
      </c>
      <c r="AB111" s="71">
        <f t="shared" si="85"/>
        <v>-680.4</v>
      </c>
      <c r="AC111" s="71">
        <f t="shared" si="85"/>
        <v>-702.2</v>
      </c>
      <c r="AD111" s="71">
        <f t="shared" si="85"/>
        <v>-708.6</v>
      </c>
      <c r="AE111" s="71">
        <f t="shared" si="85"/>
        <v>-693.7</v>
      </c>
      <c r="AF111" s="71">
        <f t="shared" si="85"/>
        <v>-702.2</v>
      </c>
      <c r="AG111" s="101"/>
      <c r="AH111" s="48">
        <f t="shared" si="44"/>
        <v>-629</v>
      </c>
      <c r="AI111" s="49">
        <f t="shared" si="45"/>
        <v>-762</v>
      </c>
    </row>
    <row r="112" spans="1:64" x14ac:dyDescent="0.25">
      <c r="A112" s="113" t="s">
        <v>132</v>
      </c>
      <c r="B112" s="114">
        <v>49.98</v>
      </c>
      <c r="C112" s="114">
        <v>49.98</v>
      </c>
      <c r="D112" s="114">
        <v>49.88</v>
      </c>
      <c r="E112" s="114">
        <v>49.951999999999998</v>
      </c>
      <c r="F112" s="114">
        <v>50</v>
      </c>
      <c r="G112" s="114">
        <v>49.968000000000004</v>
      </c>
      <c r="H112" s="114">
        <v>49.935000000000002</v>
      </c>
      <c r="I112" s="114">
        <v>49.881</v>
      </c>
      <c r="J112" s="114">
        <v>49.841000000000001</v>
      </c>
      <c r="K112" s="114">
        <v>49.978999999999999</v>
      </c>
      <c r="L112" s="114"/>
      <c r="M112" s="114">
        <v>50.091000000000001</v>
      </c>
      <c r="N112" s="114">
        <v>50.052999999999997</v>
      </c>
      <c r="O112" s="114">
        <v>50</v>
      </c>
      <c r="P112" s="114">
        <v>49.966000000000001</v>
      </c>
      <c r="Q112" s="114">
        <v>49.962000000000003</v>
      </c>
      <c r="R112" s="114">
        <v>49.997</v>
      </c>
      <c r="S112" s="114">
        <v>50.095999999999997</v>
      </c>
      <c r="T112" s="114">
        <v>50.046999999999997</v>
      </c>
      <c r="U112" s="114">
        <v>50.03</v>
      </c>
      <c r="V112" s="114">
        <v>50.048000000000002</v>
      </c>
      <c r="W112" s="114">
        <v>50.012999999999998</v>
      </c>
      <c r="X112" s="114">
        <v>50.033000000000001</v>
      </c>
      <c r="Y112" s="114">
        <v>50.091000000000001</v>
      </c>
      <c r="Z112" s="114">
        <v>50.031999999999996</v>
      </c>
      <c r="AA112" s="114">
        <v>49.984000000000002</v>
      </c>
      <c r="AB112" s="114">
        <v>50.031999999999996</v>
      </c>
      <c r="AC112" s="114">
        <v>50.029000000000003</v>
      </c>
      <c r="AD112" s="114">
        <v>49.942999999999998</v>
      </c>
      <c r="AE112" s="114">
        <v>50.048000000000002</v>
      </c>
      <c r="AF112" s="114">
        <v>50.02</v>
      </c>
      <c r="AG112" s="115"/>
      <c r="AH112" s="48">
        <f t="shared" si="44"/>
        <v>50.095999999999997</v>
      </c>
      <c r="AI112" s="49">
        <f t="shared" si="45"/>
        <v>49.841000000000001</v>
      </c>
    </row>
    <row r="113" spans="1:35" x14ac:dyDescent="0.25">
      <c r="A113" s="116" t="s">
        <v>133</v>
      </c>
      <c r="B113" s="76">
        <v>121.5</v>
      </c>
      <c r="C113" s="76">
        <v>121.5</v>
      </c>
      <c r="D113" s="76">
        <v>120.4</v>
      </c>
      <c r="E113" s="76">
        <v>120.4</v>
      </c>
      <c r="F113" s="76">
        <v>120.4</v>
      </c>
      <c r="G113" s="76">
        <v>122.9</v>
      </c>
      <c r="H113" s="76">
        <v>124.4</v>
      </c>
      <c r="I113" s="76">
        <v>124.4</v>
      </c>
      <c r="J113" s="76">
        <v>123.6</v>
      </c>
      <c r="K113" s="76">
        <v>120.7</v>
      </c>
      <c r="L113" s="76"/>
      <c r="M113" s="76">
        <v>119</v>
      </c>
      <c r="N113" s="76">
        <v>120.3</v>
      </c>
      <c r="O113" s="76">
        <v>120</v>
      </c>
      <c r="P113" s="76">
        <v>122.2</v>
      </c>
      <c r="Q113" s="76">
        <v>122.2</v>
      </c>
      <c r="R113" s="76">
        <v>121.4</v>
      </c>
      <c r="S113" s="76">
        <v>121.6</v>
      </c>
      <c r="T113" s="76">
        <v>123.3</v>
      </c>
      <c r="U113" s="76">
        <v>120.2</v>
      </c>
      <c r="V113" s="76">
        <v>123</v>
      </c>
      <c r="W113" s="76">
        <v>123.1</v>
      </c>
      <c r="X113" s="76">
        <v>123.4</v>
      </c>
      <c r="Y113" s="76">
        <v>123.5</v>
      </c>
      <c r="Z113" s="76">
        <v>121.7</v>
      </c>
      <c r="AA113" s="76">
        <v>120.2</v>
      </c>
      <c r="AB113" s="76">
        <v>122</v>
      </c>
      <c r="AC113" s="76">
        <v>121.4</v>
      </c>
      <c r="AD113" s="76">
        <v>121.9</v>
      </c>
      <c r="AE113" s="76">
        <v>124.1</v>
      </c>
      <c r="AF113" s="76">
        <v>122.2</v>
      </c>
      <c r="AG113" s="117"/>
      <c r="AH113" s="48">
        <f t="shared" si="44"/>
        <v>124.4</v>
      </c>
      <c r="AI113" s="49">
        <f t="shared" si="45"/>
        <v>119</v>
      </c>
    </row>
    <row r="114" spans="1:35" x14ac:dyDescent="0.25">
      <c r="A114" s="116" t="s">
        <v>134</v>
      </c>
      <c r="B114" s="76">
        <v>128</v>
      </c>
      <c r="C114" s="76">
        <v>128</v>
      </c>
      <c r="D114" s="76">
        <v>125.8</v>
      </c>
      <c r="E114" s="76">
        <v>125.9</v>
      </c>
      <c r="F114" s="76">
        <v>125.9</v>
      </c>
      <c r="G114" s="76">
        <v>127.7</v>
      </c>
      <c r="H114" s="76">
        <v>128.19999999999999</v>
      </c>
      <c r="I114" s="76">
        <v>128.19999999999999</v>
      </c>
      <c r="J114" s="76">
        <v>127.3</v>
      </c>
      <c r="K114" s="76">
        <v>125.2</v>
      </c>
      <c r="L114" s="76"/>
      <c r="M114" s="76">
        <v>123.3</v>
      </c>
      <c r="N114" s="76">
        <v>124.1</v>
      </c>
      <c r="O114" s="76">
        <v>123.5</v>
      </c>
      <c r="P114" s="76">
        <v>125.4</v>
      </c>
      <c r="Q114" s="76">
        <v>124.8</v>
      </c>
      <c r="R114" s="76">
        <v>124.7</v>
      </c>
      <c r="S114" s="76">
        <v>124.4</v>
      </c>
      <c r="T114" s="76">
        <v>126.1</v>
      </c>
      <c r="U114" s="76">
        <v>123.9</v>
      </c>
      <c r="V114" s="76">
        <v>126</v>
      </c>
      <c r="W114" s="76">
        <v>126</v>
      </c>
      <c r="X114" s="76">
        <v>126.3</v>
      </c>
      <c r="Y114" s="76">
        <v>126.3</v>
      </c>
      <c r="Z114" s="76">
        <v>123.4</v>
      </c>
      <c r="AA114" s="76">
        <v>123.4</v>
      </c>
      <c r="AB114" s="76">
        <v>124.9</v>
      </c>
      <c r="AC114" s="76">
        <v>125.3</v>
      </c>
      <c r="AD114" s="76">
        <v>125.7</v>
      </c>
      <c r="AE114" s="76">
        <v>127.6</v>
      </c>
      <c r="AF114" s="76">
        <v>127</v>
      </c>
      <c r="AG114" s="117"/>
      <c r="AH114" s="48">
        <f t="shared" si="44"/>
        <v>128.19999999999999</v>
      </c>
      <c r="AI114" s="49">
        <f t="shared" si="45"/>
        <v>123.3</v>
      </c>
    </row>
    <row r="115" spans="1:35" x14ac:dyDescent="0.25">
      <c r="A115" s="116" t="s">
        <v>135</v>
      </c>
      <c r="B115" s="76">
        <v>129</v>
      </c>
      <c r="C115" s="76">
        <v>129</v>
      </c>
      <c r="D115" s="76">
        <v>126.9</v>
      </c>
      <c r="E115" s="76">
        <v>127.7</v>
      </c>
      <c r="F115" s="76">
        <v>127.7</v>
      </c>
      <c r="G115" s="76">
        <v>127.7</v>
      </c>
      <c r="H115" s="76">
        <v>131.30000000000001</v>
      </c>
      <c r="I115" s="76">
        <v>128.69999999999999</v>
      </c>
      <c r="J115" s="76">
        <v>131.9</v>
      </c>
      <c r="K115" s="76">
        <v>131</v>
      </c>
      <c r="L115" s="76"/>
      <c r="M115" s="76">
        <v>130.9</v>
      </c>
      <c r="N115" s="76">
        <v>130.5</v>
      </c>
      <c r="O115" s="76">
        <v>130</v>
      </c>
      <c r="P115" s="76">
        <v>129.5</v>
      </c>
      <c r="Q115" s="76">
        <v>130</v>
      </c>
      <c r="R115" s="76">
        <v>130.5</v>
      </c>
      <c r="S115" s="76">
        <v>130.5</v>
      </c>
      <c r="T115" s="76">
        <v>130.5</v>
      </c>
      <c r="U115" s="76">
        <v>129.5</v>
      </c>
      <c r="V115" s="76">
        <v>130.6</v>
      </c>
      <c r="W115" s="76">
        <v>131.1</v>
      </c>
      <c r="X115" s="76">
        <v>130</v>
      </c>
      <c r="Y115" s="76">
        <v>129.80000000000001</v>
      </c>
      <c r="Z115" s="76">
        <v>128.69999999999999</v>
      </c>
      <c r="AA115" s="76">
        <v>128.1</v>
      </c>
      <c r="AB115" s="76">
        <v>128</v>
      </c>
      <c r="AC115" s="76">
        <v>127.3</v>
      </c>
      <c r="AD115" s="76">
        <v>129.30000000000001</v>
      </c>
      <c r="AE115" s="76">
        <v>130</v>
      </c>
      <c r="AF115" s="76">
        <v>129.9</v>
      </c>
      <c r="AG115" s="117"/>
      <c r="AH115" s="48">
        <f t="shared" si="44"/>
        <v>131.9</v>
      </c>
      <c r="AI115" s="49">
        <f t="shared" si="45"/>
        <v>126.9</v>
      </c>
    </row>
    <row r="116" spans="1:35" x14ac:dyDescent="0.25">
      <c r="A116" s="118" t="s">
        <v>136</v>
      </c>
      <c r="B116" s="76">
        <v>133</v>
      </c>
      <c r="C116" s="76">
        <v>133</v>
      </c>
      <c r="D116" s="76">
        <v>132.9</v>
      </c>
      <c r="E116" s="76">
        <v>133.69999999999999</v>
      </c>
      <c r="F116" s="76">
        <v>133.69999999999999</v>
      </c>
      <c r="G116" s="76">
        <v>133.69999999999999</v>
      </c>
      <c r="H116" s="76">
        <v>134.9</v>
      </c>
      <c r="I116" s="76">
        <v>134.30000000000001</v>
      </c>
      <c r="J116" s="76">
        <v>135</v>
      </c>
      <c r="K116" s="76">
        <v>132.19999999999999</v>
      </c>
      <c r="L116" s="76"/>
      <c r="M116" s="76">
        <v>130.9</v>
      </c>
      <c r="N116" s="76">
        <v>130.6</v>
      </c>
      <c r="O116" s="76">
        <v>129.6</v>
      </c>
      <c r="P116" s="76">
        <v>129.4</v>
      </c>
      <c r="Q116" s="76">
        <v>0</v>
      </c>
      <c r="R116" s="76">
        <v>130.69999999999999</v>
      </c>
      <c r="S116" s="76">
        <v>131.6</v>
      </c>
      <c r="T116" s="76">
        <v>130.6</v>
      </c>
      <c r="U116" s="76">
        <v>129.9</v>
      </c>
      <c r="V116" s="76">
        <v>131.5</v>
      </c>
      <c r="W116" s="76">
        <v>131.6</v>
      </c>
      <c r="X116" s="76">
        <v>131.1</v>
      </c>
      <c r="Y116" s="76">
        <v>130.6</v>
      </c>
      <c r="Z116" s="76">
        <v>127.8</v>
      </c>
      <c r="AA116" s="76">
        <v>128</v>
      </c>
      <c r="AB116" s="76">
        <v>128.80000000000001</v>
      </c>
      <c r="AC116" s="76">
        <v>129.1</v>
      </c>
      <c r="AD116" s="76">
        <v>130.30000000000001</v>
      </c>
      <c r="AE116" s="76">
        <v>131.69999999999999</v>
      </c>
      <c r="AF116" s="76">
        <v>132.1</v>
      </c>
      <c r="AG116" s="117"/>
      <c r="AH116" s="48">
        <f t="shared" si="44"/>
        <v>135</v>
      </c>
      <c r="AI116" s="49">
        <f t="shared" si="45"/>
        <v>0</v>
      </c>
    </row>
    <row r="117" spans="1:35" x14ac:dyDescent="0.25">
      <c r="A117" s="118" t="s">
        <v>137</v>
      </c>
      <c r="B117" s="119">
        <v>132.6</v>
      </c>
      <c r="C117" s="119">
        <v>132.6</v>
      </c>
      <c r="D117" s="119">
        <v>130.69999999999999</v>
      </c>
      <c r="E117" s="119">
        <v>133.5</v>
      </c>
      <c r="F117" s="119">
        <v>133.5</v>
      </c>
      <c r="G117" s="119">
        <v>133.5</v>
      </c>
      <c r="H117" s="119">
        <v>130.19999999999999</v>
      </c>
      <c r="I117" s="119">
        <v>134.19999999999999</v>
      </c>
      <c r="J117" s="119">
        <v>134.5</v>
      </c>
      <c r="K117" s="119">
        <v>134.4</v>
      </c>
      <c r="L117" s="119"/>
      <c r="M117" s="119">
        <v>134</v>
      </c>
      <c r="N117" s="119">
        <v>134.30000000000001</v>
      </c>
      <c r="O117" s="119">
        <v>134.80000000000001</v>
      </c>
      <c r="P117" s="119">
        <v>132.9</v>
      </c>
      <c r="Q117" s="119">
        <v>132.4</v>
      </c>
      <c r="R117" s="119">
        <v>134.9</v>
      </c>
      <c r="S117" s="119">
        <v>130.6</v>
      </c>
      <c r="T117" s="119">
        <v>132.4</v>
      </c>
      <c r="U117" s="119">
        <v>131</v>
      </c>
      <c r="V117" s="119">
        <v>134.19999999999999</v>
      </c>
      <c r="W117" s="119">
        <v>134.6</v>
      </c>
      <c r="X117" s="119">
        <v>134.80000000000001</v>
      </c>
      <c r="Y117" s="119">
        <v>135</v>
      </c>
      <c r="Z117" s="119">
        <v>133.1</v>
      </c>
      <c r="AA117" s="119">
        <v>134</v>
      </c>
      <c r="AB117" s="119">
        <v>134</v>
      </c>
      <c r="AC117" s="119">
        <v>131.9</v>
      </c>
      <c r="AD117" s="119">
        <v>135.30000000000001</v>
      </c>
      <c r="AE117" s="119">
        <v>133.9</v>
      </c>
      <c r="AF117" s="119">
        <v>132</v>
      </c>
      <c r="AG117" s="120"/>
      <c r="AH117" s="48">
        <f t="shared" si="44"/>
        <v>135.30000000000001</v>
      </c>
      <c r="AI117" s="49">
        <f t="shared" si="45"/>
        <v>130.19999999999999</v>
      </c>
    </row>
    <row r="118" spans="1:35" x14ac:dyDescent="0.25">
      <c r="A118" s="116" t="s">
        <v>138</v>
      </c>
      <c r="B118" s="76">
        <v>121</v>
      </c>
      <c r="C118" s="76">
        <v>121</v>
      </c>
      <c r="D118" s="76">
        <v>128.6</v>
      </c>
      <c r="E118" s="76">
        <v>124</v>
      </c>
      <c r="F118" s="76">
        <v>124</v>
      </c>
      <c r="G118" s="76">
        <v>124</v>
      </c>
      <c r="H118" s="76">
        <v>127</v>
      </c>
      <c r="I118" s="76">
        <v>129.19999999999999</v>
      </c>
      <c r="J118" s="76">
        <v>130</v>
      </c>
      <c r="K118" s="76">
        <v>127.8</v>
      </c>
      <c r="L118" s="76"/>
      <c r="M118" s="76">
        <v>132.80000000000001</v>
      </c>
      <c r="N118" s="76">
        <v>131.19999999999999</v>
      </c>
      <c r="O118" s="76">
        <v>132.69999999999999</v>
      </c>
      <c r="P118" s="76">
        <v>128.69999999999999</v>
      </c>
      <c r="Q118" s="76">
        <v>127</v>
      </c>
      <c r="R118" s="76">
        <v>131.80000000000001</v>
      </c>
      <c r="S118" s="76">
        <v>124.6</v>
      </c>
      <c r="T118" s="76">
        <v>126.8</v>
      </c>
      <c r="U118" s="76">
        <v>126.1</v>
      </c>
      <c r="V118" s="76">
        <v>132.69999999999999</v>
      </c>
      <c r="W118" s="76">
        <v>134.9</v>
      </c>
      <c r="X118" s="76">
        <v>133.30000000000001</v>
      </c>
      <c r="Y118" s="76">
        <v>133.19999999999999</v>
      </c>
      <c r="Z118" s="76">
        <v>129</v>
      </c>
      <c r="AA118" s="76">
        <v>129.6</v>
      </c>
      <c r="AB118" s="76">
        <v>128.6</v>
      </c>
      <c r="AC118" s="76">
        <v>121.6</v>
      </c>
      <c r="AD118" s="76">
        <v>130.80000000000001</v>
      </c>
      <c r="AE118" s="76">
        <v>126.6</v>
      </c>
      <c r="AF118" s="76">
        <v>123.9</v>
      </c>
      <c r="AG118" s="117"/>
      <c r="AH118" s="48">
        <f t="shared" si="44"/>
        <v>134.9</v>
      </c>
      <c r="AI118" s="49">
        <f t="shared" si="45"/>
        <v>121</v>
      </c>
    </row>
    <row r="119" spans="1:35" ht="15.75" thickBot="1" x14ac:dyDescent="0.3">
      <c r="A119" s="116" t="s">
        <v>139</v>
      </c>
      <c r="B119" s="105">
        <v>64.599999999999994</v>
      </c>
      <c r="C119" s="105">
        <v>64.599999999999994</v>
      </c>
      <c r="D119" s="105">
        <v>63.5</v>
      </c>
      <c r="E119" s="105">
        <v>64</v>
      </c>
      <c r="F119" s="105">
        <v>64</v>
      </c>
      <c r="G119" s="105">
        <v>64</v>
      </c>
      <c r="H119" s="105">
        <v>65.099999999999994</v>
      </c>
      <c r="I119" s="105">
        <v>64.7</v>
      </c>
      <c r="J119" s="105">
        <v>64</v>
      </c>
      <c r="K119" s="105">
        <v>63.1</v>
      </c>
      <c r="L119" s="105"/>
      <c r="M119" s="105">
        <v>62.1</v>
      </c>
      <c r="N119" s="105">
        <v>62.5</v>
      </c>
      <c r="O119" s="105">
        <v>62.1</v>
      </c>
      <c r="P119" s="105">
        <v>63</v>
      </c>
      <c r="Q119" s="105">
        <v>62.7</v>
      </c>
      <c r="R119" s="105">
        <v>62.5</v>
      </c>
      <c r="S119" s="105">
        <v>62.2</v>
      </c>
      <c r="T119" s="105">
        <v>62.7</v>
      </c>
      <c r="U119" s="105">
        <v>61.9</v>
      </c>
      <c r="V119" s="105">
        <v>63.3</v>
      </c>
      <c r="W119" s="105">
        <v>63</v>
      </c>
      <c r="X119" s="105">
        <v>63.5</v>
      </c>
      <c r="Y119" s="105">
        <v>63.7</v>
      </c>
      <c r="Z119" s="105">
        <v>62</v>
      </c>
      <c r="AA119" s="105">
        <v>62.1</v>
      </c>
      <c r="AB119" s="105">
        <v>63.3</v>
      </c>
      <c r="AC119" s="105">
        <v>63.2</v>
      </c>
      <c r="AD119" s="105">
        <v>63.4</v>
      </c>
      <c r="AE119" s="105">
        <v>64.3</v>
      </c>
      <c r="AF119" s="105">
        <v>63.6</v>
      </c>
      <c r="AG119" s="121"/>
      <c r="AH119" s="48">
        <f t="shared" si="44"/>
        <v>65.099999999999994</v>
      </c>
      <c r="AI119" s="49">
        <f t="shared" si="45"/>
        <v>61.9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4"/>
        <v>0</v>
      </c>
      <c r="AI120" s="49">
        <f t="shared" si="45"/>
        <v>0</v>
      </c>
    </row>
    <row r="121" spans="1:35" ht="15.75" thickBot="1" x14ac:dyDescent="0.3">
      <c r="A121" s="123" t="s">
        <v>141</v>
      </c>
      <c r="B121" s="124">
        <f t="shared" ref="B121:C121" si="86">SUM(B25,B31,B34:B35,B69,B71:B72,B74,B76,B122:B126,B158,B164,B170,B179,B181,B193,B200,B203:B204,B211,B213,B215,B219:B221,B223:B225,B230,B236:B237,B239:B241,B249,B254)</f>
        <v>114.54000000000002</v>
      </c>
      <c r="C121" s="124">
        <f t="shared" si="86"/>
        <v>99.44</v>
      </c>
      <c r="D121" s="124">
        <f t="shared" ref="D121" si="87">SUM(D25,D31,D34:D35,D69,D71:D72,D74,D76,D122:D126,D158,D164,D170,D179,D181,D193,D200,D203:D204,D211,D213,D215,D219:D221,D223:D225,D230,D236:D237,D239:D241,D249,D254)</f>
        <v>167.44</v>
      </c>
      <c r="E121" s="124">
        <f t="shared" ref="E121:O121" si="88">SUM(E25,E31,E34:E35,E69,E71:E72,E74,E76,E122:E126,E158,E164,E170,E179,E181,E193,E200,E203:E204,E211,E213,E215,E219:E221,E223:E225,E230,E236:E237,E239:E241,E249,E254)</f>
        <v>105.83999999999997</v>
      </c>
      <c r="F121" s="124">
        <f t="shared" si="88"/>
        <v>113.83999999999997</v>
      </c>
      <c r="G121" s="124">
        <f t="shared" si="88"/>
        <v>137.04000000000002</v>
      </c>
      <c r="H121" s="124">
        <f t="shared" si="88"/>
        <v>142.93999999999994</v>
      </c>
      <c r="I121" s="124">
        <f t="shared" si="88"/>
        <v>146.63999999999999</v>
      </c>
      <c r="J121" s="124">
        <f t="shared" si="88"/>
        <v>112.33999999999997</v>
      </c>
      <c r="K121" s="124">
        <f t="shared" si="88"/>
        <v>138.63999999999999</v>
      </c>
      <c r="L121" s="124">
        <f t="shared" si="88"/>
        <v>149.94</v>
      </c>
      <c r="M121" s="124">
        <f t="shared" si="88"/>
        <v>181.08999999999997</v>
      </c>
      <c r="N121" s="124">
        <f t="shared" si="88"/>
        <v>202.69</v>
      </c>
      <c r="O121" s="124">
        <f t="shared" si="88"/>
        <v>210.64</v>
      </c>
      <c r="P121" s="124">
        <v>42</v>
      </c>
      <c r="Q121" s="124">
        <f t="shared" ref="Q121:X121" si="89">SUM(Q25,Q31,Q34:Q35,Q69,Q71:Q72,Q74,Q76,Q122:Q126,Q158,Q164,Q170,Q179,Q181,Q193,Q200,Q203:Q204,Q211,Q213,Q215,Q219:Q221,Q223:Q225,Q230,Q236:Q237,Q239:Q241,Q249,Q254)</f>
        <v>181.23999999999995</v>
      </c>
      <c r="R121" s="124">
        <f t="shared" si="89"/>
        <v>380.23999999999995</v>
      </c>
      <c r="S121" s="124">
        <f t="shared" si="89"/>
        <v>176.14</v>
      </c>
      <c r="T121" s="124">
        <f t="shared" si="89"/>
        <v>164.93999999999994</v>
      </c>
      <c r="U121" s="124">
        <f t="shared" si="89"/>
        <v>189.03999999999996</v>
      </c>
      <c r="V121" s="124">
        <f t="shared" si="89"/>
        <v>187.33999999999997</v>
      </c>
      <c r="W121" s="124">
        <f t="shared" si="89"/>
        <v>193.64000000000001</v>
      </c>
      <c r="X121" s="124">
        <f t="shared" si="89"/>
        <v>196.94</v>
      </c>
      <c r="Y121" s="124">
        <f>SUM(Y23,Y29,Y40:Y41,Y69,Y71:Y72,Y74,Y76,Y122:Y126,Y151,Y157,Y163,Y172,Y174,Y186,Y193,Y196:Y197,Y204,Y206,Y208,Y212:Y214,Y216:Y218,Y223,Y229:Y230,Y232:Y234,Y242,Y247)</f>
        <v>202.2</v>
      </c>
      <c r="Z121" s="124">
        <f>SUM(Z23,Z29,Z40:Z41,Z69,Z71:Z72,Z74,Z76,Z122:Z126,Z151,Z157,Z163,Z172,Z174,Z186,Z193,Z196:Z197,Z204,Z206,Z208,Z212:Z214,Z216:Z218,Z223,Z229:Z230,Z232:Z234,Z242,Z247)</f>
        <v>219.7</v>
      </c>
      <c r="AA121" s="124">
        <f t="shared" ref="AA121:AF121" si="90">SUM(AA25,AA31,AA34:AA35,AA69,AA71:AA72,AA74,AA76,AA122:AA126,AA158,AA164,AA170,AA179,AA181,AA193,AA200,AA203:AA204,AA211,AA213,AA215,AA219:AA221,AA223:AA225,AA230,AA236:AA237,AA239:AA241,AA249,AA254)</f>
        <v>216.83999999999997</v>
      </c>
      <c r="AB121" s="124">
        <f t="shared" si="90"/>
        <v>283.33999999999997</v>
      </c>
      <c r="AC121" s="124">
        <f t="shared" si="90"/>
        <v>257.64</v>
      </c>
      <c r="AD121" s="124">
        <f t="shared" si="90"/>
        <v>232.84</v>
      </c>
      <c r="AE121" s="124">
        <f t="shared" si="90"/>
        <v>143.44000000000003</v>
      </c>
      <c r="AF121" s="124">
        <f t="shared" si="90"/>
        <v>97.439999999999984</v>
      </c>
      <c r="AG121" s="125"/>
      <c r="AH121" s="48">
        <f t="shared" si="44"/>
        <v>380.23999999999995</v>
      </c>
      <c r="AI121" s="49">
        <f t="shared" si="45"/>
        <v>42</v>
      </c>
    </row>
    <row r="122" spans="1:35" x14ac:dyDescent="0.25">
      <c r="A122" s="126" t="s">
        <v>142</v>
      </c>
      <c r="B122" s="127">
        <v>65</v>
      </c>
      <c r="C122" s="127">
        <v>65</v>
      </c>
      <c r="D122" s="127">
        <v>102</v>
      </c>
      <c r="E122" s="127">
        <v>78</v>
      </c>
      <c r="F122" s="127">
        <v>80</v>
      </c>
      <c r="G122" s="127">
        <v>86</v>
      </c>
      <c r="H122" s="127">
        <v>64.099999999999994</v>
      </c>
      <c r="I122" s="127">
        <v>58</v>
      </c>
      <c r="J122" s="127">
        <v>54.4</v>
      </c>
      <c r="K122" s="127">
        <v>64.400000000000006</v>
      </c>
      <c r="L122" s="127"/>
      <c r="M122" s="127">
        <v>64.400000000000006</v>
      </c>
      <c r="N122" s="127">
        <v>75.400000000000006</v>
      </c>
      <c r="O122" s="127">
        <v>65.599999999999994</v>
      </c>
      <c r="P122" s="127">
        <v>61.7</v>
      </c>
      <c r="Q122" s="127">
        <v>77</v>
      </c>
      <c r="R122" s="127">
        <v>88</v>
      </c>
      <c r="S122" s="127">
        <v>56.8</v>
      </c>
      <c r="T122" s="127">
        <v>68.599999999999994</v>
      </c>
      <c r="U122" s="127">
        <v>63.4</v>
      </c>
      <c r="V122" s="127">
        <v>58.4</v>
      </c>
      <c r="W122" s="127">
        <v>63.2</v>
      </c>
      <c r="X122" s="127">
        <v>80.7</v>
      </c>
      <c r="Y122" s="127">
        <v>78</v>
      </c>
      <c r="Z122" s="127">
        <v>87.1</v>
      </c>
      <c r="AA122" s="127">
        <v>81.3</v>
      </c>
      <c r="AB122" s="127">
        <v>90.8</v>
      </c>
      <c r="AC122" s="127">
        <v>84.9</v>
      </c>
      <c r="AD122" s="127">
        <v>85.1</v>
      </c>
      <c r="AE122" s="127">
        <v>38.9</v>
      </c>
      <c r="AF122" s="127">
        <v>28.4</v>
      </c>
      <c r="AG122" s="128">
        <v>75</v>
      </c>
      <c r="AH122" s="48">
        <f t="shared" si="44"/>
        <v>102</v>
      </c>
      <c r="AI122" s="49">
        <f t="shared" si="45"/>
        <v>28.4</v>
      </c>
    </row>
    <row r="123" spans="1:35" x14ac:dyDescent="0.25">
      <c r="A123" s="129" t="s">
        <v>143</v>
      </c>
      <c r="B123" s="130">
        <v>40</v>
      </c>
      <c r="C123" s="130">
        <v>40</v>
      </c>
      <c r="D123" s="130">
        <v>68</v>
      </c>
      <c r="E123" s="130">
        <v>115.2</v>
      </c>
      <c r="F123" s="130">
        <v>115.2</v>
      </c>
      <c r="G123" s="130">
        <v>88.4</v>
      </c>
      <c r="H123" s="130">
        <v>97</v>
      </c>
      <c r="I123" s="130">
        <v>88</v>
      </c>
      <c r="J123" s="130">
        <v>83.4</v>
      </c>
      <c r="K123" s="130">
        <v>97.2</v>
      </c>
      <c r="L123" s="130"/>
      <c r="M123" s="130">
        <v>94.4</v>
      </c>
      <c r="N123" s="130">
        <v>107</v>
      </c>
      <c r="O123" s="130">
        <v>97</v>
      </c>
      <c r="P123" s="130">
        <v>89.7</v>
      </c>
      <c r="Q123" s="130">
        <v>113</v>
      </c>
      <c r="R123" s="130">
        <v>88</v>
      </c>
      <c r="S123" s="130">
        <v>85.8</v>
      </c>
      <c r="T123" s="130">
        <v>44.8</v>
      </c>
      <c r="U123" s="130">
        <v>96.4</v>
      </c>
      <c r="V123" s="130">
        <v>89.4</v>
      </c>
      <c r="W123" s="130">
        <v>93.5</v>
      </c>
      <c r="X123" s="130">
        <v>115</v>
      </c>
      <c r="Y123" s="130">
        <v>112.3</v>
      </c>
      <c r="Z123" s="130">
        <v>126.3</v>
      </c>
      <c r="AA123" s="130">
        <v>117.3</v>
      </c>
      <c r="AB123" s="130">
        <v>129.69999999999999</v>
      </c>
      <c r="AC123" s="130">
        <v>124</v>
      </c>
      <c r="AD123" s="130">
        <v>123.7</v>
      </c>
      <c r="AE123" s="130">
        <v>67</v>
      </c>
      <c r="AF123" s="130">
        <v>53.6</v>
      </c>
      <c r="AG123" s="128">
        <v>240</v>
      </c>
      <c r="AH123" s="48">
        <f t="shared" si="44"/>
        <v>129.69999999999999</v>
      </c>
      <c r="AI123" s="49">
        <f t="shared" si="45"/>
        <v>40</v>
      </c>
    </row>
    <row r="124" spans="1:35" x14ac:dyDescent="0.25">
      <c r="A124" s="129" t="s">
        <v>144</v>
      </c>
      <c r="B124" s="130">
        <v>-153</v>
      </c>
      <c r="C124" s="130">
        <v>-153</v>
      </c>
      <c r="D124" s="130">
        <v>-150</v>
      </c>
      <c r="E124" s="130">
        <v>-170</v>
      </c>
      <c r="F124" s="130">
        <v>-170</v>
      </c>
      <c r="G124" s="130">
        <v>-154</v>
      </c>
      <c r="H124" s="130">
        <v>-154</v>
      </c>
      <c r="I124" s="130">
        <v>-133</v>
      </c>
      <c r="J124" s="130">
        <v>-154</v>
      </c>
      <c r="K124" s="130">
        <v>-152</v>
      </c>
      <c r="L124" s="130"/>
      <c r="M124" s="130">
        <v>-135</v>
      </c>
      <c r="N124" s="130">
        <v>-140</v>
      </c>
      <c r="O124" s="130">
        <v>-129</v>
      </c>
      <c r="P124" s="130">
        <v>-140</v>
      </c>
      <c r="Q124" s="130">
        <v>-160</v>
      </c>
      <c r="R124" s="130">
        <v>58</v>
      </c>
      <c r="S124" s="130">
        <f>-71.7-75.6</f>
        <v>-147.30000000000001</v>
      </c>
      <c r="T124" s="130">
        <f>-64-67</f>
        <v>-131</v>
      </c>
      <c r="U124" s="130">
        <f>-74-78</f>
        <v>-152</v>
      </c>
      <c r="V124" s="130">
        <f>-67-73</f>
        <v>-140</v>
      </c>
      <c r="W124" s="130">
        <f>-66.7-69.3</f>
        <v>-136</v>
      </c>
      <c r="X124" s="130">
        <f>-72.1-75.9</f>
        <v>-148</v>
      </c>
      <c r="Y124" s="130">
        <f>-71-75</f>
        <v>-146</v>
      </c>
      <c r="Z124" s="130">
        <f>-73-76</f>
        <v>-149</v>
      </c>
      <c r="AA124" s="130">
        <f>-67-72</f>
        <v>-139</v>
      </c>
      <c r="AB124" s="130">
        <v>-154</v>
      </c>
      <c r="AC124" s="130">
        <v>-162</v>
      </c>
      <c r="AD124" s="130">
        <v>-173</v>
      </c>
      <c r="AE124" s="130">
        <v>-131</v>
      </c>
      <c r="AF124" s="130">
        <v>-140</v>
      </c>
      <c r="AG124" s="128">
        <v>240</v>
      </c>
      <c r="AH124" s="48">
        <f t="shared" si="44"/>
        <v>58</v>
      </c>
      <c r="AI124" s="49">
        <f t="shared" si="45"/>
        <v>-173</v>
      </c>
    </row>
    <row r="125" spans="1:35" ht="15.75" thickBot="1" x14ac:dyDescent="0.3">
      <c r="A125" s="129" t="s">
        <v>145</v>
      </c>
      <c r="B125" s="130">
        <v>-20</v>
      </c>
      <c r="C125" s="130">
        <v>-20</v>
      </c>
      <c r="D125" s="130">
        <v>-20</v>
      </c>
      <c r="E125" s="130">
        <v>-21.5</v>
      </c>
      <c r="F125" s="130">
        <v>-21.5</v>
      </c>
      <c r="G125" s="130">
        <v>-23.5</v>
      </c>
      <c r="H125" s="130">
        <v>-17.3</v>
      </c>
      <c r="I125" s="130">
        <v>-13.5</v>
      </c>
      <c r="J125" s="130">
        <v>-19</v>
      </c>
      <c r="K125" s="130">
        <v>-18.5</v>
      </c>
      <c r="L125" s="130"/>
      <c r="M125" s="130">
        <v>-15</v>
      </c>
      <c r="N125" s="130">
        <v>-12</v>
      </c>
      <c r="O125" s="130">
        <v>8.8000000000000007</v>
      </c>
      <c r="P125" s="130">
        <v>-6.5</v>
      </c>
      <c r="Q125" s="130">
        <v>-17</v>
      </c>
      <c r="R125" s="130">
        <v>-22</v>
      </c>
      <c r="S125" s="130">
        <v>-5.7</v>
      </c>
      <c r="T125" s="130">
        <v>-3.3</v>
      </c>
      <c r="U125" s="130">
        <v>-5.3</v>
      </c>
      <c r="V125" s="130">
        <v>-7</v>
      </c>
      <c r="W125" s="130">
        <v>-7.6</v>
      </c>
      <c r="X125" s="130">
        <v>-6.5</v>
      </c>
      <c r="Y125" s="130">
        <v>0</v>
      </c>
      <c r="Z125" s="130">
        <v>-2.2999999999999998</v>
      </c>
      <c r="AA125" s="130">
        <v>-1.3</v>
      </c>
      <c r="AB125" s="130">
        <v>-4</v>
      </c>
      <c r="AC125" s="130">
        <v>-10</v>
      </c>
      <c r="AD125" s="130">
        <v>-11.1</v>
      </c>
      <c r="AE125" s="130">
        <v>-5.6</v>
      </c>
      <c r="AF125" s="130">
        <v>-18.7</v>
      </c>
      <c r="AG125" s="128">
        <v>60</v>
      </c>
      <c r="AH125" s="48">
        <f t="shared" si="44"/>
        <v>8.8000000000000007</v>
      </c>
      <c r="AI125" s="49">
        <f t="shared" si="45"/>
        <v>-23.5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>
        <v>42</v>
      </c>
      <c r="AC126" s="131">
        <v>41.9</v>
      </c>
      <c r="AD126" s="131">
        <v>25.2</v>
      </c>
      <c r="AE126" s="131">
        <v>0</v>
      </c>
      <c r="AF126" s="131">
        <v>0</v>
      </c>
      <c r="AG126" s="132">
        <v>120</v>
      </c>
      <c r="AH126" s="48">
        <f t="shared" si="44"/>
        <v>42</v>
      </c>
      <c r="AI126" s="49">
        <f t="shared" si="45"/>
        <v>0</v>
      </c>
    </row>
    <row r="127" spans="1:35" x14ac:dyDescent="0.25">
      <c r="A127" s="129" t="s">
        <v>147</v>
      </c>
      <c r="B127" s="131">
        <v>62</v>
      </c>
      <c r="C127" s="131">
        <v>62</v>
      </c>
      <c r="D127" s="131">
        <v>62</v>
      </c>
      <c r="E127" s="131">
        <v>61.1</v>
      </c>
      <c r="F127" s="131">
        <v>61.1</v>
      </c>
      <c r="G127" s="131">
        <v>59.5</v>
      </c>
      <c r="H127" s="131">
        <v>59.5</v>
      </c>
      <c r="I127" s="131">
        <v>59.5</v>
      </c>
      <c r="J127" s="131">
        <v>90.4</v>
      </c>
      <c r="K127" s="131">
        <v>69</v>
      </c>
      <c r="L127" s="131"/>
      <c r="M127" s="131">
        <v>96.3</v>
      </c>
      <c r="N127" s="131">
        <v>97</v>
      </c>
      <c r="O127" s="131">
        <v>92.7</v>
      </c>
      <c r="P127" s="131">
        <v>95.8</v>
      </c>
      <c r="Q127" s="131">
        <v>86</v>
      </c>
      <c r="R127" s="131">
        <v>103</v>
      </c>
      <c r="S127" s="131">
        <v>91.5</v>
      </c>
      <c r="T127" s="131">
        <v>95.1</v>
      </c>
      <c r="U127" s="131">
        <v>91</v>
      </c>
      <c r="V127" s="131">
        <v>83.3</v>
      </c>
      <c r="W127" s="131">
        <v>85.4</v>
      </c>
      <c r="X127" s="131">
        <v>77.400000000000006</v>
      </c>
      <c r="Y127" s="131">
        <v>79.5</v>
      </c>
      <c r="Z127" s="131">
        <v>96.3</v>
      </c>
      <c r="AA127" s="131">
        <v>107.7</v>
      </c>
      <c r="AB127" s="131">
        <v>95</v>
      </c>
      <c r="AC127" s="131">
        <v>95.3</v>
      </c>
      <c r="AD127" s="131">
        <v>82.8</v>
      </c>
      <c r="AE127" s="131">
        <v>69.2</v>
      </c>
      <c r="AF127" s="131">
        <v>75.099999999999994</v>
      </c>
      <c r="AG127" s="132"/>
      <c r="AH127" s="48"/>
      <c r="AI127" s="49"/>
    </row>
    <row r="128" spans="1:35" x14ac:dyDescent="0.25">
      <c r="A128" s="129" t="s">
        <v>148</v>
      </c>
      <c r="B128" s="131">
        <v>36</v>
      </c>
      <c r="C128" s="131">
        <v>36</v>
      </c>
      <c r="D128" s="131">
        <v>33</v>
      </c>
      <c r="E128" s="131">
        <v>29.6</v>
      </c>
      <c r="F128" s="131">
        <v>29.6</v>
      </c>
      <c r="G128" s="131">
        <v>20.100000000000001</v>
      </c>
      <c r="H128" s="131">
        <v>13.5</v>
      </c>
      <c r="I128" s="131">
        <v>-1.3</v>
      </c>
      <c r="J128" s="131">
        <v>36</v>
      </c>
      <c r="K128" s="131">
        <v>21</v>
      </c>
      <c r="L128" s="131"/>
      <c r="M128" s="131">
        <v>15.9</v>
      </c>
      <c r="N128" s="131">
        <v>6.5</v>
      </c>
      <c r="O128" s="131">
        <v>-4.3</v>
      </c>
      <c r="P128" s="131">
        <v>22</v>
      </c>
      <c r="Q128" s="131">
        <v>7</v>
      </c>
      <c r="R128" s="131">
        <v>35</v>
      </c>
      <c r="S128" s="131">
        <v>49.1</v>
      </c>
      <c r="T128" s="131">
        <v>54.9</v>
      </c>
      <c r="U128" s="131">
        <v>36.6</v>
      </c>
      <c r="V128" s="131">
        <v>35.5</v>
      </c>
      <c r="W128" s="131">
        <v>21.2</v>
      </c>
      <c r="X128" s="131">
        <v>-8.8000000000000007</v>
      </c>
      <c r="Y128" s="131">
        <v>-7.1</v>
      </c>
      <c r="Z128" s="131">
        <v>-6.4</v>
      </c>
      <c r="AA128" s="131">
        <v>1.9</v>
      </c>
      <c r="AB128" s="131">
        <v>-10.3</v>
      </c>
      <c r="AC128" s="131">
        <v>4</v>
      </c>
      <c r="AD128" s="131">
        <v>1.5</v>
      </c>
      <c r="AE128" s="131">
        <v>24</v>
      </c>
      <c r="AF128" s="131">
        <v>47.9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67</v>
      </c>
      <c r="C129" s="131">
        <v>67</v>
      </c>
      <c r="D129" s="131">
        <v>59</v>
      </c>
      <c r="E129" s="131">
        <v>63</v>
      </c>
      <c r="F129" s="131">
        <v>63</v>
      </c>
      <c r="G129" s="131">
        <v>66.5</v>
      </c>
      <c r="H129" s="131">
        <v>51</v>
      </c>
      <c r="I129" s="131">
        <v>53</v>
      </c>
      <c r="J129" s="131">
        <v>52.4</v>
      </c>
      <c r="K129" s="131">
        <v>52.1</v>
      </c>
      <c r="L129" s="131"/>
      <c r="M129" s="131">
        <v>69.2</v>
      </c>
      <c r="N129" s="131">
        <v>72</v>
      </c>
      <c r="O129" s="131">
        <v>62.5</v>
      </c>
      <c r="P129" s="131">
        <v>46</v>
      </c>
      <c r="Q129" s="131">
        <v>24</v>
      </c>
      <c r="R129" s="131">
        <v>44</v>
      </c>
      <c r="S129" s="131">
        <v>44.6</v>
      </c>
      <c r="T129" s="131">
        <v>52.3</v>
      </c>
      <c r="U129" s="131">
        <v>50.2</v>
      </c>
      <c r="V129" s="131">
        <v>37.5</v>
      </c>
      <c r="W129" s="131">
        <v>40.200000000000003</v>
      </c>
      <c r="X129" s="131">
        <v>30.2</v>
      </c>
      <c r="Y129" s="131">
        <v>26</v>
      </c>
      <c r="Z129" s="131">
        <v>43.6</v>
      </c>
      <c r="AA129" s="131">
        <v>49.9</v>
      </c>
      <c r="AB129" s="131">
        <v>37.200000000000003</v>
      </c>
      <c r="AC129" s="131">
        <v>42.1</v>
      </c>
      <c r="AD129" s="131">
        <v>33</v>
      </c>
      <c r="AE129" s="131">
        <v>52.4</v>
      </c>
      <c r="AF129" s="131">
        <v>54.9</v>
      </c>
      <c r="AG129" s="128"/>
      <c r="AH129" s="48">
        <f>MAX(B129:AF129)</f>
        <v>72</v>
      </c>
      <c r="AI129" s="49">
        <f>MIN(B129:AF129)</f>
        <v>24</v>
      </c>
    </row>
    <row r="130" spans="1:37" x14ac:dyDescent="0.25">
      <c r="A130" s="126" t="s">
        <v>150</v>
      </c>
      <c r="B130" s="131">
        <v>-358</v>
      </c>
      <c r="C130" s="131">
        <v>-358</v>
      </c>
      <c r="D130" s="131">
        <v>-358</v>
      </c>
      <c r="E130" s="131">
        <v>-363.4</v>
      </c>
      <c r="F130" s="131">
        <v>-363.4</v>
      </c>
      <c r="G130" s="131">
        <v>-364</v>
      </c>
      <c r="H130" s="131">
        <v>-364</v>
      </c>
      <c r="I130" s="131">
        <v>-365</v>
      </c>
      <c r="J130" s="131">
        <v>-335</v>
      </c>
      <c r="K130" s="131">
        <v>-341</v>
      </c>
      <c r="L130" s="131"/>
      <c r="M130" s="131">
        <v>-325</v>
      </c>
      <c r="N130" s="131">
        <v>-320</v>
      </c>
      <c r="O130" s="131">
        <v>-327.9</v>
      </c>
      <c r="P130" s="131">
        <v>-333</v>
      </c>
      <c r="Q130" s="131">
        <v>-360</v>
      </c>
      <c r="R130" s="131">
        <v>-358</v>
      </c>
      <c r="S130" s="131">
        <v>-338.8</v>
      </c>
      <c r="T130" s="131">
        <v>-324.5</v>
      </c>
      <c r="U130" s="131">
        <v>-329.1</v>
      </c>
      <c r="V130" s="131">
        <v>-318</v>
      </c>
      <c r="W130" s="131">
        <v>-316.5</v>
      </c>
      <c r="X130" s="131">
        <v>-315</v>
      </c>
      <c r="Y130" s="131">
        <v>-324</v>
      </c>
      <c r="Z130" s="131">
        <v>-336.8</v>
      </c>
      <c r="AA130" s="131">
        <v>-349.8</v>
      </c>
      <c r="AB130" s="131">
        <v>-349.4</v>
      </c>
      <c r="AC130" s="131">
        <v>-349</v>
      </c>
      <c r="AD130" s="131">
        <v>-355.4</v>
      </c>
      <c r="AE130" s="131">
        <v>-358.1</v>
      </c>
      <c r="AF130" s="131">
        <v>-359.1</v>
      </c>
      <c r="AG130" s="128"/>
      <c r="AH130" s="48">
        <f>MAX(B130:AF130)</f>
        <v>-315</v>
      </c>
      <c r="AI130" s="49">
        <f>MIN(B130:AF130)</f>
        <v>-365</v>
      </c>
    </row>
    <row r="131" spans="1:37" x14ac:dyDescent="0.25">
      <c r="A131" s="129" t="s">
        <v>151</v>
      </c>
      <c r="B131" s="119">
        <v>103</v>
      </c>
      <c r="C131" s="119">
        <v>103</v>
      </c>
      <c r="D131" s="119">
        <v>109</v>
      </c>
      <c r="E131" s="119">
        <v>113</v>
      </c>
      <c r="F131" s="119">
        <v>113</v>
      </c>
      <c r="G131" s="119">
        <v>119.4</v>
      </c>
      <c r="H131" s="119">
        <v>108.1</v>
      </c>
      <c r="I131" s="119">
        <v>107</v>
      </c>
      <c r="J131" s="119">
        <v>98</v>
      </c>
      <c r="K131" s="119">
        <v>102.3</v>
      </c>
      <c r="L131" s="119"/>
      <c r="M131" s="119">
        <v>102.6</v>
      </c>
      <c r="N131" s="119">
        <v>105</v>
      </c>
      <c r="O131" s="119">
        <v>62.3</v>
      </c>
      <c r="P131" s="119">
        <v>67</v>
      </c>
      <c r="Q131" s="119">
        <v>0</v>
      </c>
      <c r="R131" s="119">
        <v>86</v>
      </c>
      <c r="S131" s="119">
        <v>94.2</v>
      </c>
      <c r="T131" s="119">
        <v>106</v>
      </c>
      <c r="U131" s="119">
        <v>104.6</v>
      </c>
      <c r="V131" s="119">
        <v>103.9</v>
      </c>
      <c r="W131" s="119">
        <v>103.7</v>
      </c>
      <c r="X131" s="119">
        <v>100.8</v>
      </c>
      <c r="Y131" s="119">
        <v>101.6</v>
      </c>
      <c r="Z131" s="119">
        <v>72</v>
      </c>
      <c r="AA131" s="119">
        <v>89.4</v>
      </c>
      <c r="AB131" s="119">
        <v>61</v>
      </c>
      <c r="AC131" s="119">
        <v>98</v>
      </c>
      <c r="AD131" s="119">
        <v>85.2</v>
      </c>
      <c r="AE131" s="119">
        <v>88.5</v>
      </c>
      <c r="AF131" s="119">
        <v>93.2</v>
      </c>
      <c r="AG131" s="128"/>
      <c r="AH131" s="48">
        <f>MAX(B131:AF131)</f>
        <v>119.4</v>
      </c>
      <c r="AI131" s="49">
        <f>MIN(B131:AF131)</f>
        <v>0</v>
      </c>
    </row>
    <row r="132" spans="1:37" x14ac:dyDescent="0.25">
      <c r="A132" s="129" t="s">
        <v>152</v>
      </c>
      <c r="B132" s="119">
        <v>-29</v>
      </c>
      <c r="C132" s="119">
        <v>-29</v>
      </c>
      <c r="D132" s="119">
        <v>-28</v>
      </c>
      <c r="E132" s="119">
        <v>-29.1</v>
      </c>
      <c r="F132" s="119">
        <v>-29.1</v>
      </c>
      <c r="G132" s="119">
        <v>35</v>
      </c>
      <c r="H132" s="119">
        <v>-32</v>
      </c>
      <c r="I132" s="119">
        <v>-31.5</v>
      </c>
      <c r="J132" s="119">
        <v>-34.200000000000003</v>
      </c>
      <c r="K132" s="119">
        <v>-39</v>
      </c>
      <c r="L132" s="119"/>
      <c r="M132" s="119">
        <v>-44.1</v>
      </c>
      <c r="N132" s="119">
        <v>-44</v>
      </c>
      <c r="O132" s="119">
        <v>-31.8</v>
      </c>
      <c r="P132" s="119">
        <v>-31</v>
      </c>
      <c r="Q132" s="119">
        <v>-13</v>
      </c>
      <c r="R132" s="119">
        <v>-28</v>
      </c>
      <c r="S132" s="119">
        <v>-35.1</v>
      </c>
      <c r="T132" s="119">
        <v>-32.799999999999997</v>
      </c>
      <c r="U132" s="119">
        <v>-36</v>
      </c>
      <c r="V132" s="119">
        <v>-35.299999999999997</v>
      </c>
      <c r="W132" s="119">
        <v>-36.6</v>
      </c>
      <c r="X132" s="119">
        <v>-35.5</v>
      </c>
      <c r="Y132" s="119">
        <v>-33</v>
      </c>
      <c r="Z132" s="119">
        <v>-23.5</v>
      </c>
      <c r="AA132" s="119">
        <v>-27.3</v>
      </c>
      <c r="AB132" s="119">
        <v>-23.7</v>
      </c>
      <c r="AC132" s="119">
        <v>-26.5</v>
      </c>
      <c r="AD132" s="119">
        <v>-23.8</v>
      </c>
      <c r="AE132" s="119">
        <v>-26.3</v>
      </c>
      <c r="AF132" s="119">
        <v>-28.5</v>
      </c>
      <c r="AG132" s="128"/>
      <c r="AH132" s="48">
        <f>MAX(B132:AF132)</f>
        <v>35</v>
      </c>
      <c r="AI132" s="49">
        <f>MIN(B132:AF132)</f>
        <v>-44.1</v>
      </c>
    </row>
    <row r="133" spans="1:37" ht="15.75" thickBot="1" x14ac:dyDescent="0.3">
      <c r="A133" s="129" t="s">
        <v>153</v>
      </c>
      <c r="B133" s="119">
        <v>38</v>
      </c>
      <c r="C133" s="119">
        <v>38</v>
      </c>
      <c r="D133" s="119">
        <v>35</v>
      </c>
      <c r="E133" s="119">
        <v>34.1</v>
      </c>
      <c r="F133" s="119">
        <v>34.1</v>
      </c>
      <c r="G133" s="119">
        <v>29</v>
      </c>
      <c r="H133" s="119">
        <v>35</v>
      </c>
      <c r="I133" s="119">
        <v>32.4</v>
      </c>
      <c r="J133" s="119">
        <v>37</v>
      </c>
      <c r="K133" s="119">
        <v>32</v>
      </c>
      <c r="L133" s="119"/>
      <c r="M133" s="119">
        <v>26</v>
      </c>
      <c r="N133" s="119">
        <v>25</v>
      </c>
      <c r="O133" s="119">
        <v>36</v>
      </c>
      <c r="P133" s="119">
        <v>35</v>
      </c>
      <c r="Q133" s="119">
        <v>50</v>
      </c>
      <c r="R133" s="119">
        <v>34</v>
      </c>
      <c r="S133" s="119">
        <v>37.5</v>
      </c>
      <c r="T133" s="119">
        <v>35.4</v>
      </c>
      <c r="U133" s="119">
        <v>34.299999999999997</v>
      </c>
      <c r="V133" s="119"/>
      <c r="W133" s="119">
        <v>35.299999999999997</v>
      </c>
      <c r="X133" s="119">
        <v>37.1</v>
      </c>
      <c r="Y133" s="119">
        <v>38</v>
      </c>
      <c r="Z133" s="119">
        <v>42.9</v>
      </c>
      <c r="AA133" s="119">
        <v>41.1</v>
      </c>
      <c r="AB133" s="119">
        <v>45.7</v>
      </c>
      <c r="AC133" s="119">
        <v>42.7</v>
      </c>
      <c r="AD133" s="119">
        <v>45.3</v>
      </c>
      <c r="AE133" s="119">
        <v>44.4</v>
      </c>
      <c r="AF133" s="119">
        <v>41.2</v>
      </c>
      <c r="AG133" s="128"/>
      <c r="AH133" s="48">
        <f>MAX(B133:AF133)</f>
        <v>50</v>
      </c>
      <c r="AI133" s="49">
        <f>MIN(B133:AF133)</f>
        <v>25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>
        <v>1496.1</v>
      </c>
      <c r="N140" s="142"/>
      <c r="O140" s="142">
        <v>1496.13</v>
      </c>
      <c r="P140" s="142"/>
      <c r="Q140" s="142"/>
      <c r="R140" s="142"/>
      <c r="S140" s="142"/>
      <c r="T140" s="142">
        <v>1496.22</v>
      </c>
      <c r="U140" s="142"/>
      <c r="V140" s="142"/>
      <c r="W140" s="142"/>
      <c r="X140" s="142">
        <v>1496.33</v>
      </c>
      <c r="Y140" s="142"/>
      <c r="Z140" s="142"/>
      <c r="AA140" s="142"/>
      <c r="AB140" s="142">
        <v>1496.39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 t="s">
        <v>162</v>
      </c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91">SUM(B142:B246)</f>
        <v>0</v>
      </c>
      <c r="C247" s="161">
        <f t="shared" si="91"/>
        <v>0</v>
      </c>
      <c r="D247" s="161">
        <f t="shared" si="91"/>
        <v>0</v>
      </c>
      <c r="E247" s="161">
        <f t="shared" si="91"/>
        <v>0</v>
      </c>
      <c r="F247" s="161">
        <f t="shared" si="91"/>
        <v>0</v>
      </c>
      <c r="G247" s="161">
        <f t="shared" si="91"/>
        <v>0</v>
      </c>
      <c r="H247" s="161">
        <f t="shared" si="91"/>
        <v>0</v>
      </c>
      <c r="I247" s="161">
        <f t="shared" si="91"/>
        <v>0</v>
      </c>
      <c r="J247" s="161">
        <f t="shared" si="91"/>
        <v>0</v>
      </c>
      <c r="K247" s="161">
        <f t="shared" si="91"/>
        <v>0</v>
      </c>
      <c r="L247" s="161">
        <f t="shared" si="91"/>
        <v>0</v>
      </c>
      <c r="M247" s="161">
        <f t="shared" si="91"/>
        <v>0</v>
      </c>
      <c r="N247" s="161">
        <f t="shared" si="91"/>
        <v>0</v>
      </c>
      <c r="O247" s="161">
        <f t="shared" si="91"/>
        <v>0</v>
      </c>
      <c r="P247" s="161">
        <f t="shared" si="91"/>
        <v>0</v>
      </c>
      <c r="Q247" s="161">
        <f t="shared" si="91"/>
        <v>0</v>
      </c>
      <c r="R247" s="161">
        <f t="shared" si="91"/>
        <v>0</v>
      </c>
      <c r="S247" s="161">
        <f t="shared" si="91"/>
        <v>0</v>
      </c>
      <c r="T247" s="161">
        <f t="shared" si="91"/>
        <v>0</v>
      </c>
      <c r="U247" s="161">
        <f t="shared" si="91"/>
        <v>0</v>
      </c>
      <c r="V247" s="161">
        <f t="shared" si="91"/>
        <v>0</v>
      </c>
      <c r="W247" s="161">
        <f t="shared" si="91"/>
        <v>0</v>
      </c>
      <c r="X247" s="161">
        <f t="shared" si="91"/>
        <v>0</v>
      </c>
      <c r="Y247" s="161">
        <f t="shared" si="91"/>
        <v>0</v>
      </c>
      <c r="Z247" s="161">
        <f t="shared" si="91"/>
        <v>0</v>
      </c>
      <c r="AA247" s="161">
        <f t="shared" si="91"/>
        <v>0</v>
      </c>
      <c r="AB247" s="161">
        <f t="shared" si="91"/>
        <v>0</v>
      </c>
      <c r="AC247" s="161">
        <f t="shared" si="91"/>
        <v>0</v>
      </c>
      <c r="AD247" s="161">
        <f t="shared" si="91"/>
        <v>0</v>
      </c>
      <c r="AE247" s="161">
        <f t="shared" si="91"/>
        <v>0</v>
      </c>
      <c r="AF247" s="162">
        <f t="shared" si="91"/>
        <v>0</v>
      </c>
      <c r="AG247" s="163">
        <f t="shared" si="91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92">AF249</f>
        <v>0.3</v>
      </c>
      <c r="C249" s="166">
        <v>0.3</v>
      </c>
      <c r="D249" s="166">
        <f t="shared" ref="D249:S254" si="93">C249</f>
        <v>0.3</v>
      </c>
      <c r="E249" s="166">
        <f t="shared" si="93"/>
        <v>0.3</v>
      </c>
      <c r="F249" s="166">
        <f t="shared" si="93"/>
        <v>0.3</v>
      </c>
      <c r="G249" s="166">
        <f t="shared" si="93"/>
        <v>0.3</v>
      </c>
      <c r="H249" s="166">
        <f t="shared" si="93"/>
        <v>0.3</v>
      </c>
      <c r="I249" s="166">
        <f t="shared" si="93"/>
        <v>0.3</v>
      </c>
      <c r="J249" s="166">
        <f t="shared" si="93"/>
        <v>0.3</v>
      </c>
      <c r="K249" s="166">
        <f t="shared" si="93"/>
        <v>0.3</v>
      </c>
      <c r="L249" s="166">
        <f t="shared" si="93"/>
        <v>0.3</v>
      </c>
      <c r="M249" s="166">
        <f t="shared" si="93"/>
        <v>0.3</v>
      </c>
      <c r="N249" s="166">
        <f t="shared" si="93"/>
        <v>0.3</v>
      </c>
      <c r="O249" s="166">
        <f t="shared" si="93"/>
        <v>0.3</v>
      </c>
      <c r="P249" s="166">
        <f t="shared" si="93"/>
        <v>0.3</v>
      </c>
      <c r="Q249" s="166">
        <f t="shared" si="93"/>
        <v>0.3</v>
      </c>
      <c r="R249" s="166">
        <f t="shared" si="93"/>
        <v>0.3</v>
      </c>
      <c r="S249" s="166">
        <f t="shared" si="93"/>
        <v>0.3</v>
      </c>
      <c r="T249" s="166">
        <f t="shared" ref="T249:AF254" si="94">S249</f>
        <v>0.3</v>
      </c>
      <c r="U249" s="166">
        <f t="shared" si="94"/>
        <v>0.3</v>
      </c>
      <c r="V249" s="166">
        <f t="shared" si="94"/>
        <v>0.3</v>
      </c>
      <c r="W249" s="166">
        <f t="shared" si="94"/>
        <v>0.3</v>
      </c>
      <c r="X249" s="166">
        <f t="shared" si="94"/>
        <v>0.3</v>
      </c>
      <c r="Y249" s="166">
        <f t="shared" si="94"/>
        <v>0.3</v>
      </c>
      <c r="Z249" s="166">
        <f t="shared" si="94"/>
        <v>0.3</v>
      </c>
      <c r="AA249" s="166">
        <f t="shared" si="94"/>
        <v>0.3</v>
      </c>
      <c r="AB249" s="166">
        <f t="shared" si="94"/>
        <v>0.3</v>
      </c>
      <c r="AC249" s="166">
        <f t="shared" si="94"/>
        <v>0.3</v>
      </c>
      <c r="AD249" s="166">
        <f t="shared" si="94"/>
        <v>0.3</v>
      </c>
      <c r="AE249" s="166">
        <f t="shared" si="94"/>
        <v>0.3</v>
      </c>
      <c r="AF249" s="166">
        <f t="shared" si="94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92"/>
        <v>0.4</v>
      </c>
      <c r="C250" s="152">
        <v>0.4</v>
      </c>
      <c r="D250" s="152">
        <f t="shared" si="93"/>
        <v>0.4</v>
      </c>
      <c r="E250" s="152">
        <f t="shared" si="93"/>
        <v>0.4</v>
      </c>
      <c r="F250" s="152">
        <f t="shared" si="93"/>
        <v>0.4</v>
      </c>
      <c r="G250" s="152">
        <f t="shared" si="93"/>
        <v>0.4</v>
      </c>
      <c r="H250" s="152">
        <f t="shared" si="93"/>
        <v>0.4</v>
      </c>
      <c r="I250" s="152">
        <f t="shared" si="93"/>
        <v>0.4</v>
      </c>
      <c r="J250" s="152">
        <f t="shared" si="93"/>
        <v>0.4</v>
      </c>
      <c r="K250" s="152">
        <f t="shared" si="93"/>
        <v>0.4</v>
      </c>
      <c r="L250" s="152">
        <f t="shared" si="93"/>
        <v>0.4</v>
      </c>
      <c r="M250" s="152">
        <f t="shared" si="93"/>
        <v>0.4</v>
      </c>
      <c r="N250" s="152">
        <f t="shared" si="93"/>
        <v>0.4</v>
      </c>
      <c r="O250" s="152">
        <f t="shared" si="93"/>
        <v>0.4</v>
      </c>
      <c r="P250" s="152">
        <f t="shared" si="93"/>
        <v>0.4</v>
      </c>
      <c r="Q250" s="152">
        <f t="shared" si="93"/>
        <v>0.4</v>
      </c>
      <c r="R250" s="152">
        <f t="shared" si="93"/>
        <v>0.4</v>
      </c>
      <c r="S250" s="152">
        <f t="shared" si="93"/>
        <v>0.4</v>
      </c>
      <c r="T250" s="152">
        <f t="shared" si="94"/>
        <v>0.4</v>
      </c>
      <c r="U250" s="152">
        <f t="shared" si="94"/>
        <v>0.4</v>
      </c>
      <c r="V250" s="152">
        <f t="shared" si="94"/>
        <v>0.4</v>
      </c>
      <c r="W250" s="152">
        <f t="shared" si="94"/>
        <v>0.4</v>
      </c>
      <c r="X250" s="152">
        <f t="shared" si="94"/>
        <v>0.4</v>
      </c>
      <c r="Y250" s="152">
        <f t="shared" si="94"/>
        <v>0.4</v>
      </c>
      <c r="Z250" s="152">
        <f t="shared" si="94"/>
        <v>0.4</v>
      </c>
      <c r="AA250" s="152">
        <f t="shared" si="94"/>
        <v>0.4</v>
      </c>
      <c r="AB250" s="152">
        <f t="shared" si="94"/>
        <v>0.4</v>
      </c>
      <c r="AC250" s="152">
        <f t="shared" si="94"/>
        <v>0.4</v>
      </c>
      <c r="AD250" s="152">
        <f t="shared" si="94"/>
        <v>0.4</v>
      </c>
      <c r="AE250" s="152">
        <f t="shared" si="94"/>
        <v>0.4</v>
      </c>
      <c r="AF250" s="152">
        <f t="shared" si="94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92"/>
        <v>1.5</v>
      </c>
      <c r="C251" s="152">
        <v>1.5</v>
      </c>
      <c r="D251" s="152">
        <f t="shared" si="93"/>
        <v>1.5</v>
      </c>
      <c r="E251" s="152">
        <f t="shared" si="93"/>
        <v>1.5</v>
      </c>
      <c r="F251" s="152">
        <f t="shared" si="93"/>
        <v>1.5</v>
      </c>
      <c r="G251" s="152">
        <f t="shared" si="93"/>
        <v>1.5</v>
      </c>
      <c r="H251" s="152">
        <f t="shared" si="93"/>
        <v>1.5</v>
      </c>
      <c r="I251" s="152">
        <f t="shared" si="93"/>
        <v>1.5</v>
      </c>
      <c r="J251" s="152">
        <f t="shared" si="93"/>
        <v>1.5</v>
      </c>
      <c r="K251" s="152">
        <f t="shared" si="93"/>
        <v>1.5</v>
      </c>
      <c r="L251" s="152">
        <f t="shared" si="93"/>
        <v>1.5</v>
      </c>
      <c r="M251" s="152">
        <f t="shared" si="93"/>
        <v>1.5</v>
      </c>
      <c r="N251" s="152">
        <f t="shared" si="93"/>
        <v>1.5</v>
      </c>
      <c r="O251" s="152">
        <f t="shared" si="93"/>
        <v>1.5</v>
      </c>
      <c r="P251" s="152">
        <f t="shared" si="93"/>
        <v>1.5</v>
      </c>
      <c r="Q251" s="152">
        <f t="shared" si="93"/>
        <v>1.5</v>
      </c>
      <c r="R251" s="152">
        <f t="shared" si="93"/>
        <v>1.5</v>
      </c>
      <c r="S251" s="152">
        <f t="shared" si="93"/>
        <v>1.5</v>
      </c>
      <c r="T251" s="152">
        <f t="shared" si="94"/>
        <v>1.5</v>
      </c>
      <c r="U251" s="152">
        <f t="shared" si="94"/>
        <v>1.5</v>
      </c>
      <c r="V251" s="152">
        <f t="shared" si="94"/>
        <v>1.5</v>
      </c>
      <c r="W251" s="152">
        <f t="shared" si="94"/>
        <v>1.5</v>
      </c>
      <c r="X251" s="152">
        <f t="shared" si="94"/>
        <v>1.5</v>
      </c>
      <c r="Y251" s="152">
        <f t="shared" si="94"/>
        <v>1.5</v>
      </c>
      <c r="Z251" s="152">
        <f t="shared" si="94"/>
        <v>1.5</v>
      </c>
      <c r="AA251" s="152">
        <f t="shared" si="94"/>
        <v>1.5</v>
      </c>
      <c r="AB251" s="152">
        <f t="shared" si="94"/>
        <v>1.5</v>
      </c>
      <c r="AC251" s="152">
        <f t="shared" si="94"/>
        <v>1.5</v>
      </c>
      <c r="AD251" s="152">
        <f t="shared" si="94"/>
        <v>1.5</v>
      </c>
      <c r="AE251" s="152">
        <f t="shared" si="94"/>
        <v>1.5</v>
      </c>
      <c r="AF251" s="152">
        <f t="shared" si="94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92"/>
        <v>0.3</v>
      </c>
      <c r="C252" s="152">
        <v>0.3</v>
      </c>
      <c r="D252" s="152">
        <f t="shared" si="93"/>
        <v>0.3</v>
      </c>
      <c r="E252" s="152">
        <f t="shared" si="93"/>
        <v>0.3</v>
      </c>
      <c r="F252" s="152">
        <f t="shared" si="93"/>
        <v>0.3</v>
      </c>
      <c r="G252" s="152">
        <f t="shared" si="93"/>
        <v>0.3</v>
      </c>
      <c r="H252" s="152">
        <f t="shared" si="93"/>
        <v>0.3</v>
      </c>
      <c r="I252" s="152">
        <f t="shared" si="93"/>
        <v>0.3</v>
      </c>
      <c r="J252" s="152">
        <f t="shared" si="93"/>
        <v>0.3</v>
      </c>
      <c r="K252" s="152">
        <f t="shared" si="93"/>
        <v>0.3</v>
      </c>
      <c r="L252" s="152">
        <f t="shared" si="93"/>
        <v>0.3</v>
      </c>
      <c r="M252" s="152">
        <f t="shared" si="93"/>
        <v>0.3</v>
      </c>
      <c r="N252" s="152">
        <f t="shared" si="93"/>
        <v>0.3</v>
      </c>
      <c r="O252" s="152">
        <f t="shared" si="93"/>
        <v>0.3</v>
      </c>
      <c r="P252" s="152">
        <f t="shared" si="93"/>
        <v>0.3</v>
      </c>
      <c r="Q252" s="152">
        <f t="shared" si="93"/>
        <v>0.3</v>
      </c>
      <c r="R252" s="152">
        <f t="shared" si="93"/>
        <v>0.3</v>
      </c>
      <c r="S252" s="152">
        <f t="shared" si="93"/>
        <v>0.3</v>
      </c>
      <c r="T252" s="152">
        <f t="shared" si="94"/>
        <v>0.3</v>
      </c>
      <c r="U252" s="152">
        <f t="shared" si="94"/>
        <v>0.3</v>
      </c>
      <c r="V252" s="152">
        <f t="shared" si="94"/>
        <v>0.3</v>
      </c>
      <c r="W252" s="152">
        <f t="shared" si="94"/>
        <v>0.3</v>
      </c>
      <c r="X252" s="152">
        <f t="shared" si="94"/>
        <v>0.3</v>
      </c>
      <c r="Y252" s="152">
        <f t="shared" si="94"/>
        <v>0.3</v>
      </c>
      <c r="Z252" s="152">
        <f t="shared" si="94"/>
        <v>0.3</v>
      </c>
      <c r="AA252" s="152">
        <f t="shared" si="94"/>
        <v>0.3</v>
      </c>
      <c r="AB252" s="152">
        <f t="shared" si="94"/>
        <v>0.3</v>
      </c>
      <c r="AC252" s="152">
        <f t="shared" si="94"/>
        <v>0.3</v>
      </c>
      <c r="AD252" s="152">
        <f t="shared" si="94"/>
        <v>0.3</v>
      </c>
      <c r="AE252" s="152">
        <f t="shared" si="94"/>
        <v>0.3</v>
      </c>
      <c r="AF252" s="152">
        <f t="shared" si="94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92"/>
        <v>0.4</v>
      </c>
      <c r="C253" s="152">
        <v>0.4</v>
      </c>
      <c r="D253" s="152">
        <f t="shared" si="93"/>
        <v>0.4</v>
      </c>
      <c r="E253" s="152">
        <f t="shared" si="93"/>
        <v>0.4</v>
      </c>
      <c r="F253" s="152">
        <f t="shared" si="93"/>
        <v>0.4</v>
      </c>
      <c r="G253" s="152">
        <f t="shared" si="93"/>
        <v>0.4</v>
      </c>
      <c r="H253" s="152">
        <f t="shared" si="93"/>
        <v>0.4</v>
      </c>
      <c r="I253" s="152">
        <f t="shared" si="93"/>
        <v>0.4</v>
      </c>
      <c r="J253" s="152">
        <f t="shared" si="93"/>
        <v>0.4</v>
      </c>
      <c r="K253" s="152">
        <f t="shared" si="93"/>
        <v>0.4</v>
      </c>
      <c r="L253" s="152">
        <f t="shared" si="93"/>
        <v>0.4</v>
      </c>
      <c r="M253" s="152">
        <f t="shared" si="93"/>
        <v>0.4</v>
      </c>
      <c r="N253" s="152">
        <f t="shared" si="93"/>
        <v>0.4</v>
      </c>
      <c r="O253" s="152">
        <f t="shared" si="93"/>
        <v>0.4</v>
      </c>
      <c r="P253" s="152">
        <f t="shared" si="93"/>
        <v>0.4</v>
      </c>
      <c r="Q253" s="152">
        <f t="shared" si="93"/>
        <v>0.4</v>
      </c>
      <c r="R253" s="152">
        <f t="shared" si="93"/>
        <v>0.4</v>
      </c>
      <c r="S253" s="152">
        <f t="shared" si="93"/>
        <v>0.4</v>
      </c>
      <c r="T253" s="152">
        <f t="shared" si="94"/>
        <v>0.4</v>
      </c>
      <c r="U253" s="152">
        <f t="shared" si="94"/>
        <v>0.4</v>
      </c>
      <c r="V253" s="152">
        <f t="shared" si="94"/>
        <v>0.4</v>
      </c>
      <c r="W253" s="152">
        <f t="shared" si="94"/>
        <v>0.4</v>
      </c>
      <c r="X253" s="152">
        <f t="shared" si="94"/>
        <v>0.4</v>
      </c>
      <c r="Y253" s="152">
        <f t="shared" si="94"/>
        <v>0.4</v>
      </c>
      <c r="Z253" s="152">
        <f t="shared" si="94"/>
        <v>0.4</v>
      </c>
      <c r="AA253" s="152">
        <f t="shared" si="94"/>
        <v>0.4</v>
      </c>
      <c r="AB253" s="152">
        <f t="shared" si="94"/>
        <v>0.4</v>
      </c>
      <c r="AC253" s="152">
        <f t="shared" si="94"/>
        <v>0.4</v>
      </c>
      <c r="AD253" s="152">
        <f t="shared" si="94"/>
        <v>0.4</v>
      </c>
      <c r="AE253" s="152">
        <f t="shared" si="94"/>
        <v>0.4</v>
      </c>
      <c r="AF253" s="152">
        <f t="shared" si="94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92"/>
        <v>0.64</v>
      </c>
      <c r="C254" s="157">
        <v>0.64</v>
      </c>
      <c r="D254" s="157">
        <f t="shared" si="93"/>
        <v>0.64</v>
      </c>
      <c r="E254" s="157">
        <f t="shared" si="93"/>
        <v>0.64</v>
      </c>
      <c r="F254" s="157">
        <f t="shared" si="93"/>
        <v>0.64</v>
      </c>
      <c r="G254" s="157">
        <f t="shared" si="93"/>
        <v>0.64</v>
      </c>
      <c r="H254" s="157">
        <f t="shared" si="93"/>
        <v>0.64</v>
      </c>
      <c r="I254" s="157">
        <f t="shared" si="93"/>
        <v>0.64</v>
      </c>
      <c r="J254" s="157">
        <f t="shared" si="93"/>
        <v>0.64</v>
      </c>
      <c r="K254" s="157">
        <f t="shared" si="93"/>
        <v>0.64</v>
      </c>
      <c r="L254" s="157">
        <f t="shared" si="93"/>
        <v>0.64</v>
      </c>
      <c r="M254" s="157">
        <f t="shared" si="93"/>
        <v>0.64</v>
      </c>
      <c r="N254" s="157">
        <f t="shared" si="93"/>
        <v>0.64</v>
      </c>
      <c r="O254" s="157">
        <f t="shared" si="93"/>
        <v>0.64</v>
      </c>
      <c r="P254" s="157">
        <f t="shared" si="93"/>
        <v>0.64</v>
      </c>
      <c r="Q254" s="157">
        <f t="shared" si="93"/>
        <v>0.64</v>
      </c>
      <c r="R254" s="157">
        <f t="shared" si="93"/>
        <v>0.64</v>
      </c>
      <c r="S254" s="157">
        <f t="shared" si="93"/>
        <v>0.64</v>
      </c>
      <c r="T254" s="157">
        <f t="shared" si="94"/>
        <v>0.64</v>
      </c>
      <c r="U254" s="157">
        <f t="shared" si="94"/>
        <v>0.64</v>
      </c>
      <c r="V254" s="157">
        <f t="shared" si="94"/>
        <v>0.64</v>
      </c>
      <c r="W254" s="157">
        <f t="shared" si="94"/>
        <v>0.64</v>
      </c>
      <c r="X254" s="157">
        <f t="shared" si="94"/>
        <v>0.64</v>
      </c>
      <c r="Y254" s="157">
        <f t="shared" si="94"/>
        <v>0.64</v>
      </c>
      <c r="Z254" s="157">
        <f t="shared" si="94"/>
        <v>0.64</v>
      </c>
      <c r="AA254" s="157">
        <f t="shared" si="94"/>
        <v>0.64</v>
      </c>
      <c r="AB254" s="157">
        <f t="shared" si="94"/>
        <v>0.64</v>
      </c>
      <c r="AC254" s="157">
        <f t="shared" si="94"/>
        <v>0.64</v>
      </c>
      <c r="AD254" s="157">
        <f t="shared" si="94"/>
        <v>0.64</v>
      </c>
      <c r="AE254" s="157">
        <f t="shared" si="94"/>
        <v>0.64</v>
      </c>
      <c r="AF254" s="157">
        <f t="shared" si="94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5">SUM(B249:B254)</f>
        <v>3.54</v>
      </c>
      <c r="C255" s="161">
        <f t="shared" si="95"/>
        <v>3.54</v>
      </c>
      <c r="D255" s="161">
        <f t="shared" si="95"/>
        <v>3.54</v>
      </c>
      <c r="E255" s="161">
        <f t="shared" si="95"/>
        <v>3.54</v>
      </c>
      <c r="F255" s="161">
        <f t="shared" si="95"/>
        <v>3.54</v>
      </c>
      <c r="G255" s="161">
        <f t="shared" si="95"/>
        <v>3.54</v>
      </c>
      <c r="H255" s="161">
        <f t="shared" si="95"/>
        <v>3.54</v>
      </c>
      <c r="I255" s="161">
        <f t="shared" si="95"/>
        <v>3.54</v>
      </c>
      <c r="J255" s="161">
        <f t="shared" si="95"/>
        <v>3.54</v>
      </c>
      <c r="K255" s="161">
        <f t="shared" si="95"/>
        <v>3.54</v>
      </c>
      <c r="L255" s="161">
        <f t="shared" si="95"/>
        <v>3.54</v>
      </c>
      <c r="M255" s="161">
        <f t="shared" si="95"/>
        <v>3.54</v>
      </c>
      <c r="N255" s="161">
        <f t="shared" si="95"/>
        <v>3.54</v>
      </c>
      <c r="O255" s="161">
        <f t="shared" si="95"/>
        <v>3.54</v>
      </c>
      <c r="P255" s="161">
        <f t="shared" si="95"/>
        <v>3.54</v>
      </c>
      <c r="Q255" s="161">
        <f t="shared" si="95"/>
        <v>3.54</v>
      </c>
      <c r="R255" s="161">
        <f t="shared" si="95"/>
        <v>3.54</v>
      </c>
      <c r="S255" s="161">
        <f t="shared" si="95"/>
        <v>3.54</v>
      </c>
      <c r="T255" s="161">
        <f t="shared" si="95"/>
        <v>3.54</v>
      </c>
      <c r="U255" s="161">
        <f t="shared" si="95"/>
        <v>3.54</v>
      </c>
      <c r="V255" s="161">
        <f t="shared" si="95"/>
        <v>3.54</v>
      </c>
      <c r="W255" s="161">
        <f t="shared" si="95"/>
        <v>3.54</v>
      </c>
      <c r="X255" s="161">
        <f t="shared" si="95"/>
        <v>3.54</v>
      </c>
      <c r="Y255" s="161">
        <f t="shared" si="95"/>
        <v>3.54</v>
      </c>
      <c r="Z255" s="161">
        <f t="shared" si="95"/>
        <v>3.54</v>
      </c>
      <c r="AA255" s="161">
        <f t="shared" si="95"/>
        <v>3.54</v>
      </c>
      <c r="AB255" s="161">
        <f t="shared" si="95"/>
        <v>3.54</v>
      </c>
      <c r="AC255" s="161">
        <f t="shared" si="95"/>
        <v>3.54</v>
      </c>
      <c r="AD255" s="161">
        <f t="shared" si="95"/>
        <v>3.54</v>
      </c>
      <c r="AE255" s="161">
        <f t="shared" si="95"/>
        <v>3.54</v>
      </c>
      <c r="AF255" s="161">
        <f t="shared" si="95"/>
        <v>3.54</v>
      </c>
      <c r="AG255" s="171">
        <f t="shared" si="95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2327.29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2080/10/26)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1144" priority="80">
      <formula>$AH11=0</formula>
    </cfRule>
  </conditionalFormatting>
  <conditionalFormatting sqref="A89">
    <cfRule type="expression" dxfId="1143" priority="138">
      <formula>$AH94=0</formula>
    </cfRule>
  </conditionalFormatting>
  <conditionalFormatting sqref="A90:A94">
    <cfRule type="expression" dxfId="1142" priority="81">
      <formula>$AH89=0</formula>
    </cfRule>
  </conditionalFormatting>
  <conditionalFormatting sqref="B8">
    <cfRule type="expression" dxfId="1141" priority="134">
      <formula>AND(C$9&gt;=14/24,C$9&lt;20/24)</formula>
    </cfRule>
    <cfRule type="expression" dxfId="1140" priority="135">
      <formula>AND(C$9&gt;=8/24,C$9&lt;14/24)</formula>
    </cfRule>
    <cfRule type="expression" dxfId="1139" priority="136">
      <formula>C$9&lt;8/24</formula>
    </cfRule>
    <cfRule type="expression" dxfId="1138" priority="137">
      <formula>C$9&gt;=20/24</formula>
    </cfRule>
  </conditionalFormatting>
  <conditionalFormatting sqref="B11:L57 M15:X23 Y18:AA23 AB19:AF57 M24:AA57 B62:L77 M72:AF77 B80:AF102 B9:AF10 B104:AF120 B122:AF140 B247:AF247 B249:B255">
    <cfRule type="expression" dxfId="1137" priority="41">
      <formula>B$9&gt;=20/24</formula>
    </cfRule>
  </conditionalFormatting>
  <conditionalFormatting sqref="B11:L83 AC15:AF60 AB19:AB60 Y25:AA59 X25:X60 V25:W61 M25:U77 AA60 M15:AB18 M19:AA24 X61:AG61 V62:AF64 V65:AG65 V66:AF77 M78:AF83 AG83">
    <cfRule type="expression" dxfId="1136" priority="40">
      <formula>B11&gt;$AG11</formula>
    </cfRule>
  </conditionalFormatting>
  <conditionalFormatting sqref="B9:AF10 B11:L57 M15:X23 Y18:AA23 AB19:AF57 M24:AA57 B62:L77 M72:AF77 B80:AF102 B104:AF120 B122:AF140 B247:AF247 B249:B255">
    <cfRule type="expression" dxfId="1135" priority="42">
      <formula>AND(B$9&gt;=14/24,B$9&lt;20/24)</formula>
    </cfRule>
    <cfRule type="expression" dxfId="1134" priority="43">
      <formula>AND(B$9&gt;=8/24,B$9&lt;14/24)</formula>
    </cfRule>
    <cfRule type="expression" dxfId="1133" priority="44">
      <formula>B$9&lt;8/24</formula>
    </cfRule>
  </conditionalFormatting>
  <conditionalFormatting sqref="B58:AF60">
    <cfRule type="expression" dxfId="1132" priority="37">
      <formula>B$9&gt;=20/24</formula>
    </cfRule>
    <cfRule type="expression" dxfId="1131" priority="38">
      <formula>AND(B$9&gt;=14/24,B$9&lt;20/24)</formula>
    </cfRule>
    <cfRule type="expression" dxfId="1130" priority="39">
      <formula>AND(B$9&gt;=8/24,B$9&lt;14/24)</formula>
    </cfRule>
    <cfRule type="expression" dxfId="1129" priority="49">
      <formula>B$9&lt;8/24</formula>
    </cfRule>
  </conditionalFormatting>
  <conditionalFormatting sqref="D249:AF255">
    <cfRule type="expression" dxfId="1128" priority="119">
      <formula>D$9&gt;=20/24</formula>
    </cfRule>
    <cfRule type="expression" dxfId="1127" priority="120">
      <formula>AND(D$9&gt;=14/24,D$9&lt;20/24)</formula>
    </cfRule>
    <cfRule type="expression" dxfId="1126" priority="121">
      <formula>AND(D$9&gt;=8/24,D$9&lt;14/24)</formula>
    </cfRule>
    <cfRule type="expression" dxfId="1125" priority="122">
      <formula>D$9&lt;8/24</formula>
    </cfRule>
  </conditionalFormatting>
  <conditionalFormatting sqref="M8 S8 AB8">
    <cfRule type="expression" dxfId="1124" priority="126">
      <formula>AND(N$9&gt;=14/24,N$9&lt;20/24)</formula>
    </cfRule>
    <cfRule type="expression" dxfId="1123" priority="127">
      <formula>AND(N$9&gt;=8/24,N$9&lt;14/24)</formula>
    </cfRule>
    <cfRule type="expression" dxfId="1122" priority="128">
      <formula>N$9&lt;8/24</formula>
    </cfRule>
  </conditionalFormatting>
  <conditionalFormatting sqref="M66:W70 X69:AF70">
    <cfRule type="expression" dxfId="1121" priority="76">
      <formula>M$9&gt;=20/24</formula>
    </cfRule>
    <cfRule type="expression" dxfId="1120" priority="77">
      <formula>AND(M$9&gt;=14/24,M$9&lt;20/24)</formula>
    </cfRule>
    <cfRule type="expression" dxfId="1119" priority="78">
      <formula>AND(M$9&gt;=8/24,M$9&lt;14/24)</formula>
    </cfRule>
    <cfRule type="expression" dxfId="1118" priority="79">
      <formula>M$9&lt;8/24</formula>
    </cfRule>
  </conditionalFormatting>
  <conditionalFormatting sqref="M11:Z14 AA11:AA17 AB11:AF18 Y15:Z17">
    <cfRule type="expression" dxfId="1117" priority="55">
      <formula>M$9&gt;=20/24</formula>
    </cfRule>
    <cfRule type="expression" dxfId="1116" priority="56">
      <formula>AND(M$9&gt;=14/24,M$9&lt;20/24)</formula>
    </cfRule>
    <cfRule type="expression" dxfId="1115" priority="57">
      <formula>AND(M$9&gt;=8/24,M$9&lt;14/24)</formula>
    </cfRule>
    <cfRule type="expression" dxfId="1114" priority="58">
      <formula>M$9&lt;8/24</formula>
    </cfRule>
  </conditionalFormatting>
  <conditionalFormatting sqref="M11:AF14">
    <cfRule type="expression" dxfId="1113" priority="54">
      <formula>M11&gt;$AG11</formula>
    </cfRule>
  </conditionalFormatting>
  <conditionalFormatting sqref="M62:AF65">
    <cfRule type="expression" dxfId="1112" priority="60">
      <formula>M$9&gt;=20/24</formula>
    </cfRule>
    <cfRule type="expression" dxfId="1111" priority="61">
      <formula>AND(M$9&gt;=14/24,M$9&lt;20/24)</formula>
    </cfRule>
    <cfRule type="expression" dxfId="1110" priority="62">
      <formula>AND(M$9&gt;=8/24,M$9&lt;14/24)</formula>
    </cfRule>
    <cfRule type="expression" dxfId="1109" priority="63">
      <formula>M$9&lt;8/24</formula>
    </cfRule>
  </conditionalFormatting>
  <conditionalFormatting sqref="M71:AF71">
    <cfRule type="expression" dxfId="1108" priority="68">
      <formula>M$9&gt;=20/24</formula>
    </cfRule>
    <cfRule type="expression" dxfId="1107" priority="69">
      <formula>AND(M$9&gt;=14/24,M$9&lt;20/24)</formula>
    </cfRule>
    <cfRule type="expression" dxfId="1106" priority="70">
      <formula>AND(M$9&gt;=8/24,M$9&lt;14/24)</formula>
    </cfRule>
    <cfRule type="expression" dxfId="1105" priority="71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04" priority="125">
      <formula>N$9&gt;=20/24</formula>
    </cfRule>
  </conditionalFormatting>
  <conditionalFormatting sqref="S8">
    <cfRule type="expression" dxfId="1103" priority="112">
      <formula>U$9&gt;=20/24</formula>
    </cfRule>
    <cfRule type="expression" dxfId="1102" priority="113">
      <formula>AND(U$9&gt;=14/24,U$9&lt;20/24)</formula>
    </cfRule>
    <cfRule type="expression" dxfId="1101" priority="114">
      <formula>AND(U$9&gt;=8/24,U$9&lt;14/24)</formula>
    </cfRule>
    <cfRule type="expression" dxfId="1100" priority="115">
      <formula>U$9&lt;8/24</formula>
    </cfRule>
  </conditionalFormatting>
  <conditionalFormatting sqref="T66:AF71">
    <cfRule type="expression" dxfId="1099" priority="64">
      <formula>T$9&gt;=20/24</formula>
    </cfRule>
    <cfRule type="expression" dxfId="1098" priority="65">
      <formula>AND(T$9&gt;=14/24,T$9&lt;20/24)</formula>
    </cfRule>
    <cfRule type="expression" dxfId="1097" priority="66">
      <formula>AND(T$9&gt;=8/24,T$9&lt;14/24)</formula>
    </cfRule>
    <cfRule type="expression" dxfId="1096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60:Z60">
    <cfRule type="expression" dxfId="1095" priority="59">
      <formula>Y60&gt;$AG60</formula>
    </cfRule>
  </conditionalFormatting>
  <conditionalFormatting sqref="AB8">
    <cfRule type="expression" dxfId="1094" priority="108">
      <formula>AD$9&gt;=20/24</formula>
    </cfRule>
    <cfRule type="expression" dxfId="1093" priority="109">
      <formula>AND(AD$9&gt;=14/24,AD$9&lt;20/24)</formula>
    </cfRule>
    <cfRule type="expression" dxfId="1092" priority="110">
      <formula>AND(AD$9&gt;=8/24,AD$9&lt;14/24)</formula>
    </cfRule>
    <cfRule type="expression" dxfId="1091" priority="111">
      <formula>AD$9&lt;8/24</formula>
    </cfRule>
  </conditionalFormatting>
  <conditionalFormatting sqref="AG65">
    <cfRule type="expression" dxfId="1090" priority="87">
      <formula>AG$9&gt;=20/24</formula>
    </cfRule>
    <cfRule type="expression" dxfId="1089" priority="88">
      <formula>AND(AG$9&gt;=14/24,AG$9&lt;20/24)</formula>
    </cfRule>
    <cfRule type="expression" dxfId="1088" priority="89">
      <formula>AND(AG$9&gt;=8/24,AG$9&lt;14/24)</formula>
    </cfRule>
    <cfRule type="expression" dxfId="1087" priority="90">
      <formula>AG$9&lt;8/24</formula>
    </cfRule>
  </conditionalFormatting>
  <conditionalFormatting sqref="AG78:AG79">
    <cfRule type="expression" dxfId="1086" priority="82">
      <formula>AG78&gt;$AG78</formula>
    </cfRule>
  </conditionalFormatting>
  <conditionalFormatting sqref="AG83">
    <cfRule type="expression" dxfId="1085" priority="83">
      <formula>AG$9&gt;=20/24</formula>
    </cfRule>
    <cfRule type="expression" dxfId="1084" priority="84">
      <formula>AND(AG$9&gt;=14/24,AG$9&lt;20/24)</formula>
    </cfRule>
    <cfRule type="expression" dxfId="1083" priority="85">
      <formula>AND(AG$9&gt;=8/24,AG$9&lt;14/24)</formula>
    </cfRule>
    <cfRule type="expression" dxfId="1082" priority="86">
      <formula>AG$9&lt;8/24</formula>
    </cfRule>
  </conditionalFormatting>
  <conditionalFormatting sqref="AG100">
    <cfRule type="expression" dxfId="1081" priority="104">
      <formula>AG$9&gt;=20/24</formula>
    </cfRule>
    <cfRule type="expression" dxfId="1080" priority="105">
      <formula>AND(AG$9&gt;=14/24,AG$9&lt;20/24)</formula>
    </cfRule>
    <cfRule type="expression" dxfId="1079" priority="106">
      <formula>AND(AG$9&gt;=8/24,AG$9&lt;14/24)</formula>
    </cfRule>
    <cfRule type="expression" dxfId="1078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077" priority="129">
      <formula>AJ$9&gt;=20/24</formula>
    </cfRule>
    <cfRule type="expression" dxfId="1076" priority="130">
      <formula>AND(AJ$9&gt;=14/24,AJ$9&lt;20/24)</formula>
    </cfRule>
    <cfRule type="expression" dxfId="1075" priority="131">
      <formula>AND(AJ$9&gt;=8/24,AJ$9&lt;14/24)</formula>
    </cfRule>
    <cfRule type="expression" dxfId="1074" priority="132">
      <formula>AJ$9&lt;8/24</formula>
    </cfRule>
  </conditionalFormatting>
  <conditionalFormatting sqref="AL86:AN86 AL92:AN92">
    <cfRule type="expression" dxfId="1073" priority="97">
      <formula>AL$9&gt;=20/24</formula>
    </cfRule>
    <cfRule type="expression" dxfId="1072" priority="98">
      <formula>AND(AL$9&gt;=14/24,AL$9&lt;20/24)</formula>
    </cfRule>
    <cfRule type="expression" dxfId="1071" priority="99">
      <formula>AND(AL$9&gt;=8/24,AL$9&lt;14/24)</formula>
    </cfRule>
    <cfRule type="expression" dxfId="1070" priority="100">
      <formula>AL$9&lt;8/24</formula>
    </cfRule>
  </conditionalFormatting>
  <conditionalFormatting sqref="AM15:AM21 AN16:AR21">
    <cfRule type="expression" dxfId="1069" priority="13">
      <formula>AX$9&gt;=20/24</formula>
    </cfRule>
    <cfRule type="expression" dxfId="1068" priority="14">
      <formula>AND(AX$9&gt;=14/24,AX$9&lt;20/24)</formula>
    </cfRule>
    <cfRule type="expression" dxfId="1067" priority="15">
      <formula>AND(AX$9&gt;=8/24,AX$9&lt;14/24)</formula>
    </cfRule>
    <cfRule type="expression" dxfId="1066" priority="16">
      <formula>AX$9&lt;8/24</formula>
    </cfRule>
  </conditionalFormatting>
  <conditionalFormatting sqref="AN87:AN90">
    <cfRule type="expression" dxfId="1065" priority="93">
      <formula>AN$9&gt;=20/24</formula>
    </cfRule>
    <cfRule type="expression" dxfId="1064" priority="94">
      <formula>AND(AN$9&gt;=14/24,AN$9&lt;20/24)</formula>
    </cfRule>
    <cfRule type="expression" dxfId="1063" priority="95">
      <formula>AND(AN$9&gt;=8/24,AN$9&lt;14/24)</formula>
    </cfRule>
    <cfRule type="expression" dxfId="1062" priority="96">
      <formula>AN$9&lt;8/24</formula>
    </cfRule>
  </conditionalFormatting>
  <conditionalFormatting sqref="AN15:AR15">
    <cfRule type="expression" dxfId="1061" priority="1">
      <formula>U$9&gt;=20/24</formula>
    </cfRule>
    <cfRule type="expression" dxfId="1060" priority="2">
      <formula>AND(U$9&gt;=14/24,U$9&lt;20/24)</formula>
    </cfRule>
    <cfRule type="expression" dxfId="1059" priority="3">
      <formula>AND(U$9&gt;=8/24,U$9&lt;14/24)</formula>
    </cfRule>
    <cfRule type="expression" dxfId="1058" priority="4">
      <formula>U$9&lt;8/24</formula>
    </cfRule>
  </conditionalFormatting>
  <conditionalFormatting sqref="AS15">
    <cfRule type="expression" dxfId="1057" priority="9">
      <formula>AA$9&gt;=20/24</formula>
    </cfRule>
    <cfRule type="expression" dxfId="1056" priority="10">
      <formula>AND(AA$9&gt;=14/24,AA$9&lt;20/24)</formula>
    </cfRule>
    <cfRule type="expression" dxfId="1055" priority="11">
      <formula>AND(AA$9&gt;=8/24,AA$9&lt;14/24)</formula>
    </cfRule>
    <cfRule type="expression" dxfId="1054" priority="12">
      <formula>AA$9&lt;8/24</formula>
    </cfRule>
  </conditionalFormatting>
  <conditionalFormatting sqref="AS16:AS21">
    <cfRule type="expression" dxfId="1053" priority="17">
      <formula>BE$9&gt;=20/24</formula>
    </cfRule>
    <cfRule type="expression" dxfId="1052" priority="18">
      <formula>AND(BE$9&gt;=14/24,BE$9&lt;20/24)</formula>
    </cfRule>
    <cfRule type="expression" dxfId="1051" priority="19">
      <formula>AND(BE$9&gt;=8/24,BE$9&lt;14/24)</formula>
    </cfRule>
    <cfRule type="expression" dxfId="1050" priority="20">
      <formula>BE$9&lt;8/24</formula>
    </cfRule>
  </conditionalFormatting>
  <conditionalFormatting sqref="AT15 AX15:BJ15">
    <cfRule type="expression" dxfId="1049" priority="21">
      <formula>AC$9&gt;=20/24</formula>
    </cfRule>
    <cfRule type="expression" dxfId="1048" priority="22">
      <formula>AND(AC$9&gt;=14/24,AC$9&lt;20/24)</formula>
    </cfRule>
    <cfRule type="expression" dxfId="1047" priority="23">
      <formula>AND(AC$9&gt;=8/24,AC$9&lt;14/24)</formula>
    </cfRule>
    <cfRule type="expression" dxfId="1046" priority="24">
      <formula>AC$9&lt;8/24</formula>
    </cfRule>
  </conditionalFormatting>
  <conditionalFormatting sqref="AT16:AT21">
    <cfRule type="expression" dxfId="1045" priority="25">
      <formula>BG$9&gt;=20/24</formula>
    </cfRule>
    <cfRule type="expression" dxfId="1044" priority="26">
      <formula>AND(BG$9&gt;=14/24,BG$9&lt;20/24)</formula>
    </cfRule>
    <cfRule type="expression" dxfId="1043" priority="27">
      <formula>AND(BG$9&gt;=8/24,BG$9&lt;14/24)</formula>
    </cfRule>
    <cfRule type="expression" dxfId="1042" priority="28">
      <formula>BG$9&lt;8/24</formula>
    </cfRule>
  </conditionalFormatting>
  <conditionalFormatting sqref="AU15:AV15">
    <cfRule type="expression" dxfId="1041" priority="29">
      <formula>AE$9&gt;=20/24</formula>
    </cfRule>
    <cfRule type="expression" dxfId="1040" priority="30">
      <formula>AND(AE$9&gt;=14/24,AE$9&lt;20/24)</formula>
    </cfRule>
    <cfRule type="expression" dxfId="1039" priority="31">
      <formula>AND(AE$9&gt;=8/24,AE$9&lt;14/24)</formula>
    </cfRule>
    <cfRule type="expression" dxfId="1038" priority="32">
      <formula>AE$9&lt;8/24</formula>
    </cfRule>
  </conditionalFormatting>
  <conditionalFormatting sqref="AU16:BJ21">
    <cfRule type="expression" dxfId="1037" priority="33">
      <formula>BI$9&gt;=20/24</formula>
    </cfRule>
    <cfRule type="expression" dxfId="1036" priority="34">
      <formula>AND(BI$9&gt;=14/24,BI$9&lt;20/24)</formula>
    </cfRule>
    <cfRule type="expression" dxfId="1035" priority="35">
      <formula>AND(BI$9&gt;=8/24,BI$9&lt;14/24)</formula>
    </cfRule>
    <cfRule type="expression" dxfId="1034" priority="36">
      <formula>BI$9&lt;8/24</formula>
    </cfRule>
  </conditionalFormatting>
  <conditionalFormatting sqref="AW15">
    <cfRule type="expression" dxfId="1033" priority="5">
      <formula>B$9&gt;=20/24</formula>
    </cfRule>
    <cfRule type="expression" dxfId="1032" priority="6">
      <formula>AND(B$9&gt;=14/24,B$9&lt;20/24)</formula>
    </cfRule>
    <cfRule type="expression" dxfId="1031" priority="7">
      <formula>AND(B$9&gt;=8/24,B$9&lt;14/24)</formula>
    </cfRule>
    <cfRule type="expression" dxfId="1030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A520-B829-4A7E-A475-7B714F99A0B9}">
  <dimension ref="A1:CJ297"/>
  <sheetViews>
    <sheetView zoomScale="106" workbookViewId="0">
      <pane xSplit="1" ySplit="10" topLeftCell="B6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E86" sqref="AE8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2080/10/27</v>
      </c>
      <c r="C4" s="189"/>
      <c r="D4" s="189"/>
      <c r="E4" s="190" t="str">
        <f ca="1">"2080/"&amp;"10/"&amp;INT(MID(CELL("filename",G6),FIND("]",CELL("filename",G6))+1,200))</f>
        <v>2080/10/27</v>
      </c>
      <c r="F4" s="190"/>
      <c r="G4" s="190"/>
      <c r="H4" s="190" t="str">
        <f ca="1">TEXT(E4,"dddd")</f>
        <v>Sunday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22</v>
      </c>
      <c r="C5" s="30">
        <f t="shared" si="0"/>
        <v>0</v>
      </c>
      <c r="D5" s="30">
        <f t="shared" si="0"/>
        <v>14.3</v>
      </c>
      <c r="E5" s="30">
        <f t="shared" si="0"/>
        <v>6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2301MW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Load=1353</v>
      </c>
      <c r="B7" s="35">
        <f t="shared" ref="B7:AF7" si="1">B103</f>
        <v>1480.6399999999999</v>
      </c>
      <c r="C7" s="35">
        <f t="shared" si="1"/>
        <v>1469.44</v>
      </c>
      <c r="D7" s="35">
        <f t="shared" si="1"/>
        <v>1466.04</v>
      </c>
      <c r="E7" s="35">
        <f t="shared" si="1"/>
        <v>1440.3400000000001</v>
      </c>
      <c r="F7" s="35">
        <f t="shared" si="1"/>
        <v>1414.44</v>
      </c>
      <c r="G7" s="35">
        <f t="shared" si="1"/>
        <v>1396.34</v>
      </c>
      <c r="H7" s="35">
        <f t="shared" si="1"/>
        <v>1364.4400000000003</v>
      </c>
      <c r="I7" s="35">
        <f t="shared" si="1"/>
        <v>1352.9400000000003</v>
      </c>
      <c r="J7" s="35">
        <f t="shared" si="1"/>
        <v>1422.6399999999999</v>
      </c>
      <c r="K7" s="35">
        <f t="shared" si="1"/>
        <v>1483.0400000000004</v>
      </c>
      <c r="L7" s="35">
        <f t="shared" si="1"/>
        <v>1542.3400000000001</v>
      </c>
      <c r="M7" s="35">
        <f t="shared" si="1"/>
        <v>1579.3400000000001</v>
      </c>
      <c r="N7" s="35">
        <f t="shared" si="1"/>
        <v>1603.54</v>
      </c>
      <c r="O7" s="35">
        <f t="shared" si="1"/>
        <v>1525.2400000000002</v>
      </c>
      <c r="P7" s="35">
        <f t="shared" si="1"/>
        <v>1574.74</v>
      </c>
      <c r="Q7" s="35">
        <f t="shared" si="1"/>
        <v>1517.0400000000002</v>
      </c>
      <c r="R7" s="35">
        <f t="shared" si="1"/>
        <v>1504.34</v>
      </c>
      <c r="S7" s="35">
        <f t="shared" si="1"/>
        <v>1573.7400000000002</v>
      </c>
      <c r="T7" s="35">
        <f t="shared" si="1"/>
        <v>1543.1399999999999</v>
      </c>
      <c r="U7" s="35">
        <f t="shared" si="1"/>
        <v>1518.4</v>
      </c>
      <c r="V7" s="35">
        <f t="shared" si="1"/>
        <v>1485.04</v>
      </c>
      <c r="W7" s="35">
        <f t="shared" si="1"/>
        <v>1489.94</v>
      </c>
      <c r="X7" s="35">
        <f t="shared" si="1"/>
        <v>1428.8400000000001</v>
      </c>
      <c r="Y7" s="35">
        <f t="shared" si="1"/>
        <v>1458.14</v>
      </c>
      <c r="Z7" s="35">
        <f t="shared" si="1"/>
        <v>1537.6399999999999</v>
      </c>
      <c r="AA7" s="35">
        <f t="shared" si="1"/>
        <v>1651.8400000000001</v>
      </c>
      <c r="AB7" s="35">
        <f t="shared" si="1"/>
        <v>1665.44</v>
      </c>
      <c r="AC7" s="35">
        <f t="shared" si="1"/>
        <v>1624.3399999999997</v>
      </c>
      <c r="AD7" s="35">
        <f t="shared" si="1"/>
        <v>1555.6400000000003</v>
      </c>
      <c r="AE7" s="35">
        <f t="shared" si="1"/>
        <v>1482.4400000000005</v>
      </c>
      <c r="AF7" s="35">
        <f t="shared" si="1"/>
        <v>1465.64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2368.34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1665.44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86.9</v>
      </c>
      <c r="C11" s="46">
        <v>87</v>
      </c>
      <c r="D11" s="46">
        <v>87</v>
      </c>
      <c r="E11" s="46">
        <v>86.9</v>
      </c>
      <c r="F11" s="46">
        <v>86.9</v>
      </c>
      <c r="G11" s="46">
        <v>86.9</v>
      </c>
      <c r="H11" s="46">
        <v>86.9</v>
      </c>
      <c r="I11" s="46">
        <v>86.9</v>
      </c>
      <c r="J11" s="46">
        <v>86.9</v>
      </c>
      <c r="K11" s="46">
        <v>86.9</v>
      </c>
      <c r="L11" s="46">
        <v>86.9</v>
      </c>
      <c r="M11" s="46">
        <v>86.9</v>
      </c>
      <c r="N11" s="46">
        <v>86.9</v>
      </c>
      <c r="O11" s="46">
        <v>86.9</v>
      </c>
      <c r="P11" s="46">
        <v>86.9</v>
      </c>
      <c r="Q11" s="46">
        <v>86.9</v>
      </c>
      <c r="R11" s="46">
        <v>86.8</v>
      </c>
      <c r="S11" s="46">
        <v>86.8</v>
      </c>
      <c r="T11" s="46">
        <v>86.8</v>
      </c>
      <c r="U11" s="46">
        <v>86.8</v>
      </c>
      <c r="V11" s="46">
        <v>86.8</v>
      </c>
      <c r="W11" s="46">
        <v>86.8</v>
      </c>
      <c r="X11" s="46">
        <v>86.8</v>
      </c>
      <c r="Y11" s="46">
        <v>86.8</v>
      </c>
      <c r="Z11" s="46">
        <v>86.8</v>
      </c>
      <c r="AA11" s="46">
        <v>86.8</v>
      </c>
      <c r="AB11" s="46">
        <v>86.8</v>
      </c>
      <c r="AC11" s="46">
        <v>86.8</v>
      </c>
      <c r="AD11" s="46">
        <v>86.8</v>
      </c>
      <c r="AE11" s="46">
        <v>86.8</v>
      </c>
      <c r="AF11" s="46">
        <v>86.8</v>
      </c>
      <c r="AG11" s="47">
        <v>86</v>
      </c>
      <c r="AH11" s="48">
        <f t="shared" ref="AH11:AH42" si="2">MAX(B11:AF11)</f>
        <v>87</v>
      </c>
      <c r="AI11" s="49">
        <f t="shared" ref="AI11:AI42" si="3">MIN(B11:AF11)</f>
        <v>86.8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51.7</v>
      </c>
      <c r="C12" s="46">
        <v>52.5</v>
      </c>
      <c r="D12" s="46">
        <v>52.5</v>
      </c>
      <c r="E12" s="46">
        <v>52.5</v>
      </c>
      <c r="F12" s="46">
        <v>52.5</v>
      </c>
      <c r="G12" s="46">
        <v>52.5</v>
      </c>
      <c r="H12" s="46">
        <v>52.5</v>
      </c>
      <c r="I12" s="46">
        <v>52.5</v>
      </c>
      <c r="J12" s="46">
        <v>52.5</v>
      </c>
      <c r="K12" s="46">
        <v>52.5</v>
      </c>
      <c r="L12" s="46">
        <v>83.5</v>
      </c>
      <c r="M12" s="46">
        <v>72</v>
      </c>
      <c r="N12" s="46">
        <v>72</v>
      </c>
      <c r="O12" s="46">
        <v>72</v>
      </c>
      <c r="P12" s="46">
        <v>56.5</v>
      </c>
      <c r="Q12" s="46">
        <v>56.5</v>
      </c>
      <c r="R12" s="46">
        <v>56.5</v>
      </c>
      <c r="S12" s="46">
        <v>56.5</v>
      </c>
      <c r="T12" s="46">
        <v>56.5</v>
      </c>
      <c r="U12" s="46">
        <v>56.5</v>
      </c>
      <c r="V12" s="46">
        <v>56.5</v>
      </c>
      <c r="W12" s="46">
        <v>56.5</v>
      </c>
      <c r="X12" s="46">
        <v>54.7</v>
      </c>
      <c r="Y12" s="46">
        <v>54.7</v>
      </c>
      <c r="Z12" s="46">
        <v>54.7</v>
      </c>
      <c r="AA12" s="46">
        <v>83.1</v>
      </c>
      <c r="AB12" s="46">
        <v>62.7</v>
      </c>
      <c r="AC12" s="46">
        <v>62.7</v>
      </c>
      <c r="AD12" s="46">
        <v>56.2</v>
      </c>
      <c r="AE12" s="46">
        <v>56.2</v>
      </c>
      <c r="AF12" s="46">
        <v>53.7</v>
      </c>
      <c r="AG12" s="50">
        <v>77</v>
      </c>
      <c r="AH12" s="48">
        <f t="shared" si="2"/>
        <v>83.5</v>
      </c>
      <c r="AI12" s="49">
        <f t="shared" si="3"/>
        <v>51.7</v>
      </c>
      <c r="AK12" s="51"/>
      <c r="AL12" s="52" t="str">
        <f ca="1">MID(CELL("filename",C7),FIND("]",CELL("filename",C7))+1,600)</f>
        <v>27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59</v>
      </c>
      <c r="C13" s="46">
        <v>68</v>
      </c>
      <c r="D13" s="46">
        <v>68</v>
      </c>
      <c r="E13" s="46">
        <v>32.9</v>
      </c>
      <c r="F13" s="46">
        <v>32.9</v>
      </c>
      <c r="G13" s="46">
        <v>32.9</v>
      </c>
      <c r="H13" s="46">
        <v>18.899999999999999</v>
      </c>
      <c r="I13" s="46">
        <v>18.899999999999999</v>
      </c>
      <c r="J13" s="46">
        <v>0</v>
      </c>
      <c r="K13" s="46">
        <v>0</v>
      </c>
      <c r="L13" s="46">
        <v>0</v>
      </c>
      <c r="M13" s="46">
        <v>40</v>
      </c>
      <c r="N13" s="46">
        <v>40</v>
      </c>
      <c r="O13" s="46">
        <v>40</v>
      </c>
      <c r="P13" s="46">
        <v>20</v>
      </c>
      <c r="Q13" s="46">
        <v>20</v>
      </c>
      <c r="R13" s="46">
        <v>20</v>
      </c>
      <c r="S13" s="46">
        <v>40.200000000000003</v>
      </c>
      <c r="T13" s="46">
        <v>40.200000000000003</v>
      </c>
      <c r="U13" s="46">
        <v>10</v>
      </c>
      <c r="V13" s="46">
        <v>10</v>
      </c>
      <c r="W13" s="46">
        <v>10</v>
      </c>
      <c r="X13" s="46">
        <v>10</v>
      </c>
      <c r="Y13" s="46">
        <v>10</v>
      </c>
      <c r="Z13" s="46">
        <v>10</v>
      </c>
      <c r="AA13" s="46">
        <v>68</v>
      </c>
      <c r="AB13" s="46">
        <v>69.400000000000006</v>
      </c>
      <c r="AC13" s="46">
        <v>69.400000000000006</v>
      </c>
      <c r="AD13" s="46">
        <v>43</v>
      </c>
      <c r="AE13" s="46">
        <v>43</v>
      </c>
      <c r="AF13" s="46">
        <v>27.1</v>
      </c>
      <c r="AG13" s="50">
        <v>73</v>
      </c>
      <c r="AH13" s="48">
        <f t="shared" si="2"/>
        <v>69.400000000000006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30</v>
      </c>
      <c r="C14" s="46">
        <v>40</v>
      </c>
      <c r="D14" s="46">
        <v>40</v>
      </c>
      <c r="E14" s="46">
        <v>38.9</v>
      </c>
      <c r="F14" s="46">
        <v>38.9</v>
      </c>
      <c r="G14" s="46">
        <v>33.299999999999997</v>
      </c>
      <c r="H14" s="46">
        <v>33.299999999999997</v>
      </c>
      <c r="I14" s="46">
        <v>33.299999999999997</v>
      </c>
      <c r="J14" s="46">
        <v>33</v>
      </c>
      <c r="K14" s="46">
        <v>35</v>
      </c>
      <c r="L14" s="46">
        <v>34.4</v>
      </c>
      <c r="M14" s="46">
        <v>32.9</v>
      </c>
      <c r="N14" s="46">
        <v>32.9</v>
      </c>
      <c r="O14" s="46">
        <v>32.9</v>
      </c>
      <c r="P14" s="46">
        <v>30</v>
      </c>
      <c r="Q14" s="46">
        <v>30</v>
      </c>
      <c r="R14" s="46">
        <v>30</v>
      </c>
      <c r="S14" s="46">
        <v>30</v>
      </c>
      <c r="T14" s="46">
        <v>30</v>
      </c>
      <c r="U14" s="46">
        <v>34</v>
      </c>
      <c r="V14" s="46">
        <v>34</v>
      </c>
      <c r="W14" s="46">
        <v>34</v>
      </c>
      <c r="X14" s="46">
        <v>25.8</v>
      </c>
      <c r="Y14" s="46">
        <v>25.8</v>
      </c>
      <c r="Z14" s="46">
        <v>39.799999999999997</v>
      </c>
      <c r="AA14" s="46">
        <v>39.200000000000003</v>
      </c>
      <c r="AB14" s="46">
        <v>40.200000000000003</v>
      </c>
      <c r="AC14" s="46">
        <v>40.200000000000003</v>
      </c>
      <c r="AD14" s="46">
        <v>20.7</v>
      </c>
      <c r="AE14" s="46">
        <v>0</v>
      </c>
      <c r="AF14" s="46">
        <v>0</v>
      </c>
      <c r="AG14" s="50">
        <v>71</v>
      </c>
      <c r="AH14" s="48">
        <f t="shared" si="2"/>
        <v>40.200000000000003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40</v>
      </c>
      <c r="C15" s="46">
        <v>36.9</v>
      </c>
      <c r="D15" s="46">
        <v>36.9</v>
      </c>
      <c r="E15" s="46">
        <v>41</v>
      </c>
      <c r="F15" s="46">
        <v>41</v>
      </c>
      <c r="G15" s="46">
        <v>41</v>
      </c>
      <c r="H15" s="46">
        <v>41</v>
      </c>
      <c r="I15" s="46">
        <v>41</v>
      </c>
      <c r="J15" s="46">
        <v>41</v>
      </c>
      <c r="K15" s="46">
        <v>41</v>
      </c>
      <c r="L15" s="46">
        <v>51</v>
      </c>
      <c r="M15" s="46">
        <v>51</v>
      </c>
      <c r="N15" s="46">
        <v>51</v>
      </c>
      <c r="O15" s="46">
        <v>51</v>
      </c>
      <c r="P15" s="46">
        <v>35.700000000000003</v>
      </c>
      <c r="Q15" s="46">
        <v>35.700000000000003</v>
      </c>
      <c r="R15" s="46">
        <v>35.700000000000003</v>
      </c>
      <c r="S15" s="46">
        <v>35.700000000000003</v>
      </c>
      <c r="T15" s="46">
        <v>35.700000000000003</v>
      </c>
      <c r="U15" s="46">
        <v>35.700000000000003</v>
      </c>
      <c r="V15" s="46">
        <v>35.700000000000003</v>
      </c>
      <c r="W15" s="46">
        <v>35.700000000000003</v>
      </c>
      <c r="X15" s="46">
        <v>35</v>
      </c>
      <c r="Y15" s="46">
        <v>35</v>
      </c>
      <c r="Z15" s="46">
        <v>35</v>
      </c>
      <c r="AA15" s="46">
        <v>59</v>
      </c>
      <c r="AB15" s="46">
        <v>47</v>
      </c>
      <c r="AC15" s="46">
        <v>47</v>
      </c>
      <c r="AD15" s="46">
        <v>41.6</v>
      </c>
      <c r="AE15" s="46">
        <v>41.6</v>
      </c>
      <c r="AF15" s="46">
        <v>41.6</v>
      </c>
      <c r="AG15" s="50">
        <v>54</v>
      </c>
      <c r="AH15" s="48">
        <f t="shared" si="2"/>
        <v>59</v>
      </c>
      <c r="AI15" s="49">
        <f t="shared" si="3"/>
        <v>35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20</v>
      </c>
      <c r="C16" s="46">
        <v>0</v>
      </c>
      <c r="D16" s="46">
        <v>20.5</v>
      </c>
      <c r="E16" s="46">
        <v>20.5</v>
      </c>
      <c r="F16" s="46">
        <v>10</v>
      </c>
      <c r="G16" s="46">
        <v>10</v>
      </c>
      <c r="H16" s="46">
        <v>10</v>
      </c>
      <c r="I16" s="46">
        <v>10</v>
      </c>
      <c r="J16" s="46">
        <v>26.6</v>
      </c>
      <c r="K16" s="46">
        <v>27</v>
      </c>
      <c r="L16" s="46">
        <v>27.2</v>
      </c>
      <c r="M16" s="46">
        <v>27.2</v>
      </c>
      <c r="N16" s="46">
        <v>27.2</v>
      </c>
      <c r="O16" s="46">
        <v>27.2</v>
      </c>
      <c r="P16" s="46">
        <v>27.2</v>
      </c>
      <c r="Q16" s="46">
        <v>27.2</v>
      </c>
      <c r="R16" s="46">
        <v>27.2</v>
      </c>
      <c r="S16" s="46">
        <v>17.7</v>
      </c>
      <c r="T16" s="46">
        <v>27.1</v>
      </c>
      <c r="U16" s="46">
        <v>27.1</v>
      </c>
      <c r="V16" s="46">
        <v>27.1</v>
      </c>
      <c r="W16" s="46">
        <v>27.1</v>
      </c>
      <c r="X16" s="46">
        <v>27.1</v>
      </c>
      <c r="Y16" s="46">
        <v>27.1</v>
      </c>
      <c r="Z16" s="46">
        <v>27.1</v>
      </c>
      <c r="AA16" s="46">
        <v>27.1</v>
      </c>
      <c r="AB16" s="46">
        <v>27.1</v>
      </c>
      <c r="AC16" s="46">
        <v>27.1</v>
      </c>
      <c r="AD16" s="46">
        <v>20.399999999999999</v>
      </c>
      <c r="AE16" s="46">
        <v>20.399999999999999</v>
      </c>
      <c r="AF16" s="46">
        <v>20.399999999999999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1355.8</v>
      </c>
      <c r="AN16" s="59">
        <f t="shared" si="4"/>
        <v>1353.8</v>
      </c>
      <c r="AO16" s="59">
        <f t="shared" si="4"/>
        <v>1330.3000000000002</v>
      </c>
      <c r="AP16" s="59">
        <f t="shared" si="4"/>
        <v>1292.9000000000001</v>
      </c>
      <c r="AQ16" s="59">
        <f t="shared" si="4"/>
        <v>1235</v>
      </c>
      <c r="AR16" s="59">
        <f t="shared" si="4"/>
        <v>1273.4000000000001</v>
      </c>
      <c r="AS16" s="59">
        <f>I61</f>
        <v>1234.7000000000003</v>
      </c>
      <c r="AT16" s="59">
        <f>K61</f>
        <v>1312.3000000000002</v>
      </c>
      <c r="AU16" s="59">
        <f t="shared" ref="AU16:BD16" si="5">M61</f>
        <v>1389.3000000000002</v>
      </c>
      <c r="AV16" s="59">
        <f t="shared" si="5"/>
        <v>1389.3000000000002</v>
      </c>
      <c r="AW16" s="59">
        <f t="shared" si="5"/>
        <v>1389.3000000000002</v>
      </c>
      <c r="AX16" s="59">
        <f t="shared" si="5"/>
        <v>1318.4</v>
      </c>
      <c r="AY16" s="59">
        <f t="shared" si="5"/>
        <v>1362.4</v>
      </c>
      <c r="AZ16" s="59">
        <f t="shared" si="5"/>
        <v>1362.3</v>
      </c>
      <c r="BA16" s="59">
        <f t="shared" si="5"/>
        <v>1373.0000000000002</v>
      </c>
      <c r="BB16" s="59">
        <f t="shared" si="5"/>
        <v>1344.1</v>
      </c>
      <c r="BC16" s="59">
        <f t="shared" si="5"/>
        <v>1318.2</v>
      </c>
      <c r="BD16" s="59">
        <f t="shared" si="5"/>
        <v>1306.2</v>
      </c>
      <c r="BE16" s="60">
        <f>X61</f>
        <v>1240.9000000000001</v>
      </c>
      <c r="BF16" s="60">
        <f>Z61</f>
        <v>1317.9</v>
      </c>
      <c r="BG16" s="60">
        <f>AB61</f>
        <v>1434.4</v>
      </c>
      <c r="BH16" s="60">
        <f>AD61</f>
        <v>1334.3000000000002</v>
      </c>
      <c r="BI16" s="60">
        <f>AE61</f>
        <v>1312.6000000000001</v>
      </c>
      <c r="BJ16" s="60">
        <f>AF61</f>
        <v>1291.4000000000001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53.4</v>
      </c>
      <c r="C17" s="46">
        <v>53.4</v>
      </c>
      <c r="D17" s="46">
        <v>53.4</v>
      </c>
      <c r="E17" s="46">
        <v>55.9</v>
      </c>
      <c r="F17" s="46">
        <v>55.9</v>
      </c>
      <c r="G17" s="46">
        <v>55.9</v>
      </c>
      <c r="H17" s="46">
        <v>55.9</v>
      </c>
      <c r="I17" s="46">
        <v>55.9</v>
      </c>
      <c r="J17" s="46">
        <v>55.9</v>
      </c>
      <c r="K17" s="46">
        <v>55.9</v>
      </c>
      <c r="L17" s="46">
        <v>55.8</v>
      </c>
      <c r="M17" s="46">
        <v>55.9</v>
      </c>
      <c r="N17" s="46">
        <v>55.9</v>
      </c>
      <c r="O17" s="46">
        <v>55.9</v>
      </c>
      <c r="P17" s="46">
        <v>55.9</v>
      </c>
      <c r="Q17" s="46">
        <v>55.9</v>
      </c>
      <c r="R17" s="46">
        <v>55.9</v>
      </c>
      <c r="S17" s="46">
        <v>55.9</v>
      </c>
      <c r="T17" s="46">
        <v>55.9</v>
      </c>
      <c r="U17" s="46">
        <v>55.9</v>
      </c>
      <c r="V17" s="46">
        <v>55.9</v>
      </c>
      <c r="W17" s="46">
        <v>55.9</v>
      </c>
      <c r="X17" s="46">
        <v>52.9</v>
      </c>
      <c r="Y17" s="46">
        <v>52.9</v>
      </c>
      <c r="Z17" s="46">
        <v>52.9</v>
      </c>
      <c r="AA17" s="46">
        <v>52.9</v>
      </c>
      <c r="AB17" s="46">
        <v>52.9</v>
      </c>
      <c r="AC17" s="46">
        <v>52.9</v>
      </c>
      <c r="AD17" s="46">
        <v>55.9</v>
      </c>
      <c r="AE17" s="46">
        <v>55.9</v>
      </c>
      <c r="AF17" s="46">
        <v>53.3</v>
      </c>
      <c r="AG17" s="47">
        <v>52.4</v>
      </c>
      <c r="AH17" s="48">
        <f t="shared" si="2"/>
        <v>55.9</v>
      </c>
      <c r="AI17" s="49">
        <f t="shared" si="3"/>
        <v>52.9</v>
      </c>
      <c r="AK17" s="51"/>
      <c r="AL17" s="54" t="s">
        <v>27</v>
      </c>
      <c r="AM17" s="59">
        <f t="shared" ref="AM17:AR17" si="6">B65</f>
        <v>541.1</v>
      </c>
      <c r="AN17" s="59">
        <f t="shared" si="6"/>
        <v>541.1</v>
      </c>
      <c r="AO17" s="59">
        <f t="shared" si="6"/>
        <v>541.1</v>
      </c>
      <c r="AP17" s="59">
        <f t="shared" si="6"/>
        <v>540.20000000000005</v>
      </c>
      <c r="AQ17" s="59">
        <f t="shared" si="6"/>
        <v>517.70000000000005</v>
      </c>
      <c r="AR17" s="59">
        <f t="shared" si="6"/>
        <v>517.70000000000005</v>
      </c>
      <c r="AS17" s="59">
        <f>I65</f>
        <v>517.70000000000005</v>
      </c>
      <c r="AT17" s="59">
        <f>K65</f>
        <v>517.70000000000005</v>
      </c>
      <c r="AU17" s="59">
        <f t="shared" ref="AU17:BD17" si="7">M65</f>
        <v>517.70000000000005</v>
      </c>
      <c r="AV17" s="59">
        <f t="shared" si="7"/>
        <v>539.70000000000005</v>
      </c>
      <c r="AW17" s="59">
        <f t="shared" si="7"/>
        <v>539.70000000000005</v>
      </c>
      <c r="AX17" s="59">
        <f t="shared" si="7"/>
        <v>539.70000000000005</v>
      </c>
      <c r="AY17" s="59">
        <f t="shared" si="7"/>
        <v>539.70000000000005</v>
      </c>
      <c r="AZ17" s="59">
        <f t="shared" si="7"/>
        <v>539.70000000000005</v>
      </c>
      <c r="BA17" s="59">
        <f t="shared" si="7"/>
        <v>539.9</v>
      </c>
      <c r="BB17" s="59">
        <f t="shared" si="7"/>
        <v>539.9</v>
      </c>
      <c r="BC17" s="59">
        <f t="shared" si="7"/>
        <v>539.9</v>
      </c>
      <c r="BD17" s="59">
        <f t="shared" si="7"/>
        <v>539.9</v>
      </c>
      <c r="BE17" s="60">
        <f>X65</f>
        <v>540.6</v>
      </c>
      <c r="BF17" s="60">
        <f>Z65</f>
        <v>540.6</v>
      </c>
      <c r="BG17" s="60">
        <f>AB65</f>
        <v>540.6</v>
      </c>
      <c r="BH17" s="60">
        <f>AD65</f>
        <v>540.6</v>
      </c>
      <c r="BI17" s="60">
        <f>AE65</f>
        <v>540.6</v>
      </c>
      <c r="BJ17" s="60">
        <f>AF65</f>
        <v>540.6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>
        <v>50.3</v>
      </c>
      <c r="K18" s="46">
        <v>50.3</v>
      </c>
      <c r="L18" s="46">
        <v>50.4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50.3</v>
      </c>
      <c r="S18" s="46">
        <v>50.3</v>
      </c>
      <c r="T18" s="46">
        <v>50.3</v>
      </c>
      <c r="U18" s="46">
        <v>50.3</v>
      </c>
      <c r="V18" s="46">
        <v>50.3</v>
      </c>
      <c r="W18" s="46">
        <v>50.3</v>
      </c>
      <c r="X18" s="46">
        <v>50.5</v>
      </c>
      <c r="Y18" s="46">
        <v>50.5</v>
      </c>
      <c r="Z18" s="46">
        <v>50.5</v>
      </c>
      <c r="AA18" s="46">
        <v>50.5</v>
      </c>
      <c r="AB18" s="46">
        <v>50.5</v>
      </c>
      <c r="AC18" s="46">
        <v>50.5</v>
      </c>
      <c r="AD18" s="46">
        <v>50.6</v>
      </c>
      <c r="AE18" s="46">
        <v>50.6</v>
      </c>
      <c r="AF18" s="46">
        <v>50.6</v>
      </c>
      <c r="AG18" s="50">
        <v>50</v>
      </c>
      <c r="AH18" s="48">
        <f t="shared" si="2"/>
        <v>50.6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305.64000000000004</v>
      </c>
      <c r="AN18" s="59">
        <f t="shared" si="8"/>
        <v>245.54</v>
      </c>
      <c r="AO18" s="59">
        <f t="shared" si="8"/>
        <v>272.54000000000002</v>
      </c>
      <c r="AP18" s="59">
        <f t="shared" si="8"/>
        <v>246.83999999999997</v>
      </c>
      <c r="AQ18" s="59">
        <f t="shared" si="8"/>
        <v>315.74000000000007</v>
      </c>
      <c r="AR18" s="59">
        <f t="shared" si="8"/>
        <v>330.44000000000005</v>
      </c>
      <c r="AS18" s="59">
        <f>I79</f>
        <v>344.84000000000003</v>
      </c>
      <c r="AT18" s="59">
        <f>K79</f>
        <v>332.64000000000004</v>
      </c>
      <c r="AU18" s="59">
        <f t="shared" ref="AU18:BD18" si="9">M79</f>
        <v>356.84000000000003</v>
      </c>
      <c r="AV18" s="59">
        <f t="shared" si="9"/>
        <v>372.44</v>
      </c>
      <c r="AW18" s="59">
        <f t="shared" si="9"/>
        <v>269.34000000000003</v>
      </c>
      <c r="AX18" s="59">
        <f t="shared" si="9"/>
        <v>396.84</v>
      </c>
      <c r="AY18" s="59">
        <f t="shared" si="9"/>
        <v>319.23999999999995</v>
      </c>
      <c r="AZ18" s="59">
        <f t="shared" si="9"/>
        <v>319.53999999999996</v>
      </c>
      <c r="BA18" s="59">
        <f t="shared" si="9"/>
        <v>387.44</v>
      </c>
      <c r="BB18" s="59">
        <f t="shared" si="9"/>
        <v>383.74</v>
      </c>
      <c r="BC18" s="59">
        <f t="shared" si="9"/>
        <v>384.34000000000003</v>
      </c>
      <c r="BD18" s="59">
        <f t="shared" si="9"/>
        <v>382.54</v>
      </c>
      <c r="BE18" s="60">
        <f>X79</f>
        <v>381.84</v>
      </c>
      <c r="BF18" s="60">
        <f>Z79</f>
        <v>381.03999999999996</v>
      </c>
      <c r="BG18" s="60">
        <f>AB79</f>
        <v>393.34</v>
      </c>
      <c r="BH18" s="60">
        <f>AD79</f>
        <v>402.24</v>
      </c>
      <c r="BI18" s="60">
        <f>AE79</f>
        <v>402.24</v>
      </c>
      <c r="BJ18" s="60">
        <f>AF79</f>
        <v>395.44000000000005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</v>
      </c>
      <c r="C19" s="46">
        <v>44</v>
      </c>
      <c r="D19" s="46">
        <v>44</v>
      </c>
      <c r="E19" s="46">
        <v>44</v>
      </c>
      <c r="F19" s="46">
        <v>44</v>
      </c>
      <c r="G19" s="46">
        <v>44</v>
      </c>
      <c r="H19" s="46">
        <v>44</v>
      </c>
      <c r="I19" s="46">
        <v>44</v>
      </c>
      <c r="J19" s="46">
        <v>44</v>
      </c>
      <c r="K19" s="46">
        <v>44</v>
      </c>
      <c r="L19" s="46">
        <v>44</v>
      </c>
      <c r="M19" s="46">
        <v>44</v>
      </c>
      <c r="N19" s="46">
        <v>44</v>
      </c>
      <c r="O19" s="46">
        <v>44</v>
      </c>
      <c r="P19" s="46">
        <v>44</v>
      </c>
      <c r="Q19" s="46">
        <v>44</v>
      </c>
      <c r="R19" s="46">
        <v>44</v>
      </c>
      <c r="S19" s="46">
        <v>44</v>
      </c>
      <c r="T19" s="46">
        <v>44</v>
      </c>
      <c r="U19" s="46">
        <v>44</v>
      </c>
      <c r="V19" s="46">
        <v>44</v>
      </c>
      <c r="W19" s="46">
        <v>44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>
        <v>44</v>
      </c>
      <c r="AE19" s="46">
        <v>44</v>
      </c>
      <c r="AF19" s="46">
        <v>44</v>
      </c>
      <c r="AG19" s="50">
        <v>45</v>
      </c>
      <c r="AH19" s="48">
        <f t="shared" si="2"/>
        <v>44</v>
      </c>
      <c r="AI19" s="49">
        <f t="shared" si="3"/>
        <v>44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22</v>
      </c>
      <c r="AO19" s="59">
        <f t="shared" si="10"/>
        <v>0</v>
      </c>
      <c r="AP19" s="59">
        <f t="shared" si="10"/>
        <v>14.3</v>
      </c>
      <c r="AQ19" s="59">
        <f t="shared" si="10"/>
        <v>6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0</v>
      </c>
      <c r="E20" s="46">
        <v>0</v>
      </c>
      <c r="F20" s="46">
        <v>0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32</v>
      </c>
      <c r="W20" s="46">
        <v>32</v>
      </c>
      <c r="X20" s="46">
        <v>32</v>
      </c>
      <c r="Y20" s="46">
        <v>32</v>
      </c>
      <c r="Z20" s="46">
        <v>32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27.8</v>
      </c>
      <c r="F22" s="46">
        <v>27.8</v>
      </c>
      <c r="G22" s="46">
        <v>27.8</v>
      </c>
      <c r="H22" s="46">
        <v>27.8</v>
      </c>
      <c r="I22" s="46">
        <v>27.8</v>
      </c>
      <c r="J22" s="46">
        <v>27.8</v>
      </c>
      <c r="K22" s="46">
        <v>27.8</v>
      </c>
      <c r="L22" s="46">
        <v>27.8</v>
      </c>
      <c r="M22" s="46">
        <v>0</v>
      </c>
      <c r="N22" s="46">
        <v>0</v>
      </c>
      <c r="O22" s="46">
        <v>0</v>
      </c>
      <c r="P22" s="46">
        <v>0</v>
      </c>
      <c r="Q22" s="46">
        <v>27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>
        <v>27</v>
      </c>
      <c r="X22" s="46">
        <v>28</v>
      </c>
      <c r="Y22" s="46">
        <v>28</v>
      </c>
      <c r="Z22" s="46">
        <v>28</v>
      </c>
      <c r="AA22" s="46">
        <v>28</v>
      </c>
      <c r="AB22" s="46">
        <v>28</v>
      </c>
      <c r="AC22" s="46">
        <v>28</v>
      </c>
      <c r="AD22" s="46">
        <v>28</v>
      </c>
      <c r="AE22" s="46">
        <v>28</v>
      </c>
      <c r="AF22" s="46">
        <v>27.8</v>
      </c>
      <c r="AG22" s="50">
        <v>38.46</v>
      </c>
      <c r="AH22" s="48">
        <f t="shared" si="2"/>
        <v>28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2202.54</v>
      </c>
      <c r="AN22" s="63">
        <f t="shared" si="16"/>
        <v>2162.44</v>
      </c>
      <c r="AO22" s="63">
        <f t="shared" si="16"/>
        <v>2143.94</v>
      </c>
      <c r="AP22" s="63">
        <f t="shared" si="16"/>
        <v>2094.2400000000002</v>
      </c>
      <c r="AQ22" s="63">
        <f t="shared" si="16"/>
        <v>2074.44</v>
      </c>
      <c r="AR22" s="63">
        <f t="shared" si="16"/>
        <v>2121.54</v>
      </c>
      <c r="AS22" s="63">
        <f t="shared" si="16"/>
        <v>2097.2400000000002</v>
      </c>
      <c r="AT22" s="63">
        <f t="shared" si="16"/>
        <v>2162.6400000000003</v>
      </c>
      <c r="AU22" s="63">
        <f t="shared" si="16"/>
        <v>2263.84</v>
      </c>
      <c r="AV22" s="63">
        <f t="shared" si="16"/>
        <v>2301.44</v>
      </c>
      <c r="AW22" s="63">
        <f t="shared" si="16"/>
        <v>2198.34</v>
      </c>
      <c r="AX22" s="63">
        <f t="shared" si="16"/>
        <v>2254.94</v>
      </c>
      <c r="AY22" s="63">
        <f t="shared" si="16"/>
        <v>2221.34</v>
      </c>
      <c r="AZ22" s="63">
        <f t="shared" si="16"/>
        <v>2221.54</v>
      </c>
      <c r="BA22" s="63">
        <f t="shared" si="16"/>
        <v>2300.34</v>
      </c>
      <c r="BB22" s="63">
        <f t="shared" si="16"/>
        <v>2267.7399999999998</v>
      </c>
      <c r="BC22" s="63">
        <f t="shared" si="16"/>
        <v>2242.44</v>
      </c>
      <c r="BD22" s="63">
        <f t="shared" si="16"/>
        <v>2228.64</v>
      </c>
      <c r="BE22" s="63">
        <f t="shared" si="16"/>
        <v>2163.34</v>
      </c>
      <c r="BF22" s="63">
        <f t="shared" si="16"/>
        <v>2239.54</v>
      </c>
      <c r="BG22" s="63">
        <f t="shared" si="16"/>
        <v>2368.34</v>
      </c>
      <c r="BH22" s="63">
        <f t="shared" si="16"/>
        <v>2277.1400000000003</v>
      </c>
      <c r="BI22" s="63">
        <f t="shared" si="16"/>
        <v>2255.4400000000005</v>
      </c>
      <c r="BJ22" s="63">
        <f t="shared" si="16"/>
        <v>2227.44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41</v>
      </c>
      <c r="C23" s="46">
        <v>41</v>
      </c>
      <c r="D23" s="46">
        <v>41</v>
      </c>
      <c r="E23" s="46">
        <v>40.799999999999997</v>
      </c>
      <c r="F23" s="46">
        <v>40.799999999999997</v>
      </c>
      <c r="G23" s="46">
        <v>40.799999999999997</v>
      </c>
      <c r="H23" s="46">
        <v>40.799999999999997</v>
      </c>
      <c r="I23" s="46">
        <v>40.799999999999997</v>
      </c>
      <c r="J23" s="46">
        <v>40.799999999999997</v>
      </c>
      <c r="K23" s="46">
        <v>40.799999999999997</v>
      </c>
      <c r="L23" s="46">
        <v>40.799999999999997</v>
      </c>
      <c r="M23" s="46">
        <v>40.799999999999997</v>
      </c>
      <c r="N23" s="46">
        <v>40.799999999999997</v>
      </c>
      <c r="O23" s="46">
        <v>40.799999999999997</v>
      </c>
      <c r="P23" s="46">
        <v>40.799999999999997</v>
      </c>
      <c r="Q23" s="46">
        <v>40.799999999999997</v>
      </c>
      <c r="R23" s="46">
        <v>40.799999999999997</v>
      </c>
      <c r="S23" s="46">
        <v>40.799999999999997</v>
      </c>
      <c r="T23" s="46">
        <v>40.799999999999997</v>
      </c>
      <c r="U23" s="46">
        <v>40.799999999999997</v>
      </c>
      <c r="V23" s="46">
        <v>40.799999999999997</v>
      </c>
      <c r="W23" s="46">
        <v>40.799999999999997</v>
      </c>
      <c r="X23" s="46">
        <v>40.6</v>
      </c>
      <c r="Y23" s="46">
        <v>40.6</v>
      </c>
      <c r="Z23" s="46">
        <v>40.6</v>
      </c>
      <c r="AA23" s="46">
        <v>40.6</v>
      </c>
      <c r="AB23" s="46">
        <v>40.6</v>
      </c>
      <c r="AC23" s="46">
        <v>40.6</v>
      </c>
      <c r="AD23" s="46">
        <v>40.6</v>
      </c>
      <c r="AE23" s="46">
        <v>40.6</v>
      </c>
      <c r="AF23" s="46">
        <v>40.6</v>
      </c>
      <c r="AG23" s="50">
        <v>38.46</v>
      </c>
      <c r="AH23" s="48">
        <f t="shared" si="2"/>
        <v>41</v>
      </c>
      <c r="AI23" s="49">
        <f t="shared" si="3"/>
        <v>40.6</v>
      </c>
      <c r="AK23" s="51"/>
      <c r="AL23" s="62" t="s">
        <v>39</v>
      </c>
      <c r="AM23" s="63">
        <f t="shared" ref="AM23:AR23" si="17">B110*-1</f>
        <v>-721.9</v>
      </c>
      <c r="AN23" s="63">
        <f t="shared" si="17"/>
        <v>-693</v>
      </c>
      <c r="AO23" s="63">
        <f t="shared" si="17"/>
        <v>-677.9</v>
      </c>
      <c r="AP23" s="63">
        <f t="shared" si="17"/>
        <v>-653.9</v>
      </c>
      <c r="AQ23" s="63">
        <f t="shared" si="17"/>
        <v>-660</v>
      </c>
      <c r="AR23" s="63">
        <f t="shared" si="17"/>
        <v>-725.2</v>
      </c>
      <c r="AS23" s="63">
        <f>I110*-1</f>
        <v>-744.3</v>
      </c>
      <c r="AT23" s="63">
        <f>K110*-1</f>
        <v>-679.6</v>
      </c>
      <c r="AU23" s="63">
        <f t="shared" ref="AU23:BD23" si="18">M110*-1</f>
        <v>-684.5</v>
      </c>
      <c r="AV23" s="63">
        <f t="shared" si="18"/>
        <v>-697.9</v>
      </c>
      <c r="AW23" s="63">
        <f t="shared" si="18"/>
        <v>-673.1</v>
      </c>
      <c r="AX23" s="63">
        <f t="shared" si="18"/>
        <v>-680.2</v>
      </c>
      <c r="AY23" s="63">
        <f t="shared" si="18"/>
        <v>-704.3</v>
      </c>
      <c r="AZ23" s="63">
        <f t="shared" si="18"/>
        <v>-717.2</v>
      </c>
      <c r="BA23" s="63">
        <f t="shared" si="18"/>
        <v>-726.6</v>
      </c>
      <c r="BB23" s="63">
        <f t="shared" si="18"/>
        <v>-724.59999999999991</v>
      </c>
      <c r="BC23" s="63">
        <f t="shared" si="18"/>
        <v>-724.04</v>
      </c>
      <c r="BD23" s="63">
        <f t="shared" si="18"/>
        <v>-743.6</v>
      </c>
      <c r="BE23" s="63">
        <f>X110*-1</f>
        <v>-734.5</v>
      </c>
      <c r="BF23" s="63">
        <f>Z110*-1</f>
        <v>-701.9</v>
      </c>
      <c r="BG23" s="63">
        <f>AB110*-1</f>
        <v>-702.9</v>
      </c>
      <c r="BH23" s="63">
        <f>AD110*-1</f>
        <v>-721.5</v>
      </c>
      <c r="BI23" s="63">
        <f>AE110*-1</f>
        <v>-773</v>
      </c>
      <c r="BJ23" s="63">
        <f>AF110*-1</f>
        <v>-761.8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>
        <v>36</v>
      </c>
      <c r="R24" s="46">
        <v>36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12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1480.6399999999999</v>
      </c>
      <c r="AN24" s="63">
        <f t="shared" si="19"/>
        <v>1469.44</v>
      </c>
      <c r="AO24" s="63">
        <f t="shared" si="19"/>
        <v>1466.04</v>
      </c>
      <c r="AP24" s="63">
        <f t="shared" si="19"/>
        <v>1440.3400000000001</v>
      </c>
      <c r="AQ24" s="63">
        <f t="shared" si="19"/>
        <v>1414.44</v>
      </c>
      <c r="AR24" s="63">
        <f t="shared" si="19"/>
        <v>1396.34</v>
      </c>
      <c r="AS24" s="63">
        <f t="shared" si="19"/>
        <v>1352.9400000000003</v>
      </c>
      <c r="AT24" s="63">
        <f t="shared" si="19"/>
        <v>1483.0400000000004</v>
      </c>
      <c r="AU24" s="63">
        <f t="shared" si="19"/>
        <v>1579.3400000000001</v>
      </c>
      <c r="AV24" s="63">
        <f t="shared" si="19"/>
        <v>1603.54</v>
      </c>
      <c r="AW24" s="63">
        <f t="shared" si="19"/>
        <v>1525.2400000000002</v>
      </c>
      <c r="AX24" s="63">
        <f t="shared" si="19"/>
        <v>1574.74</v>
      </c>
      <c r="AY24" s="63">
        <f t="shared" si="19"/>
        <v>1517.0400000000002</v>
      </c>
      <c r="AZ24" s="63">
        <f t="shared" si="19"/>
        <v>1504.34</v>
      </c>
      <c r="BA24" s="63">
        <f t="shared" si="19"/>
        <v>1573.7400000000002</v>
      </c>
      <c r="BB24" s="63">
        <f t="shared" si="19"/>
        <v>1543.1399999999999</v>
      </c>
      <c r="BC24" s="63">
        <f t="shared" si="19"/>
        <v>1518.4</v>
      </c>
      <c r="BD24" s="63">
        <f t="shared" si="19"/>
        <v>1485.04</v>
      </c>
      <c r="BE24" s="63">
        <f t="shared" si="19"/>
        <v>1428.8400000000001</v>
      </c>
      <c r="BF24" s="63">
        <f t="shared" si="19"/>
        <v>1537.6399999999999</v>
      </c>
      <c r="BG24" s="63">
        <f t="shared" si="19"/>
        <v>1665.44</v>
      </c>
      <c r="BH24" s="63">
        <f t="shared" si="19"/>
        <v>1555.6400000000003</v>
      </c>
      <c r="BI24" s="63">
        <f t="shared" si="19"/>
        <v>1482.4400000000005</v>
      </c>
      <c r="BJ24" s="63">
        <f t="shared" si="19"/>
        <v>1465.64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20</v>
      </c>
      <c r="C25" s="46">
        <v>21.2</v>
      </c>
      <c r="D25" s="46">
        <v>21.2</v>
      </c>
      <c r="E25" s="46">
        <v>20</v>
      </c>
      <c r="F25" s="46">
        <v>10</v>
      </c>
      <c r="G25" s="46">
        <v>10</v>
      </c>
      <c r="H25" s="46">
        <v>5</v>
      </c>
      <c r="I25" s="46">
        <v>5</v>
      </c>
      <c r="J25" s="46">
        <v>15</v>
      </c>
      <c r="K25" s="46">
        <v>30</v>
      </c>
      <c r="L25" s="46">
        <v>30</v>
      </c>
      <c r="M25" s="46">
        <v>30</v>
      </c>
      <c r="N25" s="46">
        <v>30</v>
      </c>
      <c r="O25" s="46">
        <v>30</v>
      </c>
      <c r="P25" s="46">
        <v>30</v>
      </c>
      <c r="Q25" s="46">
        <v>30</v>
      </c>
      <c r="R25" s="46">
        <v>30</v>
      </c>
      <c r="S25" s="46">
        <v>30</v>
      </c>
      <c r="T25" s="46">
        <v>15.1</v>
      </c>
      <c r="U25" s="46">
        <v>15.4</v>
      </c>
      <c r="V25" s="46">
        <v>15.4</v>
      </c>
      <c r="W25" s="46">
        <v>15.4</v>
      </c>
      <c r="X25" s="46">
        <v>10.5</v>
      </c>
      <c r="Y25" s="46">
        <v>22.4</v>
      </c>
      <c r="Z25" s="46">
        <v>30.6</v>
      </c>
      <c r="AA25" s="46">
        <v>30.6</v>
      </c>
      <c r="AB25" s="46">
        <v>30.6</v>
      </c>
      <c r="AC25" s="46">
        <v>30.6</v>
      </c>
      <c r="AD25" s="46">
        <v>15.1</v>
      </c>
      <c r="AE25" s="46">
        <v>15.1</v>
      </c>
      <c r="AF25" s="46">
        <v>15.1</v>
      </c>
      <c r="AG25" s="61">
        <v>30</v>
      </c>
      <c r="AH25" s="48">
        <f t="shared" si="2"/>
        <v>30.6</v>
      </c>
      <c r="AI25" s="49">
        <f t="shared" si="3"/>
        <v>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25.6</v>
      </c>
      <c r="C26" s="46">
        <v>25.6</v>
      </c>
      <c r="D26" s="46">
        <v>25.6</v>
      </c>
      <c r="E26" s="46">
        <v>25.6</v>
      </c>
      <c r="F26" s="46">
        <v>25.6</v>
      </c>
      <c r="G26" s="46">
        <v>25.6</v>
      </c>
      <c r="H26" s="46">
        <v>20</v>
      </c>
      <c r="I26" s="46">
        <v>20</v>
      </c>
      <c r="J26" s="46">
        <v>20</v>
      </c>
      <c r="K26" s="46">
        <v>20</v>
      </c>
      <c r="L26" s="46">
        <v>20</v>
      </c>
      <c r="M26" s="46">
        <v>20.6</v>
      </c>
      <c r="N26" s="46">
        <v>20.6</v>
      </c>
      <c r="O26" s="46">
        <v>20.6</v>
      </c>
      <c r="P26" s="46">
        <v>20.6</v>
      </c>
      <c r="Q26" s="46">
        <v>20.6</v>
      </c>
      <c r="R26" s="46">
        <v>20.6</v>
      </c>
      <c r="S26" s="46">
        <v>20.6</v>
      </c>
      <c r="T26" s="46">
        <v>20.6</v>
      </c>
      <c r="U26" s="46">
        <v>20.6</v>
      </c>
      <c r="V26" s="46">
        <v>20.6</v>
      </c>
      <c r="W26" s="46">
        <v>20.6</v>
      </c>
      <c r="X26" s="46">
        <v>20.6</v>
      </c>
      <c r="Y26" s="46">
        <v>20.6</v>
      </c>
      <c r="Z26" s="46">
        <v>20.6</v>
      </c>
      <c r="AA26" s="46">
        <v>33</v>
      </c>
      <c r="AB26" s="46">
        <v>33</v>
      </c>
      <c r="AC26" s="46">
        <v>33</v>
      </c>
      <c r="AD26" s="46">
        <v>25.6</v>
      </c>
      <c r="AE26" s="46">
        <v>25.6</v>
      </c>
      <c r="AF26" s="46">
        <v>25.6</v>
      </c>
      <c r="AG26" s="50">
        <v>24.2</v>
      </c>
      <c r="AH26" s="48">
        <f t="shared" si="2"/>
        <v>33</v>
      </c>
      <c r="AI26" s="49">
        <f t="shared" si="3"/>
        <v>20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27.6</v>
      </c>
      <c r="C27" s="46">
        <v>27.6</v>
      </c>
      <c r="D27" s="46">
        <v>27.6</v>
      </c>
      <c r="E27" s="46">
        <v>28.6</v>
      </c>
      <c r="F27" s="46">
        <v>28.6</v>
      </c>
      <c r="G27" s="46">
        <v>28.6</v>
      </c>
      <c r="H27" s="46">
        <v>28.6</v>
      </c>
      <c r="I27" s="46">
        <v>28.6</v>
      </c>
      <c r="J27" s="46">
        <v>28.6</v>
      </c>
      <c r="K27" s="46">
        <v>28.6</v>
      </c>
      <c r="L27" s="46">
        <v>28.6</v>
      </c>
      <c r="M27" s="46">
        <v>25.4</v>
      </c>
      <c r="N27" s="46">
        <v>25.4</v>
      </c>
      <c r="O27" s="46">
        <v>25.4</v>
      </c>
      <c r="P27" s="46">
        <v>25.4</v>
      </c>
      <c r="Q27" s="46">
        <v>25.4</v>
      </c>
      <c r="R27" s="46">
        <v>25.4</v>
      </c>
      <c r="S27" s="46">
        <v>25.4</v>
      </c>
      <c r="T27" s="46">
        <v>25.4</v>
      </c>
      <c r="U27" s="46">
        <v>25.4</v>
      </c>
      <c r="V27" s="46">
        <v>25.4</v>
      </c>
      <c r="W27" s="46">
        <v>25.4</v>
      </c>
      <c r="X27" s="46">
        <v>25.4</v>
      </c>
      <c r="Y27" s="46">
        <v>25.4</v>
      </c>
      <c r="Z27" s="46">
        <v>25.4</v>
      </c>
      <c r="AA27" s="46">
        <v>25.4</v>
      </c>
      <c r="AB27" s="46">
        <v>25.4</v>
      </c>
      <c r="AC27" s="46">
        <v>25.4</v>
      </c>
      <c r="AD27" s="46">
        <v>25.4</v>
      </c>
      <c r="AE27" s="46">
        <v>25.4</v>
      </c>
      <c r="AF27" s="46">
        <v>25.4</v>
      </c>
      <c r="AG27" s="50">
        <v>28</v>
      </c>
      <c r="AH27" s="48">
        <f t="shared" si="2"/>
        <v>28.6</v>
      </c>
      <c r="AI27" s="49">
        <f t="shared" si="3"/>
        <v>25.4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19</v>
      </c>
      <c r="C28" s="46">
        <v>19</v>
      </c>
      <c r="D28" s="46">
        <v>19</v>
      </c>
      <c r="E28" s="46">
        <v>19</v>
      </c>
      <c r="F28" s="46">
        <v>8.6999999999999993</v>
      </c>
      <c r="G28" s="46">
        <v>8.6999999999999993</v>
      </c>
      <c r="H28" s="46">
        <v>5</v>
      </c>
      <c r="I28" s="46">
        <v>5</v>
      </c>
      <c r="J28" s="46">
        <v>14</v>
      </c>
      <c r="K28" s="46">
        <v>26</v>
      </c>
      <c r="L28" s="46">
        <v>26</v>
      </c>
      <c r="M28" s="46">
        <v>26.2</v>
      </c>
      <c r="N28" s="46">
        <v>26.2</v>
      </c>
      <c r="O28" s="46">
        <v>26.2</v>
      </c>
      <c r="P28" s="46">
        <v>9</v>
      </c>
      <c r="Q28" s="46">
        <v>18</v>
      </c>
      <c r="R28" s="46">
        <v>18</v>
      </c>
      <c r="S28" s="46">
        <v>18</v>
      </c>
      <c r="T28" s="46">
        <v>13.9</v>
      </c>
      <c r="U28" s="46">
        <v>13.9</v>
      </c>
      <c r="V28" s="46">
        <v>13.9</v>
      </c>
      <c r="W28" s="46">
        <v>9.3000000000000007</v>
      </c>
      <c r="X28" s="46">
        <v>7.7</v>
      </c>
      <c r="Y28" s="46">
        <v>19.100000000000001</v>
      </c>
      <c r="Z28" s="46">
        <v>25.3</v>
      </c>
      <c r="AA28" s="46">
        <v>25.3</v>
      </c>
      <c r="AB28" s="46">
        <v>25.3</v>
      </c>
      <c r="AC28" s="46">
        <v>25.3</v>
      </c>
      <c r="AD28" s="46">
        <v>14.2</v>
      </c>
      <c r="AE28" s="46">
        <v>14.2</v>
      </c>
      <c r="AF28" s="46">
        <v>14.2</v>
      </c>
      <c r="AG28" s="61">
        <v>30</v>
      </c>
      <c r="AH28" s="48">
        <f t="shared" si="2"/>
        <v>26.2</v>
      </c>
      <c r="AI28" s="49">
        <f t="shared" si="3"/>
        <v>5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16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26</v>
      </c>
      <c r="M29" s="46">
        <v>25.6</v>
      </c>
      <c r="N29" s="46">
        <v>25.6</v>
      </c>
      <c r="O29" s="46">
        <v>25.6</v>
      </c>
      <c r="P29" s="46">
        <v>25.6</v>
      </c>
      <c r="Q29" s="46">
        <v>25.6</v>
      </c>
      <c r="R29" s="46">
        <v>25.6</v>
      </c>
      <c r="S29" s="46">
        <v>25.6</v>
      </c>
      <c r="T29" s="46">
        <v>25.6</v>
      </c>
      <c r="U29" s="46">
        <v>25.6</v>
      </c>
      <c r="V29" s="46">
        <v>25.6</v>
      </c>
      <c r="W29" s="46">
        <v>25.6</v>
      </c>
      <c r="X29" s="46">
        <v>25.6</v>
      </c>
      <c r="Y29" s="46">
        <v>25.6</v>
      </c>
      <c r="Z29" s="46">
        <v>25.6</v>
      </c>
      <c r="AA29" s="46">
        <v>25.6</v>
      </c>
      <c r="AB29" s="46">
        <v>25.6</v>
      </c>
      <c r="AC29" s="46">
        <v>25.6</v>
      </c>
      <c r="AD29" s="46">
        <v>25.6</v>
      </c>
      <c r="AE29" s="46">
        <v>25.6</v>
      </c>
      <c r="AF29" s="46">
        <v>25.6</v>
      </c>
      <c r="AG29" s="50">
        <v>25</v>
      </c>
      <c r="AH29" s="48">
        <f t="shared" si="2"/>
        <v>26</v>
      </c>
      <c r="AI29" s="49">
        <f t="shared" si="3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18.8</v>
      </c>
      <c r="C30" s="46">
        <v>18.8</v>
      </c>
      <c r="D30" s="46">
        <v>18.8</v>
      </c>
      <c r="E30" s="46">
        <v>18.8</v>
      </c>
      <c r="F30" s="46">
        <v>18.8</v>
      </c>
      <c r="G30" s="46">
        <v>18.8</v>
      </c>
      <c r="H30" s="46">
        <v>18.8</v>
      </c>
      <c r="I30" s="46">
        <v>18.8</v>
      </c>
      <c r="J30" s="46">
        <v>18.8</v>
      </c>
      <c r="K30" s="46">
        <v>18.8</v>
      </c>
      <c r="L30" s="46">
        <v>18.8</v>
      </c>
      <c r="M30" s="46">
        <v>18.8</v>
      </c>
      <c r="N30" s="46">
        <v>18.8</v>
      </c>
      <c r="O30" s="46">
        <v>18.8</v>
      </c>
      <c r="P30" s="46">
        <v>18.8</v>
      </c>
      <c r="Q30" s="46">
        <v>18.8</v>
      </c>
      <c r="R30" s="46">
        <v>18.8</v>
      </c>
      <c r="S30" s="46">
        <v>18.8</v>
      </c>
      <c r="T30" s="46">
        <v>18.8</v>
      </c>
      <c r="U30" s="46">
        <v>18.8</v>
      </c>
      <c r="V30" s="46">
        <v>18.8</v>
      </c>
      <c r="W30" s="46">
        <v>18.8</v>
      </c>
      <c r="X30" s="46">
        <v>18.8</v>
      </c>
      <c r="Y30" s="46">
        <v>18.8</v>
      </c>
      <c r="Z30" s="46">
        <v>18.8</v>
      </c>
      <c r="AA30" s="46">
        <v>18.8</v>
      </c>
      <c r="AB30" s="46">
        <v>18.8</v>
      </c>
      <c r="AC30" s="46">
        <v>18.8</v>
      </c>
      <c r="AD30" s="46">
        <v>18.8</v>
      </c>
      <c r="AE30" s="46">
        <v>18.8</v>
      </c>
      <c r="AF30" s="46">
        <v>18.8</v>
      </c>
      <c r="AG30" s="50">
        <v>25</v>
      </c>
      <c r="AH30" s="48">
        <f t="shared" si="2"/>
        <v>18.8</v>
      </c>
      <c r="AI30" s="49">
        <f t="shared" si="3"/>
        <v>18.8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25</v>
      </c>
      <c r="C31" s="46">
        <v>25</v>
      </c>
      <c r="D31" s="46">
        <v>25</v>
      </c>
      <c r="E31" s="46">
        <v>25</v>
      </c>
      <c r="F31" s="46">
        <v>25</v>
      </c>
      <c r="G31" s="46">
        <v>25</v>
      </c>
      <c r="H31" s="46">
        <v>25</v>
      </c>
      <c r="I31" s="46">
        <v>25</v>
      </c>
      <c r="J31" s="46">
        <v>25</v>
      </c>
      <c r="K31" s="46">
        <v>25</v>
      </c>
      <c r="L31" s="46">
        <v>25</v>
      </c>
      <c r="M31" s="46">
        <v>25</v>
      </c>
      <c r="N31" s="46">
        <v>25</v>
      </c>
      <c r="O31" s="46">
        <v>25</v>
      </c>
      <c r="P31" s="46">
        <v>25</v>
      </c>
      <c r="Q31" s="46">
        <v>25</v>
      </c>
      <c r="R31" s="46">
        <v>25</v>
      </c>
      <c r="S31" s="46">
        <v>25</v>
      </c>
      <c r="T31" s="46">
        <v>25</v>
      </c>
      <c r="U31" s="46">
        <v>25</v>
      </c>
      <c r="V31" s="46">
        <v>25</v>
      </c>
      <c r="W31" s="46">
        <v>25</v>
      </c>
      <c r="X31" s="46">
        <v>25</v>
      </c>
      <c r="Y31" s="46">
        <v>25</v>
      </c>
      <c r="Z31" s="46">
        <v>25</v>
      </c>
      <c r="AA31" s="46">
        <v>25</v>
      </c>
      <c r="AB31" s="46">
        <v>25</v>
      </c>
      <c r="AC31" s="46">
        <v>25</v>
      </c>
      <c r="AD31" s="46">
        <v>25</v>
      </c>
      <c r="AE31" s="46">
        <v>25</v>
      </c>
      <c r="AF31" s="46">
        <v>25</v>
      </c>
      <c r="AG31" s="50">
        <v>25</v>
      </c>
      <c r="AH31" s="48">
        <f t="shared" si="2"/>
        <v>25</v>
      </c>
      <c r="AI31" s="49">
        <f t="shared" si="3"/>
        <v>25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17.5</v>
      </c>
      <c r="C32" s="46">
        <v>17.5</v>
      </c>
      <c r="D32" s="46">
        <v>17.5</v>
      </c>
      <c r="E32" s="46">
        <v>18.5</v>
      </c>
      <c r="F32" s="46">
        <v>7.4</v>
      </c>
      <c r="G32" s="46">
        <v>7.4</v>
      </c>
      <c r="H32" s="46">
        <v>5</v>
      </c>
      <c r="I32" s="46">
        <v>5</v>
      </c>
      <c r="J32" s="46">
        <v>5</v>
      </c>
      <c r="K32" s="46">
        <v>25.6</v>
      </c>
      <c r="L32" s="46">
        <v>25.6</v>
      </c>
      <c r="M32" s="46">
        <v>25.6</v>
      </c>
      <c r="N32" s="46">
        <v>25.6</v>
      </c>
      <c r="O32" s="46">
        <v>25.6</v>
      </c>
      <c r="P32" s="46">
        <v>25.6</v>
      </c>
      <c r="Q32" s="46">
        <v>25.6</v>
      </c>
      <c r="R32" s="46">
        <v>25.6</v>
      </c>
      <c r="S32" s="46">
        <v>25.6</v>
      </c>
      <c r="T32" s="46">
        <v>12.3</v>
      </c>
      <c r="U32" s="46">
        <v>12.3</v>
      </c>
      <c r="V32" s="46">
        <v>12.3</v>
      </c>
      <c r="W32" s="46">
        <v>8.8000000000000007</v>
      </c>
      <c r="X32" s="46">
        <v>8.8000000000000007</v>
      </c>
      <c r="Y32" s="46">
        <v>19.5</v>
      </c>
      <c r="Z32" s="46">
        <v>26.1</v>
      </c>
      <c r="AA32" s="46">
        <v>26.1</v>
      </c>
      <c r="AB32" s="46">
        <v>26.1</v>
      </c>
      <c r="AC32" s="46">
        <v>26.1</v>
      </c>
      <c r="AD32" s="46">
        <v>13.4</v>
      </c>
      <c r="AE32" s="46">
        <v>13.4</v>
      </c>
      <c r="AF32" s="46">
        <v>13.4</v>
      </c>
      <c r="AG32" s="50">
        <v>25</v>
      </c>
      <c r="AH32" s="48">
        <f t="shared" si="2"/>
        <v>26.1</v>
      </c>
      <c r="AI32" s="49">
        <f t="shared" si="3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24.7</v>
      </c>
      <c r="C33" s="46">
        <v>24.7</v>
      </c>
      <c r="D33" s="46">
        <v>24.7</v>
      </c>
      <c r="E33" s="46">
        <v>24.7</v>
      </c>
      <c r="F33" s="46">
        <v>24.7</v>
      </c>
      <c r="G33" s="46">
        <v>24.7</v>
      </c>
      <c r="H33" s="46">
        <v>24.7</v>
      </c>
      <c r="I33" s="46">
        <v>24.7</v>
      </c>
      <c r="J33" s="46">
        <v>24.7</v>
      </c>
      <c r="K33" s="46">
        <v>24.7</v>
      </c>
      <c r="L33" s="46">
        <v>24.7</v>
      </c>
      <c r="M33" s="46">
        <v>24.7</v>
      </c>
      <c r="N33" s="46">
        <v>24.7</v>
      </c>
      <c r="O33" s="46">
        <v>24.7</v>
      </c>
      <c r="P33" s="46">
        <v>24.7</v>
      </c>
      <c r="Q33" s="46">
        <v>24.7</v>
      </c>
      <c r="R33" s="46">
        <v>24.7</v>
      </c>
      <c r="S33" s="46">
        <v>24.7</v>
      </c>
      <c r="T33" s="46">
        <v>24.7</v>
      </c>
      <c r="U33" s="46">
        <v>24.7</v>
      </c>
      <c r="V33" s="46">
        <v>24.7</v>
      </c>
      <c r="W33" s="46">
        <v>24.7</v>
      </c>
      <c r="X33" s="46">
        <v>24.7</v>
      </c>
      <c r="Y33" s="46">
        <v>24.7</v>
      </c>
      <c r="Z33" s="46">
        <v>24.7</v>
      </c>
      <c r="AA33" s="46">
        <v>24.7</v>
      </c>
      <c r="AB33" s="46">
        <v>24.7</v>
      </c>
      <c r="AC33" s="46">
        <v>24.7</v>
      </c>
      <c r="AD33" s="46">
        <v>24.7</v>
      </c>
      <c r="AE33" s="46">
        <v>24.7</v>
      </c>
      <c r="AF33" s="46">
        <v>24.7</v>
      </c>
      <c r="AG33" s="50">
        <v>23.5</v>
      </c>
      <c r="AH33" s="48">
        <f t="shared" si="2"/>
        <v>24.7</v>
      </c>
      <c r="AI33" s="49">
        <f t="shared" si="3"/>
        <v>24.7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22</v>
      </c>
      <c r="F37" s="46">
        <v>22</v>
      </c>
      <c r="G37" s="46">
        <v>22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>
        <v>22</v>
      </c>
      <c r="O37" s="46">
        <v>22</v>
      </c>
      <c r="P37" s="46">
        <v>22</v>
      </c>
      <c r="Q37" s="46">
        <v>22</v>
      </c>
      <c r="R37" s="46">
        <v>22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22</v>
      </c>
      <c r="AI37" s="49">
        <f t="shared" si="3"/>
        <v>22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11.2</v>
      </c>
      <c r="L38" s="46">
        <v>11.2</v>
      </c>
      <c r="M38" s="46">
        <v>11.2</v>
      </c>
      <c r="N38" s="46">
        <v>11.2</v>
      </c>
      <c r="O38" s="46">
        <v>11.2</v>
      </c>
      <c r="P38" s="46">
        <v>11.2</v>
      </c>
      <c r="Q38" s="46">
        <v>11.2</v>
      </c>
      <c r="R38" s="46">
        <v>11.2</v>
      </c>
      <c r="S38" s="46">
        <v>11.2</v>
      </c>
      <c r="T38" s="46">
        <v>11.2</v>
      </c>
      <c r="U38" s="46">
        <v>11.2</v>
      </c>
      <c r="V38" s="46">
        <v>11.2</v>
      </c>
      <c r="W38" s="46">
        <v>11.2</v>
      </c>
      <c r="X38" s="46">
        <v>11.2</v>
      </c>
      <c r="Y38" s="46">
        <v>11.2</v>
      </c>
      <c r="Z38" s="46">
        <v>11.2</v>
      </c>
      <c r="AA38" s="46">
        <v>11.2</v>
      </c>
      <c r="AB38" s="46">
        <v>11.2</v>
      </c>
      <c r="AC38" s="46">
        <v>11.2</v>
      </c>
      <c r="AD38" s="46">
        <v>11.2</v>
      </c>
      <c r="AE38" s="46">
        <v>0</v>
      </c>
      <c r="AF38" s="46">
        <v>0</v>
      </c>
      <c r="AG38" s="50">
        <v>20</v>
      </c>
      <c r="AH38" s="48">
        <f t="shared" si="2"/>
        <v>11.2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12.3</v>
      </c>
      <c r="AB40" s="46">
        <v>12.3</v>
      </c>
      <c r="AC40" s="46">
        <v>12.3</v>
      </c>
      <c r="AD40" s="46">
        <v>13.8</v>
      </c>
      <c r="AE40" s="46">
        <v>0</v>
      </c>
      <c r="AF40" s="46">
        <v>0</v>
      </c>
      <c r="AG40" s="50">
        <v>18</v>
      </c>
      <c r="AH40" s="48">
        <f t="shared" si="2"/>
        <v>13.8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15.5</v>
      </c>
      <c r="C41" s="46">
        <v>15.5</v>
      </c>
      <c r="D41" s="46">
        <v>15.5</v>
      </c>
      <c r="E41" s="46">
        <v>15.5</v>
      </c>
      <c r="F41" s="46">
        <v>15.5</v>
      </c>
      <c r="G41" s="46">
        <v>15.5</v>
      </c>
      <c r="H41" s="46">
        <v>15.5</v>
      </c>
      <c r="I41" s="46">
        <v>15.5</v>
      </c>
      <c r="J41" s="46">
        <v>15.5</v>
      </c>
      <c r="K41" s="46">
        <v>15.5</v>
      </c>
      <c r="L41" s="46">
        <v>15.5</v>
      </c>
      <c r="M41" s="46">
        <v>15.5</v>
      </c>
      <c r="N41" s="46">
        <v>15.5</v>
      </c>
      <c r="O41" s="46">
        <v>15.5</v>
      </c>
      <c r="P41" s="46">
        <v>15.5</v>
      </c>
      <c r="Q41" s="46">
        <v>15.5</v>
      </c>
      <c r="R41" s="46">
        <v>15.5</v>
      </c>
      <c r="S41" s="46">
        <v>15.5</v>
      </c>
      <c r="T41" s="46">
        <v>15.5</v>
      </c>
      <c r="U41" s="46">
        <v>15.5</v>
      </c>
      <c r="V41" s="46">
        <v>15.5</v>
      </c>
      <c r="W41" s="46">
        <v>15.5</v>
      </c>
      <c r="X41" s="46">
        <v>15.5</v>
      </c>
      <c r="Y41" s="46">
        <v>15.5</v>
      </c>
      <c r="Z41" s="46">
        <v>15.5</v>
      </c>
      <c r="AA41" s="46">
        <v>15.5</v>
      </c>
      <c r="AB41" s="46">
        <v>15.5</v>
      </c>
      <c r="AC41" s="46">
        <v>15.5</v>
      </c>
      <c r="AD41" s="46">
        <v>16</v>
      </c>
      <c r="AE41" s="46">
        <v>16</v>
      </c>
      <c r="AF41" s="46">
        <v>16</v>
      </c>
      <c r="AG41" s="50">
        <v>15.33</v>
      </c>
      <c r="AH41" s="48">
        <f t="shared" si="2"/>
        <v>16</v>
      </c>
      <c r="AI41" s="49">
        <f t="shared" si="3"/>
        <v>15.5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ref="AH43:AH60" si="20">MAX(B43:AF43)</f>
        <v>14</v>
      </c>
      <c r="AI43" s="49">
        <f t="shared" ref="AI43:AI60" si="21">MIN(B43:AF43)</f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0"/>
        <v>8</v>
      </c>
      <c r="AI44" s="49">
        <f t="shared" si="21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0"/>
        <v>14</v>
      </c>
      <c r="AI45" s="49">
        <f t="shared" si="21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</v>
      </c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>
        <v>7</v>
      </c>
      <c r="O46" s="46">
        <v>7</v>
      </c>
      <c r="P46" s="46">
        <v>7</v>
      </c>
      <c r="Q46" s="46">
        <v>7</v>
      </c>
      <c r="R46" s="46">
        <v>7</v>
      </c>
      <c r="S46" s="46">
        <v>7</v>
      </c>
      <c r="T46" s="46">
        <v>7</v>
      </c>
      <c r="U46" s="46">
        <v>7</v>
      </c>
      <c r="V46" s="46">
        <v>7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7</v>
      </c>
      <c r="AC46" s="46">
        <v>7</v>
      </c>
      <c r="AD46" s="46">
        <v>7</v>
      </c>
      <c r="AE46" s="46">
        <v>7</v>
      </c>
      <c r="AF46" s="46">
        <v>7</v>
      </c>
      <c r="AG46" s="50">
        <v>14</v>
      </c>
      <c r="AH46" s="48">
        <f t="shared" si="20"/>
        <v>7</v>
      </c>
      <c r="AI46" s="49">
        <f t="shared" si="21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0"/>
        <v>8</v>
      </c>
      <c r="AI47" s="49">
        <f t="shared" si="21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0"/>
        <v>12</v>
      </c>
      <c r="AI48" s="49">
        <f t="shared" si="21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8</v>
      </c>
      <c r="C49" s="46">
        <v>8</v>
      </c>
      <c r="D49" s="46">
        <v>8</v>
      </c>
      <c r="E49" s="46">
        <v>8</v>
      </c>
      <c r="F49" s="46">
        <v>8</v>
      </c>
      <c r="G49" s="46">
        <v>8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6</v>
      </c>
      <c r="U49" s="46">
        <v>6</v>
      </c>
      <c r="V49" s="46">
        <v>6</v>
      </c>
      <c r="W49" s="46">
        <v>6</v>
      </c>
      <c r="X49" s="46">
        <v>4</v>
      </c>
      <c r="Y49" s="46">
        <v>9</v>
      </c>
      <c r="Z49" s="46">
        <v>12</v>
      </c>
      <c r="AA49" s="46">
        <v>12</v>
      </c>
      <c r="AB49" s="46">
        <v>12</v>
      </c>
      <c r="AC49" s="46">
        <v>12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0"/>
        <v>12</v>
      </c>
      <c r="AI49" s="49">
        <f t="shared" si="21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10</v>
      </c>
      <c r="C50" s="46">
        <v>10</v>
      </c>
      <c r="D50" s="46">
        <v>10</v>
      </c>
      <c r="E50" s="46">
        <v>10</v>
      </c>
      <c r="F50" s="46">
        <v>10</v>
      </c>
      <c r="G50" s="46">
        <v>10</v>
      </c>
      <c r="H50" s="46">
        <v>10</v>
      </c>
      <c r="I50" s="46">
        <v>10</v>
      </c>
      <c r="J50" s="46">
        <v>10</v>
      </c>
      <c r="K50" s="46">
        <v>10</v>
      </c>
      <c r="L50" s="46">
        <v>10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0"/>
        <v>12</v>
      </c>
      <c r="AI50" s="49">
        <f t="shared" si="21"/>
        <v>10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0"/>
        <v>12</v>
      </c>
      <c r="AI51" s="49">
        <f t="shared" si="21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0"/>
        <v>12</v>
      </c>
      <c r="AI52" s="49">
        <f t="shared" si="21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11</v>
      </c>
      <c r="C53" s="46">
        <v>11</v>
      </c>
      <c r="D53" s="46">
        <v>11</v>
      </c>
      <c r="E53" s="46">
        <v>11</v>
      </c>
      <c r="F53" s="46">
        <v>11</v>
      </c>
      <c r="G53" s="46">
        <v>11</v>
      </c>
      <c r="H53" s="46">
        <v>11</v>
      </c>
      <c r="I53" s="46">
        <v>11</v>
      </c>
      <c r="J53" s="46">
        <v>11</v>
      </c>
      <c r="K53" s="46">
        <v>11</v>
      </c>
      <c r="L53" s="46">
        <v>11</v>
      </c>
      <c r="M53" s="46">
        <v>11</v>
      </c>
      <c r="N53" s="46">
        <v>11</v>
      </c>
      <c r="O53" s="46">
        <v>11</v>
      </c>
      <c r="P53" s="46">
        <v>11</v>
      </c>
      <c r="Q53" s="46">
        <v>11</v>
      </c>
      <c r="R53" s="46">
        <v>11</v>
      </c>
      <c r="S53" s="46">
        <v>11</v>
      </c>
      <c r="T53" s="46">
        <v>11</v>
      </c>
      <c r="U53" s="46">
        <v>11</v>
      </c>
      <c r="V53" s="46">
        <v>11</v>
      </c>
      <c r="W53" s="46">
        <v>11</v>
      </c>
      <c r="X53" s="46">
        <v>11</v>
      </c>
      <c r="Y53" s="46">
        <v>11</v>
      </c>
      <c r="Z53" s="46">
        <v>11</v>
      </c>
      <c r="AA53" s="46">
        <v>11</v>
      </c>
      <c r="AB53" s="46">
        <v>11</v>
      </c>
      <c r="AC53" s="46">
        <v>11</v>
      </c>
      <c r="AD53" s="46">
        <v>11</v>
      </c>
      <c r="AE53" s="46">
        <v>11</v>
      </c>
      <c r="AF53" s="46">
        <v>11</v>
      </c>
      <c r="AG53" s="61">
        <v>11.88</v>
      </c>
      <c r="AH53" s="48">
        <f t="shared" si="20"/>
        <v>11</v>
      </c>
      <c r="AI53" s="49">
        <f t="shared" si="21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0"/>
        <v>11</v>
      </c>
      <c r="AI54" s="49">
        <f t="shared" si="21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11.7</v>
      </c>
      <c r="C55" s="46">
        <v>11.7</v>
      </c>
      <c r="D55" s="46">
        <v>11.7</v>
      </c>
      <c r="E55" s="46">
        <v>11.7</v>
      </c>
      <c r="F55" s="46">
        <v>11.7</v>
      </c>
      <c r="G55" s="46">
        <v>11.7</v>
      </c>
      <c r="H55" s="46">
        <v>11.7</v>
      </c>
      <c r="I55" s="46">
        <v>11.7</v>
      </c>
      <c r="J55" s="46">
        <v>11.7</v>
      </c>
      <c r="K55" s="46">
        <v>11.7</v>
      </c>
      <c r="L55" s="46">
        <v>11.7</v>
      </c>
      <c r="M55" s="46">
        <v>11.7</v>
      </c>
      <c r="N55" s="46">
        <v>11.7</v>
      </c>
      <c r="O55" s="46">
        <v>11.7</v>
      </c>
      <c r="P55" s="46">
        <v>11.7</v>
      </c>
      <c r="Q55" s="46">
        <v>11.7</v>
      </c>
      <c r="R55" s="46">
        <v>11.7</v>
      </c>
      <c r="S55" s="46">
        <v>11.7</v>
      </c>
      <c r="T55" s="46">
        <v>11.7</v>
      </c>
      <c r="U55" s="46">
        <v>11.7</v>
      </c>
      <c r="V55" s="46">
        <v>11.7</v>
      </c>
      <c r="W55" s="46">
        <v>11.7</v>
      </c>
      <c r="X55" s="46">
        <v>11.7</v>
      </c>
      <c r="Y55" s="46">
        <v>11.7</v>
      </c>
      <c r="Z55" s="46">
        <v>11.7</v>
      </c>
      <c r="AA55" s="46">
        <v>11.7</v>
      </c>
      <c r="AB55" s="46">
        <v>11.7</v>
      </c>
      <c r="AC55" s="46">
        <v>11.7</v>
      </c>
      <c r="AD55" s="46">
        <v>11.7</v>
      </c>
      <c r="AE55" s="46">
        <v>11.7</v>
      </c>
      <c r="AF55" s="46">
        <v>11.7</v>
      </c>
      <c r="AG55" s="66">
        <v>11</v>
      </c>
      <c r="AH55" s="48">
        <f t="shared" si="20"/>
        <v>11.7</v>
      </c>
      <c r="AI55" s="49">
        <f t="shared" si="21"/>
        <v>11.7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0"/>
        <v>9</v>
      </c>
      <c r="AI56" s="49">
        <f t="shared" si="21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8</v>
      </c>
      <c r="R57" s="46">
        <v>8</v>
      </c>
      <c r="S57" s="46">
        <v>8</v>
      </c>
      <c r="T57" s="46">
        <v>8</v>
      </c>
      <c r="U57" s="46">
        <v>8</v>
      </c>
      <c r="V57" s="46">
        <v>8</v>
      </c>
      <c r="W57" s="46">
        <v>8</v>
      </c>
      <c r="X57" s="46">
        <v>8</v>
      </c>
      <c r="Y57" s="46">
        <v>8</v>
      </c>
      <c r="Z57" s="46">
        <v>8</v>
      </c>
      <c r="AA57" s="46">
        <v>8</v>
      </c>
      <c r="AB57" s="46">
        <v>8</v>
      </c>
      <c r="AC57" s="46">
        <v>8</v>
      </c>
      <c r="AD57" s="46">
        <v>8</v>
      </c>
      <c r="AE57" s="46">
        <v>8</v>
      </c>
      <c r="AF57" s="46">
        <v>8</v>
      </c>
      <c r="AG57" s="66">
        <v>10</v>
      </c>
      <c r="AH57" s="48">
        <f t="shared" si="20"/>
        <v>8</v>
      </c>
      <c r="AI57" s="49">
        <f t="shared" si="21"/>
        <v>0</v>
      </c>
      <c r="AK57" s="51"/>
    </row>
    <row r="58" spans="1:88" x14ac:dyDescent="0.25">
      <c r="A58" s="65" t="s">
        <v>70</v>
      </c>
      <c r="B58" s="46">
        <v>10</v>
      </c>
      <c r="C58" s="46">
        <v>10</v>
      </c>
      <c r="D58" s="46">
        <v>10</v>
      </c>
      <c r="E58" s="46">
        <v>10</v>
      </c>
      <c r="F58" s="46">
        <v>10</v>
      </c>
      <c r="G58" s="46">
        <v>10</v>
      </c>
      <c r="H58" s="46">
        <v>10</v>
      </c>
      <c r="I58" s="46">
        <v>10</v>
      </c>
      <c r="J58" s="46">
        <v>10</v>
      </c>
      <c r="K58" s="46">
        <v>10</v>
      </c>
      <c r="L58" s="46">
        <v>10</v>
      </c>
      <c r="M58" s="46">
        <v>10</v>
      </c>
      <c r="N58" s="46">
        <v>10</v>
      </c>
      <c r="O58" s="46">
        <v>10</v>
      </c>
      <c r="P58" s="46">
        <v>10</v>
      </c>
      <c r="Q58" s="46">
        <v>10</v>
      </c>
      <c r="R58" s="46">
        <v>10</v>
      </c>
      <c r="S58" s="46">
        <v>10</v>
      </c>
      <c r="T58" s="46">
        <v>10</v>
      </c>
      <c r="U58" s="46">
        <v>10</v>
      </c>
      <c r="V58" s="46">
        <v>10</v>
      </c>
      <c r="W58" s="46">
        <v>10</v>
      </c>
      <c r="X58" s="46">
        <v>10</v>
      </c>
      <c r="Y58" s="46">
        <v>10</v>
      </c>
      <c r="Z58" s="46">
        <v>10</v>
      </c>
      <c r="AA58" s="46">
        <v>10</v>
      </c>
      <c r="AB58" s="46">
        <v>10</v>
      </c>
      <c r="AC58" s="46">
        <v>10</v>
      </c>
      <c r="AD58" s="46">
        <v>10</v>
      </c>
      <c r="AE58" s="46">
        <v>10</v>
      </c>
      <c r="AF58" s="46">
        <v>10</v>
      </c>
      <c r="AG58" s="66">
        <v>10</v>
      </c>
      <c r="AH58" s="48">
        <f t="shared" si="20"/>
        <v>10</v>
      </c>
      <c r="AI58" s="49">
        <f t="shared" si="21"/>
        <v>10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0"/>
        <v>300</v>
      </c>
      <c r="AI59" s="49">
        <f t="shared" si="21"/>
        <v>300</v>
      </c>
      <c r="AK59" s="51"/>
    </row>
    <row r="60" spans="1:88" ht="15.75" thickBot="1" x14ac:dyDescent="0.3">
      <c r="A60" s="69" t="s">
        <v>74</v>
      </c>
      <c r="B60" s="68">
        <v>170</v>
      </c>
      <c r="C60" s="68">
        <v>170</v>
      </c>
      <c r="D60" s="68">
        <v>170</v>
      </c>
      <c r="E60" s="68">
        <v>169</v>
      </c>
      <c r="F60" s="68">
        <v>169</v>
      </c>
      <c r="G60" s="68">
        <v>169</v>
      </c>
      <c r="H60" s="68">
        <v>157</v>
      </c>
      <c r="I60" s="68">
        <v>168</v>
      </c>
      <c r="J60" s="68">
        <v>162</v>
      </c>
      <c r="K60" s="68">
        <v>152</v>
      </c>
      <c r="L60" s="68">
        <v>150</v>
      </c>
      <c r="M60" s="68">
        <f>104+36.7</f>
        <v>140.69999999999999</v>
      </c>
      <c r="N60" s="53">
        <f>103.8+13.4</f>
        <v>117.2</v>
      </c>
      <c r="O60" s="53">
        <f>103.8+36.3</f>
        <v>140.1</v>
      </c>
      <c r="P60" s="53">
        <f>140.2</f>
        <v>140.19999999999999</v>
      </c>
      <c r="Q60" s="53">
        <f>104.4+37</f>
        <v>141.4</v>
      </c>
      <c r="R60" s="53">
        <f>104.5+37.1</f>
        <v>141.6</v>
      </c>
      <c r="S60" s="53">
        <v>147.5</v>
      </c>
      <c r="T60" s="53">
        <v>162.9</v>
      </c>
      <c r="U60" s="53">
        <v>162.9</v>
      </c>
      <c r="V60" s="53">
        <v>162.9</v>
      </c>
      <c r="W60" s="53">
        <v>151.1</v>
      </c>
      <c r="X60" s="53">
        <f>60.7+99.2</f>
        <v>159.9</v>
      </c>
      <c r="Y60" s="53">
        <f>60.7+99.2</f>
        <v>159.9</v>
      </c>
      <c r="Z60" s="53">
        <f>60.7+99.2</f>
        <v>159.9</v>
      </c>
      <c r="AA60" s="53">
        <v>164.4</v>
      </c>
      <c r="AB60" s="53">
        <v>164.4</v>
      </c>
      <c r="AC60" s="53">
        <v>164.4</v>
      </c>
      <c r="AD60" s="53">
        <v>164.4</v>
      </c>
      <c r="AE60" s="53">
        <v>164.4</v>
      </c>
      <c r="AF60" s="53">
        <v>170</v>
      </c>
      <c r="AG60" s="66">
        <v>240</v>
      </c>
      <c r="AH60" s="48">
        <f t="shared" si="20"/>
        <v>170</v>
      </c>
      <c r="AI60" s="49">
        <f t="shared" si="21"/>
        <v>117.2</v>
      </c>
      <c r="AK60" s="51"/>
    </row>
    <row r="61" spans="1:88" ht="15.75" thickBot="1" x14ac:dyDescent="0.3">
      <c r="A61" s="70" t="s">
        <v>75</v>
      </c>
      <c r="B61" s="71">
        <f t="shared" ref="B61:AG61" si="22">SUM(B11:B59)</f>
        <v>1355.8</v>
      </c>
      <c r="C61" s="71">
        <f t="shared" si="22"/>
        <v>1353.8</v>
      </c>
      <c r="D61" s="71">
        <f t="shared" si="22"/>
        <v>1330.3000000000002</v>
      </c>
      <c r="E61" s="71">
        <f t="shared" si="22"/>
        <v>1292.9000000000001</v>
      </c>
      <c r="F61" s="71">
        <f t="shared" si="22"/>
        <v>1235</v>
      </c>
      <c r="G61" s="71">
        <f t="shared" si="22"/>
        <v>1273.4000000000001</v>
      </c>
      <c r="H61" s="71">
        <f t="shared" si="22"/>
        <v>1234.7000000000003</v>
      </c>
      <c r="I61" s="71">
        <f t="shared" si="22"/>
        <v>1234.7000000000003</v>
      </c>
      <c r="J61" s="71">
        <f t="shared" si="22"/>
        <v>1251.0999999999999</v>
      </c>
      <c r="K61" s="71">
        <f t="shared" si="22"/>
        <v>1312.3000000000002</v>
      </c>
      <c r="L61" s="71">
        <f t="shared" si="22"/>
        <v>1378.9</v>
      </c>
      <c r="M61" s="71">
        <f t="shared" ref="M61" si="23">SUM(M11:M59)</f>
        <v>1389.3000000000002</v>
      </c>
      <c r="N61" s="71">
        <f t="shared" si="22"/>
        <v>1389.3000000000002</v>
      </c>
      <c r="O61" s="71">
        <f t="shared" si="22"/>
        <v>1389.3000000000002</v>
      </c>
      <c r="P61" s="71">
        <f t="shared" si="22"/>
        <v>1318.4</v>
      </c>
      <c r="Q61" s="71">
        <f t="shared" ref="Q61" si="24">SUM(Q11:Q59)</f>
        <v>1362.4</v>
      </c>
      <c r="R61" s="71">
        <f t="shared" si="22"/>
        <v>1362.3</v>
      </c>
      <c r="S61" s="71">
        <f t="shared" ref="S61:T61" si="25">SUM(S11:S59)</f>
        <v>1373.0000000000002</v>
      </c>
      <c r="T61" s="71">
        <f t="shared" si="25"/>
        <v>1344.1</v>
      </c>
      <c r="U61" s="71">
        <f t="shared" ref="U61:V61" si="26">SUM(U11:U59)</f>
        <v>1318.2</v>
      </c>
      <c r="V61" s="71">
        <f t="shared" si="26"/>
        <v>1306.2</v>
      </c>
      <c r="W61" s="71">
        <f t="shared" ref="W61" si="27">SUM(W11:W59)</f>
        <v>1298.0999999999999</v>
      </c>
      <c r="X61" s="71">
        <f t="shared" si="22"/>
        <v>1240.9000000000001</v>
      </c>
      <c r="Y61" s="71">
        <f t="shared" ref="Y61:Z61" si="28">SUM(Y11:Y59)</f>
        <v>1279.9000000000001</v>
      </c>
      <c r="Z61" s="71">
        <f t="shared" si="28"/>
        <v>1317.9</v>
      </c>
      <c r="AA61" s="71">
        <f t="shared" ref="AA61" si="29">SUM(AA11:AA59)</f>
        <v>1464.3999999999999</v>
      </c>
      <c r="AB61" s="71">
        <f t="shared" si="22"/>
        <v>1434.4</v>
      </c>
      <c r="AC61" s="71">
        <f t="shared" si="22"/>
        <v>1434.4</v>
      </c>
      <c r="AD61" s="71">
        <f t="shared" si="22"/>
        <v>1334.3000000000002</v>
      </c>
      <c r="AE61" s="71">
        <f t="shared" si="22"/>
        <v>1312.6000000000001</v>
      </c>
      <c r="AF61" s="71">
        <f t="shared" si="22"/>
        <v>1291.4000000000001</v>
      </c>
      <c r="AG61" s="71">
        <f t="shared" si="22"/>
        <v>1466.0300000000002</v>
      </c>
      <c r="AH61" s="48">
        <f t="shared" ref="AH61:AH74" si="30">MAX(B61:AF61)</f>
        <v>1464.3999999999999</v>
      </c>
      <c r="AI61" s="49">
        <f t="shared" ref="AI61:AI74" si="31">MIN(B61:AF61)</f>
        <v>1234.7000000000003</v>
      </c>
      <c r="AK61" s="51"/>
    </row>
    <row r="62" spans="1:88" x14ac:dyDescent="0.25">
      <c r="A62" s="73" t="s">
        <v>76</v>
      </c>
      <c r="B62" s="46">
        <v>457.9</v>
      </c>
      <c r="C62" s="46">
        <v>457.9</v>
      </c>
      <c r="D62" s="46">
        <v>457.9</v>
      </c>
      <c r="E62" s="46">
        <v>457.7</v>
      </c>
      <c r="F62" s="46">
        <v>457.7</v>
      </c>
      <c r="G62" s="46">
        <v>457.7</v>
      </c>
      <c r="H62" s="46">
        <v>457.7</v>
      </c>
      <c r="I62" s="46">
        <v>457.7</v>
      </c>
      <c r="J62" s="46">
        <v>457.7</v>
      </c>
      <c r="K62" s="46">
        <v>457.7</v>
      </c>
      <c r="L62" s="46">
        <v>457.7</v>
      </c>
      <c r="M62" s="46">
        <v>457.7</v>
      </c>
      <c r="N62" s="46">
        <v>457.7</v>
      </c>
      <c r="O62" s="46">
        <v>457.7</v>
      </c>
      <c r="P62" s="46">
        <v>457.7</v>
      </c>
      <c r="Q62" s="46">
        <v>457.7</v>
      </c>
      <c r="R62" s="46">
        <v>457.7</v>
      </c>
      <c r="S62" s="46">
        <v>457.7</v>
      </c>
      <c r="T62" s="46">
        <v>457.7</v>
      </c>
      <c r="U62" s="46">
        <v>457.7</v>
      </c>
      <c r="V62" s="46">
        <v>457.7</v>
      </c>
      <c r="W62" s="46">
        <v>457.7</v>
      </c>
      <c r="X62" s="46">
        <v>458</v>
      </c>
      <c r="Y62" s="46">
        <v>458</v>
      </c>
      <c r="Z62" s="46">
        <v>458</v>
      </c>
      <c r="AA62" s="46">
        <v>458</v>
      </c>
      <c r="AB62" s="46">
        <v>458</v>
      </c>
      <c r="AC62" s="46">
        <v>458</v>
      </c>
      <c r="AD62" s="46">
        <v>458</v>
      </c>
      <c r="AE62" s="46">
        <v>458</v>
      </c>
      <c r="AF62" s="46">
        <v>458</v>
      </c>
      <c r="AG62" s="61">
        <v>456</v>
      </c>
      <c r="AH62" s="48">
        <f t="shared" si="30"/>
        <v>458</v>
      </c>
      <c r="AI62" s="49">
        <f t="shared" si="31"/>
        <v>457.7</v>
      </c>
      <c r="AK62" s="51"/>
    </row>
    <row r="63" spans="1:88" x14ac:dyDescent="0.25">
      <c r="A63" s="75" t="s">
        <v>77</v>
      </c>
      <c r="B63" s="76">
        <v>60.7</v>
      </c>
      <c r="C63" s="76">
        <v>60.7</v>
      </c>
      <c r="D63" s="76">
        <v>60.7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60.2</v>
      </c>
      <c r="T63" s="76">
        <v>60.2</v>
      </c>
      <c r="U63" s="76">
        <v>60.2</v>
      </c>
      <c r="V63" s="76">
        <v>60.2</v>
      </c>
      <c r="W63" s="76">
        <v>60.2</v>
      </c>
      <c r="X63" s="76">
        <v>60.2</v>
      </c>
      <c r="Y63" s="76">
        <v>60.2</v>
      </c>
      <c r="Z63" s="76">
        <v>60.2</v>
      </c>
      <c r="AA63" s="76">
        <v>60.2</v>
      </c>
      <c r="AB63" s="76">
        <v>60.2</v>
      </c>
      <c r="AC63" s="76">
        <v>60.2</v>
      </c>
      <c r="AD63" s="76">
        <v>60.2</v>
      </c>
      <c r="AE63" s="76">
        <v>60.2</v>
      </c>
      <c r="AF63" s="76">
        <v>60.2</v>
      </c>
      <c r="AG63" s="66">
        <v>60</v>
      </c>
      <c r="AH63" s="48">
        <f t="shared" si="30"/>
        <v>60.7</v>
      </c>
      <c r="AI63" s="49">
        <f t="shared" si="31"/>
        <v>60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22</v>
      </c>
      <c r="O64" s="78">
        <v>22</v>
      </c>
      <c r="P64" s="78">
        <v>22</v>
      </c>
      <c r="Q64" s="78">
        <v>22</v>
      </c>
      <c r="R64" s="78">
        <v>22</v>
      </c>
      <c r="S64" s="78">
        <v>22</v>
      </c>
      <c r="T64" s="78">
        <v>22</v>
      </c>
      <c r="U64" s="78">
        <v>22</v>
      </c>
      <c r="V64" s="78">
        <v>22</v>
      </c>
      <c r="W64" s="78">
        <v>22</v>
      </c>
      <c r="X64" s="78">
        <v>22.4</v>
      </c>
      <c r="Y64" s="78">
        <v>22.4</v>
      </c>
      <c r="Z64" s="78">
        <v>22.4</v>
      </c>
      <c r="AA64" s="78">
        <v>22.4</v>
      </c>
      <c r="AB64" s="78">
        <v>22.4</v>
      </c>
      <c r="AC64" s="78">
        <v>22.4</v>
      </c>
      <c r="AD64" s="78">
        <v>22.4</v>
      </c>
      <c r="AE64" s="78">
        <v>22.4</v>
      </c>
      <c r="AF64" s="78">
        <v>22.4</v>
      </c>
      <c r="AG64" s="79">
        <v>22.1</v>
      </c>
      <c r="AH64" s="48">
        <f t="shared" si="30"/>
        <v>22.5</v>
      </c>
      <c r="AI64" s="49">
        <f t="shared" si="31"/>
        <v>0</v>
      </c>
      <c r="AK64" s="51"/>
    </row>
    <row r="65" spans="1:75" ht="15.75" thickBot="1" x14ac:dyDescent="0.3">
      <c r="A65" s="80" t="s">
        <v>79</v>
      </c>
      <c r="B65" s="71">
        <f t="shared" ref="B65:AG65" si="32">SUM(B62:B64)</f>
        <v>541.1</v>
      </c>
      <c r="C65" s="71">
        <f t="shared" si="32"/>
        <v>541.1</v>
      </c>
      <c r="D65" s="71">
        <f t="shared" si="32"/>
        <v>541.1</v>
      </c>
      <c r="E65" s="71">
        <f t="shared" si="32"/>
        <v>540.20000000000005</v>
      </c>
      <c r="F65" s="71">
        <f t="shared" si="32"/>
        <v>517.70000000000005</v>
      </c>
      <c r="G65" s="71">
        <f t="shared" si="32"/>
        <v>517.70000000000005</v>
      </c>
      <c r="H65" s="71">
        <f t="shared" si="32"/>
        <v>517.70000000000005</v>
      </c>
      <c r="I65" s="71">
        <f t="shared" si="32"/>
        <v>517.70000000000005</v>
      </c>
      <c r="J65" s="71">
        <f t="shared" si="32"/>
        <v>517.70000000000005</v>
      </c>
      <c r="K65" s="71">
        <f t="shared" si="32"/>
        <v>517.70000000000005</v>
      </c>
      <c r="L65" s="71">
        <f t="shared" si="32"/>
        <v>517.70000000000005</v>
      </c>
      <c r="M65" s="71">
        <f t="shared" ref="M65" si="33">SUM(M62:M64)</f>
        <v>517.70000000000005</v>
      </c>
      <c r="N65" s="71">
        <f t="shared" si="32"/>
        <v>539.70000000000005</v>
      </c>
      <c r="O65" s="71">
        <f t="shared" si="32"/>
        <v>539.70000000000005</v>
      </c>
      <c r="P65" s="71">
        <f t="shared" ref="P65:Q65" si="34">SUM(P62:P64)</f>
        <v>539.70000000000005</v>
      </c>
      <c r="Q65" s="71">
        <f t="shared" si="34"/>
        <v>539.70000000000005</v>
      </c>
      <c r="R65" s="71">
        <f t="shared" si="32"/>
        <v>539.70000000000005</v>
      </c>
      <c r="S65" s="71">
        <f t="shared" ref="S65:T65" si="35">SUM(S62:S64)</f>
        <v>539.9</v>
      </c>
      <c r="T65" s="71">
        <f t="shared" si="35"/>
        <v>539.9</v>
      </c>
      <c r="U65" s="71">
        <f t="shared" ref="U65:V65" si="36">SUM(U62:U64)</f>
        <v>539.9</v>
      </c>
      <c r="V65" s="71">
        <f t="shared" si="36"/>
        <v>539.9</v>
      </c>
      <c r="W65" s="71">
        <f t="shared" ref="W65" si="37">SUM(W62:W64)</f>
        <v>539.9</v>
      </c>
      <c r="X65" s="71">
        <f t="shared" si="32"/>
        <v>540.6</v>
      </c>
      <c r="Y65" s="71">
        <f t="shared" ref="Y65:Z65" si="38">SUM(Y62:Y64)</f>
        <v>540.6</v>
      </c>
      <c r="Z65" s="71">
        <f t="shared" si="38"/>
        <v>540.6</v>
      </c>
      <c r="AA65" s="71">
        <f t="shared" ref="AA65" si="39">SUM(AA62:AA64)</f>
        <v>540.6</v>
      </c>
      <c r="AB65" s="71">
        <f t="shared" si="32"/>
        <v>540.6</v>
      </c>
      <c r="AC65" s="71">
        <f t="shared" si="32"/>
        <v>540.6</v>
      </c>
      <c r="AD65" s="71">
        <f t="shared" si="32"/>
        <v>540.6</v>
      </c>
      <c r="AE65" s="71">
        <f t="shared" si="32"/>
        <v>540.6</v>
      </c>
      <c r="AF65" s="71">
        <f t="shared" si="32"/>
        <v>540.6</v>
      </c>
      <c r="AG65" s="72">
        <f t="shared" si="32"/>
        <v>538.1</v>
      </c>
      <c r="AH65" s="48">
        <f t="shared" si="30"/>
        <v>541.1</v>
      </c>
      <c r="AI65" s="49">
        <f t="shared" si="31"/>
        <v>517.70000000000005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130.1</v>
      </c>
      <c r="C66" s="46">
        <v>70</v>
      </c>
      <c r="D66" s="46">
        <v>70</v>
      </c>
      <c r="E66" s="46">
        <v>71</v>
      </c>
      <c r="F66" s="46">
        <v>74.900000000000006</v>
      </c>
      <c r="G66" s="46">
        <v>89.6</v>
      </c>
      <c r="H66" s="46">
        <v>89</v>
      </c>
      <c r="I66" s="46">
        <v>104</v>
      </c>
      <c r="J66" s="46">
        <v>104</v>
      </c>
      <c r="K66" s="46">
        <v>91.8</v>
      </c>
      <c r="L66" s="46">
        <v>90.5</v>
      </c>
      <c r="M66" s="46">
        <v>90.5</v>
      </c>
      <c r="N66" s="46">
        <v>103.1</v>
      </c>
      <c r="O66" s="46">
        <v>0</v>
      </c>
      <c r="P66" s="46">
        <v>126.2</v>
      </c>
      <c r="Q66" s="46">
        <v>109</v>
      </c>
      <c r="R66" s="46">
        <v>109</v>
      </c>
      <c r="S66" s="46">
        <v>109</v>
      </c>
      <c r="T66" s="46">
        <v>109</v>
      </c>
      <c r="U66" s="46">
        <v>109</v>
      </c>
      <c r="V66" s="46">
        <v>109</v>
      </c>
      <c r="W66" s="46">
        <v>109</v>
      </c>
      <c r="X66" s="46">
        <v>109.6</v>
      </c>
      <c r="Y66" s="46">
        <v>109.6</v>
      </c>
      <c r="Z66" s="46">
        <v>109.6</v>
      </c>
      <c r="AA66" s="46">
        <v>109.6</v>
      </c>
      <c r="AB66" s="46">
        <v>121</v>
      </c>
      <c r="AC66" s="46">
        <v>129.9</v>
      </c>
      <c r="AD66" s="46">
        <v>129.9</v>
      </c>
      <c r="AE66" s="46">
        <v>129.9</v>
      </c>
      <c r="AF66" s="46">
        <v>130.4</v>
      </c>
      <c r="AG66" s="61">
        <v>144</v>
      </c>
      <c r="AH66" s="48">
        <f t="shared" si="30"/>
        <v>130.4</v>
      </c>
      <c r="AI66" s="49">
        <f t="shared" si="31"/>
        <v>0</v>
      </c>
      <c r="AK66" s="51"/>
      <c r="AY66" s="1" t="s">
        <v>86</v>
      </c>
      <c r="AZ66" s="82">
        <f>ROUND(C84,0)</f>
        <v>22</v>
      </c>
      <c r="BA66" s="81">
        <f t="shared" ref="BA66:BD70" si="40">D84</f>
        <v>-10</v>
      </c>
      <c r="BB66" s="81">
        <f t="shared" si="40"/>
        <v>14.3</v>
      </c>
      <c r="BC66" s="81">
        <f t="shared" si="40"/>
        <v>6</v>
      </c>
      <c r="BD66" s="81">
        <f t="shared" si="40"/>
        <v>-38.200000000000003</v>
      </c>
      <c r="BE66" s="82">
        <f>I84</f>
        <v>-49.3</v>
      </c>
      <c r="BF66" s="82">
        <f>K84</f>
        <v>-42.6</v>
      </c>
      <c r="BG66" s="82">
        <f t="shared" ref="BG66:BP70" si="41">M84</f>
        <v>-51.8</v>
      </c>
      <c r="BH66" s="82">
        <f t="shared" si="41"/>
        <v>-45.5</v>
      </c>
      <c r="BI66" s="82">
        <f t="shared" si="41"/>
        <v>-5.0999999999999996</v>
      </c>
      <c r="BJ66" s="82">
        <f t="shared" si="41"/>
        <v>-32</v>
      </c>
      <c r="BK66" s="82">
        <f t="shared" si="41"/>
        <v>-58</v>
      </c>
      <c r="BL66" s="82">
        <f t="shared" si="41"/>
        <v>-39.200000000000003</v>
      </c>
      <c r="BM66" s="82">
        <f t="shared" si="41"/>
        <v>-32.200000000000003</v>
      </c>
      <c r="BN66" s="82">
        <f t="shared" si="41"/>
        <v>-51.8</v>
      </c>
      <c r="BO66" s="82">
        <f t="shared" si="41"/>
        <v>-49.94</v>
      </c>
      <c r="BP66" s="82">
        <f t="shared" si="41"/>
        <v>-60.6</v>
      </c>
      <c r="BQ66" s="82">
        <f>X84</f>
        <v>-61.4</v>
      </c>
      <c r="BR66" s="82">
        <f>Z84</f>
        <v>-65.5</v>
      </c>
      <c r="BS66" s="81">
        <f>AB84</f>
        <v>-42.9</v>
      </c>
      <c r="BT66" s="81">
        <f t="shared" ref="BT66:BV70" si="42">AD84</f>
        <v>-41.2</v>
      </c>
      <c r="BU66" s="81">
        <f t="shared" si="42"/>
        <v>-50</v>
      </c>
      <c r="BV66" s="81">
        <f t="shared" si="42"/>
        <v>-60</v>
      </c>
      <c r="BW66" s="81">
        <f>B84</f>
        <v>-26.9</v>
      </c>
    </row>
    <row r="67" spans="1:75" x14ac:dyDescent="0.25">
      <c r="A67" s="65" t="s">
        <v>81</v>
      </c>
      <c r="B67" s="76">
        <v>69</v>
      </c>
      <c r="C67" s="76">
        <v>69</v>
      </c>
      <c r="D67" s="76">
        <v>69</v>
      </c>
      <c r="E67" s="76">
        <v>69</v>
      </c>
      <c r="F67" s="76">
        <v>69</v>
      </c>
      <c r="G67" s="76">
        <v>69</v>
      </c>
      <c r="H67" s="76">
        <v>69</v>
      </c>
      <c r="I67" s="76">
        <v>69</v>
      </c>
      <c r="J67" s="76">
        <v>69</v>
      </c>
      <c r="K67" s="76">
        <v>69</v>
      </c>
      <c r="L67" s="76">
        <v>69</v>
      </c>
      <c r="M67" s="76">
        <v>69</v>
      </c>
      <c r="N67" s="76">
        <v>69</v>
      </c>
      <c r="O67" s="76">
        <v>69</v>
      </c>
      <c r="P67" s="76">
        <v>69</v>
      </c>
      <c r="Q67" s="76">
        <v>69</v>
      </c>
      <c r="R67" s="76">
        <v>69</v>
      </c>
      <c r="S67" s="76">
        <v>69</v>
      </c>
      <c r="T67" s="76">
        <v>69</v>
      </c>
      <c r="U67" s="76">
        <v>69</v>
      </c>
      <c r="V67" s="76">
        <v>69</v>
      </c>
      <c r="W67" s="76">
        <v>69</v>
      </c>
      <c r="X67" s="46">
        <v>69</v>
      </c>
      <c r="Y67" s="46">
        <v>69</v>
      </c>
      <c r="Z67" s="46">
        <v>69</v>
      </c>
      <c r="AA67" s="46">
        <v>69</v>
      </c>
      <c r="AB67" s="46">
        <v>69</v>
      </c>
      <c r="AC67" s="46">
        <v>69</v>
      </c>
      <c r="AD67" s="46">
        <v>69</v>
      </c>
      <c r="AE67" s="46">
        <v>69</v>
      </c>
      <c r="AF67" s="46">
        <v>69</v>
      </c>
      <c r="AG67" s="66">
        <v>70</v>
      </c>
      <c r="AH67" s="48">
        <f t="shared" si="30"/>
        <v>69</v>
      </c>
      <c r="AI67" s="49">
        <f t="shared" si="31"/>
        <v>69</v>
      </c>
      <c r="AK67" s="51"/>
      <c r="AY67" s="1" t="s">
        <v>88</v>
      </c>
      <c r="AZ67" s="82">
        <f>ROUND(C85,0)</f>
        <v>0</v>
      </c>
      <c r="BA67" s="81">
        <f t="shared" si="40"/>
        <v>0</v>
      </c>
      <c r="BB67" s="81">
        <f t="shared" si="40"/>
        <v>0</v>
      </c>
      <c r="BC67" s="81">
        <f t="shared" si="40"/>
        <v>0</v>
      </c>
      <c r="BD67" s="81">
        <f t="shared" si="40"/>
        <v>0</v>
      </c>
      <c r="BE67" s="82">
        <f>I85</f>
        <v>0</v>
      </c>
      <c r="BF67" s="82">
        <f>K85</f>
        <v>0</v>
      </c>
      <c r="BG67" s="82">
        <f t="shared" si="41"/>
        <v>0</v>
      </c>
      <c r="BH67" s="82">
        <f t="shared" si="41"/>
        <v>0</v>
      </c>
      <c r="BI67" s="82">
        <f t="shared" si="41"/>
        <v>0</v>
      </c>
      <c r="BJ67" s="82">
        <f t="shared" si="41"/>
        <v>0</v>
      </c>
      <c r="BK67" s="82">
        <f t="shared" si="41"/>
        <v>0</v>
      </c>
      <c r="BL67" s="82">
        <f t="shared" si="41"/>
        <v>0</v>
      </c>
      <c r="BM67" s="82">
        <f t="shared" si="41"/>
        <v>0</v>
      </c>
      <c r="BN67" s="82">
        <f t="shared" si="41"/>
        <v>0</v>
      </c>
      <c r="BO67" s="82">
        <f t="shared" si="41"/>
        <v>0</v>
      </c>
      <c r="BP67" s="82">
        <f t="shared" si="41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2"/>
        <v>0</v>
      </c>
      <c r="BU67" s="81">
        <f t="shared" si="42"/>
        <v>0</v>
      </c>
      <c r="BV67" s="81">
        <f t="shared" si="42"/>
        <v>0</v>
      </c>
      <c r="BW67" s="81">
        <f>B85</f>
        <v>0</v>
      </c>
    </row>
    <row r="68" spans="1:75" x14ac:dyDescent="0.25">
      <c r="A68" s="65" t="s">
        <v>82</v>
      </c>
      <c r="B68" s="76">
        <v>0</v>
      </c>
      <c r="C68" s="76">
        <v>0</v>
      </c>
      <c r="D68" s="76">
        <v>0</v>
      </c>
      <c r="E68" s="76">
        <v>0</v>
      </c>
      <c r="F68" s="76">
        <v>65</v>
      </c>
      <c r="G68" s="76">
        <v>65</v>
      </c>
      <c r="H68" s="76">
        <v>65</v>
      </c>
      <c r="I68" s="76">
        <v>65</v>
      </c>
      <c r="J68" s="76">
        <v>65</v>
      </c>
      <c r="K68" s="76">
        <v>65</v>
      </c>
      <c r="L68" s="76">
        <v>65</v>
      </c>
      <c r="M68" s="76">
        <v>60</v>
      </c>
      <c r="N68" s="76">
        <v>60.6</v>
      </c>
      <c r="O68" s="76">
        <v>60.6</v>
      </c>
      <c r="P68" s="76">
        <v>60.6</v>
      </c>
      <c r="Q68" s="76">
        <v>60.6</v>
      </c>
      <c r="R68" s="76">
        <v>60.6</v>
      </c>
      <c r="S68" s="76">
        <v>60.6</v>
      </c>
      <c r="T68" s="76">
        <v>60.6</v>
      </c>
      <c r="U68" s="76">
        <v>60.6</v>
      </c>
      <c r="V68" s="76">
        <v>60.6</v>
      </c>
      <c r="W68" s="76">
        <v>60.6</v>
      </c>
      <c r="X68" s="46">
        <v>62.3</v>
      </c>
      <c r="Y68" s="46">
        <v>62.3</v>
      </c>
      <c r="Z68" s="46">
        <v>62.3</v>
      </c>
      <c r="AA68" s="46">
        <v>62.3</v>
      </c>
      <c r="AB68" s="46">
        <v>62.2</v>
      </c>
      <c r="AC68" s="46">
        <v>62.2</v>
      </c>
      <c r="AD68" s="46">
        <v>62.2</v>
      </c>
      <c r="AE68" s="46">
        <v>62.2</v>
      </c>
      <c r="AF68" s="46">
        <v>62.2</v>
      </c>
      <c r="AG68" s="66">
        <v>69</v>
      </c>
      <c r="AH68" s="48">
        <f t="shared" si="30"/>
        <v>65</v>
      </c>
      <c r="AI68" s="49">
        <f t="shared" si="31"/>
        <v>0</v>
      </c>
      <c r="AK68" s="51"/>
      <c r="AL68" s="83"/>
      <c r="AO68" s="83"/>
      <c r="AY68" s="1" t="s">
        <v>90</v>
      </c>
      <c r="AZ68" s="82">
        <f>ROUND(C86,0)</f>
        <v>-693</v>
      </c>
      <c r="BA68" s="81">
        <f t="shared" si="40"/>
        <v>-667.9</v>
      </c>
      <c r="BB68" s="81">
        <f t="shared" si="40"/>
        <v>-653.9</v>
      </c>
      <c r="BC68" s="81">
        <f t="shared" si="40"/>
        <v>-660</v>
      </c>
      <c r="BD68" s="81">
        <f t="shared" si="40"/>
        <v>-687</v>
      </c>
      <c r="BE68" s="82">
        <f>I86</f>
        <v>-695</v>
      </c>
      <c r="BF68" s="82">
        <f>K86</f>
        <v>-637</v>
      </c>
      <c r="BG68" s="82">
        <f t="shared" si="41"/>
        <v>-632.70000000000005</v>
      </c>
      <c r="BH68" s="82">
        <f t="shared" si="41"/>
        <v>-652.4</v>
      </c>
      <c r="BI68" s="82">
        <f t="shared" si="41"/>
        <v>-668</v>
      </c>
      <c r="BJ68" s="82">
        <f t="shared" si="41"/>
        <v>-648.20000000000005</v>
      </c>
      <c r="BK68" s="82">
        <f t="shared" si="41"/>
        <v>-646.29999999999995</v>
      </c>
      <c r="BL68" s="82">
        <f t="shared" si="41"/>
        <v>-678</v>
      </c>
      <c r="BM68" s="82">
        <f t="shared" si="41"/>
        <v>-694.4</v>
      </c>
      <c r="BN68" s="82">
        <f t="shared" si="41"/>
        <v>-672.8</v>
      </c>
      <c r="BO68" s="82">
        <f t="shared" si="41"/>
        <v>-674.1</v>
      </c>
      <c r="BP68" s="82">
        <f t="shared" si="41"/>
        <v>-683</v>
      </c>
      <c r="BQ68" s="82">
        <f>X86</f>
        <v>-673.1</v>
      </c>
      <c r="BR68" s="82">
        <f>Z86</f>
        <v>-636.4</v>
      </c>
      <c r="BS68" s="81">
        <f>AB86</f>
        <v>-660</v>
      </c>
      <c r="BT68" s="81">
        <f t="shared" si="42"/>
        <v>-680.3</v>
      </c>
      <c r="BU68" s="81">
        <f t="shared" si="42"/>
        <v>-723</v>
      </c>
      <c r="BV68" s="81">
        <f t="shared" si="42"/>
        <v>-701.8</v>
      </c>
      <c r="BW68" s="81">
        <f>B86</f>
        <v>-695</v>
      </c>
    </row>
    <row r="69" spans="1:75" s="83" customFormat="1" x14ac:dyDescent="0.25">
      <c r="A69" s="65" t="s">
        <v>83</v>
      </c>
      <c r="B69" s="76">
        <v>60.9</v>
      </c>
      <c r="C69" s="76">
        <v>60.9</v>
      </c>
      <c r="D69" s="76">
        <v>60.9</v>
      </c>
      <c r="E69" s="76">
        <v>61.2</v>
      </c>
      <c r="F69" s="76">
        <v>61.2</v>
      </c>
      <c r="G69" s="76">
        <v>61.2</v>
      </c>
      <c r="H69" s="76">
        <v>61.2</v>
      </c>
      <c r="I69" s="76">
        <v>61.2</v>
      </c>
      <c r="J69" s="76">
        <v>61.2</v>
      </c>
      <c r="K69" s="76">
        <v>61.2</v>
      </c>
      <c r="L69" s="76">
        <v>61.2</v>
      </c>
      <c r="M69" s="76">
        <v>61.2</v>
      </c>
      <c r="N69" s="76">
        <v>61.2</v>
      </c>
      <c r="O69" s="76">
        <v>61.2</v>
      </c>
      <c r="P69" s="76">
        <v>61.2</v>
      </c>
      <c r="Q69" s="76">
        <v>0</v>
      </c>
      <c r="R69" s="76">
        <v>0</v>
      </c>
      <c r="S69" s="76">
        <v>61.2</v>
      </c>
      <c r="T69" s="76">
        <v>61.2</v>
      </c>
      <c r="U69" s="76">
        <v>61.2</v>
      </c>
      <c r="V69" s="76">
        <v>61.2</v>
      </c>
      <c r="W69" s="76">
        <v>61.2</v>
      </c>
      <c r="X69" s="46">
        <v>62</v>
      </c>
      <c r="Y69" s="46">
        <v>62</v>
      </c>
      <c r="Z69" s="46">
        <v>62</v>
      </c>
      <c r="AA69" s="46">
        <v>62</v>
      </c>
      <c r="AB69" s="46">
        <v>61.5</v>
      </c>
      <c r="AC69" s="46">
        <v>61.5</v>
      </c>
      <c r="AD69" s="46">
        <v>61.5</v>
      </c>
      <c r="AE69" s="46">
        <v>61.5</v>
      </c>
      <c r="AF69" s="46">
        <v>61.5</v>
      </c>
      <c r="AG69" s="66">
        <v>60</v>
      </c>
      <c r="AH69" s="48">
        <f t="shared" si="30"/>
        <v>62</v>
      </c>
      <c r="AI69" s="49">
        <f t="shared" si="31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40"/>
        <v>0</v>
      </c>
      <c r="BB69" s="81">
        <f t="shared" si="40"/>
        <v>0</v>
      </c>
      <c r="BC69" s="81">
        <f t="shared" si="40"/>
        <v>0</v>
      </c>
      <c r="BD69" s="81">
        <f t="shared" si="40"/>
        <v>0</v>
      </c>
      <c r="BE69" s="82">
        <f>I87</f>
        <v>0</v>
      </c>
      <c r="BF69" s="82">
        <f>K87</f>
        <v>0</v>
      </c>
      <c r="BG69" s="82">
        <f t="shared" si="41"/>
        <v>0</v>
      </c>
      <c r="BH69" s="82">
        <f t="shared" si="41"/>
        <v>0</v>
      </c>
      <c r="BI69" s="82">
        <f t="shared" si="41"/>
        <v>0</v>
      </c>
      <c r="BJ69" s="82">
        <f t="shared" si="41"/>
        <v>0</v>
      </c>
      <c r="BK69" s="82">
        <f t="shared" si="41"/>
        <v>0</v>
      </c>
      <c r="BL69" s="82">
        <f t="shared" si="41"/>
        <v>0</v>
      </c>
      <c r="BM69" s="82">
        <f t="shared" si="41"/>
        <v>0</v>
      </c>
      <c r="BN69" s="82">
        <f t="shared" si="41"/>
        <v>0</v>
      </c>
      <c r="BO69" s="82">
        <f t="shared" si="41"/>
        <v>0</v>
      </c>
      <c r="BP69" s="82">
        <f t="shared" si="41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2"/>
        <v>0</v>
      </c>
      <c r="BU69" s="81">
        <f t="shared" si="42"/>
        <v>0</v>
      </c>
      <c r="BV69" s="81">
        <f t="shared" si="42"/>
        <v>0</v>
      </c>
      <c r="BW69" s="81">
        <f>B87</f>
        <v>0</v>
      </c>
    </row>
    <row r="70" spans="1:75" x14ac:dyDescent="0.25">
      <c r="A70" s="65" t="s">
        <v>84</v>
      </c>
      <c r="B70" s="76">
        <v>0</v>
      </c>
      <c r="C70" s="76">
        <v>0</v>
      </c>
      <c r="D70" s="76">
        <v>27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14.2</v>
      </c>
      <c r="M70" s="76">
        <v>27.9</v>
      </c>
      <c r="N70" s="76">
        <v>27.9</v>
      </c>
      <c r="O70" s="76">
        <v>27.9</v>
      </c>
      <c r="P70" s="76">
        <v>27.9</v>
      </c>
      <c r="Q70" s="76">
        <v>27.9</v>
      </c>
      <c r="R70" s="76">
        <v>27.9</v>
      </c>
      <c r="S70" s="76">
        <v>27.9</v>
      </c>
      <c r="T70" s="76">
        <v>27.9</v>
      </c>
      <c r="U70" s="76">
        <v>27.9</v>
      </c>
      <c r="V70" s="76">
        <v>27.9</v>
      </c>
      <c r="W70" s="76">
        <v>27.9</v>
      </c>
      <c r="X70" s="46">
        <v>27.2</v>
      </c>
      <c r="Y70" s="46">
        <v>27.2</v>
      </c>
      <c r="Z70" s="46">
        <v>27.2</v>
      </c>
      <c r="AA70" s="46">
        <v>27.2</v>
      </c>
      <c r="AB70" s="46">
        <v>27.2</v>
      </c>
      <c r="AC70" s="46">
        <v>27.2</v>
      </c>
      <c r="AD70" s="46">
        <v>27.2</v>
      </c>
      <c r="AE70" s="46">
        <v>27.2</v>
      </c>
      <c r="AF70" s="46">
        <v>27.2</v>
      </c>
      <c r="AG70" s="66">
        <v>30</v>
      </c>
      <c r="AH70" s="48">
        <f t="shared" si="30"/>
        <v>27.9</v>
      </c>
      <c r="AI70" s="49">
        <f t="shared" si="31"/>
        <v>0</v>
      </c>
      <c r="AK70" s="51"/>
      <c r="AY70" s="1" t="s">
        <v>94</v>
      </c>
      <c r="AZ70" s="82">
        <f>ROUND(C88,0)</f>
        <v>0</v>
      </c>
      <c r="BA70" s="81">
        <f t="shared" si="40"/>
        <v>0</v>
      </c>
      <c r="BB70" s="81">
        <f t="shared" si="40"/>
        <v>0</v>
      </c>
      <c r="BC70" s="81">
        <f t="shared" si="40"/>
        <v>0</v>
      </c>
      <c r="BD70" s="81">
        <f t="shared" si="40"/>
        <v>0</v>
      </c>
      <c r="BE70" s="82">
        <f>I88</f>
        <v>0</v>
      </c>
      <c r="BF70" s="82">
        <f>K88</f>
        <v>0</v>
      </c>
      <c r="BG70" s="82">
        <f t="shared" si="41"/>
        <v>0</v>
      </c>
      <c r="BH70" s="82">
        <f t="shared" si="41"/>
        <v>0</v>
      </c>
      <c r="BI70" s="82">
        <f t="shared" si="41"/>
        <v>0</v>
      </c>
      <c r="BJ70" s="82">
        <f t="shared" si="41"/>
        <v>0</v>
      </c>
      <c r="BK70" s="82">
        <f t="shared" si="41"/>
        <v>0</v>
      </c>
      <c r="BL70" s="82">
        <f t="shared" si="41"/>
        <v>0</v>
      </c>
      <c r="BM70" s="82">
        <f t="shared" si="41"/>
        <v>0</v>
      </c>
      <c r="BN70" s="82">
        <f t="shared" si="41"/>
        <v>0</v>
      </c>
      <c r="BO70" s="82">
        <f t="shared" si="41"/>
        <v>0</v>
      </c>
      <c r="BP70" s="82">
        <f t="shared" si="41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2"/>
        <v>0</v>
      </c>
      <c r="BU70" s="81">
        <f t="shared" si="42"/>
        <v>0</v>
      </c>
      <c r="BV70" s="81">
        <f t="shared" si="42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1.4</v>
      </c>
      <c r="M71" s="46">
        <v>1</v>
      </c>
      <c r="N71" s="46">
        <v>3.4</v>
      </c>
      <c r="O71" s="46">
        <v>3.4</v>
      </c>
      <c r="P71" s="46">
        <v>3.1</v>
      </c>
      <c r="Q71" s="46">
        <v>3.9</v>
      </c>
      <c r="R71" s="46">
        <v>4.2</v>
      </c>
      <c r="S71" s="46">
        <v>6.2</v>
      </c>
      <c r="T71" s="46">
        <v>2.5</v>
      </c>
      <c r="U71" s="46">
        <v>3.1</v>
      </c>
      <c r="V71" s="46">
        <v>1.3</v>
      </c>
      <c r="W71" s="46">
        <v>1.3</v>
      </c>
      <c r="X71" s="46">
        <v>0.8</v>
      </c>
      <c r="Y71" s="46">
        <v>0.8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30"/>
        <v>6.2</v>
      </c>
      <c r="AI71" s="49">
        <f t="shared" si="31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3">M94</f>
        <v>0</v>
      </c>
      <c r="BH71" s="82">
        <f t="shared" si="43"/>
        <v>0</v>
      </c>
      <c r="BI71" s="82">
        <f t="shared" si="43"/>
        <v>0</v>
      </c>
      <c r="BJ71" s="82">
        <f t="shared" si="43"/>
        <v>0</v>
      </c>
      <c r="BK71" s="82">
        <f t="shared" si="43"/>
        <v>0</v>
      </c>
      <c r="BL71" s="82">
        <f t="shared" si="43"/>
        <v>0</v>
      </c>
      <c r="BM71" s="82">
        <f t="shared" si="43"/>
        <v>0</v>
      </c>
      <c r="BN71" s="82">
        <f t="shared" si="43"/>
        <v>0</v>
      </c>
      <c r="BO71" s="82">
        <f t="shared" si="43"/>
        <v>0</v>
      </c>
      <c r="BP71" s="82">
        <f t="shared" si="43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15.2</v>
      </c>
      <c r="C72" s="76">
        <v>15.2</v>
      </c>
      <c r="D72" s="76">
        <v>15.2</v>
      </c>
      <c r="E72" s="76">
        <v>15.2</v>
      </c>
      <c r="F72" s="76">
        <v>15.2</v>
      </c>
      <c r="G72" s="76">
        <v>15.2</v>
      </c>
      <c r="H72" s="76">
        <v>15.2</v>
      </c>
      <c r="I72" s="76">
        <v>15.2</v>
      </c>
      <c r="J72" s="76">
        <v>15.2</v>
      </c>
      <c r="K72" s="76">
        <v>15.2</v>
      </c>
      <c r="L72" s="76">
        <v>15.2</v>
      </c>
      <c r="M72" s="76">
        <v>15.2</v>
      </c>
      <c r="N72" s="76">
        <v>15.2</v>
      </c>
      <c r="O72" s="76">
        <v>15.2</v>
      </c>
      <c r="P72" s="76">
        <v>15.2</v>
      </c>
      <c r="Q72" s="76">
        <v>15.2</v>
      </c>
      <c r="R72" s="76">
        <v>15.2</v>
      </c>
      <c r="S72" s="76">
        <v>15.2</v>
      </c>
      <c r="T72" s="76">
        <v>15.2</v>
      </c>
      <c r="U72" s="76">
        <v>15.2</v>
      </c>
      <c r="V72" s="76">
        <v>15.2</v>
      </c>
      <c r="W72" s="76">
        <v>15.2</v>
      </c>
      <c r="X72" s="76">
        <v>14.7</v>
      </c>
      <c r="Y72" s="76">
        <v>14.7</v>
      </c>
      <c r="Z72" s="76">
        <v>14.7</v>
      </c>
      <c r="AA72" s="76">
        <v>14.7</v>
      </c>
      <c r="AB72" s="76">
        <v>14.7</v>
      </c>
      <c r="AC72" s="76">
        <v>14.7</v>
      </c>
      <c r="AD72" s="76">
        <v>14.7</v>
      </c>
      <c r="AE72" s="76">
        <v>14.7</v>
      </c>
      <c r="AF72" s="76">
        <v>14.6</v>
      </c>
      <c r="AG72" s="66">
        <v>24</v>
      </c>
      <c r="AH72" s="48">
        <f t="shared" si="30"/>
        <v>15.2</v>
      </c>
      <c r="AI72" s="49">
        <f t="shared" si="31"/>
        <v>14.6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1.8</v>
      </c>
      <c r="C73" s="76">
        <v>1.8</v>
      </c>
      <c r="D73" s="76">
        <v>1.8</v>
      </c>
      <c r="E73" s="76">
        <v>1.8</v>
      </c>
      <c r="F73" s="76">
        <v>1.8</v>
      </c>
      <c r="G73" s="76">
        <v>1.8</v>
      </c>
      <c r="H73" s="76">
        <v>1.8</v>
      </c>
      <c r="I73" s="76">
        <v>1.8</v>
      </c>
      <c r="J73" s="76">
        <v>1.8</v>
      </c>
      <c r="K73" s="76">
        <v>1.8</v>
      </c>
      <c r="L73" s="76">
        <v>1.8</v>
      </c>
      <c r="M73" s="76">
        <v>1.8</v>
      </c>
      <c r="N73" s="76">
        <v>1.8</v>
      </c>
      <c r="O73" s="76">
        <v>1.8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66">
        <v>15</v>
      </c>
      <c r="AH73" s="48">
        <f t="shared" si="30"/>
        <v>1.8</v>
      </c>
      <c r="AI73" s="49">
        <f t="shared" si="31"/>
        <v>0</v>
      </c>
      <c r="AK73" s="51"/>
      <c r="AZ73" s="82">
        <f t="shared" ref="AZ73:BW78" si="44">VALUE(AZ66)</f>
        <v>22</v>
      </c>
      <c r="BA73" s="82">
        <f t="shared" si="44"/>
        <v>-10</v>
      </c>
      <c r="BB73" s="82">
        <f t="shared" si="44"/>
        <v>14.3</v>
      </c>
      <c r="BC73" s="82">
        <f t="shared" si="44"/>
        <v>6</v>
      </c>
      <c r="BD73" s="82">
        <f t="shared" si="44"/>
        <v>-38.200000000000003</v>
      </c>
      <c r="BE73" s="82">
        <f t="shared" si="44"/>
        <v>-49.3</v>
      </c>
      <c r="BF73" s="82">
        <f t="shared" si="44"/>
        <v>-42.6</v>
      </c>
      <c r="BG73" s="82">
        <f t="shared" si="44"/>
        <v>-51.8</v>
      </c>
      <c r="BH73" s="82">
        <f t="shared" si="44"/>
        <v>-45.5</v>
      </c>
      <c r="BI73" s="82">
        <f t="shared" si="44"/>
        <v>-5.0999999999999996</v>
      </c>
      <c r="BJ73" s="82">
        <f t="shared" si="44"/>
        <v>-32</v>
      </c>
      <c r="BK73" s="82">
        <f t="shared" si="44"/>
        <v>-58</v>
      </c>
      <c r="BL73" s="82">
        <f t="shared" si="44"/>
        <v>-39.200000000000003</v>
      </c>
      <c r="BM73" s="82">
        <f t="shared" si="44"/>
        <v>-32.200000000000003</v>
      </c>
      <c r="BN73" s="82">
        <f t="shared" si="44"/>
        <v>-51.8</v>
      </c>
      <c r="BO73" s="82">
        <f t="shared" si="44"/>
        <v>-49.94</v>
      </c>
      <c r="BP73" s="82">
        <f t="shared" si="44"/>
        <v>-60.6</v>
      </c>
      <c r="BQ73" s="82">
        <f t="shared" si="44"/>
        <v>-61.4</v>
      </c>
      <c r="BR73" s="82">
        <f t="shared" si="44"/>
        <v>-65.5</v>
      </c>
      <c r="BS73" s="82">
        <f t="shared" si="44"/>
        <v>-42.9</v>
      </c>
      <c r="BT73" s="82">
        <f t="shared" si="44"/>
        <v>-41.2</v>
      </c>
      <c r="BU73" s="82">
        <f t="shared" si="44"/>
        <v>-50</v>
      </c>
      <c r="BV73" s="82">
        <f t="shared" si="44"/>
        <v>-60</v>
      </c>
      <c r="BW73" s="82">
        <f t="shared" si="44"/>
        <v>-26.9</v>
      </c>
    </row>
    <row r="74" spans="1:75" x14ac:dyDescent="0.25">
      <c r="A74" s="65" t="s">
        <v>91</v>
      </c>
      <c r="B74" s="76">
        <v>9.1</v>
      </c>
      <c r="C74" s="76">
        <v>9.1</v>
      </c>
      <c r="D74" s="76">
        <v>9.1</v>
      </c>
      <c r="E74" s="76">
        <v>9.1</v>
      </c>
      <c r="F74" s="76">
        <v>9.1</v>
      </c>
      <c r="G74" s="76">
        <v>9.1</v>
      </c>
      <c r="H74" s="76">
        <v>9.1</v>
      </c>
      <c r="I74" s="76">
        <v>9.1</v>
      </c>
      <c r="J74" s="76">
        <v>9.1</v>
      </c>
      <c r="K74" s="76">
        <v>9.1</v>
      </c>
      <c r="L74" s="76">
        <v>9.1</v>
      </c>
      <c r="M74" s="76">
        <v>9.1</v>
      </c>
      <c r="N74" s="76">
        <v>9.1</v>
      </c>
      <c r="O74" s="76">
        <v>9.1</v>
      </c>
      <c r="P74" s="76">
        <v>11.7</v>
      </c>
      <c r="Q74" s="76">
        <v>11.7</v>
      </c>
      <c r="R74" s="76">
        <v>11.7</v>
      </c>
      <c r="S74" s="76">
        <v>11.7</v>
      </c>
      <c r="T74" s="76">
        <v>11.7</v>
      </c>
      <c r="U74" s="76">
        <v>11.7</v>
      </c>
      <c r="V74" s="76">
        <v>11.7</v>
      </c>
      <c r="W74" s="76">
        <v>11.7</v>
      </c>
      <c r="X74" s="76">
        <v>9.5</v>
      </c>
      <c r="Y74" s="76">
        <v>9.5</v>
      </c>
      <c r="Z74" s="76">
        <v>9.5</v>
      </c>
      <c r="AA74" s="76">
        <v>9.5</v>
      </c>
      <c r="AB74" s="76">
        <v>11</v>
      </c>
      <c r="AC74" s="76">
        <v>11</v>
      </c>
      <c r="AD74" s="76">
        <v>11</v>
      </c>
      <c r="AE74" s="76">
        <v>11</v>
      </c>
      <c r="AF74" s="76">
        <v>11</v>
      </c>
      <c r="AG74" s="66">
        <v>14.1</v>
      </c>
      <c r="AH74" s="48">
        <f t="shared" si="30"/>
        <v>11.7</v>
      </c>
      <c r="AI74" s="49">
        <f t="shared" si="31"/>
        <v>9.1</v>
      </c>
      <c r="AK74" s="51"/>
      <c r="AZ74" s="82">
        <f t="shared" si="44"/>
        <v>0</v>
      </c>
      <c r="BA74" s="82">
        <f t="shared" si="44"/>
        <v>0</v>
      </c>
      <c r="BB74" s="82">
        <f t="shared" si="44"/>
        <v>0</v>
      </c>
      <c r="BC74" s="82">
        <f t="shared" si="44"/>
        <v>0</v>
      </c>
      <c r="BD74" s="82">
        <f t="shared" si="44"/>
        <v>0</v>
      </c>
      <c r="BE74" s="82">
        <f t="shared" si="44"/>
        <v>0</v>
      </c>
      <c r="BF74" s="82">
        <f t="shared" si="44"/>
        <v>0</v>
      </c>
      <c r="BG74" s="82">
        <f t="shared" si="44"/>
        <v>0</v>
      </c>
      <c r="BH74" s="82">
        <f t="shared" si="44"/>
        <v>0</v>
      </c>
      <c r="BI74" s="82">
        <f t="shared" si="44"/>
        <v>0</v>
      </c>
      <c r="BJ74" s="82">
        <f t="shared" si="44"/>
        <v>0</v>
      </c>
      <c r="BK74" s="82">
        <f t="shared" si="44"/>
        <v>0</v>
      </c>
      <c r="BL74" s="82">
        <f t="shared" si="44"/>
        <v>0</v>
      </c>
      <c r="BM74" s="82">
        <f t="shared" si="44"/>
        <v>0</v>
      </c>
      <c r="BN74" s="82">
        <f t="shared" si="44"/>
        <v>0</v>
      </c>
      <c r="BO74" s="82">
        <f t="shared" si="44"/>
        <v>0</v>
      </c>
      <c r="BP74" s="82">
        <f t="shared" si="44"/>
        <v>0</v>
      </c>
      <c r="BQ74" s="82">
        <f t="shared" si="44"/>
        <v>0</v>
      </c>
      <c r="BR74" s="82">
        <f t="shared" si="44"/>
        <v>0</v>
      </c>
      <c r="BS74" s="82">
        <f t="shared" si="44"/>
        <v>0</v>
      </c>
      <c r="BT74" s="82">
        <f t="shared" si="44"/>
        <v>0</v>
      </c>
      <c r="BU74" s="82">
        <f t="shared" si="44"/>
        <v>0</v>
      </c>
      <c r="BV74" s="82">
        <f t="shared" si="44"/>
        <v>0</v>
      </c>
      <c r="BW74" s="82">
        <f t="shared" si="44"/>
        <v>0</v>
      </c>
    </row>
    <row r="75" spans="1:75" x14ac:dyDescent="0.25">
      <c r="A75" s="84" t="s">
        <v>93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1.6</v>
      </c>
      <c r="N75" s="76">
        <v>1.6</v>
      </c>
      <c r="O75" s="76">
        <v>1.6</v>
      </c>
      <c r="P75" s="76">
        <v>2.4</v>
      </c>
      <c r="Q75" s="76">
        <v>2.4</v>
      </c>
      <c r="R75" s="76">
        <v>2.4</v>
      </c>
      <c r="S75" s="76">
        <v>7.1</v>
      </c>
      <c r="T75" s="76">
        <v>7.1</v>
      </c>
      <c r="U75" s="76">
        <v>7.1</v>
      </c>
      <c r="V75" s="76">
        <v>7.1</v>
      </c>
      <c r="W75" s="76">
        <v>7.1</v>
      </c>
      <c r="X75" s="76">
        <v>7.2</v>
      </c>
      <c r="Y75" s="76">
        <v>7.2</v>
      </c>
      <c r="Z75" s="76">
        <v>7.2</v>
      </c>
      <c r="AA75" s="76">
        <v>7.2</v>
      </c>
      <c r="AB75" s="76">
        <v>7.2</v>
      </c>
      <c r="AC75" s="76">
        <v>7.2</v>
      </c>
      <c r="AD75" s="76">
        <v>7.2</v>
      </c>
      <c r="AE75" s="76">
        <v>7.2</v>
      </c>
      <c r="AF75" s="76">
        <v>0</v>
      </c>
      <c r="AG75" s="66">
        <v>14</v>
      </c>
      <c r="AH75" s="48">
        <f t="shared" ref="AH75:AH128" si="45">MAX(B75:AF75)</f>
        <v>7.2</v>
      </c>
      <c r="AI75" s="49">
        <f t="shared" ref="AI75:AI128" si="46">MIN(B75:AF75)</f>
        <v>0</v>
      </c>
      <c r="AK75" s="51"/>
      <c r="AZ75" s="82">
        <f t="shared" si="44"/>
        <v>-693</v>
      </c>
      <c r="BA75" s="82">
        <f t="shared" si="44"/>
        <v>-667.9</v>
      </c>
      <c r="BB75" s="82">
        <f t="shared" si="44"/>
        <v>-653.9</v>
      </c>
      <c r="BC75" s="82">
        <f t="shared" si="44"/>
        <v>-660</v>
      </c>
      <c r="BD75" s="82">
        <f t="shared" si="44"/>
        <v>-687</v>
      </c>
      <c r="BE75" s="82">
        <f t="shared" si="44"/>
        <v>-695</v>
      </c>
      <c r="BF75" s="82">
        <f t="shared" si="44"/>
        <v>-637</v>
      </c>
      <c r="BG75" s="82">
        <f t="shared" si="44"/>
        <v>-632.70000000000005</v>
      </c>
      <c r="BH75" s="82">
        <f t="shared" si="44"/>
        <v>-652.4</v>
      </c>
      <c r="BI75" s="82">
        <f t="shared" si="44"/>
        <v>-668</v>
      </c>
      <c r="BJ75" s="82">
        <f t="shared" si="44"/>
        <v>-648.20000000000005</v>
      </c>
      <c r="BK75" s="82">
        <f t="shared" si="44"/>
        <v>-646.29999999999995</v>
      </c>
      <c r="BL75" s="82">
        <f t="shared" si="44"/>
        <v>-678</v>
      </c>
      <c r="BM75" s="82">
        <f t="shared" si="44"/>
        <v>-694.4</v>
      </c>
      <c r="BN75" s="82">
        <f t="shared" si="44"/>
        <v>-672.8</v>
      </c>
      <c r="BO75" s="82">
        <f t="shared" si="44"/>
        <v>-674.1</v>
      </c>
      <c r="BP75" s="82">
        <f t="shared" si="44"/>
        <v>-683</v>
      </c>
      <c r="BQ75" s="82">
        <f t="shared" si="44"/>
        <v>-673.1</v>
      </c>
      <c r="BR75" s="82">
        <f t="shared" si="44"/>
        <v>-636.4</v>
      </c>
      <c r="BS75" s="82">
        <f t="shared" si="44"/>
        <v>-660</v>
      </c>
      <c r="BT75" s="82">
        <f t="shared" si="44"/>
        <v>-680.3</v>
      </c>
      <c r="BU75" s="82">
        <f t="shared" si="44"/>
        <v>-723</v>
      </c>
      <c r="BV75" s="82">
        <f t="shared" si="44"/>
        <v>-701.8</v>
      </c>
      <c r="BW75" s="82">
        <f t="shared" si="44"/>
        <v>-695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5"/>
        <v>10</v>
      </c>
      <c r="AI76" s="49">
        <f t="shared" si="46"/>
        <v>10</v>
      </c>
      <c r="AK76" s="51"/>
      <c r="AZ76" s="82">
        <f t="shared" si="44"/>
        <v>0</v>
      </c>
      <c r="BA76" s="82">
        <f t="shared" si="44"/>
        <v>0</v>
      </c>
      <c r="BB76" s="82">
        <f t="shared" si="44"/>
        <v>0</v>
      </c>
      <c r="BC76" s="82">
        <f t="shared" si="44"/>
        <v>0</v>
      </c>
      <c r="BD76" s="82">
        <f t="shared" si="44"/>
        <v>0</v>
      </c>
      <c r="BE76" s="82">
        <f t="shared" si="44"/>
        <v>0</v>
      </c>
      <c r="BF76" s="82">
        <f t="shared" si="44"/>
        <v>0</v>
      </c>
      <c r="BG76" s="82">
        <f t="shared" si="44"/>
        <v>0</v>
      </c>
      <c r="BH76" s="82">
        <f t="shared" si="44"/>
        <v>0</v>
      </c>
      <c r="BI76" s="82">
        <f t="shared" si="44"/>
        <v>0</v>
      </c>
      <c r="BJ76" s="82">
        <f t="shared" si="44"/>
        <v>0</v>
      </c>
      <c r="BK76" s="82">
        <f t="shared" si="44"/>
        <v>0</v>
      </c>
      <c r="BL76" s="82">
        <f t="shared" si="44"/>
        <v>0</v>
      </c>
      <c r="BM76" s="82">
        <f t="shared" si="44"/>
        <v>0</v>
      </c>
      <c r="BN76" s="82">
        <f t="shared" si="44"/>
        <v>0</v>
      </c>
      <c r="BO76" s="82">
        <f t="shared" si="44"/>
        <v>0</v>
      </c>
      <c r="BP76" s="82">
        <f t="shared" si="44"/>
        <v>0</v>
      </c>
      <c r="BQ76" s="82">
        <f t="shared" si="44"/>
        <v>0</v>
      </c>
      <c r="BR76" s="82">
        <f t="shared" si="44"/>
        <v>0</v>
      </c>
      <c r="BS76" s="82">
        <f t="shared" si="44"/>
        <v>0</v>
      </c>
      <c r="BT76" s="82">
        <f t="shared" si="44"/>
        <v>0</v>
      </c>
      <c r="BU76" s="82">
        <f t="shared" si="44"/>
        <v>0</v>
      </c>
      <c r="BV76" s="82">
        <f t="shared" si="44"/>
        <v>0</v>
      </c>
      <c r="BW76" s="82">
        <f t="shared" si="44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5"/>
        <v>6</v>
      </c>
      <c r="AI77" s="49">
        <f t="shared" si="46"/>
        <v>6</v>
      </c>
      <c r="AK77" s="51"/>
      <c r="AZ77" s="82">
        <f t="shared" si="44"/>
        <v>0</v>
      </c>
      <c r="BA77" s="82">
        <f t="shared" si="44"/>
        <v>0</v>
      </c>
      <c r="BB77" s="82">
        <f t="shared" si="44"/>
        <v>0</v>
      </c>
      <c r="BC77" s="82">
        <f t="shared" si="44"/>
        <v>0</v>
      </c>
      <c r="BD77" s="82">
        <f t="shared" si="44"/>
        <v>0</v>
      </c>
      <c r="BE77" s="82">
        <f t="shared" si="44"/>
        <v>0</v>
      </c>
      <c r="BF77" s="82">
        <f t="shared" si="44"/>
        <v>0</v>
      </c>
      <c r="BG77" s="82">
        <f t="shared" si="44"/>
        <v>0</v>
      </c>
      <c r="BH77" s="82">
        <f t="shared" si="44"/>
        <v>0</v>
      </c>
      <c r="BI77" s="82">
        <f t="shared" si="44"/>
        <v>0</v>
      </c>
      <c r="BJ77" s="82">
        <f t="shared" si="44"/>
        <v>0</v>
      </c>
      <c r="BK77" s="82">
        <f t="shared" si="44"/>
        <v>0</v>
      </c>
      <c r="BL77" s="82">
        <f t="shared" si="44"/>
        <v>0</v>
      </c>
      <c r="BM77" s="82">
        <f t="shared" si="44"/>
        <v>0</v>
      </c>
      <c r="BN77" s="82">
        <f t="shared" si="44"/>
        <v>0</v>
      </c>
      <c r="BO77" s="82">
        <f t="shared" si="44"/>
        <v>0</v>
      </c>
      <c r="BP77" s="82">
        <f t="shared" si="44"/>
        <v>0</v>
      </c>
      <c r="BQ77" s="82">
        <f t="shared" si="44"/>
        <v>0</v>
      </c>
      <c r="BR77" s="82">
        <f t="shared" si="44"/>
        <v>0</v>
      </c>
      <c r="BS77" s="82">
        <f t="shared" si="44"/>
        <v>0</v>
      </c>
      <c r="BT77" s="82">
        <f t="shared" si="44"/>
        <v>0</v>
      </c>
      <c r="BU77" s="82">
        <f t="shared" si="44"/>
        <v>0</v>
      </c>
      <c r="BV77" s="82">
        <f t="shared" si="44"/>
        <v>0</v>
      </c>
      <c r="BW77" s="82">
        <f t="shared" si="44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5"/>
        <v>3.54</v>
      </c>
      <c r="AI78" s="49">
        <f t="shared" si="46"/>
        <v>3.54</v>
      </c>
      <c r="AK78" s="51"/>
      <c r="AZ78" s="82">
        <f t="shared" si="44"/>
        <v>0</v>
      </c>
      <c r="BA78" s="82">
        <f t="shared" si="44"/>
        <v>0</v>
      </c>
      <c r="BB78" s="82">
        <f t="shared" si="44"/>
        <v>0</v>
      </c>
      <c r="BC78" s="82">
        <f t="shared" si="44"/>
        <v>0</v>
      </c>
      <c r="BD78" s="82">
        <f t="shared" si="44"/>
        <v>0</v>
      </c>
      <c r="BE78" s="82">
        <f t="shared" si="44"/>
        <v>0</v>
      </c>
      <c r="BF78" s="82">
        <f t="shared" si="44"/>
        <v>0</v>
      </c>
      <c r="BG78" s="82">
        <f t="shared" si="44"/>
        <v>0</v>
      </c>
      <c r="BH78" s="82">
        <f t="shared" si="44"/>
        <v>0</v>
      </c>
      <c r="BI78" s="82">
        <f t="shared" si="44"/>
        <v>0</v>
      </c>
      <c r="BJ78" s="82">
        <f t="shared" si="44"/>
        <v>0</v>
      </c>
      <c r="BK78" s="82">
        <f t="shared" si="44"/>
        <v>0</v>
      </c>
      <c r="BL78" s="82">
        <f t="shared" si="44"/>
        <v>0</v>
      </c>
      <c r="BM78" s="82">
        <f t="shared" si="44"/>
        <v>0</v>
      </c>
      <c r="BN78" s="82">
        <f t="shared" si="44"/>
        <v>0</v>
      </c>
      <c r="BO78" s="82">
        <f t="shared" si="44"/>
        <v>0</v>
      </c>
      <c r="BP78" s="82">
        <f t="shared" si="44"/>
        <v>0</v>
      </c>
      <c r="BQ78" s="82">
        <f t="shared" si="44"/>
        <v>0</v>
      </c>
      <c r="BR78" s="82">
        <f t="shared" si="44"/>
        <v>0</v>
      </c>
      <c r="BS78" s="82">
        <f t="shared" si="44"/>
        <v>0</v>
      </c>
      <c r="BT78" s="82">
        <f t="shared" si="44"/>
        <v>0</v>
      </c>
      <c r="BU78" s="82">
        <f t="shared" si="44"/>
        <v>0</v>
      </c>
      <c r="BV78" s="82">
        <f t="shared" si="44"/>
        <v>0</v>
      </c>
      <c r="BW78" s="82">
        <f t="shared" si="44"/>
        <v>0</v>
      </c>
    </row>
    <row r="79" spans="1:75" ht="15.75" thickBot="1" x14ac:dyDescent="0.3">
      <c r="A79" s="87" t="s">
        <v>99</v>
      </c>
      <c r="B79" s="71">
        <f t="shared" ref="B79:AG79" si="47">SUM(B66:B78)</f>
        <v>305.64000000000004</v>
      </c>
      <c r="C79" s="71">
        <f t="shared" si="47"/>
        <v>245.54</v>
      </c>
      <c r="D79" s="71">
        <f t="shared" si="47"/>
        <v>272.54000000000002</v>
      </c>
      <c r="E79" s="71">
        <f t="shared" si="47"/>
        <v>246.83999999999997</v>
      </c>
      <c r="F79" s="71">
        <f t="shared" si="47"/>
        <v>315.74000000000007</v>
      </c>
      <c r="G79" s="71">
        <f t="shared" si="47"/>
        <v>330.44000000000005</v>
      </c>
      <c r="H79" s="71">
        <f t="shared" si="47"/>
        <v>329.84000000000003</v>
      </c>
      <c r="I79" s="71">
        <f t="shared" si="47"/>
        <v>344.84000000000003</v>
      </c>
      <c r="J79" s="71">
        <f t="shared" si="47"/>
        <v>344.84000000000003</v>
      </c>
      <c r="K79" s="71">
        <f t="shared" si="47"/>
        <v>332.64000000000004</v>
      </c>
      <c r="L79" s="71">
        <f t="shared" si="47"/>
        <v>346.94</v>
      </c>
      <c r="M79" s="71">
        <f t="shared" ref="M79" si="48">SUM(M66:M78)</f>
        <v>356.84000000000003</v>
      </c>
      <c r="N79" s="71">
        <f t="shared" si="47"/>
        <v>372.44</v>
      </c>
      <c r="O79" s="71">
        <f t="shared" si="47"/>
        <v>269.34000000000003</v>
      </c>
      <c r="P79" s="71">
        <f t="shared" si="47"/>
        <v>396.84</v>
      </c>
      <c r="Q79" s="71">
        <f t="shared" si="47"/>
        <v>319.23999999999995</v>
      </c>
      <c r="R79" s="71">
        <f t="shared" si="47"/>
        <v>319.53999999999996</v>
      </c>
      <c r="S79" s="71">
        <f t="shared" ref="S79:T79" si="49">SUM(S66:S78)</f>
        <v>387.44</v>
      </c>
      <c r="T79" s="71">
        <f t="shared" si="49"/>
        <v>383.74</v>
      </c>
      <c r="U79" s="71">
        <f t="shared" ref="U79:V79" si="50">SUM(U66:U78)</f>
        <v>384.34000000000003</v>
      </c>
      <c r="V79" s="71">
        <f t="shared" si="50"/>
        <v>382.54</v>
      </c>
      <c r="W79" s="71">
        <f t="shared" ref="W79" si="51">SUM(W66:W78)</f>
        <v>382.54</v>
      </c>
      <c r="X79" s="71">
        <f t="shared" si="47"/>
        <v>381.84</v>
      </c>
      <c r="Y79" s="71">
        <f t="shared" ref="Y79:Z79" si="52">SUM(Y66:Y78)</f>
        <v>381.84</v>
      </c>
      <c r="Z79" s="71">
        <f t="shared" si="52"/>
        <v>381.03999999999996</v>
      </c>
      <c r="AA79" s="71">
        <f t="shared" ref="AA79" si="53">SUM(AA66:AA78)</f>
        <v>381.03999999999996</v>
      </c>
      <c r="AB79" s="71">
        <f t="shared" si="47"/>
        <v>393.34</v>
      </c>
      <c r="AC79" s="71">
        <f t="shared" si="47"/>
        <v>402.24</v>
      </c>
      <c r="AD79" s="71">
        <f t="shared" si="47"/>
        <v>402.24</v>
      </c>
      <c r="AE79" s="71">
        <f t="shared" si="47"/>
        <v>402.24</v>
      </c>
      <c r="AF79" s="71">
        <f t="shared" si="47"/>
        <v>395.44000000000005</v>
      </c>
      <c r="AG79" s="72">
        <f t="shared" si="47"/>
        <v>489.91</v>
      </c>
      <c r="AH79" s="48">
        <f t="shared" si="45"/>
        <v>402.24</v>
      </c>
      <c r="AI79" s="49">
        <f t="shared" si="46"/>
        <v>245.54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45"/>
        <v>0</v>
      </c>
      <c r="AI80" s="49">
        <f t="shared" si="46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45"/>
        <v>0</v>
      </c>
      <c r="AI81" s="49">
        <f t="shared" si="46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45"/>
        <v>0</v>
      </c>
      <c r="AI82" s="49">
        <f t="shared" si="46"/>
        <v>0</v>
      </c>
      <c r="AK82" s="51"/>
      <c r="AY82" s="82"/>
      <c r="BF82" s="81"/>
      <c r="BG82" s="82">
        <f t="array" ref="BG82:BL105">TRANSPOSE(AZ66:BW71)</f>
        <v>22</v>
      </c>
      <c r="BH82" s="82">
        <v>0</v>
      </c>
      <c r="BI82" s="82">
        <v>-693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54">B80+B81+B82</f>
        <v>0</v>
      </c>
      <c r="C83" s="71">
        <f t="shared" si="54"/>
        <v>0</v>
      </c>
      <c r="D83" s="71">
        <f t="shared" si="54"/>
        <v>0</v>
      </c>
      <c r="E83" s="71">
        <f t="shared" si="54"/>
        <v>0</v>
      </c>
      <c r="F83" s="71">
        <f t="shared" si="54"/>
        <v>0</v>
      </c>
      <c r="G83" s="71">
        <f t="shared" si="54"/>
        <v>0</v>
      </c>
      <c r="H83" s="71">
        <f t="shared" si="54"/>
        <v>0</v>
      </c>
      <c r="I83" s="71">
        <f t="shared" si="54"/>
        <v>0</v>
      </c>
      <c r="J83" s="71">
        <f t="shared" si="54"/>
        <v>0</v>
      </c>
      <c r="K83" s="71">
        <f t="shared" si="54"/>
        <v>0</v>
      </c>
      <c r="L83" s="71">
        <f t="shared" si="54"/>
        <v>0</v>
      </c>
      <c r="M83" s="71">
        <f t="shared" ref="M83" si="55">M80+M81+M82</f>
        <v>0</v>
      </c>
      <c r="N83" s="71">
        <f t="shared" si="54"/>
        <v>0</v>
      </c>
      <c r="O83" s="71">
        <f t="shared" si="54"/>
        <v>0</v>
      </c>
      <c r="P83" s="71">
        <f t="shared" si="54"/>
        <v>0</v>
      </c>
      <c r="Q83" s="71">
        <f t="shared" si="54"/>
        <v>0</v>
      </c>
      <c r="R83" s="71">
        <f t="shared" si="54"/>
        <v>0</v>
      </c>
      <c r="S83" s="71">
        <f t="shared" ref="S83:T83" si="56">S80+S81+S82</f>
        <v>0</v>
      </c>
      <c r="T83" s="71">
        <f t="shared" si="56"/>
        <v>0</v>
      </c>
      <c r="U83" s="71">
        <f t="shared" ref="U83:V83" si="57">U80+U81+U82</f>
        <v>0</v>
      </c>
      <c r="V83" s="71">
        <f t="shared" si="57"/>
        <v>0</v>
      </c>
      <c r="W83" s="71">
        <f t="shared" ref="W83" si="58">W80+W81+W82</f>
        <v>0</v>
      </c>
      <c r="X83" s="71">
        <f t="shared" si="54"/>
        <v>0</v>
      </c>
      <c r="Y83" s="71">
        <f t="shared" ref="Y83:Z83" si="59">Y80+Y81+Y82</f>
        <v>0</v>
      </c>
      <c r="Z83" s="71">
        <f t="shared" si="59"/>
        <v>0</v>
      </c>
      <c r="AA83" s="71">
        <f t="shared" ref="AA83" si="60">AA80+AA81+AA82</f>
        <v>0</v>
      </c>
      <c r="AB83" s="71">
        <f t="shared" si="54"/>
        <v>0</v>
      </c>
      <c r="AC83" s="71">
        <f t="shared" si="54"/>
        <v>0</v>
      </c>
      <c r="AD83" s="71">
        <f t="shared" si="54"/>
        <v>0</v>
      </c>
      <c r="AE83" s="71">
        <f t="shared" si="54"/>
        <v>0</v>
      </c>
      <c r="AF83" s="71">
        <f t="shared" si="54"/>
        <v>0</v>
      </c>
      <c r="AG83" s="72">
        <f>SUM(AG80:AG82)</f>
        <v>106</v>
      </c>
      <c r="AH83" s="48">
        <f t="shared" si="45"/>
        <v>0</v>
      </c>
      <c r="AI83" s="49">
        <f t="shared" si="46"/>
        <v>0</v>
      </c>
      <c r="AK83" s="51"/>
      <c r="AY83" s="82"/>
      <c r="BF83" s="81"/>
      <c r="BG83" s="82">
        <v>-10</v>
      </c>
      <c r="BH83" s="82">
        <v>0</v>
      </c>
      <c r="BI83" s="82">
        <v>-667.9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150">
        <v>-26.9</v>
      </c>
      <c r="C84" s="150">
        <v>22</v>
      </c>
      <c r="D84" s="150">
        <v>-10</v>
      </c>
      <c r="E84" s="150">
        <v>14.3</v>
      </c>
      <c r="F84" s="150">
        <v>6</v>
      </c>
      <c r="G84" s="150">
        <v>-38.200000000000003</v>
      </c>
      <c r="H84" s="150">
        <v>-44.8</v>
      </c>
      <c r="I84" s="150">
        <v>-49.3</v>
      </c>
      <c r="J84" s="150">
        <v>-51</v>
      </c>
      <c r="K84" s="150">
        <v>-42.6</v>
      </c>
      <c r="L84" s="150">
        <v>-59.8</v>
      </c>
      <c r="M84" s="150">
        <v>-51.8</v>
      </c>
      <c r="N84" s="150">
        <v>-45.5</v>
      </c>
      <c r="O84" s="150">
        <v>-5.0999999999999996</v>
      </c>
      <c r="P84" s="150">
        <v>-32</v>
      </c>
      <c r="Q84" s="150">
        <v>-58</v>
      </c>
      <c r="R84" s="150">
        <v>-39.200000000000003</v>
      </c>
      <c r="S84" s="150">
        <v>-32.200000000000003</v>
      </c>
      <c r="T84" s="150">
        <v>-51.8</v>
      </c>
      <c r="U84" s="150">
        <v>-49.94</v>
      </c>
      <c r="V84" s="150">
        <v>-60.6</v>
      </c>
      <c r="W84" s="150">
        <v>-59.3</v>
      </c>
      <c r="X84" s="46">
        <v>-61.4</v>
      </c>
      <c r="Y84" s="46">
        <v>-65.099999999999994</v>
      </c>
      <c r="Z84" s="46">
        <v>-65.5</v>
      </c>
      <c r="AA84" s="46">
        <v>-61.8</v>
      </c>
      <c r="AB84" s="46">
        <v>-42.9</v>
      </c>
      <c r="AC84" s="46">
        <v>-42.9</v>
      </c>
      <c r="AD84" s="46">
        <v>-41.2</v>
      </c>
      <c r="AE84" s="46">
        <v>-50</v>
      </c>
      <c r="AF84" s="46">
        <v>-60</v>
      </c>
      <c r="AG84" s="61"/>
      <c r="AH84" s="48">
        <f t="shared" si="45"/>
        <v>22</v>
      </c>
      <c r="AI84" s="49">
        <f t="shared" si="46"/>
        <v>-65.5</v>
      </c>
      <c r="AK84" s="51"/>
      <c r="AY84" s="82"/>
      <c r="BF84" s="81"/>
      <c r="BG84" s="82">
        <v>14.3</v>
      </c>
      <c r="BH84" s="82">
        <v>0</v>
      </c>
      <c r="BI84" s="82">
        <v>-653.9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5"/>
        <v>0</v>
      </c>
      <c r="AI85" s="49">
        <f t="shared" si="46"/>
        <v>0</v>
      </c>
      <c r="AK85" s="51"/>
      <c r="AL85" s="91" t="s">
        <v>111</v>
      </c>
      <c r="AM85" s="91"/>
      <c r="AY85" s="82"/>
      <c r="BF85" s="82"/>
      <c r="BG85" s="82">
        <v>6</v>
      </c>
      <c r="BH85" s="82">
        <v>0</v>
      </c>
      <c r="BI85" s="82">
        <v>-660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-695</v>
      </c>
      <c r="C86" s="76">
        <v>-693</v>
      </c>
      <c r="D86" s="76">
        <v>-667.9</v>
      </c>
      <c r="E86" s="76">
        <v>-653.9</v>
      </c>
      <c r="F86" s="76">
        <v>-660</v>
      </c>
      <c r="G86" s="76">
        <v>-687</v>
      </c>
      <c r="H86" s="76">
        <v>-673</v>
      </c>
      <c r="I86" s="76">
        <v>-695</v>
      </c>
      <c r="J86" s="76">
        <v>-640</v>
      </c>
      <c r="K86" s="76">
        <v>-637</v>
      </c>
      <c r="L86" s="76">
        <v>-641.4</v>
      </c>
      <c r="M86" s="76">
        <v>-632.70000000000005</v>
      </c>
      <c r="N86" s="76">
        <v>-652.4</v>
      </c>
      <c r="O86" s="76">
        <v>-668</v>
      </c>
      <c r="P86" s="76">
        <v>-648.20000000000005</v>
      </c>
      <c r="Q86" s="76">
        <v>-646.29999999999995</v>
      </c>
      <c r="R86" s="76">
        <v>-678</v>
      </c>
      <c r="S86" s="76">
        <v>-694.4</v>
      </c>
      <c r="T86" s="76">
        <v>-672.8</v>
      </c>
      <c r="U86" s="76">
        <v>-674.1</v>
      </c>
      <c r="V86" s="76">
        <v>-683</v>
      </c>
      <c r="W86" s="76">
        <v>-671.3</v>
      </c>
      <c r="X86" s="76">
        <v>-673.1</v>
      </c>
      <c r="Y86" s="76">
        <v>-679.1</v>
      </c>
      <c r="Z86" s="76">
        <v>-636.4</v>
      </c>
      <c r="AA86" s="76">
        <v>-672.4</v>
      </c>
      <c r="AB86" s="76">
        <v>-660</v>
      </c>
      <c r="AC86" s="76">
        <v>-710</v>
      </c>
      <c r="AD86" s="76">
        <v>-680.3</v>
      </c>
      <c r="AE86" s="76">
        <v>-723</v>
      </c>
      <c r="AF86" s="76">
        <v>-701.8</v>
      </c>
      <c r="AG86" s="88"/>
      <c r="AH86" s="48">
        <f t="shared" si="45"/>
        <v>-632.70000000000005</v>
      </c>
      <c r="AI86" s="49">
        <f t="shared" si="46"/>
        <v>-723</v>
      </c>
      <c r="AK86" s="92"/>
      <c r="AL86" s="93"/>
      <c r="AM86" s="93"/>
      <c r="AN86" s="94"/>
      <c r="AY86" s="82"/>
      <c r="BF86" s="82"/>
      <c r="BG86" s="82">
        <v>-38.200000000000003</v>
      </c>
      <c r="BH86" s="82">
        <v>0</v>
      </c>
      <c r="BI86" s="82">
        <v>-687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5"/>
        <v>0</v>
      </c>
      <c r="AI87" s="49">
        <f t="shared" si="46"/>
        <v>0</v>
      </c>
      <c r="AK87" s="95" t="s">
        <v>114</v>
      </c>
      <c r="AL87" s="76"/>
      <c r="AM87" s="89"/>
      <c r="AN87" s="96"/>
      <c r="AY87" s="82"/>
      <c r="BF87" s="82"/>
      <c r="BG87" s="82">
        <v>-49.3</v>
      </c>
      <c r="BH87" s="82">
        <v>0</v>
      </c>
      <c r="BI87" s="82">
        <v>-695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5"/>
        <v>0</v>
      </c>
      <c r="AI88" s="49">
        <f t="shared" si="46"/>
        <v>0</v>
      </c>
      <c r="AK88" s="95" t="s">
        <v>116</v>
      </c>
      <c r="AL88" s="89"/>
      <c r="AM88" s="89"/>
      <c r="AN88" s="96"/>
      <c r="AY88" s="82"/>
      <c r="BF88" s="82"/>
      <c r="BG88" s="82">
        <v>-42.6</v>
      </c>
      <c r="BH88" s="82">
        <v>0</v>
      </c>
      <c r="BI88" s="82">
        <v>-637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6"/>
        <v>0</v>
      </c>
      <c r="AK89" s="99"/>
      <c r="AL89" s="46"/>
      <c r="AM89" s="46"/>
      <c r="AN89" s="100"/>
      <c r="AY89" s="82"/>
      <c r="BF89" s="82"/>
      <c r="BG89" s="82">
        <v>-51.8</v>
      </c>
      <c r="BH89" s="82">
        <v>0</v>
      </c>
      <c r="BI89" s="82">
        <v>-632.70000000000005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5"/>
        <v>0</v>
      </c>
      <c r="AI90" s="49">
        <f t="shared" si="46"/>
        <v>0</v>
      </c>
      <c r="AK90" s="99"/>
      <c r="AL90" s="90"/>
      <c r="AM90" s="102"/>
      <c r="AN90" s="204"/>
      <c r="AY90" s="82"/>
      <c r="BF90" s="82"/>
      <c r="BG90" s="82">
        <v>-45.5</v>
      </c>
      <c r="BH90" s="82">
        <v>0</v>
      </c>
      <c r="BI90" s="82">
        <v>-652.4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5"/>
        <v>0</v>
      </c>
      <c r="AI91" s="49">
        <f t="shared" si="46"/>
        <v>0</v>
      </c>
      <c r="AK91" s="99"/>
      <c r="AL91" s="90"/>
      <c r="AM91" s="90"/>
      <c r="AN91" s="205"/>
      <c r="BF91" s="82"/>
      <c r="BG91" s="82">
        <v>-5.0999999999999996</v>
      </c>
      <c r="BH91" s="82">
        <v>0</v>
      </c>
      <c r="BI91" s="82">
        <v>-668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5"/>
        <v>0</v>
      </c>
      <c r="AI92" s="49">
        <f t="shared" si="46"/>
        <v>0</v>
      </c>
      <c r="AK92" s="104"/>
      <c r="AL92" s="105"/>
      <c r="AM92" s="105"/>
      <c r="AN92" s="106"/>
      <c r="BF92" s="82"/>
      <c r="BG92" s="82">
        <v>-32</v>
      </c>
      <c r="BH92" s="82">
        <v>0</v>
      </c>
      <c r="BI92" s="82">
        <v>-648.20000000000005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5"/>
        <v>0</v>
      </c>
      <c r="AI93" s="49">
        <f t="shared" si="46"/>
        <v>0</v>
      </c>
      <c r="BF93" s="82"/>
      <c r="BG93" s="82">
        <v>-58</v>
      </c>
      <c r="BH93" s="82">
        <v>0</v>
      </c>
      <c r="BI93" s="82">
        <v>-646.29999999999995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5"/>
        <v>0</v>
      </c>
      <c r="AI94" s="49">
        <f t="shared" si="46"/>
        <v>0</v>
      </c>
      <c r="BF94" s="82"/>
      <c r="BG94" s="82">
        <v>-39.200000000000003</v>
      </c>
      <c r="BH94" s="82">
        <v>0</v>
      </c>
      <c r="BI94" s="82">
        <v>-678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22</v>
      </c>
      <c r="D95" s="71">
        <f t="shared" ref="D95:AF95" si="61">SUMIF(D84:D94,"&gt;0")</f>
        <v>0</v>
      </c>
      <c r="E95" s="71">
        <f t="shared" si="61"/>
        <v>14.3</v>
      </c>
      <c r="F95" s="71">
        <f t="shared" si="61"/>
        <v>6</v>
      </c>
      <c r="G95" s="71">
        <f t="shared" si="61"/>
        <v>0</v>
      </c>
      <c r="H95" s="71">
        <f t="shared" si="61"/>
        <v>0</v>
      </c>
      <c r="I95" s="71">
        <f t="shared" si="61"/>
        <v>0</v>
      </c>
      <c r="J95" s="71">
        <f t="shared" si="61"/>
        <v>0</v>
      </c>
      <c r="K95" s="71">
        <f t="shared" si="61"/>
        <v>0</v>
      </c>
      <c r="L95" s="71">
        <f t="shared" si="61"/>
        <v>0</v>
      </c>
      <c r="M95" s="71">
        <f t="shared" ref="M95" si="62">SUMIF(M84:M94,"&gt;0")</f>
        <v>0</v>
      </c>
      <c r="N95" s="71">
        <f t="shared" si="61"/>
        <v>0</v>
      </c>
      <c r="O95" s="71">
        <f t="shared" si="61"/>
        <v>0</v>
      </c>
      <c r="P95" s="71">
        <f t="shared" si="61"/>
        <v>0</v>
      </c>
      <c r="Q95" s="71">
        <f t="shared" si="61"/>
        <v>0</v>
      </c>
      <c r="R95" s="71">
        <f t="shared" si="61"/>
        <v>0</v>
      </c>
      <c r="S95" s="71">
        <f t="shared" ref="S95:T95" si="63">SUMIF(S84:S94,"&gt;0")</f>
        <v>0</v>
      </c>
      <c r="T95" s="71">
        <f t="shared" si="63"/>
        <v>0</v>
      </c>
      <c r="U95" s="71">
        <f t="shared" ref="U95:V95" si="64">SUMIF(U84:U94,"&gt;0")</f>
        <v>0</v>
      </c>
      <c r="V95" s="71">
        <f t="shared" si="64"/>
        <v>0</v>
      </c>
      <c r="W95" s="71">
        <f t="shared" ref="W95" si="65">SUMIF(W84:W94,"&gt;0")</f>
        <v>0</v>
      </c>
      <c r="X95" s="71">
        <f t="shared" si="61"/>
        <v>0</v>
      </c>
      <c r="Y95" s="71">
        <f t="shared" ref="Y95:Z95" si="66">SUMIF(Y84:Y94,"&gt;0")</f>
        <v>0</v>
      </c>
      <c r="Z95" s="71">
        <f t="shared" si="66"/>
        <v>0</v>
      </c>
      <c r="AA95" s="71">
        <f t="shared" ref="AA95" si="67">SUMIF(AA84:AA94,"&gt;0")</f>
        <v>0</v>
      </c>
      <c r="AB95" s="71">
        <f t="shared" si="61"/>
        <v>0</v>
      </c>
      <c r="AC95" s="71">
        <f t="shared" si="61"/>
        <v>0</v>
      </c>
      <c r="AD95" s="71">
        <f t="shared" si="61"/>
        <v>0</v>
      </c>
      <c r="AE95" s="71">
        <f t="shared" si="61"/>
        <v>0</v>
      </c>
      <c r="AF95" s="71">
        <f t="shared" si="61"/>
        <v>0</v>
      </c>
      <c r="AG95" s="101">
        <f>SUM(AG84:AG94)</f>
        <v>0</v>
      </c>
      <c r="AH95" s="48">
        <f t="shared" si="45"/>
        <v>22</v>
      </c>
      <c r="AI95" s="49">
        <f t="shared" si="46"/>
        <v>0</v>
      </c>
      <c r="BF95" s="82"/>
      <c r="BG95" s="82">
        <v>-32.200000000000003</v>
      </c>
      <c r="BH95" s="82">
        <v>0</v>
      </c>
      <c r="BI95" s="82">
        <v>-694.4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5"/>
        <v>0</v>
      </c>
      <c r="AI96" s="49">
        <f t="shared" si="46"/>
        <v>0</v>
      </c>
      <c r="BF96" s="82"/>
      <c r="BG96" s="82">
        <v>-51.8</v>
      </c>
      <c r="BH96" s="82">
        <v>0</v>
      </c>
      <c r="BI96" s="82">
        <v>-672.8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5"/>
        <v>0</v>
      </c>
      <c r="AI97" s="49">
        <f t="shared" si="46"/>
        <v>0</v>
      </c>
      <c r="BF97" s="82"/>
      <c r="BG97" s="82">
        <v>-49.94</v>
      </c>
      <c r="BH97" s="82">
        <v>0</v>
      </c>
      <c r="BI97" s="82">
        <v>-674.1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5"/>
        <v>0</v>
      </c>
      <c r="AI98" s="49">
        <f t="shared" si="46"/>
        <v>0</v>
      </c>
      <c r="BF98" s="82"/>
      <c r="BG98" s="82">
        <v>-60.6</v>
      </c>
      <c r="BH98" s="82">
        <v>0</v>
      </c>
      <c r="BI98" s="82">
        <v>-683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>
        <v>0</v>
      </c>
      <c r="Z99" s="71">
        <v>0</v>
      </c>
      <c r="AA99" s="71">
        <v>0</v>
      </c>
      <c r="AB99" s="71"/>
      <c r="AC99" s="71"/>
      <c r="AD99" s="71"/>
      <c r="AE99" s="71"/>
      <c r="AF99" s="71"/>
      <c r="AG99" s="101">
        <f>SUM(AG96:AG98)</f>
        <v>55.4</v>
      </c>
      <c r="AH99" s="48">
        <f t="shared" si="45"/>
        <v>0</v>
      </c>
      <c r="AI99" s="49">
        <f t="shared" si="46"/>
        <v>0</v>
      </c>
      <c r="BF99" s="81"/>
      <c r="BG99" s="82">
        <v>-61.4</v>
      </c>
      <c r="BH99" s="82">
        <v>0</v>
      </c>
      <c r="BI99" s="82">
        <v>-673.1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68">B61+B65+B83+B79+B95+B99</f>
        <v>2202.54</v>
      </c>
      <c r="C100" s="108">
        <f t="shared" si="68"/>
        <v>2162.44</v>
      </c>
      <c r="D100" s="108">
        <f t="shared" si="68"/>
        <v>2143.94</v>
      </c>
      <c r="E100" s="108">
        <f t="shared" si="68"/>
        <v>2094.2400000000002</v>
      </c>
      <c r="F100" s="108">
        <f t="shared" si="68"/>
        <v>2074.44</v>
      </c>
      <c r="G100" s="108">
        <f t="shared" si="68"/>
        <v>2121.54</v>
      </c>
      <c r="H100" s="108">
        <f t="shared" si="68"/>
        <v>2082.2400000000002</v>
      </c>
      <c r="I100" s="108">
        <f t="shared" si="68"/>
        <v>2097.2400000000002</v>
      </c>
      <c r="J100" s="108">
        <f t="shared" si="68"/>
        <v>2113.64</v>
      </c>
      <c r="K100" s="108">
        <f t="shared" si="68"/>
        <v>2162.6400000000003</v>
      </c>
      <c r="L100" s="108">
        <f t="shared" si="68"/>
        <v>2243.54</v>
      </c>
      <c r="M100" s="108">
        <f t="shared" si="68"/>
        <v>2263.84</v>
      </c>
      <c r="N100" s="108">
        <f t="shared" si="68"/>
        <v>2301.44</v>
      </c>
      <c r="O100" s="108">
        <f t="shared" si="68"/>
        <v>2198.34</v>
      </c>
      <c r="P100" s="108">
        <f t="shared" si="68"/>
        <v>2254.94</v>
      </c>
      <c r="Q100" s="108">
        <f t="shared" si="68"/>
        <v>2221.34</v>
      </c>
      <c r="R100" s="108">
        <f t="shared" si="68"/>
        <v>2221.54</v>
      </c>
      <c r="S100" s="108">
        <f t="shared" ref="S100:T100" si="69">S61+S65+S83+S79+S95+S99</f>
        <v>2300.34</v>
      </c>
      <c r="T100" s="108">
        <f t="shared" si="69"/>
        <v>2267.7399999999998</v>
      </c>
      <c r="U100" s="108">
        <f t="shared" ref="U100:V100" si="70">U61+U65+U83+U79+U95+U99</f>
        <v>2242.44</v>
      </c>
      <c r="V100" s="108">
        <f t="shared" si="70"/>
        <v>2228.64</v>
      </c>
      <c r="W100" s="108">
        <f t="shared" ref="W100" si="71">W61+W65+W83+W79+W95+W99</f>
        <v>2220.54</v>
      </c>
      <c r="X100" s="108">
        <f t="shared" si="68"/>
        <v>2163.34</v>
      </c>
      <c r="Y100" s="108">
        <f t="shared" ref="Y100:Z100" si="72">Y61+Y65+Y83+Y79+Y95+Y99</f>
        <v>2202.34</v>
      </c>
      <c r="Z100" s="108">
        <f t="shared" si="72"/>
        <v>2239.54</v>
      </c>
      <c r="AA100" s="108">
        <f t="shared" ref="AA100" si="73">AA61+AA65+AA83+AA79+AA95+AA99</f>
        <v>2386.04</v>
      </c>
      <c r="AB100" s="108">
        <f t="shared" si="68"/>
        <v>2368.34</v>
      </c>
      <c r="AC100" s="108">
        <f t="shared" si="68"/>
        <v>2377.2399999999998</v>
      </c>
      <c r="AD100" s="108">
        <f t="shared" si="68"/>
        <v>2277.1400000000003</v>
      </c>
      <c r="AE100" s="108">
        <f t="shared" si="68"/>
        <v>2255.4400000000005</v>
      </c>
      <c r="AF100" s="108">
        <f t="shared" si="68"/>
        <v>2227.44</v>
      </c>
      <c r="AG100" s="72">
        <f t="shared" si="68"/>
        <v>2655.44</v>
      </c>
      <c r="AH100" s="48">
        <f t="shared" si="45"/>
        <v>2386.04</v>
      </c>
      <c r="AI100" s="49">
        <f t="shared" si="46"/>
        <v>2074.44</v>
      </c>
      <c r="BF100" s="81"/>
      <c r="BG100" s="82">
        <v>-65.5</v>
      </c>
      <c r="BH100" s="82">
        <v>0</v>
      </c>
      <c r="BI100" s="82">
        <v>-636.4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5"/>
        <v>0</v>
      </c>
      <c r="AI101" s="49">
        <f t="shared" si="46"/>
        <v>0</v>
      </c>
      <c r="BF101" s="81"/>
      <c r="BG101" s="82">
        <v>-42.9</v>
      </c>
      <c r="BH101" s="82">
        <v>0</v>
      </c>
      <c r="BI101" s="82">
        <v>-660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2202.54</v>
      </c>
      <c r="C102" s="108">
        <f t="shared" ref="C102:AF102" si="74">C100+C101</f>
        <v>2162.44</v>
      </c>
      <c r="D102" s="108">
        <f t="shared" si="74"/>
        <v>2143.94</v>
      </c>
      <c r="E102" s="108">
        <f t="shared" si="74"/>
        <v>2094.2400000000002</v>
      </c>
      <c r="F102" s="108">
        <f t="shared" si="74"/>
        <v>2074.44</v>
      </c>
      <c r="G102" s="108">
        <f t="shared" si="74"/>
        <v>2121.54</v>
      </c>
      <c r="H102" s="108">
        <f t="shared" si="74"/>
        <v>2082.2400000000002</v>
      </c>
      <c r="I102" s="108">
        <f t="shared" si="74"/>
        <v>2097.2400000000002</v>
      </c>
      <c r="J102" s="108">
        <f t="shared" si="74"/>
        <v>2113.64</v>
      </c>
      <c r="K102" s="108">
        <f t="shared" si="74"/>
        <v>2162.6400000000003</v>
      </c>
      <c r="L102" s="108">
        <f t="shared" si="74"/>
        <v>2243.54</v>
      </c>
      <c r="M102" s="108">
        <f t="shared" si="74"/>
        <v>2263.84</v>
      </c>
      <c r="N102" s="108">
        <f t="shared" si="74"/>
        <v>2301.44</v>
      </c>
      <c r="O102" s="108">
        <f t="shared" si="74"/>
        <v>2198.34</v>
      </c>
      <c r="P102" s="108">
        <f t="shared" si="74"/>
        <v>2254.94</v>
      </c>
      <c r="Q102" s="108">
        <f t="shared" si="74"/>
        <v>2221.34</v>
      </c>
      <c r="R102" s="108">
        <f t="shared" si="74"/>
        <v>2221.54</v>
      </c>
      <c r="S102" s="108">
        <f t="shared" ref="S102:T102" si="75">S100+S101</f>
        <v>2300.34</v>
      </c>
      <c r="T102" s="108">
        <f t="shared" si="75"/>
        <v>2267.7399999999998</v>
      </c>
      <c r="U102" s="108">
        <f t="shared" ref="U102:V102" si="76">U100+U101</f>
        <v>2242.44</v>
      </c>
      <c r="V102" s="108">
        <f t="shared" si="76"/>
        <v>2228.64</v>
      </c>
      <c r="W102" s="108">
        <f t="shared" ref="W102" si="77">W100+W101</f>
        <v>2220.54</v>
      </c>
      <c r="X102" s="108">
        <f t="shared" si="74"/>
        <v>2163.34</v>
      </c>
      <c r="Y102" s="108">
        <f t="shared" ref="Y102:Z102" si="78">Y100+Y101</f>
        <v>2202.34</v>
      </c>
      <c r="Z102" s="108">
        <f t="shared" si="78"/>
        <v>2239.54</v>
      </c>
      <c r="AA102" s="108">
        <f t="shared" ref="AA102" si="79">AA100+AA101</f>
        <v>2386.04</v>
      </c>
      <c r="AB102" s="108">
        <f t="shared" si="74"/>
        <v>2368.34</v>
      </c>
      <c r="AC102" s="108">
        <f t="shared" si="74"/>
        <v>2377.2399999999998</v>
      </c>
      <c r="AD102" s="108">
        <f t="shared" si="74"/>
        <v>2277.1400000000003</v>
      </c>
      <c r="AE102" s="108">
        <f t="shared" si="74"/>
        <v>2255.4400000000005</v>
      </c>
      <c r="AF102" s="108">
        <f t="shared" si="74"/>
        <v>2227.44</v>
      </c>
      <c r="AG102" s="101">
        <f>AG99+AG95+AG83+AG79+AG61+AG101</f>
        <v>2117.34</v>
      </c>
      <c r="AH102" s="48">
        <f t="shared" si="45"/>
        <v>2386.04</v>
      </c>
      <c r="AI102" s="49">
        <f t="shared" si="46"/>
        <v>2074.44</v>
      </c>
      <c r="BF102" s="81"/>
      <c r="BG102" s="82">
        <v>-41.2</v>
      </c>
      <c r="BH102" s="82">
        <v>0</v>
      </c>
      <c r="BI102" s="82">
        <v>-680.3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1480.6399999999999</v>
      </c>
      <c r="C103" s="108">
        <f t="shared" ref="C103:AF103" si="80">C102-(C110)</f>
        <v>1469.44</v>
      </c>
      <c r="D103" s="108">
        <f t="shared" si="80"/>
        <v>1466.04</v>
      </c>
      <c r="E103" s="108">
        <f t="shared" si="80"/>
        <v>1440.3400000000001</v>
      </c>
      <c r="F103" s="108">
        <f t="shared" si="80"/>
        <v>1414.44</v>
      </c>
      <c r="G103" s="108">
        <f t="shared" si="80"/>
        <v>1396.34</v>
      </c>
      <c r="H103" s="108">
        <f t="shared" si="80"/>
        <v>1364.4400000000003</v>
      </c>
      <c r="I103" s="108">
        <f t="shared" si="80"/>
        <v>1352.9400000000003</v>
      </c>
      <c r="J103" s="108">
        <f t="shared" si="80"/>
        <v>1422.6399999999999</v>
      </c>
      <c r="K103" s="108">
        <f t="shared" si="80"/>
        <v>1483.0400000000004</v>
      </c>
      <c r="L103" s="108">
        <f t="shared" si="80"/>
        <v>1542.3400000000001</v>
      </c>
      <c r="M103" s="108">
        <f t="shared" si="80"/>
        <v>1579.3400000000001</v>
      </c>
      <c r="N103" s="108">
        <f t="shared" si="80"/>
        <v>1603.54</v>
      </c>
      <c r="O103" s="108">
        <f t="shared" si="80"/>
        <v>1525.2400000000002</v>
      </c>
      <c r="P103" s="108">
        <f t="shared" si="80"/>
        <v>1574.74</v>
      </c>
      <c r="Q103" s="108">
        <f t="shared" si="80"/>
        <v>1517.0400000000002</v>
      </c>
      <c r="R103" s="108">
        <f t="shared" si="80"/>
        <v>1504.34</v>
      </c>
      <c r="S103" s="108">
        <f t="shared" ref="S103:T103" si="81">S102-(S110)</f>
        <v>1573.7400000000002</v>
      </c>
      <c r="T103" s="108">
        <f t="shared" si="81"/>
        <v>1543.1399999999999</v>
      </c>
      <c r="U103" s="108">
        <f t="shared" ref="U103:V103" si="82">U102-(U110)</f>
        <v>1518.4</v>
      </c>
      <c r="V103" s="108">
        <f t="shared" si="82"/>
        <v>1485.04</v>
      </c>
      <c r="W103" s="108">
        <f t="shared" ref="W103" si="83">W102-(W110)</f>
        <v>1489.94</v>
      </c>
      <c r="X103" s="108">
        <f t="shared" si="80"/>
        <v>1428.8400000000001</v>
      </c>
      <c r="Y103" s="108">
        <f t="shared" ref="Y103:Z103" si="84">Y102-(Y110)</f>
        <v>1458.14</v>
      </c>
      <c r="Z103" s="108">
        <f t="shared" si="84"/>
        <v>1537.6399999999999</v>
      </c>
      <c r="AA103" s="108">
        <f t="shared" ref="AA103" si="85">AA102-(AA110)</f>
        <v>1651.8400000000001</v>
      </c>
      <c r="AB103" s="108">
        <f t="shared" si="80"/>
        <v>1665.44</v>
      </c>
      <c r="AC103" s="108">
        <f t="shared" si="80"/>
        <v>1624.3399999999997</v>
      </c>
      <c r="AD103" s="108">
        <f t="shared" si="80"/>
        <v>1555.6400000000003</v>
      </c>
      <c r="AE103" s="108">
        <f t="shared" si="80"/>
        <v>1482.4400000000005</v>
      </c>
      <c r="AF103" s="108">
        <f t="shared" si="80"/>
        <v>1465.64</v>
      </c>
      <c r="AG103" s="101"/>
      <c r="AH103" s="48">
        <f t="shared" si="45"/>
        <v>1665.44</v>
      </c>
      <c r="AI103" s="49">
        <f t="shared" si="46"/>
        <v>1352.9400000000003</v>
      </c>
      <c r="BF103" s="81"/>
      <c r="BG103" s="82">
        <v>-50</v>
      </c>
      <c r="BH103" s="82">
        <v>0</v>
      </c>
      <c r="BI103" s="82">
        <v>-723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9" si="86">IF(B84&lt;0,B84*-1,0)</f>
        <v>26.9</v>
      </c>
      <c r="C104" s="89">
        <f t="shared" si="86"/>
        <v>0</v>
      </c>
      <c r="D104" s="89">
        <f t="shared" si="86"/>
        <v>10</v>
      </c>
      <c r="E104" s="89">
        <f t="shared" si="86"/>
        <v>0</v>
      </c>
      <c r="F104" s="89">
        <f t="shared" si="86"/>
        <v>0</v>
      </c>
      <c r="G104" s="89">
        <f t="shared" si="86"/>
        <v>38.200000000000003</v>
      </c>
      <c r="H104" s="89">
        <f t="shared" si="86"/>
        <v>44.8</v>
      </c>
      <c r="I104" s="89">
        <f t="shared" si="86"/>
        <v>49.3</v>
      </c>
      <c r="J104" s="89">
        <f t="shared" si="86"/>
        <v>51</v>
      </c>
      <c r="K104" s="89">
        <f t="shared" si="86"/>
        <v>42.6</v>
      </c>
      <c r="L104" s="89">
        <f t="shared" si="86"/>
        <v>59.8</v>
      </c>
      <c r="M104" s="89">
        <f t="shared" si="86"/>
        <v>51.8</v>
      </c>
      <c r="N104" s="89">
        <f t="shared" si="86"/>
        <v>45.5</v>
      </c>
      <c r="O104" s="89">
        <f t="shared" si="86"/>
        <v>5.0999999999999996</v>
      </c>
      <c r="P104" s="89">
        <f t="shared" si="86"/>
        <v>32</v>
      </c>
      <c r="Q104" s="89">
        <f t="shared" si="86"/>
        <v>58</v>
      </c>
      <c r="R104" s="89">
        <f t="shared" si="86"/>
        <v>39.200000000000003</v>
      </c>
      <c r="S104" s="89">
        <f t="shared" ref="S104:T104" si="87">IF(S84&lt;0,S84*-1,0)</f>
        <v>32.200000000000003</v>
      </c>
      <c r="T104" s="89">
        <f t="shared" si="87"/>
        <v>51.8</v>
      </c>
      <c r="U104" s="89">
        <f t="shared" ref="U104:V104" si="88">IF(U84&lt;0,U84*-1,0)</f>
        <v>49.94</v>
      </c>
      <c r="V104" s="89">
        <f t="shared" si="88"/>
        <v>60.6</v>
      </c>
      <c r="W104" s="89">
        <f t="shared" ref="W104" si="89">IF(W84&lt;0,W84*-1,0)</f>
        <v>59.3</v>
      </c>
      <c r="X104" s="89">
        <f t="shared" si="86"/>
        <v>61.4</v>
      </c>
      <c r="Y104" s="89">
        <f t="shared" ref="Y104:Z104" si="90">IF(Y84&lt;0,Y84*-1,0)</f>
        <v>65.099999999999994</v>
      </c>
      <c r="Z104" s="89">
        <f t="shared" si="90"/>
        <v>65.5</v>
      </c>
      <c r="AA104" s="89">
        <f t="shared" ref="AA104" si="91">IF(AA84&lt;0,AA84*-1,0)</f>
        <v>61.8</v>
      </c>
      <c r="AB104" s="89">
        <f t="shared" si="86"/>
        <v>42.9</v>
      </c>
      <c r="AC104" s="89">
        <f t="shared" si="86"/>
        <v>42.9</v>
      </c>
      <c r="AD104" s="89">
        <f t="shared" si="86"/>
        <v>41.2</v>
      </c>
      <c r="AE104" s="89">
        <f t="shared" si="86"/>
        <v>50</v>
      </c>
      <c r="AF104" s="89">
        <f t="shared" si="86"/>
        <v>60</v>
      </c>
      <c r="AG104" s="61"/>
      <c r="AH104" s="48">
        <f t="shared" si="45"/>
        <v>65.5</v>
      </c>
      <c r="AI104" s="49">
        <f t="shared" si="46"/>
        <v>0</v>
      </c>
      <c r="BG104" s="82">
        <v>-60</v>
      </c>
      <c r="BH104" s="82">
        <v>0</v>
      </c>
      <c r="BI104" s="82">
        <v>-701.8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6"/>
        <v>0</v>
      </c>
      <c r="C105" s="89">
        <f t="shared" si="86"/>
        <v>0</v>
      </c>
      <c r="D105" s="89">
        <f t="shared" si="86"/>
        <v>0</v>
      </c>
      <c r="E105" s="89">
        <f t="shared" si="86"/>
        <v>0</v>
      </c>
      <c r="F105" s="89">
        <f t="shared" si="86"/>
        <v>0</v>
      </c>
      <c r="G105" s="89">
        <f t="shared" si="86"/>
        <v>0</v>
      </c>
      <c r="H105" s="89">
        <f t="shared" si="86"/>
        <v>0</v>
      </c>
      <c r="I105" s="89">
        <f t="shared" si="86"/>
        <v>0</v>
      </c>
      <c r="J105" s="89">
        <f t="shared" si="86"/>
        <v>0</v>
      </c>
      <c r="K105" s="89">
        <f t="shared" si="86"/>
        <v>0</v>
      </c>
      <c r="L105" s="89">
        <f t="shared" si="86"/>
        <v>0</v>
      </c>
      <c r="M105" s="89">
        <f t="shared" si="86"/>
        <v>0</v>
      </c>
      <c r="N105" s="89">
        <f t="shared" si="86"/>
        <v>0</v>
      </c>
      <c r="O105" s="89">
        <f t="shared" si="86"/>
        <v>0</v>
      </c>
      <c r="P105" s="89">
        <f t="shared" si="86"/>
        <v>0</v>
      </c>
      <c r="Q105" s="89">
        <f t="shared" si="86"/>
        <v>0</v>
      </c>
      <c r="R105" s="89">
        <f t="shared" si="86"/>
        <v>0</v>
      </c>
      <c r="S105" s="89">
        <f t="shared" ref="S105:T105" si="92">IF(S85&lt;0,S85*-1,0)</f>
        <v>0</v>
      </c>
      <c r="T105" s="89">
        <f t="shared" si="92"/>
        <v>0</v>
      </c>
      <c r="U105" s="89">
        <f t="shared" ref="U105:V105" si="93">IF(U85&lt;0,U85*-1,0)</f>
        <v>0</v>
      </c>
      <c r="V105" s="89">
        <f t="shared" si="93"/>
        <v>0</v>
      </c>
      <c r="W105" s="89">
        <f t="shared" ref="W105" si="94">IF(W85&lt;0,W85*-1,0)</f>
        <v>0</v>
      </c>
      <c r="X105" s="89">
        <f t="shared" si="86"/>
        <v>0</v>
      </c>
      <c r="Y105" s="89">
        <f t="shared" ref="Y105:Z105" si="95">IF(Y85&lt;0,Y85*-1,0)</f>
        <v>0</v>
      </c>
      <c r="Z105" s="89">
        <f t="shared" si="95"/>
        <v>0</v>
      </c>
      <c r="AA105" s="89">
        <f t="shared" ref="AA105" si="96">IF(AA85&lt;0,AA85*-1,0)</f>
        <v>0</v>
      </c>
      <c r="AB105" s="89">
        <f t="shared" si="86"/>
        <v>0</v>
      </c>
      <c r="AC105" s="89">
        <f t="shared" si="86"/>
        <v>0</v>
      </c>
      <c r="AD105" s="89">
        <f t="shared" si="86"/>
        <v>0</v>
      </c>
      <c r="AE105" s="89">
        <f t="shared" si="86"/>
        <v>0</v>
      </c>
      <c r="AF105" s="89">
        <f t="shared" si="86"/>
        <v>0</v>
      </c>
      <c r="AG105" s="66"/>
      <c r="AH105" s="48">
        <f t="shared" si="45"/>
        <v>0</v>
      </c>
      <c r="AI105" s="49">
        <f t="shared" si="46"/>
        <v>0</v>
      </c>
      <c r="AK105" s="51"/>
      <c r="BG105" s="82">
        <v>-26.9</v>
      </c>
      <c r="BH105" s="82">
        <v>0</v>
      </c>
      <c r="BI105" s="82">
        <v>-695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6"/>
        <v>695</v>
      </c>
      <c r="C106" s="89">
        <f t="shared" si="86"/>
        <v>693</v>
      </c>
      <c r="D106" s="89">
        <f t="shared" si="86"/>
        <v>667.9</v>
      </c>
      <c r="E106" s="89">
        <f t="shared" si="86"/>
        <v>653.9</v>
      </c>
      <c r="F106" s="89">
        <f t="shared" si="86"/>
        <v>660</v>
      </c>
      <c r="G106" s="89">
        <f t="shared" si="86"/>
        <v>687</v>
      </c>
      <c r="H106" s="89">
        <f t="shared" si="86"/>
        <v>673</v>
      </c>
      <c r="I106" s="89">
        <f t="shared" si="86"/>
        <v>695</v>
      </c>
      <c r="J106" s="89">
        <f t="shared" si="86"/>
        <v>640</v>
      </c>
      <c r="K106" s="89">
        <f t="shared" si="86"/>
        <v>637</v>
      </c>
      <c r="L106" s="89">
        <f t="shared" si="86"/>
        <v>641.4</v>
      </c>
      <c r="M106" s="89">
        <f t="shared" si="86"/>
        <v>632.70000000000005</v>
      </c>
      <c r="N106" s="89">
        <f t="shared" si="86"/>
        <v>652.4</v>
      </c>
      <c r="O106" s="89">
        <f t="shared" si="86"/>
        <v>668</v>
      </c>
      <c r="P106" s="89">
        <f t="shared" si="86"/>
        <v>648.20000000000005</v>
      </c>
      <c r="Q106" s="89">
        <f t="shared" si="86"/>
        <v>646.29999999999995</v>
      </c>
      <c r="R106" s="89">
        <f t="shared" si="86"/>
        <v>678</v>
      </c>
      <c r="S106" s="89">
        <f t="shared" ref="S106:T106" si="97">IF(S86&lt;0,S86*-1,0)</f>
        <v>694.4</v>
      </c>
      <c r="T106" s="89">
        <f t="shared" si="97"/>
        <v>672.8</v>
      </c>
      <c r="U106" s="89">
        <f t="shared" ref="U106:V106" si="98">IF(U86&lt;0,U86*-1,0)</f>
        <v>674.1</v>
      </c>
      <c r="V106" s="89">
        <f t="shared" si="98"/>
        <v>683</v>
      </c>
      <c r="W106" s="89">
        <f t="shared" ref="W106" si="99">IF(W86&lt;0,W86*-1,0)</f>
        <v>671.3</v>
      </c>
      <c r="X106" s="89">
        <f t="shared" si="86"/>
        <v>673.1</v>
      </c>
      <c r="Y106" s="89">
        <f t="shared" ref="Y106:Z106" si="100">IF(Y86&lt;0,Y86*-1,0)</f>
        <v>679.1</v>
      </c>
      <c r="Z106" s="89">
        <f t="shared" si="100"/>
        <v>636.4</v>
      </c>
      <c r="AA106" s="89">
        <f t="shared" ref="AA106" si="101">IF(AA86&lt;0,AA86*-1,0)</f>
        <v>672.4</v>
      </c>
      <c r="AB106" s="89">
        <f t="shared" si="86"/>
        <v>660</v>
      </c>
      <c r="AC106" s="89">
        <f t="shared" si="86"/>
        <v>710</v>
      </c>
      <c r="AD106" s="89">
        <f t="shared" si="86"/>
        <v>680.3</v>
      </c>
      <c r="AE106" s="89">
        <f t="shared" si="86"/>
        <v>723</v>
      </c>
      <c r="AF106" s="89">
        <f t="shared" si="86"/>
        <v>701.8</v>
      </c>
      <c r="AG106" s="111"/>
      <c r="AH106" s="48">
        <f t="shared" si="45"/>
        <v>723</v>
      </c>
      <c r="AI106" s="49">
        <f t="shared" si="46"/>
        <v>632.70000000000005</v>
      </c>
    </row>
    <row r="107" spans="1:64" x14ac:dyDescent="0.25">
      <c r="A107" s="97" t="s">
        <v>107</v>
      </c>
      <c r="B107" s="89">
        <f t="shared" si="86"/>
        <v>0</v>
      </c>
      <c r="C107" s="89">
        <f t="shared" si="86"/>
        <v>0</v>
      </c>
      <c r="D107" s="89">
        <f t="shared" si="86"/>
        <v>0</v>
      </c>
      <c r="E107" s="89">
        <f t="shared" si="86"/>
        <v>0</v>
      </c>
      <c r="F107" s="89">
        <f t="shared" si="86"/>
        <v>0</v>
      </c>
      <c r="G107" s="89">
        <f t="shared" si="86"/>
        <v>0</v>
      </c>
      <c r="H107" s="89">
        <f t="shared" si="86"/>
        <v>0</v>
      </c>
      <c r="I107" s="89">
        <f t="shared" si="86"/>
        <v>0</v>
      </c>
      <c r="J107" s="89">
        <f t="shared" si="86"/>
        <v>0</v>
      </c>
      <c r="K107" s="89">
        <f t="shared" si="86"/>
        <v>0</v>
      </c>
      <c r="L107" s="89">
        <f t="shared" si="86"/>
        <v>0</v>
      </c>
      <c r="M107" s="89">
        <f t="shared" si="86"/>
        <v>0</v>
      </c>
      <c r="N107" s="89">
        <f t="shared" si="86"/>
        <v>0</v>
      </c>
      <c r="O107" s="89">
        <f t="shared" si="86"/>
        <v>0</v>
      </c>
      <c r="P107" s="89">
        <f t="shared" si="86"/>
        <v>0</v>
      </c>
      <c r="Q107" s="89">
        <f t="shared" si="86"/>
        <v>0</v>
      </c>
      <c r="R107" s="89">
        <f t="shared" si="86"/>
        <v>0</v>
      </c>
      <c r="S107" s="89">
        <f t="shared" ref="S107:T107" si="102">IF(S87&lt;0,S87*-1,0)</f>
        <v>0</v>
      </c>
      <c r="T107" s="89">
        <f t="shared" si="102"/>
        <v>0</v>
      </c>
      <c r="U107" s="89">
        <f t="shared" ref="U107:V107" si="103">IF(U87&lt;0,U87*-1,0)</f>
        <v>0</v>
      </c>
      <c r="V107" s="89">
        <f t="shared" si="103"/>
        <v>0</v>
      </c>
      <c r="W107" s="89">
        <f t="shared" ref="W107" si="104">IF(W87&lt;0,W87*-1,0)</f>
        <v>0</v>
      </c>
      <c r="X107" s="89">
        <f t="shared" si="86"/>
        <v>0</v>
      </c>
      <c r="Y107" s="89">
        <f t="shared" ref="Y107:Z107" si="105">IF(Y87&lt;0,Y87*-1,0)</f>
        <v>0</v>
      </c>
      <c r="Z107" s="89">
        <f t="shared" si="105"/>
        <v>0</v>
      </c>
      <c r="AA107" s="89">
        <f t="shared" ref="AA107" si="106">IF(AA87&lt;0,AA87*-1,0)</f>
        <v>0</v>
      </c>
      <c r="AB107" s="89">
        <f t="shared" si="86"/>
        <v>0</v>
      </c>
      <c r="AC107" s="89">
        <f t="shared" si="86"/>
        <v>0</v>
      </c>
      <c r="AD107" s="89">
        <f t="shared" si="86"/>
        <v>0</v>
      </c>
      <c r="AE107" s="89">
        <f t="shared" si="86"/>
        <v>0</v>
      </c>
      <c r="AF107" s="89">
        <f t="shared" si="86"/>
        <v>0</v>
      </c>
      <c r="AG107" s="111"/>
      <c r="AH107" s="48">
        <f t="shared" si="45"/>
        <v>0</v>
      </c>
      <c r="AI107" s="49">
        <f t="shared" si="46"/>
        <v>0</v>
      </c>
    </row>
    <row r="108" spans="1:64" x14ac:dyDescent="0.25">
      <c r="A108" s="97" t="s">
        <v>108</v>
      </c>
      <c r="B108" s="89">
        <f t="shared" si="86"/>
        <v>0</v>
      </c>
      <c r="C108" s="89">
        <f t="shared" si="86"/>
        <v>0</v>
      </c>
      <c r="D108" s="89">
        <f t="shared" si="86"/>
        <v>0</v>
      </c>
      <c r="E108" s="89">
        <f t="shared" si="86"/>
        <v>0</v>
      </c>
      <c r="F108" s="89">
        <f t="shared" si="86"/>
        <v>0</v>
      </c>
      <c r="G108" s="89">
        <f t="shared" si="86"/>
        <v>0</v>
      </c>
      <c r="H108" s="89">
        <f t="shared" si="86"/>
        <v>0</v>
      </c>
      <c r="I108" s="89">
        <f t="shared" si="86"/>
        <v>0</v>
      </c>
      <c r="J108" s="89">
        <f t="shared" si="86"/>
        <v>0</v>
      </c>
      <c r="K108" s="89">
        <f t="shared" si="86"/>
        <v>0</v>
      </c>
      <c r="L108" s="89">
        <f t="shared" si="86"/>
        <v>0</v>
      </c>
      <c r="M108" s="89">
        <f t="shared" si="86"/>
        <v>0</v>
      </c>
      <c r="N108" s="89">
        <f t="shared" si="86"/>
        <v>0</v>
      </c>
      <c r="O108" s="89">
        <f t="shared" si="86"/>
        <v>0</v>
      </c>
      <c r="P108" s="89">
        <f t="shared" si="86"/>
        <v>0</v>
      </c>
      <c r="Q108" s="89">
        <f t="shared" si="86"/>
        <v>0</v>
      </c>
      <c r="R108" s="89">
        <f t="shared" si="86"/>
        <v>0</v>
      </c>
      <c r="S108" s="89">
        <f t="shared" ref="S108:T108" si="107">IF(S88&lt;0,S88*-1,0)</f>
        <v>0</v>
      </c>
      <c r="T108" s="89">
        <f t="shared" si="107"/>
        <v>0</v>
      </c>
      <c r="U108" s="89">
        <f t="shared" ref="U108:V108" si="108">IF(U88&lt;0,U88*-1,0)</f>
        <v>0</v>
      </c>
      <c r="V108" s="89">
        <f t="shared" si="108"/>
        <v>0</v>
      </c>
      <c r="W108" s="89">
        <f t="shared" ref="W108" si="109">IF(W88&lt;0,W88*-1,0)</f>
        <v>0</v>
      </c>
      <c r="X108" s="89">
        <f t="shared" si="86"/>
        <v>0</v>
      </c>
      <c r="Y108" s="89">
        <f t="shared" ref="Y108:Z108" si="110">IF(Y88&lt;0,Y88*-1,0)</f>
        <v>0</v>
      </c>
      <c r="Z108" s="89">
        <f t="shared" si="110"/>
        <v>0</v>
      </c>
      <c r="AA108" s="89">
        <f t="shared" ref="AA108" si="111">IF(AA88&lt;0,AA88*-1,0)</f>
        <v>0</v>
      </c>
      <c r="AB108" s="89">
        <f t="shared" si="86"/>
        <v>0</v>
      </c>
      <c r="AC108" s="89">
        <f t="shared" si="86"/>
        <v>0</v>
      </c>
      <c r="AD108" s="89">
        <f t="shared" si="86"/>
        <v>0</v>
      </c>
      <c r="AE108" s="89">
        <f t="shared" si="86"/>
        <v>0</v>
      </c>
      <c r="AF108" s="89">
        <f t="shared" si="86"/>
        <v>0</v>
      </c>
      <c r="AG108" s="111"/>
      <c r="AH108" s="48">
        <f t="shared" si="45"/>
        <v>0</v>
      </c>
      <c r="AI108" s="49">
        <f t="shared" si="46"/>
        <v>0</v>
      </c>
    </row>
    <row r="109" spans="1:64" ht="15.75" thickBot="1" x14ac:dyDescent="0.3">
      <c r="A109" s="97" t="s">
        <v>117</v>
      </c>
      <c r="B109" s="89">
        <f t="shared" si="86"/>
        <v>0</v>
      </c>
      <c r="C109" s="89">
        <f t="shared" si="86"/>
        <v>0</v>
      </c>
      <c r="D109" s="89">
        <f t="shared" si="86"/>
        <v>0</v>
      </c>
      <c r="E109" s="89">
        <f t="shared" si="86"/>
        <v>0</v>
      </c>
      <c r="F109" s="89">
        <f t="shared" si="86"/>
        <v>0</v>
      </c>
      <c r="G109" s="89">
        <f t="shared" si="86"/>
        <v>0</v>
      </c>
      <c r="H109" s="89">
        <f t="shared" si="86"/>
        <v>0</v>
      </c>
      <c r="I109" s="89">
        <f t="shared" si="86"/>
        <v>0</v>
      </c>
      <c r="J109" s="89">
        <f t="shared" si="86"/>
        <v>0</v>
      </c>
      <c r="K109" s="89">
        <f t="shared" si="86"/>
        <v>0</v>
      </c>
      <c r="L109" s="89">
        <f t="shared" si="86"/>
        <v>0</v>
      </c>
      <c r="M109" s="89">
        <f t="shared" si="86"/>
        <v>0</v>
      </c>
      <c r="N109" s="89">
        <f t="shared" si="86"/>
        <v>0</v>
      </c>
      <c r="O109" s="89">
        <f t="shared" si="86"/>
        <v>0</v>
      </c>
      <c r="P109" s="89">
        <f t="shared" si="86"/>
        <v>0</v>
      </c>
      <c r="Q109" s="89">
        <f t="shared" si="86"/>
        <v>0</v>
      </c>
      <c r="R109" s="89">
        <f t="shared" si="86"/>
        <v>0</v>
      </c>
      <c r="S109" s="89">
        <f t="shared" ref="S109:T109" si="112">IF(S89&lt;0,S89*-1,0)</f>
        <v>0</v>
      </c>
      <c r="T109" s="89">
        <f t="shared" si="112"/>
        <v>0</v>
      </c>
      <c r="U109" s="89">
        <f t="shared" ref="U109:V109" si="113">IF(U89&lt;0,U89*-1,0)</f>
        <v>0</v>
      </c>
      <c r="V109" s="89">
        <f t="shared" si="113"/>
        <v>0</v>
      </c>
      <c r="W109" s="89">
        <f t="shared" ref="W109" si="114">IF(W89&lt;0,W89*-1,0)</f>
        <v>0</v>
      </c>
      <c r="X109" s="89">
        <f t="shared" si="86"/>
        <v>0</v>
      </c>
      <c r="Y109" s="89">
        <f t="shared" ref="Y109:Z109" si="115">IF(Y89&lt;0,Y89*-1,0)</f>
        <v>0</v>
      </c>
      <c r="Z109" s="89">
        <f t="shared" si="115"/>
        <v>0</v>
      </c>
      <c r="AA109" s="89">
        <f t="shared" ref="AA109" si="116">IF(AA89&lt;0,AA89*-1,0)</f>
        <v>0</v>
      </c>
      <c r="AB109" s="89">
        <f t="shared" si="86"/>
        <v>0</v>
      </c>
      <c r="AC109" s="89">
        <f t="shared" si="86"/>
        <v>0</v>
      </c>
      <c r="AD109" s="89">
        <f t="shared" si="86"/>
        <v>0</v>
      </c>
      <c r="AE109" s="89">
        <f t="shared" si="86"/>
        <v>0</v>
      </c>
      <c r="AF109" s="89">
        <f t="shared" si="86"/>
        <v>0</v>
      </c>
      <c r="AG109" s="98"/>
      <c r="AH109" s="48">
        <f t="shared" si="45"/>
        <v>0</v>
      </c>
      <c r="AI109" s="49">
        <f t="shared" si="46"/>
        <v>0</v>
      </c>
    </row>
    <row r="110" spans="1:64" ht="15.75" thickBot="1" x14ac:dyDescent="0.3">
      <c r="A110" s="112" t="s">
        <v>130</v>
      </c>
      <c r="B110" s="71">
        <f>SUM(B104:B109)</f>
        <v>721.9</v>
      </c>
      <c r="C110" s="71">
        <f t="shared" ref="C110:AF110" si="117">SUM(C104:C109)</f>
        <v>693</v>
      </c>
      <c r="D110" s="71">
        <f t="shared" si="117"/>
        <v>677.9</v>
      </c>
      <c r="E110" s="71">
        <f t="shared" si="117"/>
        <v>653.9</v>
      </c>
      <c r="F110" s="71">
        <f t="shared" si="117"/>
        <v>660</v>
      </c>
      <c r="G110" s="71">
        <f t="shared" si="117"/>
        <v>725.2</v>
      </c>
      <c r="H110" s="71">
        <f t="shared" si="117"/>
        <v>717.8</v>
      </c>
      <c r="I110" s="71">
        <f t="shared" si="117"/>
        <v>744.3</v>
      </c>
      <c r="J110" s="71">
        <f t="shared" si="117"/>
        <v>691</v>
      </c>
      <c r="K110" s="71">
        <f t="shared" si="117"/>
        <v>679.6</v>
      </c>
      <c r="L110" s="71">
        <f t="shared" si="117"/>
        <v>701.19999999999993</v>
      </c>
      <c r="M110" s="71">
        <f t="shared" si="117"/>
        <v>684.5</v>
      </c>
      <c r="N110" s="71">
        <f t="shared" si="117"/>
        <v>697.9</v>
      </c>
      <c r="O110" s="71">
        <f t="shared" si="117"/>
        <v>673.1</v>
      </c>
      <c r="P110" s="71">
        <f t="shared" si="117"/>
        <v>680.2</v>
      </c>
      <c r="Q110" s="71">
        <f t="shared" si="117"/>
        <v>704.3</v>
      </c>
      <c r="R110" s="71">
        <f t="shared" si="117"/>
        <v>717.2</v>
      </c>
      <c r="S110" s="71">
        <f t="shared" ref="S110:T110" si="118">SUM(S104:S109)</f>
        <v>726.6</v>
      </c>
      <c r="T110" s="71">
        <f t="shared" si="118"/>
        <v>724.59999999999991</v>
      </c>
      <c r="U110" s="71">
        <f t="shared" ref="U110:V110" si="119">SUM(U104:U109)</f>
        <v>724.04</v>
      </c>
      <c r="V110" s="71">
        <f t="shared" si="119"/>
        <v>743.6</v>
      </c>
      <c r="W110" s="71">
        <f t="shared" ref="W110" si="120">SUM(W104:W109)</f>
        <v>730.59999999999991</v>
      </c>
      <c r="X110" s="71">
        <f t="shared" si="117"/>
        <v>734.5</v>
      </c>
      <c r="Y110" s="71">
        <f t="shared" ref="Y110:Z110" si="121">SUM(Y104:Y109)</f>
        <v>744.2</v>
      </c>
      <c r="Z110" s="71">
        <f t="shared" si="121"/>
        <v>701.9</v>
      </c>
      <c r="AA110" s="71">
        <f t="shared" ref="AA110" si="122">SUM(AA104:AA109)</f>
        <v>734.19999999999993</v>
      </c>
      <c r="AB110" s="71">
        <f t="shared" si="117"/>
        <v>702.9</v>
      </c>
      <c r="AC110" s="71">
        <f t="shared" si="117"/>
        <v>752.9</v>
      </c>
      <c r="AD110" s="71">
        <f t="shared" si="117"/>
        <v>721.5</v>
      </c>
      <c r="AE110" s="71">
        <f t="shared" si="117"/>
        <v>773</v>
      </c>
      <c r="AF110" s="71">
        <f t="shared" si="117"/>
        <v>761.8</v>
      </c>
      <c r="AG110" s="101"/>
      <c r="AH110" s="48">
        <f t="shared" si="45"/>
        <v>773</v>
      </c>
      <c r="AI110" s="49">
        <f t="shared" si="46"/>
        <v>653.9</v>
      </c>
    </row>
    <row r="111" spans="1:64" ht="15.75" thickBot="1" x14ac:dyDescent="0.3">
      <c r="A111" s="87" t="s">
        <v>131</v>
      </c>
      <c r="B111" s="71">
        <f t="shared" ref="B111:AF111" si="123">B95-B110</f>
        <v>-721.9</v>
      </c>
      <c r="C111" s="71">
        <f t="shared" si="123"/>
        <v>-671</v>
      </c>
      <c r="D111" s="71">
        <f t="shared" si="123"/>
        <v>-677.9</v>
      </c>
      <c r="E111" s="71">
        <f t="shared" si="123"/>
        <v>-639.6</v>
      </c>
      <c r="F111" s="71">
        <f t="shared" si="123"/>
        <v>-654</v>
      </c>
      <c r="G111" s="71">
        <f t="shared" si="123"/>
        <v>-725.2</v>
      </c>
      <c r="H111" s="71">
        <f t="shared" si="123"/>
        <v>-717.8</v>
      </c>
      <c r="I111" s="71">
        <f t="shared" si="123"/>
        <v>-744.3</v>
      </c>
      <c r="J111" s="71">
        <f t="shared" si="123"/>
        <v>-691</v>
      </c>
      <c r="K111" s="71">
        <f t="shared" si="123"/>
        <v>-679.6</v>
      </c>
      <c r="L111" s="71">
        <f t="shared" si="123"/>
        <v>-701.19999999999993</v>
      </c>
      <c r="M111" s="71">
        <f t="shared" si="123"/>
        <v>-684.5</v>
      </c>
      <c r="N111" s="71">
        <f t="shared" si="123"/>
        <v>-697.9</v>
      </c>
      <c r="O111" s="71">
        <f t="shared" si="123"/>
        <v>-673.1</v>
      </c>
      <c r="P111" s="71">
        <f t="shared" si="123"/>
        <v>-680.2</v>
      </c>
      <c r="Q111" s="71">
        <f t="shared" si="123"/>
        <v>-704.3</v>
      </c>
      <c r="R111" s="71">
        <f t="shared" si="123"/>
        <v>-717.2</v>
      </c>
      <c r="S111" s="71">
        <f t="shared" ref="S111:T111" si="124">S95-S110</f>
        <v>-726.6</v>
      </c>
      <c r="T111" s="71">
        <f t="shared" si="124"/>
        <v>-724.59999999999991</v>
      </c>
      <c r="U111" s="71">
        <f t="shared" ref="U111:V111" si="125">U95-U110</f>
        <v>-724.04</v>
      </c>
      <c r="V111" s="71">
        <f t="shared" si="125"/>
        <v>-743.6</v>
      </c>
      <c r="W111" s="71">
        <f t="shared" ref="W111" si="126">W95-W110</f>
        <v>-730.59999999999991</v>
      </c>
      <c r="X111" s="71">
        <f t="shared" si="123"/>
        <v>-734.5</v>
      </c>
      <c r="Y111" s="71">
        <f t="shared" ref="Y111:Z111" si="127">Y95-Y110</f>
        <v>-744.2</v>
      </c>
      <c r="Z111" s="71">
        <f t="shared" si="127"/>
        <v>-701.9</v>
      </c>
      <c r="AA111" s="71">
        <f t="shared" ref="AA111" si="128">AA95-AA110</f>
        <v>-734.19999999999993</v>
      </c>
      <c r="AB111" s="71">
        <f t="shared" si="123"/>
        <v>-702.9</v>
      </c>
      <c r="AC111" s="71">
        <f t="shared" si="123"/>
        <v>-752.9</v>
      </c>
      <c r="AD111" s="71">
        <f t="shared" si="123"/>
        <v>-721.5</v>
      </c>
      <c r="AE111" s="71">
        <f t="shared" si="123"/>
        <v>-773</v>
      </c>
      <c r="AF111" s="71">
        <f t="shared" si="123"/>
        <v>-761.8</v>
      </c>
      <c r="AG111" s="101"/>
      <c r="AH111" s="48">
        <f t="shared" si="45"/>
        <v>-639.6</v>
      </c>
      <c r="AI111" s="49">
        <f t="shared" si="46"/>
        <v>-773</v>
      </c>
    </row>
    <row r="112" spans="1:64" x14ac:dyDescent="0.25">
      <c r="A112" s="113" t="s">
        <v>132</v>
      </c>
      <c r="B112" s="114">
        <v>50.012999999999998</v>
      </c>
      <c r="C112" s="114">
        <v>50.006</v>
      </c>
      <c r="D112" s="114">
        <v>49.972999999999999</v>
      </c>
      <c r="E112" s="114">
        <v>50</v>
      </c>
      <c r="F112" s="114">
        <v>49.944000000000003</v>
      </c>
      <c r="G112" s="114">
        <v>49.95</v>
      </c>
      <c r="H112" s="114">
        <v>50</v>
      </c>
      <c r="I112" s="114">
        <v>50.02</v>
      </c>
      <c r="J112" s="114">
        <v>49.9</v>
      </c>
      <c r="K112" s="114">
        <v>50</v>
      </c>
      <c r="L112" s="114">
        <v>50.036999999999999</v>
      </c>
      <c r="M112" s="114">
        <v>50.009</v>
      </c>
      <c r="N112" s="114">
        <v>50.02</v>
      </c>
      <c r="O112" s="114">
        <v>49.975999999999999</v>
      </c>
      <c r="P112" s="114">
        <v>50.003999999999998</v>
      </c>
      <c r="Q112" s="114">
        <v>50.036000000000001</v>
      </c>
      <c r="R112" s="114">
        <v>49.991</v>
      </c>
      <c r="S112" s="114">
        <v>49.99</v>
      </c>
      <c r="T112" s="114">
        <v>49.84</v>
      </c>
      <c r="U112" s="114">
        <v>49.96</v>
      </c>
      <c r="V112" s="114">
        <v>49.89</v>
      </c>
      <c r="W112" s="114">
        <v>50.03</v>
      </c>
      <c r="X112" s="114">
        <v>50.023000000000003</v>
      </c>
      <c r="Y112" s="114">
        <v>50.06</v>
      </c>
      <c r="Z112" s="114">
        <v>50.03</v>
      </c>
      <c r="AA112" s="114">
        <v>49.99</v>
      </c>
      <c r="AB112" s="114">
        <v>50</v>
      </c>
      <c r="AC112" s="114">
        <v>49.991</v>
      </c>
      <c r="AD112" s="114">
        <v>49.96</v>
      </c>
      <c r="AE112" s="114">
        <v>50.036999999999999</v>
      </c>
      <c r="AF112" s="114">
        <v>50.042000000000002</v>
      </c>
      <c r="AG112" s="115"/>
      <c r="AH112" s="48">
        <f t="shared" si="45"/>
        <v>50.06</v>
      </c>
      <c r="AI112" s="49">
        <f t="shared" si="46"/>
        <v>49.84</v>
      </c>
    </row>
    <row r="113" spans="1:35" x14ac:dyDescent="0.25">
      <c r="A113" s="116" t="s">
        <v>133</v>
      </c>
      <c r="B113" s="76">
        <v>123.3</v>
      </c>
      <c r="C113" s="76">
        <v>122.4</v>
      </c>
      <c r="D113" s="76">
        <v>124.5</v>
      </c>
      <c r="E113" s="76">
        <v>124.5</v>
      </c>
      <c r="F113" s="76">
        <v>124.5</v>
      </c>
      <c r="G113" s="76">
        <v>123</v>
      </c>
      <c r="H113" s="76">
        <v>125</v>
      </c>
      <c r="I113" s="76">
        <v>125</v>
      </c>
      <c r="J113" s="76">
        <v>125</v>
      </c>
      <c r="K113" s="76">
        <v>125</v>
      </c>
      <c r="L113" s="76">
        <v>122</v>
      </c>
      <c r="M113" s="76">
        <v>122.2</v>
      </c>
      <c r="N113" s="76">
        <v>124.1</v>
      </c>
      <c r="O113" s="76">
        <v>124.87</v>
      </c>
      <c r="P113" s="76">
        <v>126.3</v>
      </c>
      <c r="Q113" s="76">
        <v>124.5</v>
      </c>
      <c r="R113" s="76">
        <v>124</v>
      </c>
      <c r="S113" s="76">
        <v>124.6</v>
      </c>
      <c r="T113" s="76">
        <v>123.6</v>
      </c>
      <c r="U113" s="76">
        <v>123.6</v>
      </c>
      <c r="V113" s="76">
        <v>124.2</v>
      </c>
      <c r="W113" s="76">
        <v>124.5</v>
      </c>
      <c r="X113" s="76">
        <v>125.3</v>
      </c>
      <c r="Y113" s="76">
        <v>125.3</v>
      </c>
      <c r="Z113" s="76">
        <v>125.1</v>
      </c>
      <c r="AA113" s="76">
        <v>124.4</v>
      </c>
      <c r="AB113" s="76">
        <v>124.4</v>
      </c>
      <c r="AC113" s="76">
        <v>124.8</v>
      </c>
      <c r="AD113" s="76">
        <v>126.4</v>
      </c>
      <c r="AE113" s="76">
        <v>126</v>
      </c>
      <c r="AF113" s="76">
        <v>126</v>
      </c>
      <c r="AG113" s="117"/>
      <c r="AH113" s="48">
        <f t="shared" si="45"/>
        <v>126.4</v>
      </c>
      <c r="AI113" s="49">
        <f t="shared" si="46"/>
        <v>122</v>
      </c>
    </row>
    <row r="114" spans="1:35" x14ac:dyDescent="0.25">
      <c r="A114" s="116" t="s">
        <v>134</v>
      </c>
      <c r="B114" s="76">
        <v>127.8</v>
      </c>
      <c r="C114" s="76">
        <v>127.3</v>
      </c>
      <c r="D114" s="76">
        <v>128.69999999999999</v>
      </c>
      <c r="E114" s="76">
        <v>128.69999999999999</v>
      </c>
      <c r="F114" s="76">
        <v>128.69999999999999</v>
      </c>
      <c r="G114" s="76">
        <v>128.69999999999999</v>
      </c>
      <c r="H114" s="76">
        <v>128.69999999999999</v>
      </c>
      <c r="I114" s="76">
        <v>128.69999999999999</v>
      </c>
      <c r="J114" s="76">
        <v>128.69999999999999</v>
      </c>
      <c r="K114" s="76">
        <v>128.69999999999999</v>
      </c>
      <c r="L114" s="76">
        <v>125</v>
      </c>
      <c r="M114" s="76">
        <v>125.3</v>
      </c>
      <c r="N114" s="76">
        <v>126.8</v>
      </c>
      <c r="O114" s="76">
        <v>126.9</v>
      </c>
      <c r="P114" s="76">
        <v>128.1</v>
      </c>
      <c r="Q114" s="76">
        <v>126.2</v>
      </c>
      <c r="R114" s="76">
        <v>126</v>
      </c>
      <c r="S114" s="76">
        <v>127.3</v>
      </c>
      <c r="T114" s="76">
        <v>126.6</v>
      </c>
      <c r="U114" s="76">
        <v>126.7</v>
      </c>
      <c r="V114" s="76">
        <v>126.8</v>
      </c>
      <c r="W114" s="76">
        <v>127.4</v>
      </c>
      <c r="X114" s="76">
        <v>127.7</v>
      </c>
      <c r="Y114" s="76">
        <v>127.5</v>
      </c>
      <c r="Z114" s="76">
        <v>127.1</v>
      </c>
      <c r="AA114" s="76">
        <v>126.3</v>
      </c>
      <c r="AB114" s="76">
        <v>126.3</v>
      </c>
      <c r="AC114" s="76">
        <v>127.8</v>
      </c>
      <c r="AD114" s="76">
        <v>128.9</v>
      </c>
      <c r="AE114" s="76">
        <v>129.4</v>
      </c>
      <c r="AF114" s="76">
        <v>129.30000000000001</v>
      </c>
      <c r="AG114" s="117"/>
      <c r="AH114" s="48">
        <f t="shared" si="45"/>
        <v>129.4</v>
      </c>
      <c r="AI114" s="49">
        <f t="shared" si="46"/>
        <v>125</v>
      </c>
    </row>
    <row r="115" spans="1:35" x14ac:dyDescent="0.25">
      <c r="A115" s="116" t="s">
        <v>135</v>
      </c>
      <c r="B115" s="76">
        <v>129.80000000000001</v>
      </c>
      <c r="C115" s="76">
        <v>129.9</v>
      </c>
      <c r="D115" s="76">
        <v>130.9</v>
      </c>
      <c r="E115" s="76">
        <v>130.9</v>
      </c>
      <c r="F115" s="76">
        <v>130.9</v>
      </c>
      <c r="G115" s="76">
        <v>130.9</v>
      </c>
      <c r="H115" s="76">
        <v>130.9</v>
      </c>
      <c r="I115" s="76">
        <v>130.9</v>
      </c>
      <c r="J115" s="76">
        <v>130.9</v>
      </c>
      <c r="K115" s="76">
        <v>130.9</v>
      </c>
      <c r="L115" s="76">
        <v>130</v>
      </c>
      <c r="M115" s="76">
        <v>129.5</v>
      </c>
      <c r="N115" s="76">
        <v>129.4</v>
      </c>
      <c r="O115" s="76">
        <v>130.30000000000001</v>
      </c>
      <c r="P115" s="76">
        <v>130.19999999999999</v>
      </c>
      <c r="Q115" s="76">
        <v>129.5</v>
      </c>
      <c r="R115" s="76">
        <v>129.9</v>
      </c>
      <c r="S115" s="76">
        <v>130.1</v>
      </c>
      <c r="T115" s="76">
        <v>129.30000000000001</v>
      </c>
      <c r="U115" s="76">
        <v>130.5</v>
      </c>
      <c r="V115" s="76">
        <v>130.19999999999999</v>
      </c>
      <c r="W115" s="76">
        <v>131.19999999999999</v>
      </c>
      <c r="X115" s="76">
        <v>130.69999999999999</v>
      </c>
      <c r="Y115" s="76">
        <v>130.6</v>
      </c>
      <c r="Z115" s="76">
        <v>131</v>
      </c>
      <c r="AA115" s="76">
        <v>129.9</v>
      </c>
      <c r="AB115" s="76">
        <v>129.9</v>
      </c>
      <c r="AC115" s="76">
        <v>130</v>
      </c>
      <c r="AD115" s="76">
        <v>130.6</v>
      </c>
      <c r="AE115" s="76">
        <v>129.69999999999999</v>
      </c>
      <c r="AF115" s="76">
        <v>129.9</v>
      </c>
      <c r="AG115" s="117"/>
      <c r="AH115" s="48">
        <f t="shared" si="45"/>
        <v>131.19999999999999</v>
      </c>
      <c r="AI115" s="49">
        <f t="shared" si="46"/>
        <v>129.30000000000001</v>
      </c>
    </row>
    <row r="116" spans="1:35" x14ac:dyDescent="0.25">
      <c r="A116" s="118" t="s">
        <v>136</v>
      </c>
      <c r="B116" s="76">
        <v>132.19999999999999</v>
      </c>
      <c r="C116" s="76">
        <v>132.5</v>
      </c>
      <c r="D116" s="76">
        <v>133.6</v>
      </c>
      <c r="E116" s="76">
        <v>133.6</v>
      </c>
      <c r="F116" s="76">
        <v>133.6</v>
      </c>
      <c r="G116" s="76">
        <v>133.6</v>
      </c>
      <c r="H116" s="76">
        <v>133.6</v>
      </c>
      <c r="I116" s="76">
        <v>133.6</v>
      </c>
      <c r="J116" s="76">
        <v>133.6</v>
      </c>
      <c r="K116" s="76">
        <v>133.6</v>
      </c>
      <c r="L116" s="76">
        <v>131</v>
      </c>
      <c r="M116" s="76">
        <v>131.9</v>
      </c>
      <c r="N116" s="76">
        <v>131.1</v>
      </c>
      <c r="O116" s="76">
        <v>132</v>
      </c>
      <c r="P116" s="76">
        <v>132.4</v>
      </c>
      <c r="Q116" s="76">
        <v>133.9</v>
      </c>
      <c r="R116" s="76">
        <v>134</v>
      </c>
      <c r="S116" s="76">
        <v>130.30000000000001</v>
      </c>
      <c r="T116" s="76">
        <v>130.30000000000001</v>
      </c>
      <c r="U116" s="76">
        <v>131.4</v>
      </c>
      <c r="V116" s="76">
        <v>131.19999999999999</v>
      </c>
      <c r="W116" s="76">
        <v>132.4</v>
      </c>
      <c r="X116" s="76">
        <v>131.30000000000001</v>
      </c>
      <c r="Y116" s="76">
        <v>131.30000000000001</v>
      </c>
      <c r="Z116" s="76">
        <v>130.5</v>
      </c>
      <c r="AA116" s="76">
        <v>129.5</v>
      </c>
      <c r="AB116" s="76">
        <v>129.5</v>
      </c>
      <c r="AC116" s="76">
        <v>131.69999999999999</v>
      </c>
      <c r="AD116" s="76">
        <v>132.1</v>
      </c>
      <c r="AE116" s="76">
        <v>132</v>
      </c>
      <c r="AF116" s="76">
        <v>132.80000000000001</v>
      </c>
      <c r="AG116" s="117"/>
      <c r="AH116" s="48">
        <f t="shared" si="45"/>
        <v>134</v>
      </c>
      <c r="AI116" s="49">
        <f t="shared" si="46"/>
        <v>129.5</v>
      </c>
    </row>
    <row r="117" spans="1:35" x14ac:dyDescent="0.25">
      <c r="A117" s="118" t="s">
        <v>137</v>
      </c>
      <c r="B117" s="119">
        <v>135.69999999999999</v>
      </c>
      <c r="C117" s="119">
        <v>133.1</v>
      </c>
      <c r="D117" s="119">
        <v>133.5</v>
      </c>
      <c r="E117" s="119">
        <v>133.5</v>
      </c>
      <c r="F117" s="119">
        <v>133.5</v>
      </c>
      <c r="G117" s="119">
        <v>133.5</v>
      </c>
      <c r="H117" s="119">
        <v>133.5</v>
      </c>
      <c r="I117" s="119">
        <v>133.5</v>
      </c>
      <c r="J117" s="119">
        <v>133.5</v>
      </c>
      <c r="K117" s="119">
        <v>133.5</v>
      </c>
      <c r="L117" s="119">
        <v>132.80000000000001</v>
      </c>
      <c r="M117" s="119">
        <v>129.5</v>
      </c>
      <c r="N117" s="119">
        <v>133.1</v>
      </c>
      <c r="O117" s="119">
        <v>134.30000000000001</v>
      </c>
      <c r="P117" s="119">
        <v>133.80000000000001</v>
      </c>
      <c r="Q117" s="119">
        <v>133.30000000000001</v>
      </c>
      <c r="R117" s="119">
        <v>133.9</v>
      </c>
      <c r="S117" s="119">
        <v>134</v>
      </c>
      <c r="T117" s="119">
        <v>135.4</v>
      </c>
      <c r="U117" s="119">
        <v>135.1</v>
      </c>
      <c r="V117" s="119">
        <v>135</v>
      </c>
      <c r="W117" s="119">
        <v>136.6</v>
      </c>
      <c r="X117" s="119">
        <v>135.5</v>
      </c>
      <c r="Y117" s="119">
        <v>135.80000000000001</v>
      </c>
      <c r="Z117" s="119">
        <v>131</v>
      </c>
      <c r="AA117" s="119">
        <v>131.4</v>
      </c>
      <c r="AB117" s="119">
        <v>131.4</v>
      </c>
      <c r="AC117" s="119">
        <v>134.1</v>
      </c>
      <c r="AD117" s="119">
        <v>134</v>
      </c>
      <c r="AE117" s="119">
        <v>133.1</v>
      </c>
      <c r="AF117" s="119">
        <v>134.19999999999999</v>
      </c>
      <c r="AG117" s="120"/>
      <c r="AH117" s="48">
        <f t="shared" si="45"/>
        <v>136.6</v>
      </c>
      <c r="AI117" s="49">
        <f t="shared" si="46"/>
        <v>129.5</v>
      </c>
    </row>
    <row r="118" spans="1:35" x14ac:dyDescent="0.25">
      <c r="A118" s="116" t="s">
        <v>138</v>
      </c>
      <c r="B118" s="76">
        <v>133.4</v>
      </c>
      <c r="C118" s="76">
        <v>122</v>
      </c>
      <c r="D118" s="76">
        <v>124.6</v>
      </c>
      <c r="E118" s="76">
        <v>124.6</v>
      </c>
      <c r="F118" s="76">
        <v>124.6</v>
      </c>
      <c r="G118" s="76">
        <v>124.6</v>
      </c>
      <c r="H118" s="76">
        <v>124.6</v>
      </c>
      <c r="I118" s="76">
        <v>124.6</v>
      </c>
      <c r="J118" s="76">
        <v>124.6</v>
      </c>
      <c r="K118" s="76">
        <v>124.6</v>
      </c>
      <c r="L118" s="76">
        <v>132.5</v>
      </c>
      <c r="M118" s="76">
        <v>121.6</v>
      </c>
      <c r="N118" s="76">
        <v>125.3</v>
      </c>
      <c r="O118" s="76">
        <v>132.80000000000001</v>
      </c>
      <c r="P118" s="76">
        <v>128</v>
      </c>
      <c r="Q118" s="76">
        <v>126.7</v>
      </c>
      <c r="R118" s="76">
        <v>129.6</v>
      </c>
      <c r="S118" s="76">
        <v>129.30000000000001</v>
      </c>
      <c r="T118" s="76">
        <v>128.69999999999999</v>
      </c>
      <c r="U118" s="76">
        <v>129.19999999999999</v>
      </c>
      <c r="V118" s="76">
        <v>130.69999999999999</v>
      </c>
      <c r="W118" s="76">
        <v>133.80000000000001</v>
      </c>
      <c r="X118" s="76">
        <v>132.5</v>
      </c>
      <c r="Y118" s="76">
        <v>134.30000000000001</v>
      </c>
      <c r="Z118" s="76">
        <v>124.8</v>
      </c>
      <c r="AA118" s="76">
        <v>126.6</v>
      </c>
      <c r="AB118" s="76">
        <v>126.6</v>
      </c>
      <c r="AC118" s="76">
        <v>127</v>
      </c>
      <c r="AD118" s="76">
        <v>126.3</v>
      </c>
      <c r="AE118" s="76">
        <v>129.1</v>
      </c>
      <c r="AF118" s="76">
        <v>127.7</v>
      </c>
      <c r="AG118" s="117"/>
      <c r="AH118" s="48">
        <f t="shared" si="45"/>
        <v>134.30000000000001</v>
      </c>
      <c r="AI118" s="49">
        <f t="shared" si="46"/>
        <v>121.6</v>
      </c>
    </row>
    <row r="119" spans="1:35" ht="15.75" thickBot="1" x14ac:dyDescent="0.3">
      <c r="A119" s="116" t="s">
        <v>139</v>
      </c>
      <c r="B119" s="105">
        <v>64.099999999999994</v>
      </c>
      <c r="C119" s="105">
        <v>63.9</v>
      </c>
      <c r="D119" s="105">
        <v>64.599999999999994</v>
      </c>
      <c r="E119" s="105">
        <v>64.599999999999994</v>
      </c>
      <c r="F119" s="105">
        <v>64.599999999999994</v>
      </c>
      <c r="G119" s="105">
        <v>64.3</v>
      </c>
      <c r="H119" s="105">
        <v>64.3</v>
      </c>
      <c r="I119" s="105">
        <v>64.3</v>
      </c>
      <c r="J119" s="105">
        <v>64.3</v>
      </c>
      <c r="K119" s="105">
        <v>64.3</v>
      </c>
      <c r="L119" s="105">
        <v>63.2</v>
      </c>
      <c r="M119" s="105">
        <v>62.8</v>
      </c>
      <c r="N119" s="105">
        <v>64</v>
      </c>
      <c r="O119" s="105">
        <v>64.2</v>
      </c>
      <c r="P119" s="105">
        <v>64.400000000000006</v>
      </c>
      <c r="Q119" s="105">
        <v>63.7</v>
      </c>
      <c r="R119" s="105">
        <v>63.5</v>
      </c>
      <c r="S119" s="105">
        <v>63.3</v>
      </c>
      <c r="T119" s="105">
        <v>63.5</v>
      </c>
      <c r="U119" s="105">
        <v>63.7</v>
      </c>
      <c r="V119" s="105">
        <v>64</v>
      </c>
      <c r="W119" s="105">
        <v>64.2</v>
      </c>
      <c r="X119" s="105">
        <v>64.400000000000006</v>
      </c>
      <c r="Y119" s="105">
        <v>64.3</v>
      </c>
      <c r="Z119" s="105">
        <v>64.099999999999994</v>
      </c>
      <c r="AA119" s="105">
        <v>63.7</v>
      </c>
      <c r="AB119" s="105">
        <v>63.7</v>
      </c>
      <c r="AC119" s="105">
        <v>64.5</v>
      </c>
      <c r="AD119" s="105">
        <v>65.099999999999994</v>
      </c>
      <c r="AE119" s="105">
        <v>65.3</v>
      </c>
      <c r="AF119" s="105">
        <v>65.400000000000006</v>
      </c>
      <c r="AG119" s="121"/>
      <c r="AH119" s="48">
        <f t="shared" si="45"/>
        <v>65.400000000000006</v>
      </c>
      <c r="AI119" s="49">
        <f t="shared" si="46"/>
        <v>62.8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 t="s">
        <v>140</v>
      </c>
      <c r="Z120" s="105" t="s">
        <v>140</v>
      </c>
      <c r="AA120" s="105" t="s">
        <v>140</v>
      </c>
      <c r="AB120" s="105"/>
      <c r="AC120" s="105"/>
      <c r="AD120" s="105"/>
      <c r="AE120" s="105"/>
      <c r="AF120" s="105"/>
      <c r="AG120" s="121"/>
      <c r="AH120" s="48">
        <f t="shared" si="45"/>
        <v>0</v>
      </c>
      <c r="AI120" s="49">
        <f t="shared" si="46"/>
        <v>0</v>
      </c>
    </row>
    <row r="121" spans="1:35" ht="15.75" thickBot="1" x14ac:dyDescent="0.3">
      <c r="A121" s="123" t="s">
        <v>141</v>
      </c>
      <c r="B121" s="124">
        <f t="shared" ref="B121:O121" si="129">SUM(B25,B31,B34:B35,B69,B71:B72,B74,B76,B122:B126,B158,B164,B170,B179,B181,B193,B200,B203:B204,B211,B213,B215,B219:B221,B223:B225,B230,B236:B237,B239:B241,B249,B254)</f>
        <v>69.139999999999972</v>
      </c>
      <c r="C121" s="124">
        <f t="shared" si="129"/>
        <v>60.539999999999978</v>
      </c>
      <c r="D121" s="124">
        <f t="shared" si="129"/>
        <v>54.439999999999969</v>
      </c>
      <c r="E121" s="124">
        <f t="shared" si="129"/>
        <v>87.239999999999966</v>
      </c>
      <c r="F121" s="124">
        <f t="shared" si="129"/>
        <v>72.039999999999964</v>
      </c>
      <c r="G121" s="124">
        <f t="shared" si="129"/>
        <v>85.139999999999986</v>
      </c>
      <c r="H121" s="124">
        <f t="shared" si="129"/>
        <v>101.64</v>
      </c>
      <c r="I121" s="124">
        <f t="shared" si="129"/>
        <v>128.64000000000001</v>
      </c>
      <c r="J121" s="124">
        <f t="shared" si="129"/>
        <v>138.63999999999996</v>
      </c>
      <c r="K121" s="124">
        <f t="shared" si="129"/>
        <v>226.13999999999996</v>
      </c>
      <c r="L121" s="124">
        <f t="shared" si="129"/>
        <v>244.83999999999997</v>
      </c>
      <c r="M121" s="124">
        <f t="shared" si="129"/>
        <v>189.64</v>
      </c>
      <c r="N121" s="124">
        <f t="shared" si="129"/>
        <v>215.03999999999996</v>
      </c>
      <c r="O121" s="124">
        <f t="shared" si="129"/>
        <v>228.53999999999996</v>
      </c>
      <c r="P121" s="124">
        <v>42</v>
      </c>
      <c r="Q121" s="124">
        <f t="shared" ref="Q121:X121" si="130">SUM(Q25,Q31,Q34:Q35,Q69,Q71:Q72,Q74,Q76,Q122:Q126,Q158,Q164,Q170,Q179,Q181,Q193,Q200,Q203:Q204,Q211,Q213,Q215,Q219:Q221,Q223:Q225,Q230,Q236:Q237,Q239:Q241,Q249,Q254)</f>
        <v>161.83999999999997</v>
      </c>
      <c r="R121" s="124">
        <f t="shared" si="130"/>
        <v>174.84</v>
      </c>
      <c r="S121" s="124">
        <f t="shared" ref="S121:T121" si="131">SUM(S25,S31,S34:S35,S69,S71:S72,S74,S76,S122:S126,S158,S164,S170,S179,S181,S193,S200,S203:S204,S211,S213,S215,S219:S221,S223:S225,S230,S236:S237,S239:S241,S249,S254)</f>
        <v>167.23999999999998</v>
      </c>
      <c r="T121" s="124">
        <f t="shared" si="131"/>
        <v>153.74</v>
      </c>
      <c r="U121" s="124">
        <f t="shared" ref="U121:V121" si="132">SUM(U25,U31,U34:U35,U69,U71:U72,U74,U76,U122:U126,U158,U164,U170,U179,U181,U193,U200,U203:U204,U211,U213,U215,U219:U221,U223:U225,U230,U236:U237,U239:U241,U249,U254)</f>
        <v>162.63999999999999</v>
      </c>
      <c r="V121" s="124">
        <f t="shared" si="132"/>
        <v>194.16000000000005</v>
      </c>
      <c r="W121" s="124">
        <f t="shared" ref="W121" si="133">SUM(W25,W31,W34:W35,W69,W71:W72,W74,W76,W122:W126,W158,W164,W170,W179,W181,W193,W200,W203:W204,W211,W213,W215,W219:W221,W223:W225,W230,W236:W237,W239:W241,W249,W254)</f>
        <v>196.54000000000002</v>
      </c>
      <c r="X121" s="124">
        <f t="shared" si="130"/>
        <v>178.83999999999997</v>
      </c>
      <c r="Y121" s="124">
        <f t="shared" ref="Y121:Z121" si="134">SUM(Y25,Y31,Y34:Y35,Y69,Y71:Y72,Y74,Y76,Y122:Y126,Y158,Y164,Y170,Y179,Y181,Y193,Y200,Y203:Y204,Y211,Y213,Y215,Y219:Y221,Y223:Y225,Y230,Y236:Y237,Y239:Y241,Y249,Y254)</f>
        <v>251.94</v>
      </c>
      <c r="Z121" s="124">
        <f t="shared" si="134"/>
        <v>261.43999999999994</v>
      </c>
      <c r="AA121" s="124">
        <f t="shared" ref="AA121" si="135">SUM(AA25,AA31,AA34:AA35,AA69,AA71:AA72,AA74,AA76,AA122:AA126,AA158,AA164,AA170,AA179,AA181,AA193,AA200,AA203:AA204,AA211,AA213,AA215,AA219:AA221,AA223:AA225,AA230,AA236:AA237,AA239:AA241,AA249,AA254)</f>
        <v>299.94</v>
      </c>
      <c r="AB121" s="124">
        <f t="shared" ref="AB121:AF121" si="136">SUM(AB25,AB31,AB34:AB35,AB69,AB71:AB72,AB74,AB76,AB122:AB126,AB158,AB164,AB170,AB179,AB181,AB193,AB200,AB203:AB204,AB211,AB213,AB215,AB219:AB221,AB223:AB225,AB230,AB236:AB237,AB239:AB241,AB249,AB254)</f>
        <v>279.03999999999996</v>
      </c>
      <c r="AC121" s="124">
        <f t="shared" si="136"/>
        <v>211.24</v>
      </c>
      <c r="AD121" s="124">
        <f t="shared" si="136"/>
        <v>202.03999999999996</v>
      </c>
      <c r="AE121" s="124">
        <f t="shared" si="136"/>
        <v>123.14000000000001</v>
      </c>
      <c r="AF121" s="124">
        <f t="shared" si="136"/>
        <v>87.439999999999955</v>
      </c>
      <c r="AG121" s="125"/>
      <c r="AH121" s="48">
        <f t="shared" si="45"/>
        <v>299.94</v>
      </c>
      <c r="AI121" s="49">
        <f t="shared" si="46"/>
        <v>42</v>
      </c>
    </row>
    <row r="122" spans="1:35" x14ac:dyDescent="0.25">
      <c r="A122" s="126" t="s">
        <v>142</v>
      </c>
      <c r="B122" s="127">
        <v>22.2</v>
      </c>
      <c r="C122" s="127">
        <v>31.2</v>
      </c>
      <c r="D122" s="127">
        <v>9.4</v>
      </c>
      <c r="E122" s="127">
        <v>27.9</v>
      </c>
      <c r="F122" s="127">
        <v>26.6</v>
      </c>
      <c r="G122" s="127">
        <v>33.9</v>
      </c>
      <c r="H122" s="127">
        <v>31.6</v>
      </c>
      <c r="I122" s="127">
        <v>37.4</v>
      </c>
      <c r="J122" s="127">
        <v>37.4</v>
      </c>
      <c r="K122" s="127">
        <v>55.2</v>
      </c>
      <c r="L122" s="127">
        <v>66.8</v>
      </c>
      <c r="M122" s="127">
        <v>57.9</v>
      </c>
      <c r="N122" s="127">
        <v>51.1</v>
      </c>
      <c r="O122" s="127">
        <v>57</v>
      </c>
      <c r="P122" s="127">
        <v>37.799999999999997</v>
      </c>
      <c r="Q122" s="127">
        <v>56.1</v>
      </c>
      <c r="R122" s="127">
        <v>78.7</v>
      </c>
      <c r="S122" s="127">
        <v>41.9</v>
      </c>
      <c r="T122" s="127">
        <v>41.1</v>
      </c>
      <c r="U122" s="127">
        <v>52.3</v>
      </c>
      <c r="V122" s="127">
        <v>56.5</v>
      </c>
      <c r="W122" s="127">
        <v>57</v>
      </c>
      <c r="X122" s="127">
        <v>60.5</v>
      </c>
      <c r="Y122" s="127">
        <v>79.400000000000006</v>
      </c>
      <c r="Z122" s="127">
        <v>76.099999999999994</v>
      </c>
      <c r="AA122" s="127">
        <v>67.900000000000006</v>
      </c>
      <c r="AB122" s="127">
        <v>78.8</v>
      </c>
      <c r="AC122" s="127">
        <v>71.2</v>
      </c>
      <c r="AD122" s="127">
        <v>57.9</v>
      </c>
      <c r="AE122" s="127">
        <v>44.7</v>
      </c>
      <c r="AF122" s="127">
        <v>32.1</v>
      </c>
      <c r="AG122" s="128">
        <v>75</v>
      </c>
      <c r="AH122" s="48">
        <f t="shared" si="45"/>
        <v>79.400000000000006</v>
      </c>
      <c r="AI122" s="49">
        <f t="shared" si="46"/>
        <v>9.4</v>
      </c>
    </row>
    <row r="123" spans="1:35" x14ac:dyDescent="0.25">
      <c r="A123" s="129" t="s">
        <v>143</v>
      </c>
      <c r="B123" s="130">
        <v>46.5</v>
      </c>
      <c r="C123" s="130">
        <v>57.3</v>
      </c>
      <c r="D123" s="130">
        <v>26.2</v>
      </c>
      <c r="E123" s="130">
        <v>52.7</v>
      </c>
      <c r="F123" s="130">
        <v>42</v>
      </c>
      <c r="G123" s="130">
        <v>52.8</v>
      </c>
      <c r="H123" s="130">
        <v>51.4</v>
      </c>
      <c r="I123" s="130">
        <v>56.4</v>
      </c>
      <c r="J123" s="130">
        <v>56.4</v>
      </c>
      <c r="K123" s="130">
        <v>85.1</v>
      </c>
      <c r="L123" s="130">
        <v>98.7</v>
      </c>
      <c r="M123" s="130">
        <v>88.3</v>
      </c>
      <c r="N123" s="130">
        <v>79.5</v>
      </c>
      <c r="O123" s="130">
        <v>88.7</v>
      </c>
      <c r="P123" s="130">
        <v>62.5</v>
      </c>
      <c r="Q123" s="130">
        <v>88</v>
      </c>
      <c r="R123" s="130">
        <v>117</v>
      </c>
      <c r="S123" s="130">
        <v>67.7</v>
      </c>
      <c r="T123" s="130">
        <v>64.900000000000006</v>
      </c>
      <c r="U123" s="130">
        <v>80</v>
      </c>
      <c r="V123" s="130">
        <v>82.9</v>
      </c>
      <c r="W123" s="130">
        <v>85</v>
      </c>
      <c r="X123" s="130">
        <v>88.4</v>
      </c>
      <c r="Y123" s="130">
        <v>114.7</v>
      </c>
      <c r="Z123" s="130">
        <v>113.9</v>
      </c>
      <c r="AA123" s="130">
        <v>101.2</v>
      </c>
      <c r="AB123" s="130">
        <v>117</v>
      </c>
      <c r="AC123" s="130">
        <v>104</v>
      </c>
      <c r="AD123" s="130">
        <v>87.6</v>
      </c>
      <c r="AE123" s="130">
        <v>69.8</v>
      </c>
      <c r="AF123" s="130">
        <v>54.5</v>
      </c>
      <c r="AG123" s="128">
        <v>240</v>
      </c>
      <c r="AH123" s="48">
        <f t="shared" si="45"/>
        <v>117</v>
      </c>
      <c r="AI123" s="49">
        <f t="shared" si="46"/>
        <v>26.2</v>
      </c>
    </row>
    <row r="124" spans="1:35" x14ac:dyDescent="0.25">
      <c r="A124" s="129" t="s">
        <v>144</v>
      </c>
      <c r="B124" s="130">
        <v>-154</v>
      </c>
      <c r="C124" s="130">
        <v>-175</v>
      </c>
      <c r="D124" s="130">
        <v>-134</v>
      </c>
      <c r="E124" s="130">
        <v>-150</v>
      </c>
      <c r="F124" s="130">
        <v>-145</v>
      </c>
      <c r="G124" s="130">
        <v>-150</v>
      </c>
      <c r="H124" s="130">
        <v>-128</v>
      </c>
      <c r="I124" s="130">
        <v>-116</v>
      </c>
      <c r="J124" s="130">
        <v>-116</v>
      </c>
      <c r="K124" s="130">
        <v>-138</v>
      </c>
      <c r="L124" s="130">
        <v>-152</v>
      </c>
      <c r="M124" s="130">
        <f>-66.7-70</f>
        <v>-136.69999999999999</v>
      </c>
      <c r="N124" s="130">
        <f>-66.9-70.2</f>
        <v>-137.10000000000002</v>
      </c>
      <c r="O124" s="130">
        <f>-66-69</f>
        <v>-135</v>
      </c>
      <c r="P124" s="130">
        <f>-58-62</f>
        <v>-120</v>
      </c>
      <c r="Q124" s="130">
        <f>-54-56</f>
        <v>-110</v>
      </c>
      <c r="R124" s="130">
        <f>-69-72.6</f>
        <v>-141.6</v>
      </c>
      <c r="S124" s="130">
        <v>-130.1</v>
      </c>
      <c r="T124" s="130">
        <v>-123.7</v>
      </c>
      <c r="U124" s="130">
        <v>-141</v>
      </c>
      <c r="V124" s="130">
        <v>-142.38</v>
      </c>
      <c r="W124" s="130">
        <v>-144.1</v>
      </c>
      <c r="X124" s="130">
        <f>-65.7-69.8</f>
        <v>-135.5</v>
      </c>
      <c r="Y124" s="130">
        <v>-153.1</v>
      </c>
      <c r="Z124" s="130">
        <v>-145.69999999999999</v>
      </c>
      <c r="AA124" s="130">
        <v>-128.9</v>
      </c>
      <c r="AB124" s="130">
        <v>-150</v>
      </c>
      <c r="AC124" s="130">
        <v>-151</v>
      </c>
      <c r="AD124" s="130">
        <v>-142</v>
      </c>
      <c r="AE124" s="130">
        <v>-158</v>
      </c>
      <c r="AF124" s="130">
        <v>-160</v>
      </c>
      <c r="AG124" s="128">
        <v>240</v>
      </c>
      <c r="AH124" s="48">
        <f t="shared" si="45"/>
        <v>-110</v>
      </c>
      <c r="AI124" s="49">
        <f t="shared" si="46"/>
        <v>-175</v>
      </c>
    </row>
    <row r="125" spans="1:35" ht="15.75" thickBot="1" x14ac:dyDescent="0.3">
      <c r="A125" s="129" t="s">
        <v>145</v>
      </c>
      <c r="B125" s="130">
        <v>-19.7</v>
      </c>
      <c r="C125" s="130">
        <v>-28.3</v>
      </c>
      <c r="D125" s="130">
        <v>-22.5</v>
      </c>
      <c r="E125" s="130">
        <v>-17.8</v>
      </c>
      <c r="F125" s="130">
        <v>-16</v>
      </c>
      <c r="G125" s="130">
        <v>-16</v>
      </c>
      <c r="H125" s="130">
        <v>-12.8</v>
      </c>
      <c r="I125" s="130">
        <v>-8.6</v>
      </c>
      <c r="J125" s="130">
        <v>-8.6</v>
      </c>
      <c r="K125" s="130">
        <v>-5.6</v>
      </c>
      <c r="L125" s="130">
        <v>-8</v>
      </c>
      <c r="M125" s="130">
        <v>-5.3</v>
      </c>
      <c r="N125" s="130">
        <v>-6</v>
      </c>
      <c r="O125" s="130">
        <v>-3.9</v>
      </c>
      <c r="P125" s="130">
        <v>1.2</v>
      </c>
      <c r="Q125" s="130">
        <v>-2</v>
      </c>
      <c r="R125" s="130">
        <v>-9.3000000000000007</v>
      </c>
      <c r="S125" s="130">
        <v>-5.5</v>
      </c>
      <c r="T125" s="130">
        <v>-3.2</v>
      </c>
      <c r="U125" s="130">
        <v>-4.2</v>
      </c>
      <c r="V125" s="130">
        <v>-5.0999999999999996</v>
      </c>
      <c r="W125" s="130">
        <v>-5.0999999999999996</v>
      </c>
      <c r="X125" s="130">
        <v>-1</v>
      </c>
      <c r="Y125" s="130">
        <v>-1.2</v>
      </c>
      <c r="Z125" s="130">
        <v>-2.4</v>
      </c>
      <c r="AA125" s="130">
        <v>0.4</v>
      </c>
      <c r="AB125" s="130">
        <v>-4.8</v>
      </c>
      <c r="AC125" s="130">
        <v>0.3</v>
      </c>
      <c r="AD125" s="130">
        <v>0.9</v>
      </c>
      <c r="AE125" s="130">
        <v>-4.5999999999999996</v>
      </c>
      <c r="AF125" s="130">
        <v>-10.3</v>
      </c>
      <c r="AG125" s="128">
        <v>60</v>
      </c>
      <c r="AH125" s="48">
        <f t="shared" si="45"/>
        <v>1.2</v>
      </c>
      <c r="AI125" s="49">
        <f t="shared" si="46"/>
        <v>-28.3</v>
      </c>
    </row>
    <row r="126" spans="1:35" x14ac:dyDescent="0.25">
      <c r="A126" s="126" t="s">
        <v>146</v>
      </c>
      <c r="B126" s="131">
        <v>0</v>
      </c>
      <c r="C126" s="131">
        <v>0</v>
      </c>
      <c r="D126" s="131">
        <v>0</v>
      </c>
      <c r="E126" s="131">
        <v>0</v>
      </c>
      <c r="F126" s="131">
        <v>0</v>
      </c>
      <c r="G126" s="131">
        <v>0</v>
      </c>
      <c r="H126" s="131">
        <v>0</v>
      </c>
      <c r="I126" s="131">
        <v>0</v>
      </c>
      <c r="J126" s="131">
        <v>0</v>
      </c>
      <c r="K126" s="131">
        <v>45</v>
      </c>
      <c r="L126" s="131">
        <v>53.5</v>
      </c>
      <c r="M126" s="131"/>
      <c r="N126" s="131">
        <v>39.700000000000003</v>
      </c>
      <c r="O126" s="131">
        <v>33.9</v>
      </c>
      <c r="P126" s="131">
        <v>40.5</v>
      </c>
      <c r="Q126" s="131"/>
      <c r="R126" s="131"/>
      <c r="S126" s="131"/>
      <c r="T126" s="131"/>
      <c r="U126" s="131"/>
      <c r="V126" s="131">
        <v>28.5</v>
      </c>
      <c r="W126" s="131">
        <v>30</v>
      </c>
      <c r="X126" s="131"/>
      <c r="Y126" s="131">
        <v>33.799999999999997</v>
      </c>
      <c r="Z126" s="131">
        <v>33.799999999999997</v>
      </c>
      <c r="AA126" s="131">
        <v>73.599999999999994</v>
      </c>
      <c r="AB126" s="131">
        <v>51.3</v>
      </c>
      <c r="AC126" s="131"/>
      <c r="AD126" s="131">
        <v>26.4</v>
      </c>
      <c r="AE126" s="131"/>
      <c r="AF126" s="131">
        <v>0</v>
      </c>
      <c r="AG126" s="132">
        <v>120</v>
      </c>
      <c r="AH126" s="48">
        <f t="shared" si="45"/>
        <v>73.599999999999994</v>
      </c>
      <c r="AI126" s="49">
        <f t="shared" si="46"/>
        <v>0</v>
      </c>
    </row>
    <row r="127" spans="1:35" x14ac:dyDescent="0.25">
      <c r="A127" s="129" t="s">
        <v>147</v>
      </c>
      <c r="B127" s="131">
        <v>75.3</v>
      </c>
      <c r="C127" s="131">
        <v>75.2</v>
      </c>
      <c r="D127" s="131">
        <v>75.2</v>
      </c>
      <c r="E127" s="131">
        <v>75.2</v>
      </c>
      <c r="F127" s="131">
        <v>75</v>
      </c>
      <c r="G127" s="131">
        <v>75.2</v>
      </c>
      <c r="H127" s="131">
        <v>75</v>
      </c>
      <c r="I127" s="131">
        <v>65.8</v>
      </c>
      <c r="J127" s="131">
        <v>65.8</v>
      </c>
      <c r="K127" s="131">
        <v>99.4</v>
      </c>
      <c r="L127" s="131">
        <v>101.8</v>
      </c>
      <c r="M127" s="131">
        <v>106.5</v>
      </c>
      <c r="N127" s="131">
        <v>94.6</v>
      </c>
      <c r="O127" s="131">
        <v>91.8</v>
      </c>
      <c r="P127" s="131">
        <v>94.8</v>
      </c>
      <c r="Q127" s="131">
        <v>99.1</v>
      </c>
      <c r="R127" s="131">
        <v>89</v>
      </c>
      <c r="S127" s="131">
        <v>75.599999999999994</v>
      </c>
      <c r="T127" s="131">
        <v>88.9</v>
      </c>
      <c r="U127" s="131">
        <v>89.1</v>
      </c>
      <c r="V127" s="131">
        <v>40.5</v>
      </c>
      <c r="W127" s="131">
        <v>40.6</v>
      </c>
      <c r="X127" s="131">
        <v>79.5</v>
      </c>
      <c r="Y127" s="131">
        <v>32.1</v>
      </c>
      <c r="Z127" s="131">
        <v>36.5</v>
      </c>
      <c r="AA127" s="131">
        <v>43.9</v>
      </c>
      <c r="AB127" s="131">
        <v>84.5</v>
      </c>
      <c r="AC127" s="131">
        <v>77.599999999999994</v>
      </c>
      <c r="AD127" s="131">
        <v>78.900000000000006</v>
      </c>
      <c r="AE127" s="131">
        <v>78.5</v>
      </c>
      <c r="AF127" s="131">
        <v>75.5</v>
      </c>
      <c r="AG127" s="132"/>
      <c r="AH127" s="48">
        <f t="shared" si="45"/>
        <v>106.5</v>
      </c>
      <c r="AI127" s="49">
        <f t="shared" si="46"/>
        <v>32.1</v>
      </c>
    </row>
    <row r="128" spans="1:35" x14ac:dyDescent="0.25">
      <c r="A128" s="129" t="s">
        <v>148</v>
      </c>
      <c r="B128" s="131">
        <v>61.4</v>
      </c>
      <c r="C128" s="131">
        <v>57.7</v>
      </c>
      <c r="D128" s="131">
        <v>64.5</v>
      </c>
      <c r="E128" s="131">
        <v>54.7</v>
      </c>
      <c r="F128" s="131">
        <v>56.7</v>
      </c>
      <c r="G128" s="131">
        <v>54.8</v>
      </c>
      <c r="H128" s="131">
        <v>44.3</v>
      </c>
      <c r="I128" s="131">
        <v>30.7</v>
      </c>
      <c r="J128" s="131">
        <v>30.7</v>
      </c>
      <c r="K128" s="131">
        <v>37.6</v>
      </c>
      <c r="L128" s="131">
        <v>23.9</v>
      </c>
      <c r="M128" s="131">
        <v>28.8</v>
      </c>
      <c r="N128" s="131">
        <v>32.299999999999997</v>
      </c>
      <c r="O128" s="131">
        <v>23.6</v>
      </c>
      <c r="P128" s="131">
        <v>41.2</v>
      </c>
      <c r="Q128" s="131">
        <v>51</v>
      </c>
      <c r="R128" s="131">
        <v>33</v>
      </c>
      <c r="S128" s="131">
        <v>42.5</v>
      </c>
      <c r="T128" s="131">
        <v>46.2</v>
      </c>
      <c r="U128" s="131">
        <v>30.9</v>
      </c>
      <c r="V128" s="131">
        <v>27.8</v>
      </c>
      <c r="W128" s="131">
        <v>26.2</v>
      </c>
      <c r="X128" s="131">
        <v>5.9</v>
      </c>
      <c r="Y128" s="131">
        <v>-12.3</v>
      </c>
      <c r="Z128" s="131">
        <v>-3.2</v>
      </c>
      <c r="AA128" s="131">
        <v>0.7</v>
      </c>
      <c r="AB128" s="131">
        <v>-6.6</v>
      </c>
      <c r="AC128" s="131">
        <v>8</v>
      </c>
      <c r="AD128" s="131">
        <v>13.1</v>
      </c>
      <c r="AE128" s="131">
        <v>46.8</v>
      </c>
      <c r="AF128" s="131">
        <v>57.3</v>
      </c>
      <c r="AG128" s="132"/>
      <c r="AH128" s="48">
        <f t="shared" si="45"/>
        <v>64.5</v>
      </c>
      <c r="AI128" s="49">
        <f t="shared" si="46"/>
        <v>-12.3</v>
      </c>
    </row>
    <row r="129" spans="1:37" ht="15.75" thickBot="1" x14ac:dyDescent="0.3">
      <c r="A129" s="129" t="s">
        <v>149</v>
      </c>
      <c r="B129" s="131">
        <v>43.8</v>
      </c>
      <c r="C129" s="131">
        <v>42.4</v>
      </c>
      <c r="D129" s="131">
        <v>64.5</v>
      </c>
      <c r="E129" s="131">
        <v>63.6</v>
      </c>
      <c r="F129" s="131">
        <v>65</v>
      </c>
      <c r="G129" s="131">
        <v>52.7</v>
      </c>
      <c r="H129" s="131">
        <v>50.3</v>
      </c>
      <c r="I129" s="131">
        <v>49.9</v>
      </c>
      <c r="J129" s="131">
        <v>49.9</v>
      </c>
      <c r="K129" s="131">
        <v>47.4</v>
      </c>
      <c r="L129" s="131">
        <v>46.4</v>
      </c>
      <c r="M129" s="131">
        <v>51.8</v>
      </c>
      <c r="N129" s="131">
        <v>43.5</v>
      </c>
      <c r="O129" s="131">
        <v>33.5</v>
      </c>
      <c r="P129" s="131">
        <v>33</v>
      </c>
      <c r="Q129" s="131">
        <v>36.799999999999997</v>
      </c>
      <c r="R129" s="131">
        <v>30.5</v>
      </c>
      <c r="S129" s="131">
        <v>42.1</v>
      </c>
      <c r="T129" s="131">
        <v>0</v>
      </c>
      <c r="U129" s="131">
        <v>0</v>
      </c>
      <c r="V129" s="131">
        <v>33.6</v>
      </c>
      <c r="W129" s="131">
        <v>37.299999999999997</v>
      </c>
      <c r="X129" s="131">
        <v>29.1</v>
      </c>
      <c r="Y129" s="131">
        <v>28.5</v>
      </c>
      <c r="Z129" s="131">
        <v>37.799999999999997</v>
      </c>
      <c r="AA129" s="131">
        <v>42.7</v>
      </c>
      <c r="AB129" s="131">
        <v>37.6</v>
      </c>
      <c r="AC129" s="131">
        <v>33.799999999999997</v>
      </c>
      <c r="AD129" s="131">
        <v>26.7</v>
      </c>
      <c r="AE129" s="131">
        <v>22.6</v>
      </c>
      <c r="AF129" s="131">
        <v>21.7</v>
      </c>
      <c r="AG129" s="128"/>
      <c r="AH129" s="48">
        <f>MAX(B129:AF129)</f>
        <v>65</v>
      </c>
      <c r="AI129" s="49">
        <f>MIN(B129:AF129)</f>
        <v>0</v>
      </c>
    </row>
    <row r="130" spans="1:37" x14ac:dyDescent="0.25">
      <c r="A130" s="126" t="s">
        <v>150</v>
      </c>
      <c r="B130" s="131">
        <v>-359.4</v>
      </c>
      <c r="C130" s="131">
        <v>-356.6</v>
      </c>
      <c r="D130" s="131">
        <v>-359.6</v>
      </c>
      <c r="E130" s="131">
        <v>-356</v>
      </c>
      <c r="F130" s="131">
        <v>-355.8</v>
      </c>
      <c r="G130" s="131">
        <v>-358.9</v>
      </c>
      <c r="H130" s="131">
        <v>-352.2</v>
      </c>
      <c r="I130" s="131">
        <v>-355.4</v>
      </c>
      <c r="J130" s="131">
        <v>-355.4</v>
      </c>
      <c r="K130" s="131">
        <v>-333.8</v>
      </c>
      <c r="L130" s="131">
        <v>-346.4</v>
      </c>
      <c r="M130" s="131">
        <v>-334.7</v>
      </c>
      <c r="N130" s="131">
        <v>-334.2</v>
      </c>
      <c r="O130" s="131">
        <v>-339.3</v>
      </c>
      <c r="P130" s="131">
        <v>-335.5</v>
      </c>
      <c r="Q130" s="131">
        <v>-330.9</v>
      </c>
      <c r="R130" s="131">
        <v>-341.7</v>
      </c>
      <c r="S130" s="131">
        <v>-334.7</v>
      </c>
      <c r="T130" s="131">
        <v>-321.60000000000002</v>
      </c>
      <c r="U130" s="131">
        <v>-337.4</v>
      </c>
      <c r="V130" s="131">
        <v>-336.1</v>
      </c>
      <c r="W130" s="131">
        <v>-333.4</v>
      </c>
      <c r="X130" s="131">
        <v>-326.8</v>
      </c>
      <c r="Y130" s="131">
        <v>-325.7</v>
      </c>
      <c r="Z130" s="131">
        <v>-329.1</v>
      </c>
      <c r="AA130" s="131">
        <v>-345.8</v>
      </c>
      <c r="AB130" s="131">
        <v>-342.9</v>
      </c>
      <c r="AC130" s="131">
        <v>-343.8</v>
      </c>
      <c r="AD130" s="131">
        <v>-345.8</v>
      </c>
      <c r="AE130" s="131">
        <v>-357.1</v>
      </c>
      <c r="AF130" s="131">
        <v>-354.6</v>
      </c>
      <c r="AG130" s="128"/>
      <c r="AH130" s="48">
        <f>MAX(B130:AF130)</f>
        <v>-321.60000000000002</v>
      </c>
      <c r="AI130" s="49">
        <f>MIN(B130:AF130)</f>
        <v>-359.6</v>
      </c>
    </row>
    <row r="131" spans="1:37" x14ac:dyDescent="0.25">
      <c r="A131" s="129" t="s">
        <v>151</v>
      </c>
      <c r="B131" s="119">
        <v>94.3</v>
      </c>
      <c r="C131" s="119">
        <v>102</v>
      </c>
      <c r="D131" s="119">
        <v>105.8</v>
      </c>
      <c r="E131" s="119">
        <v>108.7</v>
      </c>
      <c r="F131" s="119">
        <v>109.8</v>
      </c>
      <c r="G131" s="119">
        <v>109.7</v>
      </c>
      <c r="H131" s="119">
        <v>102.9</v>
      </c>
      <c r="I131" s="119">
        <v>112</v>
      </c>
      <c r="J131" s="119">
        <v>112</v>
      </c>
      <c r="K131" s="119">
        <v>91.4</v>
      </c>
      <c r="L131" s="119">
        <v>86.6</v>
      </c>
      <c r="M131" s="119">
        <v>77.7</v>
      </c>
      <c r="N131" s="119">
        <v>56.7</v>
      </c>
      <c r="O131" s="119">
        <v>72.599999999999994</v>
      </c>
      <c r="P131" s="119">
        <v>75.099999999999994</v>
      </c>
      <c r="Q131" s="119">
        <v>76.2</v>
      </c>
      <c r="R131" s="119">
        <v>75.900000000000006</v>
      </c>
      <c r="S131" s="119">
        <v>34.9</v>
      </c>
      <c r="T131" s="119">
        <v>97.2</v>
      </c>
      <c r="U131" s="119">
        <v>86.2</v>
      </c>
      <c r="V131" s="119">
        <v>78.2</v>
      </c>
      <c r="W131" s="119">
        <v>86.8</v>
      </c>
      <c r="X131" s="119">
        <v>94.2</v>
      </c>
      <c r="Y131" s="119">
        <v>97.2</v>
      </c>
      <c r="Z131" s="119">
        <v>82.9</v>
      </c>
      <c r="AA131" s="119">
        <v>82.4</v>
      </c>
      <c r="AB131" s="119">
        <v>82.6</v>
      </c>
      <c r="AC131" s="119">
        <v>86.4</v>
      </c>
      <c r="AD131" s="119">
        <v>87.4</v>
      </c>
      <c r="AE131" s="119">
        <v>96</v>
      </c>
      <c r="AF131" s="119">
        <v>100.8</v>
      </c>
      <c r="AG131" s="128"/>
      <c r="AH131" s="48">
        <f>MAX(B131:AF131)</f>
        <v>112</v>
      </c>
      <c r="AI131" s="49">
        <f>MIN(B131:AF131)</f>
        <v>34.9</v>
      </c>
    </row>
    <row r="132" spans="1:37" x14ac:dyDescent="0.25">
      <c r="A132" s="129" t="s">
        <v>152</v>
      </c>
      <c r="B132" s="119">
        <v>-28.9</v>
      </c>
      <c r="C132" s="119">
        <v>-28.6</v>
      </c>
      <c r="D132" s="119">
        <v>-31.2</v>
      </c>
      <c r="E132" s="119">
        <v>-32</v>
      </c>
      <c r="F132" s="119">
        <v>-32.299999999999997</v>
      </c>
      <c r="G132" s="119">
        <v>-33</v>
      </c>
      <c r="H132" s="119">
        <v>-33.799999999999997</v>
      </c>
      <c r="I132" s="119">
        <v>-33.9</v>
      </c>
      <c r="J132" s="119">
        <v>-33.9</v>
      </c>
      <c r="K132" s="119">
        <v>-30.4</v>
      </c>
      <c r="L132" s="119">
        <v>-28.1</v>
      </c>
      <c r="M132" s="119">
        <v>-29.2</v>
      </c>
      <c r="N132" s="119">
        <v>-28.7</v>
      </c>
      <c r="O132" s="119">
        <v>-28.7</v>
      </c>
      <c r="P132" s="119">
        <v>-25.8</v>
      </c>
      <c r="Q132" s="119">
        <v>-28</v>
      </c>
      <c r="R132" s="119">
        <v>-25.8</v>
      </c>
      <c r="S132" s="119">
        <v>-24.4</v>
      </c>
      <c r="T132" s="119">
        <v>-32.6</v>
      </c>
      <c r="U132" s="119">
        <v>-27.9</v>
      </c>
      <c r="V132" s="119">
        <v>-30.4</v>
      </c>
      <c r="W132" s="119">
        <v>-34.6</v>
      </c>
      <c r="X132" s="119">
        <v>-33.6</v>
      </c>
      <c r="Y132" s="119">
        <v>-34.700000000000003</v>
      </c>
      <c r="Z132" s="119">
        <v>-30.9</v>
      </c>
      <c r="AA132" s="119">
        <v>-28.7</v>
      </c>
      <c r="AB132" s="119">
        <v>-24.6</v>
      </c>
      <c r="AC132" s="119">
        <v>-23.6</v>
      </c>
      <c r="AD132" s="119">
        <v>-23.7</v>
      </c>
      <c r="AE132" s="119">
        <v>-25.1</v>
      </c>
      <c r="AF132" s="119">
        <v>-25.9</v>
      </c>
      <c r="AG132" s="128"/>
      <c r="AH132" s="48">
        <f>MAX(B132:AF132)</f>
        <v>-23.6</v>
      </c>
      <c r="AI132" s="49">
        <f>MIN(B132:AF132)</f>
        <v>-34.700000000000003</v>
      </c>
    </row>
    <row r="133" spans="1:37" ht="15.75" thickBot="1" x14ac:dyDescent="0.3">
      <c r="A133" s="129" t="s">
        <v>153</v>
      </c>
      <c r="B133" s="119">
        <v>40.299999999999997</v>
      </c>
      <c r="C133" s="119">
        <v>39</v>
      </c>
      <c r="D133" s="119">
        <v>36</v>
      </c>
      <c r="E133" s="119">
        <v>37.299999999999997</v>
      </c>
      <c r="F133" s="119">
        <v>36.799999999999997</v>
      </c>
      <c r="G133" s="119">
        <v>34.299999999999997</v>
      </c>
      <c r="H133" s="119">
        <v>33.9</v>
      </c>
      <c r="I133" s="119">
        <v>33.200000000000003</v>
      </c>
      <c r="J133" s="119">
        <v>33.200000000000003</v>
      </c>
      <c r="K133" s="119">
        <v>38.6</v>
      </c>
      <c r="L133" s="119">
        <v>42.7</v>
      </c>
      <c r="M133" s="119">
        <v>37.5</v>
      </c>
      <c r="N133" s="119">
        <v>41.3</v>
      </c>
      <c r="O133" s="119">
        <v>41.8</v>
      </c>
      <c r="P133" s="119">
        <v>42.5</v>
      </c>
      <c r="Q133" s="119">
        <v>41</v>
      </c>
      <c r="R133" s="119">
        <v>44</v>
      </c>
      <c r="S133" s="119">
        <v>42.3</v>
      </c>
      <c r="T133" s="119">
        <v>39.9</v>
      </c>
      <c r="U133" s="119">
        <v>41.9</v>
      </c>
      <c r="V133" s="119">
        <v>41.5</v>
      </c>
      <c r="W133" s="119">
        <v>37</v>
      </c>
      <c r="X133" s="119">
        <v>37.6</v>
      </c>
      <c r="Y133" s="119">
        <v>36</v>
      </c>
      <c r="Z133" s="119">
        <v>39.6</v>
      </c>
      <c r="AA133" s="119">
        <v>41.1</v>
      </c>
      <c r="AB133" s="119">
        <v>42.8</v>
      </c>
      <c r="AC133" s="119">
        <v>46.3</v>
      </c>
      <c r="AD133" s="119">
        <v>46.1</v>
      </c>
      <c r="AE133" s="119">
        <v>44.7</v>
      </c>
      <c r="AF133" s="119">
        <v>44.5</v>
      </c>
      <c r="AG133" s="128"/>
      <c r="AH133" s="48">
        <f>MAX(B133:AF133)</f>
        <v>46.3</v>
      </c>
      <c r="AI133" s="49">
        <f>MIN(B133:AF133)</f>
        <v>33.200000000000003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>
        <v>1496.6</v>
      </c>
      <c r="F140" s="142"/>
      <c r="G140" s="142"/>
      <c r="H140" s="142"/>
      <c r="I140" s="142">
        <v>1496.69</v>
      </c>
      <c r="J140" s="142"/>
      <c r="K140" s="142"/>
      <c r="L140" s="142"/>
      <c r="M140" s="142"/>
      <c r="N140" s="142">
        <v>1496.78</v>
      </c>
      <c r="O140" s="142"/>
      <c r="P140" s="142">
        <v>1496.86</v>
      </c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>
        <v>1497.46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37">SUM(B142:B246)</f>
        <v>0</v>
      </c>
      <c r="C247" s="161">
        <f t="shared" si="137"/>
        <v>0</v>
      </c>
      <c r="D247" s="161">
        <f t="shared" si="137"/>
        <v>0</v>
      </c>
      <c r="E247" s="161">
        <f t="shared" si="137"/>
        <v>0</v>
      </c>
      <c r="F247" s="161">
        <f t="shared" si="137"/>
        <v>0</v>
      </c>
      <c r="G247" s="161">
        <f t="shared" si="137"/>
        <v>0</v>
      </c>
      <c r="H247" s="161">
        <f t="shared" si="137"/>
        <v>0</v>
      </c>
      <c r="I247" s="161">
        <f t="shared" si="137"/>
        <v>0</v>
      </c>
      <c r="J247" s="161">
        <f t="shared" si="137"/>
        <v>0</v>
      </c>
      <c r="K247" s="161">
        <f t="shared" si="137"/>
        <v>0</v>
      </c>
      <c r="L247" s="161">
        <f t="shared" si="137"/>
        <v>0</v>
      </c>
      <c r="M247" s="161">
        <f t="shared" si="137"/>
        <v>0</v>
      </c>
      <c r="N247" s="161">
        <f t="shared" si="137"/>
        <v>0</v>
      </c>
      <c r="O247" s="161">
        <f t="shared" si="137"/>
        <v>0</v>
      </c>
      <c r="P247" s="161">
        <f t="shared" si="137"/>
        <v>0</v>
      </c>
      <c r="Q247" s="161">
        <f t="shared" si="137"/>
        <v>0</v>
      </c>
      <c r="R247" s="161">
        <f t="shared" si="137"/>
        <v>0</v>
      </c>
      <c r="S247" s="161">
        <f t="shared" si="137"/>
        <v>0</v>
      </c>
      <c r="T247" s="161">
        <f t="shared" si="137"/>
        <v>0</v>
      </c>
      <c r="U247" s="161">
        <f t="shared" si="137"/>
        <v>0</v>
      </c>
      <c r="V247" s="161">
        <f t="shared" si="137"/>
        <v>0</v>
      </c>
      <c r="W247" s="161">
        <f t="shared" si="137"/>
        <v>0</v>
      </c>
      <c r="X247" s="161">
        <f t="shared" si="137"/>
        <v>0</v>
      </c>
      <c r="Y247" s="161">
        <f t="shared" si="137"/>
        <v>0</v>
      </c>
      <c r="Z247" s="161">
        <f t="shared" si="137"/>
        <v>0</v>
      </c>
      <c r="AA247" s="161">
        <f t="shared" si="137"/>
        <v>0</v>
      </c>
      <c r="AB247" s="161">
        <f t="shared" si="137"/>
        <v>0</v>
      </c>
      <c r="AC247" s="161">
        <f t="shared" si="137"/>
        <v>0</v>
      </c>
      <c r="AD247" s="161">
        <f t="shared" si="137"/>
        <v>0</v>
      </c>
      <c r="AE247" s="161">
        <f t="shared" si="137"/>
        <v>0</v>
      </c>
      <c r="AF247" s="162">
        <f t="shared" si="137"/>
        <v>0</v>
      </c>
      <c r="AG247" s="163">
        <f t="shared" si="137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38">AF249</f>
        <v>0.3</v>
      </c>
      <c r="C249" s="166">
        <v>0.3</v>
      </c>
      <c r="D249" s="166">
        <f t="shared" ref="D249:S254" si="139">C249</f>
        <v>0.3</v>
      </c>
      <c r="E249" s="166">
        <f t="shared" si="139"/>
        <v>0.3</v>
      </c>
      <c r="F249" s="166">
        <f t="shared" si="139"/>
        <v>0.3</v>
      </c>
      <c r="G249" s="166">
        <f t="shared" si="139"/>
        <v>0.3</v>
      </c>
      <c r="H249" s="166">
        <f t="shared" si="139"/>
        <v>0.3</v>
      </c>
      <c r="I249" s="166">
        <f t="shared" si="139"/>
        <v>0.3</v>
      </c>
      <c r="J249" s="166">
        <f t="shared" si="139"/>
        <v>0.3</v>
      </c>
      <c r="K249" s="166">
        <f t="shared" si="139"/>
        <v>0.3</v>
      </c>
      <c r="L249" s="166">
        <f t="shared" si="139"/>
        <v>0.3</v>
      </c>
      <c r="M249" s="166">
        <f t="shared" si="139"/>
        <v>0.3</v>
      </c>
      <c r="N249" s="166">
        <f t="shared" si="139"/>
        <v>0.3</v>
      </c>
      <c r="O249" s="166">
        <f t="shared" si="139"/>
        <v>0.3</v>
      </c>
      <c r="P249" s="166">
        <f t="shared" si="139"/>
        <v>0.3</v>
      </c>
      <c r="Q249" s="166">
        <f t="shared" si="139"/>
        <v>0.3</v>
      </c>
      <c r="R249" s="166">
        <f t="shared" si="139"/>
        <v>0.3</v>
      </c>
      <c r="S249" s="166">
        <f t="shared" si="139"/>
        <v>0.3</v>
      </c>
      <c r="T249" s="166">
        <f t="shared" ref="T249:AF254" si="140">S249</f>
        <v>0.3</v>
      </c>
      <c r="U249" s="166">
        <f t="shared" si="140"/>
        <v>0.3</v>
      </c>
      <c r="V249" s="166">
        <f t="shared" si="140"/>
        <v>0.3</v>
      </c>
      <c r="W249" s="166">
        <f t="shared" si="140"/>
        <v>0.3</v>
      </c>
      <c r="X249" s="166">
        <f t="shared" si="140"/>
        <v>0.3</v>
      </c>
      <c r="Y249" s="166">
        <f t="shared" si="140"/>
        <v>0.3</v>
      </c>
      <c r="Z249" s="166">
        <f t="shared" si="140"/>
        <v>0.3</v>
      </c>
      <c r="AA249" s="166">
        <f t="shared" si="140"/>
        <v>0.3</v>
      </c>
      <c r="AB249" s="166">
        <f t="shared" si="140"/>
        <v>0.3</v>
      </c>
      <c r="AC249" s="166">
        <f t="shared" si="140"/>
        <v>0.3</v>
      </c>
      <c r="AD249" s="166">
        <f t="shared" si="140"/>
        <v>0.3</v>
      </c>
      <c r="AE249" s="166">
        <f t="shared" si="140"/>
        <v>0.3</v>
      </c>
      <c r="AF249" s="166">
        <f t="shared" si="140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38"/>
        <v>0.4</v>
      </c>
      <c r="C250" s="152">
        <v>0.4</v>
      </c>
      <c r="D250" s="152">
        <f t="shared" si="139"/>
        <v>0.4</v>
      </c>
      <c r="E250" s="152">
        <f t="shared" si="139"/>
        <v>0.4</v>
      </c>
      <c r="F250" s="152">
        <f t="shared" si="139"/>
        <v>0.4</v>
      </c>
      <c r="G250" s="152">
        <f t="shared" si="139"/>
        <v>0.4</v>
      </c>
      <c r="H250" s="152">
        <f t="shared" si="139"/>
        <v>0.4</v>
      </c>
      <c r="I250" s="152">
        <f t="shared" si="139"/>
        <v>0.4</v>
      </c>
      <c r="J250" s="152">
        <f t="shared" si="139"/>
        <v>0.4</v>
      </c>
      <c r="K250" s="152">
        <f t="shared" si="139"/>
        <v>0.4</v>
      </c>
      <c r="L250" s="152">
        <f t="shared" si="139"/>
        <v>0.4</v>
      </c>
      <c r="M250" s="152">
        <f t="shared" si="139"/>
        <v>0.4</v>
      </c>
      <c r="N250" s="152">
        <f t="shared" si="139"/>
        <v>0.4</v>
      </c>
      <c r="O250" s="152">
        <f t="shared" si="139"/>
        <v>0.4</v>
      </c>
      <c r="P250" s="152">
        <f t="shared" si="139"/>
        <v>0.4</v>
      </c>
      <c r="Q250" s="152">
        <f t="shared" si="139"/>
        <v>0.4</v>
      </c>
      <c r="R250" s="152">
        <f t="shared" si="139"/>
        <v>0.4</v>
      </c>
      <c r="S250" s="152">
        <f t="shared" si="139"/>
        <v>0.4</v>
      </c>
      <c r="T250" s="152">
        <f t="shared" si="140"/>
        <v>0.4</v>
      </c>
      <c r="U250" s="152">
        <f t="shared" si="140"/>
        <v>0.4</v>
      </c>
      <c r="V250" s="152">
        <f t="shared" si="140"/>
        <v>0.4</v>
      </c>
      <c r="W250" s="152">
        <f t="shared" si="140"/>
        <v>0.4</v>
      </c>
      <c r="X250" s="152">
        <f t="shared" si="140"/>
        <v>0.4</v>
      </c>
      <c r="Y250" s="152">
        <f t="shared" si="140"/>
        <v>0.4</v>
      </c>
      <c r="Z250" s="152">
        <f t="shared" si="140"/>
        <v>0.4</v>
      </c>
      <c r="AA250" s="152">
        <f t="shared" si="140"/>
        <v>0.4</v>
      </c>
      <c r="AB250" s="152">
        <f t="shared" si="140"/>
        <v>0.4</v>
      </c>
      <c r="AC250" s="152">
        <f t="shared" si="140"/>
        <v>0.4</v>
      </c>
      <c r="AD250" s="152">
        <f t="shared" si="140"/>
        <v>0.4</v>
      </c>
      <c r="AE250" s="152">
        <f t="shared" si="140"/>
        <v>0.4</v>
      </c>
      <c r="AF250" s="152">
        <f t="shared" si="140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38"/>
        <v>1.5</v>
      </c>
      <c r="C251" s="152">
        <v>1.5</v>
      </c>
      <c r="D251" s="152">
        <f t="shared" si="139"/>
        <v>1.5</v>
      </c>
      <c r="E251" s="152">
        <f t="shared" si="139"/>
        <v>1.5</v>
      </c>
      <c r="F251" s="152">
        <f t="shared" si="139"/>
        <v>1.5</v>
      </c>
      <c r="G251" s="152">
        <f t="shared" si="139"/>
        <v>1.5</v>
      </c>
      <c r="H251" s="152">
        <f t="shared" si="139"/>
        <v>1.5</v>
      </c>
      <c r="I251" s="152">
        <f t="shared" si="139"/>
        <v>1.5</v>
      </c>
      <c r="J251" s="152">
        <f t="shared" si="139"/>
        <v>1.5</v>
      </c>
      <c r="K251" s="152">
        <f t="shared" si="139"/>
        <v>1.5</v>
      </c>
      <c r="L251" s="152">
        <f t="shared" si="139"/>
        <v>1.5</v>
      </c>
      <c r="M251" s="152">
        <f t="shared" si="139"/>
        <v>1.5</v>
      </c>
      <c r="N251" s="152">
        <f t="shared" si="139"/>
        <v>1.5</v>
      </c>
      <c r="O251" s="152">
        <f t="shared" si="139"/>
        <v>1.5</v>
      </c>
      <c r="P251" s="152">
        <f t="shared" si="139"/>
        <v>1.5</v>
      </c>
      <c r="Q251" s="152">
        <f t="shared" si="139"/>
        <v>1.5</v>
      </c>
      <c r="R251" s="152">
        <f t="shared" si="139"/>
        <v>1.5</v>
      </c>
      <c r="S251" s="152">
        <f t="shared" si="139"/>
        <v>1.5</v>
      </c>
      <c r="T251" s="152">
        <f t="shared" si="140"/>
        <v>1.5</v>
      </c>
      <c r="U251" s="152">
        <f t="shared" si="140"/>
        <v>1.5</v>
      </c>
      <c r="V251" s="152">
        <f t="shared" si="140"/>
        <v>1.5</v>
      </c>
      <c r="W251" s="152">
        <f t="shared" si="140"/>
        <v>1.5</v>
      </c>
      <c r="X251" s="152">
        <f t="shared" si="140"/>
        <v>1.5</v>
      </c>
      <c r="Y251" s="152">
        <f t="shared" si="140"/>
        <v>1.5</v>
      </c>
      <c r="Z251" s="152">
        <f t="shared" si="140"/>
        <v>1.5</v>
      </c>
      <c r="AA251" s="152">
        <f t="shared" si="140"/>
        <v>1.5</v>
      </c>
      <c r="AB251" s="152">
        <f t="shared" si="140"/>
        <v>1.5</v>
      </c>
      <c r="AC251" s="152">
        <f t="shared" si="140"/>
        <v>1.5</v>
      </c>
      <c r="AD251" s="152">
        <f t="shared" si="140"/>
        <v>1.5</v>
      </c>
      <c r="AE251" s="152">
        <f t="shared" si="140"/>
        <v>1.5</v>
      </c>
      <c r="AF251" s="152">
        <f t="shared" si="140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38"/>
        <v>0.3</v>
      </c>
      <c r="C252" s="152">
        <v>0.3</v>
      </c>
      <c r="D252" s="152">
        <f t="shared" si="139"/>
        <v>0.3</v>
      </c>
      <c r="E252" s="152">
        <f t="shared" si="139"/>
        <v>0.3</v>
      </c>
      <c r="F252" s="152">
        <f t="shared" si="139"/>
        <v>0.3</v>
      </c>
      <c r="G252" s="152">
        <f t="shared" si="139"/>
        <v>0.3</v>
      </c>
      <c r="H252" s="152">
        <f t="shared" si="139"/>
        <v>0.3</v>
      </c>
      <c r="I252" s="152">
        <f t="shared" si="139"/>
        <v>0.3</v>
      </c>
      <c r="J252" s="152">
        <f t="shared" si="139"/>
        <v>0.3</v>
      </c>
      <c r="K252" s="152">
        <f t="shared" si="139"/>
        <v>0.3</v>
      </c>
      <c r="L252" s="152">
        <f t="shared" si="139"/>
        <v>0.3</v>
      </c>
      <c r="M252" s="152">
        <f t="shared" si="139"/>
        <v>0.3</v>
      </c>
      <c r="N252" s="152">
        <f t="shared" si="139"/>
        <v>0.3</v>
      </c>
      <c r="O252" s="152">
        <f t="shared" si="139"/>
        <v>0.3</v>
      </c>
      <c r="P252" s="152">
        <f t="shared" si="139"/>
        <v>0.3</v>
      </c>
      <c r="Q252" s="152">
        <f t="shared" si="139"/>
        <v>0.3</v>
      </c>
      <c r="R252" s="152">
        <f t="shared" si="139"/>
        <v>0.3</v>
      </c>
      <c r="S252" s="152">
        <f t="shared" si="139"/>
        <v>0.3</v>
      </c>
      <c r="T252" s="152">
        <f t="shared" si="140"/>
        <v>0.3</v>
      </c>
      <c r="U252" s="152">
        <f t="shared" si="140"/>
        <v>0.3</v>
      </c>
      <c r="V252" s="152">
        <f t="shared" si="140"/>
        <v>0.3</v>
      </c>
      <c r="W252" s="152">
        <f t="shared" si="140"/>
        <v>0.3</v>
      </c>
      <c r="X252" s="152">
        <f t="shared" si="140"/>
        <v>0.3</v>
      </c>
      <c r="Y252" s="152">
        <f t="shared" si="140"/>
        <v>0.3</v>
      </c>
      <c r="Z252" s="152">
        <f t="shared" si="140"/>
        <v>0.3</v>
      </c>
      <c r="AA252" s="152">
        <f t="shared" si="140"/>
        <v>0.3</v>
      </c>
      <c r="AB252" s="152">
        <f t="shared" si="140"/>
        <v>0.3</v>
      </c>
      <c r="AC252" s="152">
        <f t="shared" si="140"/>
        <v>0.3</v>
      </c>
      <c r="AD252" s="152">
        <f t="shared" si="140"/>
        <v>0.3</v>
      </c>
      <c r="AE252" s="152">
        <f t="shared" si="140"/>
        <v>0.3</v>
      </c>
      <c r="AF252" s="152">
        <f t="shared" si="140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38"/>
        <v>0.4</v>
      </c>
      <c r="C253" s="152">
        <v>0.4</v>
      </c>
      <c r="D253" s="152">
        <f t="shared" si="139"/>
        <v>0.4</v>
      </c>
      <c r="E253" s="152">
        <f t="shared" si="139"/>
        <v>0.4</v>
      </c>
      <c r="F253" s="152">
        <f t="shared" si="139"/>
        <v>0.4</v>
      </c>
      <c r="G253" s="152">
        <f t="shared" si="139"/>
        <v>0.4</v>
      </c>
      <c r="H253" s="152">
        <f t="shared" si="139"/>
        <v>0.4</v>
      </c>
      <c r="I253" s="152">
        <f t="shared" si="139"/>
        <v>0.4</v>
      </c>
      <c r="J253" s="152">
        <f t="shared" si="139"/>
        <v>0.4</v>
      </c>
      <c r="K253" s="152">
        <f t="shared" si="139"/>
        <v>0.4</v>
      </c>
      <c r="L253" s="152">
        <f t="shared" si="139"/>
        <v>0.4</v>
      </c>
      <c r="M253" s="152">
        <f t="shared" si="139"/>
        <v>0.4</v>
      </c>
      <c r="N253" s="152">
        <f t="shared" si="139"/>
        <v>0.4</v>
      </c>
      <c r="O253" s="152">
        <f t="shared" si="139"/>
        <v>0.4</v>
      </c>
      <c r="P253" s="152">
        <f t="shared" si="139"/>
        <v>0.4</v>
      </c>
      <c r="Q253" s="152">
        <f t="shared" si="139"/>
        <v>0.4</v>
      </c>
      <c r="R253" s="152">
        <f t="shared" si="139"/>
        <v>0.4</v>
      </c>
      <c r="S253" s="152">
        <f t="shared" si="139"/>
        <v>0.4</v>
      </c>
      <c r="T253" s="152">
        <f t="shared" si="140"/>
        <v>0.4</v>
      </c>
      <c r="U253" s="152">
        <f t="shared" si="140"/>
        <v>0.4</v>
      </c>
      <c r="V253" s="152">
        <f t="shared" si="140"/>
        <v>0.4</v>
      </c>
      <c r="W253" s="152">
        <f t="shared" si="140"/>
        <v>0.4</v>
      </c>
      <c r="X253" s="152">
        <f t="shared" si="140"/>
        <v>0.4</v>
      </c>
      <c r="Y253" s="152">
        <f t="shared" si="140"/>
        <v>0.4</v>
      </c>
      <c r="Z253" s="152">
        <f t="shared" si="140"/>
        <v>0.4</v>
      </c>
      <c r="AA253" s="152">
        <f t="shared" si="140"/>
        <v>0.4</v>
      </c>
      <c r="AB253" s="152">
        <f t="shared" si="140"/>
        <v>0.4</v>
      </c>
      <c r="AC253" s="152">
        <f t="shared" si="140"/>
        <v>0.4</v>
      </c>
      <c r="AD253" s="152">
        <f t="shared" si="140"/>
        <v>0.4</v>
      </c>
      <c r="AE253" s="152">
        <f t="shared" si="140"/>
        <v>0.4</v>
      </c>
      <c r="AF253" s="152">
        <f t="shared" si="140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38"/>
        <v>0.64</v>
      </c>
      <c r="C254" s="157">
        <v>0.64</v>
      </c>
      <c r="D254" s="157">
        <f t="shared" si="139"/>
        <v>0.64</v>
      </c>
      <c r="E254" s="157">
        <f t="shared" si="139"/>
        <v>0.64</v>
      </c>
      <c r="F254" s="157">
        <f t="shared" si="139"/>
        <v>0.64</v>
      </c>
      <c r="G254" s="157">
        <f t="shared" si="139"/>
        <v>0.64</v>
      </c>
      <c r="H254" s="157">
        <f t="shared" si="139"/>
        <v>0.64</v>
      </c>
      <c r="I254" s="157">
        <f t="shared" si="139"/>
        <v>0.64</v>
      </c>
      <c r="J254" s="157">
        <f t="shared" si="139"/>
        <v>0.64</v>
      </c>
      <c r="K254" s="157">
        <f t="shared" si="139"/>
        <v>0.64</v>
      </c>
      <c r="L254" s="157">
        <f t="shared" si="139"/>
        <v>0.64</v>
      </c>
      <c r="M254" s="157">
        <f t="shared" si="139"/>
        <v>0.64</v>
      </c>
      <c r="N254" s="157">
        <f t="shared" si="139"/>
        <v>0.64</v>
      </c>
      <c r="O254" s="157">
        <f t="shared" si="139"/>
        <v>0.64</v>
      </c>
      <c r="P254" s="157">
        <f t="shared" si="139"/>
        <v>0.64</v>
      </c>
      <c r="Q254" s="157">
        <f t="shared" si="139"/>
        <v>0.64</v>
      </c>
      <c r="R254" s="157">
        <f t="shared" si="139"/>
        <v>0.64</v>
      </c>
      <c r="S254" s="157">
        <f t="shared" si="139"/>
        <v>0.64</v>
      </c>
      <c r="T254" s="157">
        <f t="shared" si="140"/>
        <v>0.64</v>
      </c>
      <c r="U254" s="157">
        <f t="shared" si="140"/>
        <v>0.64</v>
      </c>
      <c r="V254" s="157">
        <f t="shared" si="140"/>
        <v>0.64</v>
      </c>
      <c r="W254" s="157">
        <f t="shared" si="140"/>
        <v>0.64</v>
      </c>
      <c r="X254" s="157">
        <f t="shared" si="140"/>
        <v>0.64</v>
      </c>
      <c r="Y254" s="157">
        <f t="shared" si="140"/>
        <v>0.64</v>
      </c>
      <c r="Z254" s="157">
        <f t="shared" si="140"/>
        <v>0.64</v>
      </c>
      <c r="AA254" s="157">
        <f t="shared" si="140"/>
        <v>0.64</v>
      </c>
      <c r="AB254" s="157">
        <f t="shared" si="140"/>
        <v>0.64</v>
      </c>
      <c r="AC254" s="157">
        <f t="shared" si="140"/>
        <v>0.64</v>
      </c>
      <c r="AD254" s="157">
        <f t="shared" si="140"/>
        <v>0.64</v>
      </c>
      <c r="AE254" s="157">
        <f t="shared" si="140"/>
        <v>0.64</v>
      </c>
      <c r="AF254" s="157">
        <f t="shared" si="140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41">SUM(B249:B254)</f>
        <v>3.54</v>
      </c>
      <c r="C255" s="161">
        <f t="shared" si="141"/>
        <v>3.54</v>
      </c>
      <c r="D255" s="161">
        <f t="shared" si="141"/>
        <v>3.54</v>
      </c>
      <c r="E255" s="161">
        <f t="shared" si="141"/>
        <v>3.54</v>
      </c>
      <c r="F255" s="161">
        <f t="shared" si="141"/>
        <v>3.54</v>
      </c>
      <c r="G255" s="161">
        <f t="shared" si="141"/>
        <v>3.54</v>
      </c>
      <c r="H255" s="161">
        <f t="shared" si="141"/>
        <v>3.54</v>
      </c>
      <c r="I255" s="161">
        <f t="shared" si="141"/>
        <v>3.54</v>
      </c>
      <c r="J255" s="161">
        <f t="shared" si="141"/>
        <v>3.54</v>
      </c>
      <c r="K255" s="161">
        <f t="shared" si="141"/>
        <v>3.54</v>
      </c>
      <c r="L255" s="161">
        <f t="shared" si="141"/>
        <v>3.54</v>
      </c>
      <c r="M255" s="161">
        <f t="shared" si="141"/>
        <v>3.54</v>
      </c>
      <c r="N255" s="161">
        <f t="shared" si="141"/>
        <v>3.54</v>
      </c>
      <c r="O255" s="161">
        <f t="shared" si="141"/>
        <v>3.54</v>
      </c>
      <c r="P255" s="161">
        <f t="shared" si="141"/>
        <v>3.54</v>
      </c>
      <c r="Q255" s="161">
        <f t="shared" si="141"/>
        <v>3.54</v>
      </c>
      <c r="R255" s="161">
        <f t="shared" si="141"/>
        <v>3.54</v>
      </c>
      <c r="S255" s="161">
        <f t="shared" si="141"/>
        <v>3.54</v>
      </c>
      <c r="T255" s="161">
        <f t="shared" si="141"/>
        <v>3.54</v>
      </c>
      <c r="U255" s="161">
        <f t="shared" si="141"/>
        <v>3.54</v>
      </c>
      <c r="V255" s="161">
        <f t="shared" si="141"/>
        <v>3.54</v>
      </c>
      <c r="W255" s="161">
        <f t="shared" si="141"/>
        <v>3.54</v>
      </c>
      <c r="X255" s="161">
        <f t="shared" si="141"/>
        <v>3.54</v>
      </c>
      <c r="Y255" s="161">
        <f t="shared" si="141"/>
        <v>3.54</v>
      </c>
      <c r="Z255" s="161">
        <f t="shared" si="141"/>
        <v>3.54</v>
      </c>
      <c r="AA255" s="161">
        <f t="shared" si="141"/>
        <v>3.54</v>
      </c>
      <c r="AB255" s="161">
        <f t="shared" si="141"/>
        <v>3.54</v>
      </c>
      <c r="AC255" s="161">
        <f t="shared" si="141"/>
        <v>3.54</v>
      </c>
      <c r="AD255" s="161">
        <f t="shared" si="141"/>
        <v>3.54</v>
      </c>
      <c r="AE255" s="161">
        <f t="shared" si="141"/>
        <v>3.54</v>
      </c>
      <c r="AF255" s="161">
        <f t="shared" si="141"/>
        <v>3.54</v>
      </c>
      <c r="AG255" s="171">
        <f t="shared" si="141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2301.44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2080/10/27)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1029" priority="96">
      <formula>$AH11=0</formula>
    </cfRule>
  </conditionalFormatting>
  <conditionalFormatting sqref="A89">
    <cfRule type="expression" dxfId="1028" priority="154">
      <formula>$AH94=0</formula>
    </cfRule>
  </conditionalFormatting>
  <conditionalFormatting sqref="A90:A94">
    <cfRule type="expression" dxfId="1027" priority="97">
      <formula>$AH89=0</formula>
    </cfRule>
  </conditionalFormatting>
  <conditionalFormatting sqref="B8">
    <cfRule type="expression" dxfId="1026" priority="150">
      <formula>AND(C$9&gt;=14/24,C$9&lt;20/24)</formula>
    </cfRule>
    <cfRule type="expression" dxfId="1025" priority="151">
      <formula>AND(C$9&gt;=8/24,C$9&lt;14/24)</formula>
    </cfRule>
    <cfRule type="expression" dxfId="1024" priority="152">
      <formula>C$9&lt;8/24</formula>
    </cfRule>
    <cfRule type="expression" dxfId="1023" priority="153">
      <formula>C$9&gt;=20/24</formula>
    </cfRule>
  </conditionalFormatting>
  <conditionalFormatting sqref="B11:D29 E28:G28 B30:AF30 B31:D60 H35:AF48 E35:G60 N50:AF58 H50:M60">
    <cfRule type="expression" dxfId="1022" priority="216">
      <formula>G$9&gt;=20/24</formula>
    </cfRule>
    <cfRule type="expression" dxfId="1021" priority="222">
      <formula>AND(G$9&gt;=14/24,G$9&lt;20/24)</formula>
    </cfRule>
    <cfRule type="expression" dxfId="1020" priority="223">
      <formula>AND(G$9&gt;=8/24,G$9&lt;14/24)</formula>
    </cfRule>
    <cfRule type="expression" dxfId="1019" priority="224">
      <formula>G$9&lt;8/24</formula>
    </cfRule>
  </conditionalFormatting>
  <conditionalFormatting sqref="B62:D64">
    <cfRule type="expression" dxfId="1018" priority="13">
      <formula>B$9&gt;=20/24</formula>
    </cfRule>
    <cfRule type="expression" dxfId="1017" priority="14">
      <formula>AND(B$9&gt;=14/24,B$9&lt;20/24)</formula>
    </cfRule>
    <cfRule type="expression" dxfId="1016" priority="15">
      <formula>AND(B$9&gt;=8/24,B$9&lt;14/24)</formula>
    </cfRule>
    <cfRule type="expression" dxfId="1015" priority="16">
      <formula>B$9&lt;8/24</formula>
    </cfRule>
  </conditionalFormatting>
  <conditionalFormatting sqref="B66:D68">
    <cfRule type="expression" dxfId="1014" priority="9">
      <formula>B$9&gt;=20/24</formula>
    </cfRule>
    <cfRule type="expression" dxfId="1013" priority="10">
      <formula>AND(B$9&gt;=14/24,B$9&lt;20/24)</formula>
    </cfRule>
    <cfRule type="expression" dxfId="1012" priority="11">
      <formula>AND(B$9&gt;=8/24,B$9&lt;14/24)</formula>
    </cfRule>
    <cfRule type="expression" dxfId="1011" priority="12">
      <formula>B$9&lt;8/24</formula>
    </cfRule>
  </conditionalFormatting>
  <conditionalFormatting sqref="B66:D71 E71:W71">
    <cfRule type="expression" dxfId="1010" priority="1">
      <formula>B$9&gt;=20/24</formula>
    </cfRule>
    <cfRule type="expression" dxfId="1009" priority="2">
      <formula>AND(B$9&gt;=14/24,B$9&lt;20/24)</formula>
    </cfRule>
    <cfRule type="expression" dxfId="1008" priority="3">
      <formula>AND(B$9&gt;=8/24,B$9&lt;14/24)</formula>
    </cfRule>
    <cfRule type="expression" dxfId="1007" priority="4">
      <formula>B$9&lt;8/24</formula>
    </cfRule>
  </conditionalFormatting>
  <conditionalFormatting sqref="B11:E11 G11:G13 F11:F29 H11:I29 L15:AA29 AB17:AF29 B62:D71 C66:D77 X66:AF77 E71:W77 B72:L77 B80:AF102 B9:AF10 E12:G29 J12:K29 B104:AF120 B122:AF140 B247:AF247 B249:B255">
    <cfRule type="expression" dxfId="1006" priority="57">
      <formula>B$9&gt;=20/24</formula>
    </cfRule>
  </conditionalFormatting>
  <conditionalFormatting sqref="B11:I11 B61:AA83 L15:AF21 AB61:AG61 AB62:AF64 AB65:AG65 AB66:AF83 AG83">
    <cfRule type="expression" dxfId="1005" priority="56">
      <formula>B11&gt;$AG11</formula>
    </cfRule>
  </conditionalFormatting>
  <conditionalFormatting sqref="B9:AF10 B11:E11 G11:G13 F11:F29 H11:I29 E12:G29 J12:K29 L15:AA29 AB17:AF29 B62:D71 C66:D77 X66:AF77 E71:W77 B72:L77 B80:AF102 B104:AF120 B122:AF140 B247:AF247 B249:B255">
    <cfRule type="expression" dxfId="1004" priority="58">
      <formula>AND(B$9&gt;=14/24,B$9&lt;20/24)</formula>
    </cfRule>
    <cfRule type="expression" dxfId="1003" priority="59">
      <formula>AND(B$9&gt;=8/24,B$9&lt;14/24)</formula>
    </cfRule>
  </conditionalFormatting>
  <conditionalFormatting sqref="B9:AF10 B11:G11 G11:G13 F11:F29 H11:K29 E12:G29 L15:AA29 AB17:AF29 B62:D71 C66:D77 X66:AF77 E71:W77 B72:L77 B80:AF102 B104:AF120 B122:AF140 B247:AF247 B249:B255 L11:AF11 E31:AF60">
    <cfRule type="expression" dxfId="1002" priority="60">
      <formula>B$9&lt;8/24</formula>
    </cfRule>
  </conditionalFormatting>
  <conditionalFormatting sqref="D249:AF255">
    <cfRule type="expression" dxfId="1001" priority="135">
      <formula>D$9&gt;=20/24</formula>
    </cfRule>
    <cfRule type="expression" dxfId="1000" priority="136">
      <formula>AND(D$9&gt;=14/24,D$9&lt;20/24)</formula>
    </cfRule>
    <cfRule type="expression" dxfId="999" priority="137">
      <formula>AND(D$9&gt;=8/24,D$9&lt;14/24)</formula>
    </cfRule>
    <cfRule type="expression" dxfId="998" priority="138">
      <formula>D$9&lt;8/24</formula>
    </cfRule>
  </conditionalFormatting>
  <conditionalFormatting sqref="E66:J70 K67:M70 N69:W70">
    <cfRule type="expression" dxfId="997" priority="66">
      <formula>E$9&gt;=20/24</formula>
    </cfRule>
    <cfRule type="expression" dxfId="996" priority="67">
      <formula>AND(E$9&gt;=14/24,E$9&lt;20/24)</formula>
    </cfRule>
    <cfRule type="expression" dxfId="995" priority="68">
      <formula>AND(E$9&gt;=8/24,E$9&lt;14/24)</formula>
    </cfRule>
    <cfRule type="expression" dxfId="994" priority="69">
      <formula>E$9&lt;8/24</formula>
    </cfRule>
  </conditionalFormatting>
  <conditionalFormatting sqref="E71:W71">
    <cfRule type="expression" dxfId="993" priority="61">
      <formula>E$9&gt;=20/24</formula>
    </cfRule>
    <cfRule type="expression" dxfId="992" priority="62">
      <formula>AND(E$9&gt;=14/24,E$9&lt;20/24)</formula>
    </cfRule>
    <cfRule type="expression" dxfId="991" priority="63">
      <formula>AND(E$9&gt;=8/24,E$9&lt;14/24)</formula>
    </cfRule>
    <cfRule type="expression" dxfId="990" priority="64">
      <formula>E$9&lt;8/24</formula>
    </cfRule>
  </conditionalFormatting>
  <conditionalFormatting sqref="E11:AF11 E31:AF60">
    <cfRule type="expression" dxfId="989" priority="53">
      <formula>E$9&gt;=20/24</formula>
    </cfRule>
    <cfRule type="expression" dxfId="988" priority="54">
      <formula>AND(E$9&gt;=14/24,E$9&lt;20/24)</formula>
    </cfRule>
    <cfRule type="expression" dxfId="987" priority="55">
      <formula>AND(E$9&gt;=8/24,E$9&lt;14/24)</formula>
    </cfRule>
  </conditionalFormatting>
  <conditionalFormatting sqref="E62:AF65">
    <cfRule type="expression" dxfId="986" priority="76">
      <formula>E$9&gt;=20/24</formula>
    </cfRule>
    <cfRule type="expression" dxfId="985" priority="77">
      <formula>AND(E$9&gt;=14/24,E$9&lt;20/24)</formula>
    </cfRule>
    <cfRule type="expression" dxfId="984" priority="78">
      <formula>AND(E$9&gt;=8/24,E$9&lt;14/24)</formula>
    </cfRule>
    <cfRule type="expression" dxfId="983" priority="79">
      <formula>E$9&lt;8/24</formula>
    </cfRule>
  </conditionalFormatting>
  <conditionalFormatting sqref="F66:M68">
    <cfRule type="expression" dxfId="982" priority="88">
      <formula>F$9&gt;=20/24</formula>
    </cfRule>
    <cfRule type="expression" dxfId="981" priority="89">
      <formula>AND(F$9&gt;=14/24,F$9&lt;20/24)</formula>
    </cfRule>
    <cfRule type="expression" dxfId="980" priority="90">
      <formula>AND(F$9&gt;=8/24,F$9&lt;14/24)</formula>
    </cfRule>
    <cfRule type="expression" dxfId="979" priority="91">
      <formula>F$9&lt;8/24</formula>
    </cfRule>
  </conditionalFormatting>
  <conditionalFormatting sqref="L71:W71">
    <cfRule type="expression" dxfId="978" priority="84">
      <formula>L$9&gt;=20/24</formula>
    </cfRule>
    <cfRule type="expression" dxfId="977" priority="85">
      <formula>AND(L$9&gt;=14/24,L$9&lt;20/24)</formula>
    </cfRule>
    <cfRule type="expression" dxfId="976" priority="86">
      <formula>AND(L$9&gt;=8/24,L$9&lt;14/24)</formula>
    </cfRule>
    <cfRule type="expression" dxfId="975" priority="87">
      <formula>L$9&lt;8/24</formula>
    </cfRule>
  </conditionalFormatting>
  <conditionalFormatting sqref="L12:AA14 AB12:AF16">
    <cfRule type="expression" dxfId="974" priority="71">
      <formula>L$9&gt;=20/24</formula>
    </cfRule>
    <cfRule type="expression" dxfId="973" priority="72">
      <formula>AND(L$9&gt;=14/24,L$9&lt;20/24)</formula>
    </cfRule>
    <cfRule type="expression" dxfId="972" priority="73">
      <formula>AND(L$9&gt;=8/24,L$9&lt;14/24)</formula>
    </cfRule>
    <cfRule type="expression" dxfId="971" priority="74">
      <formula>L$9&lt;8/24</formula>
    </cfRule>
  </conditionalFormatting>
  <conditionalFormatting sqref="L11:AF14 B11:K29 L19:AA29 AB19:AF60 B30:AA60">
    <cfRule type="expression" dxfId="970" priority="70">
      <formula>B11&gt;$AG11</formula>
    </cfRule>
  </conditionalFormatting>
  <conditionalFormatting sqref="M8 S8 AB8">
    <cfRule type="expression" dxfId="969" priority="142">
      <formula>AND(N$9&gt;=14/24,N$9&lt;20/24)</formula>
    </cfRule>
    <cfRule type="expression" dxfId="968" priority="143">
      <formula>AND(N$9&gt;=8/24,N$9&lt;14/24)</formula>
    </cfRule>
    <cfRule type="expression" dxfId="967" priority="144">
      <formula>N$9&lt;8/24</formula>
    </cfRule>
  </conditionalFormatting>
  <conditionalFormatting sqref="N66:W70">
    <cfRule type="expression" dxfId="966" priority="92">
      <formula>N$9&gt;=20/24</formula>
    </cfRule>
    <cfRule type="expression" dxfId="965" priority="93">
      <formula>AND(N$9&gt;=14/24,N$9&lt;20/24)</formula>
    </cfRule>
    <cfRule type="expression" dxfId="964" priority="94">
      <formula>AND(N$9&gt;=8/24,N$9&lt;14/24)</formula>
    </cfRule>
    <cfRule type="expression" dxfId="963" priority="95">
      <formula>N$9&lt;8/24</formula>
    </cfRule>
  </conditionalFormatting>
  <conditionalFormatting sqref="O3:P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962" priority="141">
      <formula>N$9&gt;=20/24</formula>
    </cfRule>
  </conditionalFormatting>
  <conditionalFormatting sqref="S8">
    <cfRule type="expression" dxfId="961" priority="128">
      <formula>U$9&gt;=20/24</formula>
    </cfRule>
    <cfRule type="expression" dxfId="960" priority="129">
      <formula>AND(U$9&gt;=14/24,U$9&lt;20/24)</formula>
    </cfRule>
    <cfRule type="expression" dxfId="959" priority="130">
      <formula>AND(U$9&gt;=8/24,U$9&lt;14/24)</formula>
    </cfRule>
    <cfRule type="expression" dxfId="958" priority="131">
      <formula>U$9&lt;8/24</formula>
    </cfRule>
  </conditionalFormatting>
  <conditionalFormatting sqref="V3 AB3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957" priority="124">
      <formula>AD$9&gt;=20/24</formula>
    </cfRule>
    <cfRule type="expression" dxfId="956" priority="125">
      <formula>AND(AD$9&gt;=14/24,AD$9&lt;20/24)</formula>
    </cfRule>
    <cfRule type="expression" dxfId="955" priority="126">
      <formula>AND(AD$9&gt;=8/24,AD$9&lt;14/24)</formula>
    </cfRule>
    <cfRule type="expression" dxfId="954" priority="127">
      <formula>AD$9&lt;8/24</formula>
    </cfRule>
  </conditionalFormatting>
  <conditionalFormatting sqref="AG65">
    <cfRule type="expression" dxfId="953" priority="103">
      <formula>AG$9&gt;=20/24</formula>
    </cfRule>
    <cfRule type="expression" dxfId="952" priority="104">
      <formula>AND(AG$9&gt;=14/24,AG$9&lt;20/24)</formula>
    </cfRule>
    <cfRule type="expression" dxfId="951" priority="105">
      <formula>AND(AG$9&gt;=8/24,AG$9&lt;14/24)</formula>
    </cfRule>
    <cfRule type="expression" dxfId="950" priority="106">
      <formula>AG$9&lt;8/24</formula>
    </cfRule>
  </conditionalFormatting>
  <conditionalFormatting sqref="AG78:AG79">
    <cfRule type="expression" dxfId="949" priority="98">
      <formula>AG78&gt;$AG78</formula>
    </cfRule>
  </conditionalFormatting>
  <conditionalFormatting sqref="AG83">
    <cfRule type="expression" dxfId="948" priority="99">
      <formula>AG$9&gt;=20/24</formula>
    </cfRule>
    <cfRule type="expression" dxfId="947" priority="100">
      <formula>AND(AG$9&gt;=14/24,AG$9&lt;20/24)</formula>
    </cfRule>
    <cfRule type="expression" dxfId="946" priority="101">
      <formula>AND(AG$9&gt;=8/24,AG$9&lt;14/24)</formula>
    </cfRule>
    <cfRule type="expression" dxfId="945" priority="102">
      <formula>AG$9&lt;8/24</formula>
    </cfRule>
  </conditionalFormatting>
  <conditionalFormatting sqref="AG100">
    <cfRule type="expression" dxfId="944" priority="120">
      <formula>AG$9&gt;=20/24</formula>
    </cfRule>
    <cfRule type="expression" dxfId="943" priority="121">
      <formula>AND(AG$9&gt;=14/24,AG$9&lt;20/24)</formula>
    </cfRule>
    <cfRule type="expression" dxfId="942" priority="122">
      <formula>AND(AG$9&gt;=8/24,AG$9&lt;14/24)</formula>
    </cfRule>
    <cfRule type="expression" dxfId="941" priority="123">
      <formula>AG$9&lt;8/24</formula>
    </cfRule>
  </conditionalFormatting>
  <conditionalFormatting sqref="AL4:AL6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940" priority="145">
      <formula>AJ$9&gt;=20/24</formula>
    </cfRule>
    <cfRule type="expression" dxfId="939" priority="146">
      <formula>AND(AJ$9&gt;=14/24,AJ$9&lt;20/24)</formula>
    </cfRule>
    <cfRule type="expression" dxfId="938" priority="147">
      <formula>AND(AJ$9&gt;=8/24,AJ$9&lt;14/24)</formula>
    </cfRule>
    <cfRule type="expression" dxfId="937" priority="148">
      <formula>AJ$9&lt;8/24</formula>
    </cfRule>
  </conditionalFormatting>
  <conditionalFormatting sqref="AL86:AN86 AL92:AN92">
    <cfRule type="expression" dxfId="936" priority="113">
      <formula>AL$9&gt;=20/24</formula>
    </cfRule>
    <cfRule type="expression" dxfId="935" priority="114">
      <formula>AND(AL$9&gt;=14/24,AL$9&lt;20/24)</formula>
    </cfRule>
    <cfRule type="expression" dxfId="934" priority="115">
      <formula>AND(AL$9&gt;=8/24,AL$9&lt;14/24)</formula>
    </cfRule>
    <cfRule type="expression" dxfId="933" priority="116">
      <formula>AL$9&lt;8/24</formula>
    </cfRule>
  </conditionalFormatting>
  <conditionalFormatting sqref="AM15:AM21 AN16:AR21">
    <cfRule type="expression" dxfId="932" priority="29">
      <formula>AX$9&gt;=20/24</formula>
    </cfRule>
    <cfRule type="expression" dxfId="931" priority="30">
      <formula>AND(AX$9&gt;=14/24,AX$9&lt;20/24)</formula>
    </cfRule>
    <cfRule type="expression" dxfId="930" priority="31">
      <formula>AND(AX$9&gt;=8/24,AX$9&lt;14/24)</formula>
    </cfRule>
    <cfRule type="expression" dxfId="929" priority="32">
      <formula>AX$9&lt;8/24</formula>
    </cfRule>
  </conditionalFormatting>
  <conditionalFormatting sqref="AN87:AN90">
    <cfRule type="expression" dxfId="928" priority="109">
      <formula>AN$9&gt;=20/24</formula>
    </cfRule>
    <cfRule type="expression" dxfId="927" priority="110">
      <formula>AND(AN$9&gt;=14/24,AN$9&lt;20/24)</formula>
    </cfRule>
    <cfRule type="expression" dxfId="926" priority="111">
      <formula>AND(AN$9&gt;=8/24,AN$9&lt;14/24)</formula>
    </cfRule>
    <cfRule type="expression" dxfId="925" priority="112">
      <formula>AN$9&lt;8/24</formula>
    </cfRule>
  </conditionalFormatting>
  <conditionalFormatting sqref="AN15:AR15">
    <cfRule type="expression" dxfId="924" priority="17">
      <formula>U$9&gt;=20/24</formula>
    </cfRule>
    <cfRule type="expression" dxfId="923" priority="18">
      <formula>AND(U$9&gt;=14/24,U$9&lt;20/24)</formula>
    </cfRule>
    <cfRule type="expression" dxfId="922" priority="19">
      <formula>AND(U$9&gt;=8/24,U$9&lt;14/24)</formula>
    </cfRule>
    <cfRule type="expression" dxfId="921" priority="20">
      <formula>U$9&lt;8/24</formula>
    </cfRule>
  </conditionalFormatting>
  <conditionalFormatting sqref="AS15">
    <cfRule type="expression" dxfId="920" priority="25">
      <formula>AA$9&gt;=20/24</formula>
    </cfRule>
    <cfRule type="expression" dxfId="919" priority="26">
      <formula>AND(AA$9&gt;=14/24,AA$9&lt;20/24)</formula>
    </cfRule>
    <cfRule type="expression" dxfId="918" priority="27">
      <formula>AND(AA$9&gt;=8/24,AA$9&lt;14/24)</formula>
    </cfRule>
    <cfRule type="expression" dxfId="917" priority="28">
      <formula>AA$9&lt;8/24</formula>
    </cfRule>
  </conditionalFormatting>
  <conditionalFormatting sqref="AS16:AS21">
    <cfRule type="expression" dxfId="916" priority="33">
      <formula>BE$9&gt;=20/24</formula>
    </cfRule>
    <cfRule type="expression" dxfId="915" priority="34">
      <formula>AND(BE$9&gt;=14/24,BE$9&lt;20/24)</formula>
    </cfRule>
    <cfRule type="expression" dxfId="914" priority="35">
      <formula>AND(BE$9&gt;=8/24,BE$9&lt;14/24)</formula>
    </cfRule>
    <cfRule type="expression" dxfId="913" priority="36">
      <formula>BE$9&lt;8/24</formula>
    </cfRule>
  </conditionalFormatting>
  <conditionalFormatting sqref="AT15 AX15:BJ15">
    <cfRule type="expression" dxfId="912" priority="37">
      <formula>AC$9&gt;=20/24</formula>
    </cfRule>
    <cfRule type="expression" dxfId="911" priority="38">
      <formula>AND(AC$9&gt;=14/24,AC$9&lt;20/24)</formula>
    </cfRule>
    <cfRule type="expression" dxfId="910" priority="39">
      <formula>AND(AC$9&gt;=8/24,AC$9&lt;14/24)</formula>
    </cfRule>
    <cfRule type="expression" dxfId="909" priority="40">
      <formula>AC$9&lt;8/24</formula>
    </cfRule>
  </conditionalFormatting>
  <conditionalFormatting sqref="AT16:AT21">
    <cfRule type="expression" dxfId="908" priority="41">
      <formula>BG$9&gt;=20/24</formula>
    </cfRule>
    <cfRule type="expression" dxfId="907" priority="42">
      <formula>AND(BG$9&gt;=14/24,BG$9&lt;20/24)</formula>
    </cfRule>
    <cfRule type="expression" dxfId="906" priority="43">
      <formula>AND(BG$9&gt;=8/24,BG$9&lt;14/24)</formula>
    </cfRule>
    <cfRule type="expression" dxfId="905" priority="44">
      <formula>BG$9&lt;8/24</formula>
    </cfRule>
  </conditionalFormatting>
  <conditionalFormatting sqref="AU15:AV15">
    <cfRule type="expression" dxfId="904" priority="45">
      <formula>AE$9&gt;=20/24</formula>
    </cfRule>
    <cfRule type="expression" dxfId="903" priority="46">
      <formula>AND(AE$9&gt;=14/24,AE$9&lt;20/24)</formula>
    </cfRule>
    <cfRule type="expression" dxfId="902" priority="47">
      <formula>AND(AE$9&gt;=8/24,AE$9&lt;14/24)</formula>
    </cfRule>
    <cfRule type="expression" dxfId="901" priority="48">
      <formula>AE$9&lt;8/24</formula>
    </cfRule>
  </conditionalFormatting>
  <conditionalFormatting sqref="AU16:BJ21">
    <cfRule type="expression" dxfId="900" priority="49">
      <formula>BI$9&gt;=20/24</formula>
    </cfRule>
    <cfRule type="expression" dxfId="899" priority="50">
      <formula>AND(BI$9&gt;=14/24,BI$9&lt;20/24)</formula>
    </cfRule>
    <cfRule type="expression" dxfId="898" priority="51">
      <formula>AND(BI$9&gt;=8/24,BI$9&lt;14/24)</formula>
    </cfRule>
    <cfRule type="expression" dxfId="897" priority="52">
      <formula>BI$9&lt;8/24</formula>
    </cfRule>
  </conditionalFormatting>
  <conditionalFormatting sqref="AW15">
    <cfRule type="expression" dxfId="896" priority="21">
      <formula>B$9&gt;=20/24</formula>
    </cfRule>
    <cfRule type="expression" dxfId="895" priority="22">
      <formula>AND(B$9&gt;=14/24,B$9&lt;20/24)</formula>
    </cfRule>
    <cfRule type="expression" dxfId="894" priority="23">
      <formula>AND(B$9&gt;=8/24,B$9&lt;14/24)</formula>
    </cfRule>
    <cfRule type="expression" dxfId="893" priority="24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D84F-2F8B-4D2E-9014-2A109739BDFF}">
  <dimension ref="A1:CJ297"/>
  <sheetViews>
    <sheetView zoomScale="106" workbookViewId="0">
      <pane xSplit="1" ySplit="10" topLeftCell="B1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E112" sqref="AE112:AF11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2080/10/28</v>
      </c>
      <c r="C4" s="189"/>
      <c r="D4" s="189"/>
      <c r="E4" s="190" t="str">
        <f ca="1">"2080/"&amp;"10/"&amp;INT(MID(CELL("filename",G6),FIND("]",CELL("filename",G6))+1,200))</f>
        <v>2080/10/28</v>
      </c>
      <c r="F4" s="190"/>
      <c r="G4" s="190"/>
      <c r="H4" s="190" t="str">
        <f ca="1">TEXT(E4,"dddd")</f>
        <v>Monday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2123MW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Load=1195</v>
      </c>
      <c r="B7" s="35">
        <f t="shared" ref="B7:AF7" si="1">B103</f>
        <v>1428.94</v>
      </c>
      <c r="C7" s="35">
        <f t="shared" si="1"/>
        <v>1365.0400000000002</v>
      </c>
      <c r="D7" s="35">
        <f t="shared" si="1"/>
        <v>1308.2400000000002</v>
      </c>
      <c r="E7" s="35">
        <f t="shared" si="1"/>
        <v>1236.04</v>
      </c>
      <c r="F7" s="35">
        <f t="shared" si="1"/>
        <v>1201.6400000000003</v>
      </c>
      <c r="G7" s="35">
        <f t="shared" si="1"/>
        <v>1195.04</v>
      </c>
      <c r="H7" s="35">
        <f t="shared" si="1"/>
        <v>1206.0400000000002</v>
      </c>
      <c r="I7" s="35">
        <f t="shared" si="1"/>
        <v>1197.44</v>
      </c>
      <c r="J7" s="35">
        <f t="shared" si="1"/>
        <v>1269.5400000000002</v>
      </c>
      <c r="K7" s="35">
        <f t="shared" si="1"/>
        <v>1322.94</v>
      </c>
      <c r="L7" s="35">
        <f t="shared" si="1"/>
        <v>1341.2399999999998</v>
      </c>
      <c r="M7" s="35">
        <f t="shared" si="1"/>
        <v>1373.14</v>
      </c>
      <c r="N7" s="35">
        <f t="shared" si="1"/>
        <v>1327.2400000000002</v>
      </c>
      <c r="O7" s="35">
        <f t="shared" si="1"/>
        <v>1320.6400000000003</v>
      </c>
      <c r="P7" s="35">
        <f t="shared" si="1"/>
        <v>1421.94</v>
      </c>
      <c r="Q7" s="35">
        <f t="shared" si="1"/>
        <v>1387.8400000000001</v>
      </c>
      <c r="R7" s="35">
        <f t="shared" si="1"/>
        <v>1352.1400000000003</v>
      </c>
      <c r="S7" s="35">
        <f t="shared" si="1"/>
        <v>1362.3400000000001</v>
      </c>
      <c r="T7" s="35">
        <f t="shared" si="1"/>
        <v>1378.04</v>
      </c>
      <c r="U7" s="35">
        <f t="shared" si="1"/>
        <v>1399.44</v>
      </c>
      <c r="V7" s="35">
        <f t="shared" si="1"/>
        <v>1372.3400000000001</v>
      </c>
      <c r="W7" s="35">
        <f t="shared" si="1"/>
        <v>1337.4400000000003</v>
      </c>
      <c r="X7" s="35">
        <f t="shared" si="1"/>
        <v>1349.84</v>
      </c>
      <c r="Y7" s="35">
        <f t="shared" si="1"/>
        <v>1379.8400000000001</v>
      </c>
      <c r="Z7" s="35">
        <f t="shared" si="1"/>
        <v>1423</v>
      </c>
      <c r="AA7" s="35">
        <f t="shared" si="1"/>
        <v>1361.1</v>
      </c>
      <c r="AB7" s="35">
        <f t="shared" si="1"/>
        <v>1581.6</v>
      </c>
      <c r="AC7" s="35">
        <f t="shared" si="1"/>
        <v>1581.6</v>
      </c>
      <c r="AD7" s="35">
        <f t="shared" si="1"/>
        <v>1517.9</v>
      </c>
      <c r="AE7" s="35">
        <f t="shared" si="1"/>
        <v>1526.1000000000001</v>
      </c>
      <c r="AF7" s="35">
        <f t="shared" si="1"/>
        <v>1395.7999999999997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2287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1581.6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86.8</v>
      </c>
      <c r="C11" s="46">
        <v>86.8</v>
      </c>
      <c r="D11" s="46">
        <v>86.8</v>
      </c>
      <c r="E11" s="46">
        <v>86.9</v>
      </c>
      <c r="F11" s="46">
        <v>82.3</v>
      </c>
      <c r="G11" s="46">
        <v>70.400000000000006</v>
      </c>
      <c r="H11" s="46">
        <v>82.3</v>
      </c>
      <c r="I11" s="46">
        <v>71.599999999999994</v>
      </c>
      <c r="J11" s="46">
        <v>83</v>
      </c>
      <c r="K11" s="46">
        <v>83</v>
      </c>
      <c r="L11" s="46">
        <v>83</v>
      </c>
      <c r="M11" s="46">
        <v>82.7</v>
      </c>
      <c r="N11" s="46">
        <v>82.7</v>
      </c>
      <c r="O11" s="46">
        <v>82.7</v>
      </c>
      <c r="P11" s="46">
        <v>82.4</v>
      </c>
      <c r="Q11" s="46">
        <v>82.4</v>
      </c>
      <c r="R11" s="46">
        <v>82.4</v>
      </c>
      <c r="S11" s="46">
        <v>82.4</v>
      </c>
      <c r="T11" s="46">
        <v>82.4</v>
      </c>
      <c r="U11" s="46">
        <v>82.4</v>
      </c>
      <c r="V11" s="46">
        <v>82.4</v>
      </c>
      <c r="W11" s="46">
        <v>82.4</v>
      </c>
      <c r="X11" s="46">
        <v>82.4</v>
      </c>
      <c r="Y11" s="46">
        <v>82.4</v>
      </c>
      <c r="Z11" s="46">
        <v>82.4</v>
      </c>
      <c r="AA11" s="46">
        <v>82.4</v>
      </c>
      <c r="AB11" s="46">
        <v>82.4</v>
      </c>
      <c r="AC11" s="46">
        <v>82.4</v>
      </c>
      <c r="AD11" s="46">
        <v>82.4</v>
      </c>
      <c r="AE11" s="46">
        <v>82.4</v>
      </c>
      <c r="AF11" s="46">
        <v>82.4</v>
      </c>
      <c r="AG11" s="47">
        <v>86</v>
      </c>
      <c r="AH11" s="48">
        <f t="shared" ref="AH11:AH42" si="2">MAX(B11:AF11)</f>
        <v>86.9</v>
      </c>
      <c r="AI11" s="49">
        <f t="shared" ref="AI11:AI42" si="3">MIN(B11:AF11)</f>
        <v>70.400000000000006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53.7</v>
      </c>
      <c r="C12" s="46">
        <v>53.7</v>
      </c>
      <c r="D12" s="46">
        <v>53.7</v>
      </c>
      <c r="E12" s="46">
        <v>53.6</v>
      </c>
      <c r="F12" s="46">
        <v>53.6</v>
      </c>
      <c r="G12" s="46">
        <v>45.6</v>
      </c>
      <c r="H12" s="46">
        <v>56</v>
      </c>
      <c r="I12" s="46">
        <v>46.5</v>
      </c>
      <c r="J12" s="46">
        <v>56.6</v>
      </c>
      <c r="K12" s="46">
        <v>56.6</v>
      </c>
      <c r="L12" s="46">
        <v>56.6</v>
      </c>
      <c r="M12" s="46">
        <v>56</v>
      </c>
      <c r="N12" s="46">
        <v>56</v>
      </c>
      <c r="O12" s="46">
        <v>56</v>
      </c>
      <c r="P12" s="46">
        <v>56.8</v>
      </c>
      <c r="Q12" s="46">
        <v>56.8</v>
      </c>
      <c r="R12" s="46">
        <v>56.8</v>
      </c>
      <c r="S12" s="46">
        <v>56.8</v>
      </c>
      <c r="T12" s="46">
        <v>46</v>
      </c>
      <c r="U12" s="46">
        <v>50</v>
      </c>
      <c r="V12" s="46">
        <v>50</v>
      </c>
      <c r="W12" s="46">
        <v>50</v>
      </c>
      <c r="X12" s="46">
        <v>50</v>
      </c>
      <c r="Y12" s="46">
        <v>50</v>
      </c>
      <c r="Z12" s="46">
        <v>50</v>
      </c>
      <c r="AA12" s="46">
        <v>50</v>
      </c>
      <c r="AB12" s="46">
        <v>62</v>
      </c>
      <c r="AC12" s="46">
        <v>62</v>
      </c>
      <c r="AD12" s="46">
        <v>56.3</v>
      </c>
      <c r="AE12" s="46">
        <v>56.3</v>
      </c>
      <c r="AF12" s="46">
        <v>47.1</v>
      </c>
      <c r="AG12" s="50">
        <v>77</v>
      </c>
      <c r="AH12" s="48">
        <f t="shared" si="2"/>
        <v>62</v>
      </c>
      <c r="AI12" s="49">
        <f t="shared" si="3"/>
        <v>45.6</v>
      </c>
      <c r="AK12" s="51"/>
      <c r="AL12" s="52" t="str">
        <f ca="1">MID(CELL("filename",C7),FIND("]",CELL("filename",C7))+1,600)</f>
        <v>28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27.1</v>
      </c>
      <c r="C13" s="46">
        <v>27.1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10</v>
      </c>
      <c r="N13" s="46">
        <v>10</v>
      </c>
      <c r="O13" s="46">
        <v>10</v>
      </c>
      <c r="P13" s="46">
        <v>10</v>
      </c>
      <c r="Q13" s="46">
        <v>10</v>
      </c>
      <c r="R13" s="46">
        <v>10</v>
      </c>
      <c r="S13" s="46">
        <v>10</v>
      </c>
      <c r="T13" s="46">
        <v>10</v>
      </c>
      <c r="U13" s="46">
        <v>10</v>
      </c>
      <c r="V13" s="46">
        <v>10</v>
      </c>
      <c r="W13" s="46">
        <v>10</v>
      </c>
      <c r="X13" s="46">
        <v>10</v>
      </c>
      <c r="Y13" s="46">
        <v>10</v>
      </c>
      <c r="Z13" s="46">
        <v>10</v>
      </c>
      <c r="AA13" s="46">
        <v>10</v>
      </c>
      <c r="AB13" s="46">
        <v>49</v>
      </c>
      <c r="AC13" s="46">
        <v>49</v>
      </c>
      <c r="AD13" s="46">
        <v>35</v>
      </c>
      <c r="AE13" s="46">
        <v>35</v>
      </c>
      <c r="AF13" s="46">
        <v>0</v>
      </c>
      <c r="AG13" s="50">
        <v>73</v>
      </c>
      <c r="AH13" s="48">
        <f t="shared" si="2"/>
        <v>49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22.2</v>
      </c>
      <c r="J14" s="46">
        <v>21.3</v>
      </c>
      <c r="K14" s="46">
        <v>21.3</v>
      </c>
      <c r="L14" s="46">
        <v>21.3</v>
      </c>
      <c r="M14" s="46">
        <v>10.9</v>
      </c>
      <c r="N14" s="46">
        <v>18</v>
      </c>
      <c r="O14" s="46">
        <v>18</v>
      </c>
      <c r="P14" s="46">
        <v>18</v>
      </c>
      <c r="Q14" s="46">
        <v>21</v>
      </c>
      <c r="R14" s="46">
        <v>21</v>
      </c>
      <c r="S14" s="46">
        <v>21</v>
      </c>
      <c r="T14" s="46">
        <v>21</v>
      </c>
      <c r="U14" s="46">
        <v>21</v>
      </c>
      <c r="V14" s="46">
        <v>21</v>
      </c>
      <c r="W14" s="46">
        <v>10</v>
      </c>
      <c r="X14" s="46">
        <v>16</v>
      </c>
      <c r="Y14" s="46">
        <v>16</v>
      </c>
      <c r="Z14" s="46">
        <v>16</v>
      </c>
      <c r="AA14" s="46">
        <v>16</v>
      </c>
      <c r="AB14" s="46">
        <v>34</v>
      </c>
      <c r="AC14" s="46">
        <v>34</v>
      </c>
      <c r="AD14" s="46">
        <v>33.9</v>
      </c>
      <c r="AE14" s="46">
        <v>33.9</v>
      </c>
      <c r="AF14" s="46">
        <v>10</v>
      </c>
      <c r="AG14" s="50">
        <v>71</v>
      </c>
      <c r="AH14" s="48">
        <f t="shared" si="2"/>
        <v>34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41.6</v>
      </c>
      <c r="C15" s="46">
        <v>41.6</v>
      </c>
      <c r="D15" s="46">
        <v>41.6</v>
      </c>
      <c r="E15" s="46">
        <v>35.299999999999997</v>
      </c>
      <c r="F15" s="46">
        <v>35.299999999999997</v>
      </c>
      <c r="G15" s="46">
        <v>30</v>
      </c>
      <c r="H15" s="46">
        <v>35.299999999999997</v>
      </c>
      <c r="I15" s="46">
        <v>31</v>
      </c>
      <c r="J15" s="46">
        <v>35.200000000000003</v>
      </c>
      <c r="K15" s="46">
        <v>35.200000000000003</v>
      </c>
      <c r="L15" s="46">
        <v>41</v>
      </c>
      <c r="M15" s="46">
        <v>41.1</v>
      </c>
      <c r="N15" s="46">
        <v>41.1</v>
      </c>
      <c r="O15" s="46">
        <v>41.1</v>
      </c>
      <c r="P15" s="46">
        <v>36</v>
      </c>
      <c r="Q15" s="46">
        <v>36</v>
      </c>
      <c r="R15" s="46">
        <v>36</v>
      </c>
      <c r="S15" s="46">
        <v>36</v>
      </c>
      <c r="T15" s="46">
        <v>36</v>
      </c>
      <c r="U15" s="46">
        <v>36</v>
      </c>
      <c r="V15" s="46">
        <v>36</v>
      </c>
      <c r="W15" s="46">
        <v>36</v>
      </c>
      <c r="X15" s="46">
        <v>36</v>
      </c>
      <c r="Y15" s="46">
        <v>36</v>
      </c>
      <c r="Z15" s="46">
        <v>36</v>
      </c>
      <c r="AA15" s="46">
        <v>36</v>
      </c>
      <c r="AB15" s="46">
        <v>36</v>
      </c>
      <c r="AC15" s="46">
        <v>36</v>
      </c>
      <c r="AD15" s="46">
        <v>35.9</v>
      </c>
      <c r="AE15" s="46">
        <v>35.9</v>
      </c>
      <c r="AF15" s="46">
        <v>36.1</v>
      </c>
      <c r="AG15" s="50">
        <v>54</v>
      </c>
      <c r="AH15" s="48">
        <f t="shared" si="2"/>
        <v>41.6</v>
      </c>
      <c r="AI15" s="49">
        <f t="shared" si="3"/>
        <v>30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15.5</v>
      </c>
      <c r="C16" s="46">
        <v>15.5</v>
      </c>
      <c r="D16" s="46">
        <v>15.5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5.7</v>
      </c>
      <c r="K16" s="46">
        <v>10</v>
      </c>
      <c r="L16" s="46">
        <v>20</v>
      </c>
      <c r="M16" s="46">
        <v>10.4</v>
      </c>
      <c r="N16" s="46">
        <v>10.4</v>
      </c>
      <c r="O16" s="46">
        <v>10.4</v>
      </c>
      <c r="P16" s="46">
        <v>27</v>
      </c>
      <c r="Q16" s="46">
        <v>27</v>
      </c>
      <c r="R16" s="46">
        <v>27</v>
      </c>
      <c r="S16" s="46">
        <v>27</v>
      </c>
      <c r="T16" s="46">
        <v>27</v>
      </c>
      <c r="U16" s="46">
        <v>27</v>
      </c>
      <c r="V16" s="46">
        <v>27</v>
      </c>
      <c r="W16" s="46">
        <v>10.4</v>
      </c>
      <c r="X16" s="46">
        <v>10.4</v>
      </c>
      <c r="Y16" s="46">
        <v>10.4</v>
      </c>
      <c r="Z16" s="46">
        <v>10.4</v>
      </c>
      <c r="AA16" s="46">
        <v>10.4</v>
      </c>
      <c r="AB16" s="46">
        <v>27</v>
      </c>
      <c r="AC16" s="46">
        <v>27</v>
      </c>
      <c r="AD16" s="46">
        <v>27.2</v>
      </c>
      <c r="AE16" s="46">
        <v>27.2</v>
      </c>
      <c r="AF16" s="46">
        <v>13.9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1254.8000000000002</v>
      </c>
      <c r="AN16" s="59">
        <f t="shared" si="4"/>
        <v>1207.8000000000002</v>
      </c>
      <c r="AO16" s="59">
        <f t="shared" si="4"/>
        <v>1121.3000000000002</v>
      </c>
      <c r="AP16" s="59">
        <f t="shared" si="4"/>
        <v>1103.4000000000001</v>
      </c>
      <c r="AQ16" s="59">
        <f t="shared" si="4"/>
        <v>1097.3000000000002</v>
      </c>
      <c r="AR16" s="59">
        <f t="shared" si="4"/>
        <v>1033.7</v>
      </c>
      <c r="AS16" s="59">
        <f>I61</f>
        <v>1097.5</v>
      </c>
      <c r="AT16" s="59">
        <f>K61</f>
        <v>1168.0999999999999</v>
      </c>
      <c r="AU16" s="59">
        <f t="shared" ref="AU16:BD16" si="5">M61</f>
        <v>1221.3</v>
      </c>
      <c r="AV16" s="59">
        <f t="shared" si="5"/>
        <v>1177.2</v>
      </c>
      <c r="AW16" s="59">
        <f t="shared" si="5"/>
        <v>1211.3000000000002</v>
      </c>
      <c r="AX16" s="59">
        <f t="shared" si="5"/>
        <v>1282.4000000000001</v>
      </c>
      <c r="AY16" s="59">
        <f t="shared" si="5"/>
        <v>1234.4000000000001</v>
      </c>
      <c r="AZ16" s="59">
        <f t="shared" si="5"/>
        <v>1213.4000000000001</v>
      </c>
      <c r="BA16" s="59">
        <f t="shared" si="5"/>
        <v>1186.2</v>
      </c>
      <c r="BB16" s="59">
        <f t="shared" si="5"/>
        <v>1175.4000000000001</v>
      </c>
      <c r="BC16" s="59">
        <f t="shared" si="5"/>
        <v>1188.5</v>
      </c>
      <c r="BD16" s="59">
        <f t="shared" si="5"/>
        <v>1188.5</v>
      </c>
      <c r="BE16" s="60">
        <f>X61</f>
        <v>1185.5999999999999</v>
      </c>
      <c r="BF16" s="60">
        <f>Z61</f>
        <v>1181.5999999999999</v>
      </c>
      <c r="BG16" s="60">
        <f>AB61</f>
        <v>1353.7</v>
      </c>
      <c r="BH16" s="60">
        <f>AD61</f>
        <v>1312.1000000000001</v>
      </c>
      <c r="BI16" s="60">
        <f>AE61</f>
        <v>1312.1000000000001</v>
      </c>
      <c r="BJ16" s="60">
        <f>AF61</f>
        <v>1180.9000000000001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53.3</v>
      </c>
      <c r="C17" s="46">
        <v>53.3</v>
      </c>
      <c r="D17" s="46">
        <v>53.3</v>
      </c>
      <c r="E17" s="46">
        <v>53</v>
      </c>
      <c r="F17" s="46">
        <v>52.4</v>
      </c>
      <c r="G17" s="46">
        <v>52.4</v>
      </c>
      <c r="H17" s="46">
        <v>52.4</v>
      </c>
      <c r="I17" s="46">
        <v>52.4</v>
      </c>
      <c r="J17" s="46">
        <v>52.4</v>
      </c>
      <c r="K17" s="46">
        <v>52.4</v>
      </c>
      <c r="L17" s="46">
        <v>52.4</v>
      </c>
      <c r="M17" s="46">
        <v>52.8</v>
      </c>
      <c r="N17" s="46">
        <v>52.8</v>
      </c>
      <c r="O17" s="46">
        <v>52.8</v>
      </c>
      <c r="P17" s="46">
        <v>52.8</v>
      </c>
      <c r="Q17" s="46">
        <v>52.8</v>
      </c>
      <c r="R17" s="46">
        <v>52.8</v>
      </c>
      <c r="S17" s="46">
        <v>52.8</v>
      </c>
      <c r="T17" s="46">
        <v>52.8</v>
      </c>
      <c r="U17" s="46">
        <v>52.8</v>
      </c>
      <c r="V17" s="46">
        <v>52.8</v>
      </c>
      <c r="W17" s="46">
        <v>52.8</v>
      </c>
      <c r="X17" s="46">
        <v>52.8</v>
      </c>
      <c r="Y17" s="46">
        <v>52.8</v>
      </c>
      <c r="Z17" s="46">
        <v>52.8</v>
      </c>
      <c r="AA17" s="46">
        <v>52.8</v>
      </c>
      <c r="AB17" s="46">
        <v>52.8</v>
      </c>
      <c r="AC17" s="46">
        <v>52.8</v>
      </c>
      <c r="AD17" s="46">
        <v>52.8</v>
      </c>
      <c r="AE17" s="46">
        <v>52.8</v>
      </c>
      <c r="AF17" s="46">
        <v>52.8</v>
      </c>
      <c r="AG17" s="47">
        <v>52.4</v>
      </c>
      <c r="AH17" s="48">
        <f t="shared" si="2"/>
        <v>53.3</v>
      </c>
      <c r="AI17" s="49">
        <f t="shared" si="3"/>
        <v>52.4</v>
      </c>
      <c r="AK17" s="51"/>
      <c r="AL17" s="54" t="s">
        <v>27</v>
      </c>
      <c r="AM17" s="59">
        <f t="shared" ref="AM17:AR17" si="6">B65</f>
        <v>541.29999999999995</v>
      </c>
      <c r="AN17" s="59">
        <f t="shared" si="6"/>
        <v>541.29999999999995</v>
      </c>
      <c r="AO17" s="59">
        <f t="shared" si="6"/>
        <v>541.29999999999995</v>
      </c>
      <c r="AP17" s="59">
        <f t="shared" si="6"/>
        <v>541.29999999999995</v>
      </c>
      <c r="AQ17" s="59">
        <f t="shared" si="6"/>
        <v>538</v>
      </c>
      <c r="AR17" s="59">
        <f t="shared" si="6"/>
        <v>538</v>
      </c>
      <c r="AS17" s="59">
        <f>I65</f>
        <v>538</v>
      </c>
      <c r="AT17" s="59">
        <f>K65</f>
        <v>538</v>
      </c>
      <c r="AU17" s="59">
        <f t="shared" ref="AU17:BD17" si="7">M65</f>
        <v>538</v>
      </c>
      <c r="AV17" s="59">
        <f t="shared" si="7"/>
        <v>538</v>
      </c>
      <c r="AW17" s="59">
        <f t="shared" si="7"/>
        <v>538</v>
      </c>
      <c r="AX17" s="59">
        <f t="shared" si="7"/>
        <v>538</v>
      </c>
      <c r="AY17" s="59">
        <f t="shared" si="7"/>
        <v>538</v>
      </c>
      <c r="AZ17" s="59">
        <f t="shared" si="7"/>
        <v>538</v>
      </c>
      <c r="BA17" s="59">
        <f t="shared" si="7"/>
        <v>538</v>
      </c>
      <c r="BB17" s="59">
        <f t="shared" si="7"/>
        <v>538</v>
      </c>
      <c r="BC17" s="59">
        <f t="shared" si="7"/>
        <v>538</v>
      </c>
      <c r="BD17" s="59">
        <f t="shared" si="7"/>
        <v>538</v>
      </c>
      <c r="BE17" s="60">
        <f>X65</f>
        <v>538</v>
      </c>
      <c r="BF17" s="60">
        <f>Z65</f>
        <v>538</v>
      </c>
      <c r="BG17" s="60">
        <f>AB65</f>
        <v>538</v>
      </c>
      <c r="BH17" s="60">
        <f>AD65</f>
        <v>538</v>
      </c>
      <c r="BI17" s="60">
        <f>AE65</f>
        <v>538</v>
      </c>
      <c r="BJ17" s="60">
        <f>AF65</f>
        <v>538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50.6</v>
      </c>
      <c r="C18" s="46">
        <v>50.6</v>
      </c>
      <c r="D18" s="46">
        <v>50.6</v>
      </c>
      <c r="E18" s="46">
        <v>50.4</v>
      </c>
      <c r="F18" s="46">
        <v>50</v>
      </c>
      <c r="G18" s="46">
        <v>50</v>
      </c>
      <c r="H18" s="46">
        <v>50</v>
      </c>
      <c r="I18" s="46">
        <v>50</v>
      </c>
      <c r="J18" s="46">
        <v>50</v>
      </c>
      <c r="K18" s="46">
        <v>50</v>
      </c>
      <c r="L18" s="46">
        <v>50</v>
      </c>
      <c r="M18" s="46">
        <v>50.4</v>
      </c>
      <c r="N18" s="46">
        <v>0</v>
      </c>
      <c r="O18" s="46">
        <v>0</v>
      </c>
      <c r="P18" s="46">
        <v>50.4</v>
      </c>
      <c r="Q18" s="46">
        <v>50.4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46">
        <v>50.4</v>
      </c>
      <c r="AB18" s="46">
        <v>50.4</v>
      </c>
      <c r="AC18" s="46">
        <v>50.4</v>
      </c>
      <c r="AD18" s="46">
        <v>50.4</v>
      </c>
      <c r="AE18" s="46">
        <v>50.4</v>
      </c>
      <c r="AF18" s="46">
        <v>50.4</v>
      </c>
      <c r="AG18" s="50">
        <v>50</v>
      </c>
      <c r="AH18" s="48">
        <f t="shared" si="2"/>
        <v>50.6</v>
      </c>
      <c r="AI18" s="49">
        <f t="shared" si="3"/>
        <v>0</v>
      </c>
      <c r="AK18" s="51"/>
      <c r="AL18" s="54" t="s">
        <v>29</v>
      </c>
      <c r="AM18" s="59">
        <f t="shared" ref="AM18:AR18" si="8">B79</f>
        <v>395.44000000000005</v>
      </c>
      <c r="AN18" s="59">
        <f t="shared" si="8"/>
        <v>363.64000000000004</v>
      </c>
      <c r="AO18" s="59">
        <f t="shared" si="8"/>
        <v>375.44000000000005</v>
      </c>
      <c r="AP18" s="59">
        <f t="shared" si="8"/>
        <v>375.34</v>
      </c>
      <c r="AQ18" s="59">
        <f t="shared" si="8"/>
        <v>336.73999999999995</v>
      </c>
      <c r="AR18" s="59">
        <f t="shared" si="8"/>
        <v>367.84</v>
      </c>
      <c r="AS18" s="59">
        <f>I79</f>
        <v>331.94</v>
      </c>
      <c r="AT18" s="59">
        <f>K79</f>
        <v>355.84</v>
      </c>
      <c r="AU18" s="59">
        <f t="shared" ref="AU18:BD18" si="9">M79</f>
        <v>363.54000000000008</v>
      </c>
      <c r="AV18" s="59">
        <f t="shared" si="9"/>
        <v>346.44000000000005</v>
      </c>
      <c r="AW18" s="59">
        <f t="shared" si="9"/>
        <v>269.34000000000003</v>
      </c>
      <c r="AX18" s="59">
        <f t="shared" si="9"/>
        <v>282.54000000000002</v>
      </c>
      <c r="AY18" s="59">
        <f t="shared" si="9"/>
        <v>355.44000000000005</v>
      </c>
      <c r="AZ18" s="59">
        <f t="shared" si="9"/>
        <v>337.74000000000007</v>
      </c>
      <c r="BA18" s="59">
        <f t="shared" si="9"/>
        <v>336.6400000000001</v>
      </c>
      <c r="BB18" s="59">
        <f t="shared" si="9"/>
        <v>344.54000000000008</v>
      </c>
      <c r="BC18" s="59">
        <f t="shared" si="9"/>
        <v>333.84000000000003</v>
      </c>
      <c r="BD18" s="59">
        <f t="shared" si="9"/>
        <v>353.34000000000003</v>
      </c>
      <c r="BE18" s="60">
        <f>X79</f>
        <v>381.04</v>
      </c>
      <c r="BF18" s="60">
        <f>Z79</f>
        <v>391.49999999999994</v>
      </c>
      <c r="BG18" s="60">
        <f>AB79</f>
        <v>395.29999999999995</v>
      </c>
      <c r="BH18" s="60">
        <f>AD79</f>
        <v>395.29999999999995</v>
      </c>
      <c r="BI18" s="60">
        <f>AE79</f>
        <v>395.29999999999995</v>
      </c>
      <c r="BJ18" s="60">
        <f>AF79</f>
        <v>405.29999999999995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</v>
      </c>
      <c r="C19" s="46">
        <v>44</v>
      </c>
      <c r="D19" s="46">
        <v>44</v>
      </c>
      <c r="E19" s="46">
        <v>36</v>
      </c>
      <c r="F19" s="46">
        <v>36</v>
      </c>
      <c r="G19" s="46">
        <v>36</v>
      </c>
      <c r="H19" s="46">
        <v>36</v>
      </c>
      <c r="I19" s="46">
        <v>36</v>
      </c>
      <c r="J19" s="46">
        <v>36</v>
      </c>
      <c r="K19" s="46">
        <v>36</v>
      </c>
      <c r="L19" s="46">
        <v>44</v>
      </c>
      <c r="M19" s="46">
        <v>44</v>
      </c>
      <c r="N19" s="46">
        <v>44</v>
      </c>
      <c r="O19" s="46">
        <v>44</v>
      </c>
      <c r="P19" s="46">
        <v>44</v>
      </c>
      <c r="Q19" s="46">
        <v>44</v>
      </c>
      <c r="R19" s="46">
        <v>44</v>
      </c>
      <c r="S19" s="46">
        <v>44</v>
      </c>
      <c r="T19" s="46">
        <v>44</v>
      </c>
      <c r="U19" s="46">
        <v>44</v>
      </c>
      <c r="V19" s="46">
        <v>44</v>
      </c>
      <c r="W19" s="46">
        <v>44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>
        <v>44</v>
      </c>
      <c r="AE19" s="46">
        <v>44</v>
      </c>
      <c r="AF19" s="46">
        <v>44</v>
      </c>
      <c r="AG19" s="50">
        <v>45</v>
      </c>
      <c r="AH19" s="48">
        <f t="shared" si="2"/>
        <v>44</v>
      </c>
      <c r="AI19" s="49">
        <f t="shared" si="3"/>
        <v>36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0</v>
      </c>
      <c r="D20" s="46">
        <v>0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20</v>
      </c>
      <c r="X20" s="46">
        <v>40</v>
      </c>
      <c r="Y20" s="46">
        <v>40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27.8</v>
      </c>
      <c r="C22" s="46">
        <v>27.8</v>
      </c>
      <c r="D22" s="46">
        <v>10</v>
      </c>
      <c r="E22" s="46">
        <v>0</v>
      </c>
      <c r="F22" s="46">
        <v>0</v>
      </c>
      <c r="G22" s="46">
        <v>0</v>
      </c>
      <c r="H22" s="46">
        <v>0</v>
      </c>
      <c r="I22" s="46">
        <v>28</v>
      </c>
      <c r="J22" s="46">
        <v>27.8</v>
      </c>
      <c r="K22" s="46">
        <v>27.8</v>
      </c>
      <c r="L22" s="46">
        <v>28</v>
      </c>
      <c r="M22" s="46">
        <v>27.2</v>
      </c>
      <c r="N22" s="46">
        <v>27.2</v>
      </c>
      <c r="O22" s="46">
        <v>27.2</v>
      </c>
      <c r="P22" s="46">
        <v>27.2</v>
      </c>
      <c r="Q22" s="46">
        <v>27.2</v>
      </c>
      <c r="R22" s="46">
        <v>27.2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27</v>
      </c>
      <c r="AC22" s="46">
        <v>27</v>
      </c>
      <c r="AD22" s="46">
        <v>27</v>
      </c>
      <c r="AE22" s="46">
        <v>27</v>
      </c>
      <c r="AF22" s="46">
        <v>27</v>
      </c>
      <c r="AG22" s="50">
        <v>38.46</v>
      </c>
      <c r="AH22" s="48">
        <f t="shared" si="2"/>
        <v>28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2191.54</v>
      </c>
      <c r="AN22" s="63">
        <f t="shared" si="16"/>
        <v>2112.7400000000002</v>
      </c>
      <c r="AO22" s="63">
        <f t="shared" si="16"/>
        <v>2038.0400000000002</v>
      </c>
      <c r="AP22" s="63">
        <f t="shared" si="16"/>
        <v>2020.04</v>
      </c>
      <c r="AQ22" s="63">
        <f t="shared" si="16"/>
        <v>1972.0400000000002</v>
      </c>
      <c r="AR22" s="63">
        <f t="shared" si="16"/>
        <v>1939.54</v>
      </c>
      <c r="AS22" s="63">
        <f t="shared" si="16"/>
        <v>1967.44</v>
      </c>
      <c r="AT22" s="63">
        <f t="shared" si="16"/>
        <v>2061.94</v>
      </c>
      <c r="AU22" s="63">
        <f t="shared" si="16"/>
        <v>2122.84</v>
      </c>
      <c r="AV22" s="63">
        <f t="shared" si="16"/>
        <v>2061.6400000000003</v>
      </c>
      <c r="AW22" s="63">
        <f t="shared" si="16"/>
        <v>2018.6400000000003</v>
      </c>
      <c r="AX22" s="63">
        <f t="shared" si="16"/>
        <v>2102.94</v>
      </c>
      <c r="AY22" s="63">
        <f t="shared" si="16"/>
        <v>2127.84</v>
      </c>
      <c r="AZ22" s="63">
        <f t="shared" si="16"/>
        <v>2089.1400000000003</v>
      </c>
      <c r="BA22" s="63">
        <f t="shared" si="16"/>
        <v>2060.84</v>
      </c>
      <c r="BB22" s="63">
        <f t="shared" si="16"/>
        <v>2057.94</v>
      </c>
      <c r="BC22" s="63">
        <f t="shared" si="16"/>
        <v>2060.34</v>
      </c>
      <c r="BD22" s="63">
        <f t="shared" si="16"/>
        <v>2079.84</v>
      </c>
      <c r="BE22" s="63">
        <f t="shared" si="16"/>
        <v>2104.64</v>
      </c>
      <c r="BF22" s="63">
        <f t="shared" si="16"/>
        <v>2111.1</v>
      </c>
      <c r="BG22" s="63">
        <f t="shared" si="16"/>
        <v>2287</v>
      </c>
      <c r="BH22" s="63">
        <f t="shared" si="16"/>
        <v>2245.4</v>
      </c>
      <c r="BI22" s="63">
        <f t="shared" si="16"/>
        <v>2245.4</v>
      </c>
      <c r="BJ22" s="63">
        <f t="shared" si="16"/>
        <v>2124.1999999999998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40.6</v>
      </c>
      <c r="C23" s="46">
        <v>40.6</v>
      </c>
      <c r="D23" s="46">
        <v>40.6</v>
      </c>
      <c r="E23" s="46">
        <v>40</v>
      </c>
      <c r="F23" s="46">
        <v>40</v>
      </c>
      <c r="G23" s="46">
        <v>40</v>
      </c>
      <c r="H23" s="46">
        <v>40</v>
      </c>
      <c r="I23" s="46">
        <v>40</v>
      </c>
      <c r="J23" s="46">
        <v>40</v>
      </c>
      <c r="K23" s="46">
        <v>40</v>
      </c>
      <c r="L23" s="46">
        <v>40</v>
      </c>
      <c r="M23" s="46">
        <v>40.299999999999997</v>
      </c>
      <c r="N23" s="46">
        <v>40.299999999999997</v>
      </c>
      <c r="O23" s="46">
        <v>40.299999999999997</v>
      </c>
      <c r="P23" s="46">
        <v>40.299999999999997</v>
      </c>
      <c r="Q23" s="46">
        <v>40.299999999999997</v>
      </c>
      <c r="R23" s="46">
        <v>40.299999999999997</v>
      </c>
      <c r="S23" s="46">
        <v>40.299999999999997</v>
      </c>
      <c r="T23" s="46">
        <v>40.299999999999997</v>
      </c>
      <c r="U23" s="46">
        <v>40.299999999999997</v>
      </c>
      <c r="V23" s="46">
        <v>40.299999999999997</v>
      </c>
      <c r="W23" s="46">
        <v>40.299999999999997</v>
      </c>
      <c r="X23" s="46">
        <v>40.299999999999997</v>
      </c>
      <c r="Y23" s="46">
        <v>40.299999999999997</v>
      </c>
      <c r="Z23" s="46">
        <v>40.299999999999997</v>
      </c>
      <c r="AA23" s="46">
        <v>40.299999999999997</v>
      </c>
      <c r="AB23" s="46">
        <v>40.299999999999997</v>
      </c>
      <c r="AC23" s="46">
        <v>40.299999999999997</v>
      </c>
      <c r="AD23" s="46">
        <v>40.299999999999997</v>
      </c>
      <c r="AE23" s="46">
        <v>40.299999999999997</v>
      </c>
      <c r="AF23" s="46">
        <v>40.799999999999997</v>
      </c>
      <c r="AG23" s="50">
        <v>38.46</v>
      </c>
      <c r="AH23" s="48">
        <f t="shared" si="2"/>
        <v>40.799999999999997</v>
      </c>
      <c r="AI23" s="49">
        <f t="shared" si="3"/>
        <v>40</v>
      </c>
      <c r="AK23" s="51"/>
      <c r="AL23" s="62" t="s">
        <v>39</v>
      </c>
      <c r="AM23" s="63">
        <f t="shared" ref="AM23:AR23" si="17">B110*-1</f>
        <v>-762.6</v>
      </c>
      <c r="AN23" s="63">
        <f t="shared" si="17"/>
        <v>-747.7</v>
      </c>
      <c r="AO23" s="63">
        <f t="shared" si="17"/>
        <v>-729.8</v>
      </c>
      <c r="AP23" s="63">
        <f t="shared" si="17"/>
        <v>-784</v>
      </c>
      <c r="AQ23" s="63">
        <f t="shared" si="17"/>
        <v>-770.4</v>
      </c>
      <c r="AR23" s="63">
        <f t="shared" si="17"/>
        <v>-744.5</v>
      </c>
      <c r="AS23" s="63">
        <f>I110*-1</f>
        <v>-770</v>
      </c>
      <c r="AT23" s="63">
        <f>K110*-1</f>
        <v>-739</v>
      </c>
      <c r="AU23" s="63">
        <f t="shared" ref="AU23:BD23" si="18">M110*-1</f>
        <v>-749.7</v>
      </c>
      <c r="AV23" s="63">
        <f t="shared" si="18"/>
        <v>-734.4</v>
      </c>
      <c r="AW23" s="63">
        <f t="shared" si="18"/>
        <v>-698</v>
      </c>
      <c r="AX23" s="63">
        <f t="shared" si="18"/>
        <v>-681</v>
      </c>
      <c r="AY23" s="63">
        <f t="shared" si="18"/>
        <v>-740</v>
      </c>
      <c r="AZ23" s="63">
        <f t="shared" si="18"/>
        <v>-737</v>
      </c>
      <c r="BA23" s="63">
        <f t="shared" si="18"/>
        <v>-698.5</v>
      </c>
      <c r="BB23" s="63">
        <f t="shared" si="18"/>
        <v>-679.9</v>
      </c>
      <c r="BC23" s="63">
        <f t="shared" si="18"/>
        <v>-660.9</v>
      </c>
      <c r="BD23" s="63">
        <f t="shared" si="18"/>
        <v>-707.5</v>
      </c>
      <c r="BE23" s="63">
        <f>X110*-1</f>
        <v>-754.8</v>
      </c>
      <c r="BF23" s="63">
        <f>Z110*-1</f>
        <v>-688.1</v>
      </c>
      <c r="BG23" s="63">
        <f>AB110*-1</f>
        <v>-705.4</v>
      </c>
      <c r="BH23" s="63">
        <f>AD110*-1</f>
        <v>-727.5</v>
      </c>
      <c r="BI23" s="63">
        <f>AE110*-1</f>
        <v>-719.3</v>
      </c>
      <c r="BJ23" s="63">
        <f>AF110*-1</f>
        <v>-728.4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0</v>
      </c>
      <c r="E24" s="46">
        <v>30</v>
      </c>
      <c r="F24" s="46">
        <v>30</v>
      </c>
      <c r="G24" s="46">
        <v>30</v>
      </c>
      <c r="H24" s="46">
        <v>0</v>
      </c>
      <c r="I24" s="46">
        <v>30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>
        <v>36</v>
      </c>
      <c r="R24" s="46">
        <v>36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1428.94</v>
      </c>
      <c r="AN24" s="63">
        <f t="shared" si="19"/>
        <v>1365.0400000000002</v>
      </c>
      <c r="AO24" s="63">
        <f t="shared" si="19"/>
        <v>1308.2400000000002</v>
      </c>
      <c r="AP24" s="63">
        <f t="shared" si="19"/>
        <v>1236.04</v>
      </c>
      <c r="AQ24" s="63">
        <f t="shared" si="19"/>
        <v>1201.6400000000003</v>
      </c>
      <c r="AR24" s="63">
        <f t="shared" si="19"/>
        <v>1195.04</v>
      </c>
      <c r="AS24" s="63">
        <f t="shared" si="19"/>
        <v>1197.44</v>
      </c>
      <c r="AT24" s="63">
        <f t="shared" si="19"/>
        <v>1322.94</v>
      </c>
      <c r="AU24" s="63">
        <f t="shared" si="19"/>
        <v>1373.14</v>
      </c>
      <c r="AV24" s="63">
        <f t="shared" si="19"/>
        <v>1327.2400000000002</v>
      </c>
      <c r="AW24" s="63">
        <f t="shared" si="19"/>
        <v>1320.6400000000003</v>
      </c>
      <c r="AX24" s="63">
        <f t="shared" si="19"/>
        <v>1421.94</v>
      </c>
      <c r="AY24" s="63">
        <f t="shared" si="19"/>
        <v>1387.8400000000001</v>
      </c>
      <c r="AZ24" s="63">
        <f t="shared" si="19"/>
        <v>1352.1400000000003</v>
      </c>
      <c r="BA24" s="63">
        <f t="shared" si="19"/>
        <v>1362.3400000000001</v>
      </c>
      <c r="BB24" s="63">
        <f t="shared" si="19"/>
        <v>1378.04</v>
      </c>
      <c r="BC24" s="63">
        <f t="shared" si="19"/>
        <v>1399.44</v>
      </c>
      <c r="BD24" s="63">
        <f t="shared" si="19"/>
        <v>1372.3400000000001</v>
      </c>
      <c r="BE24" s="63">
        <f t="shared" si="19"/>
        <v>1349.84</v>
      </c>
      <c r="BF24" s="63">
        <f t="shared" si="19"/>
        <v>1423</v>
      </c>
      <c r="BG24" s="63">
        <f t="shared" si="19"/>
        <v>1581.6</v>
      </c>
      <c r="BH24" s="63">
        <f t="shared" si="19"/>
        <v>1517.9</v>
      </c>
      <c r="BI24" s="63">
        <f t="shared" si="19"/>
        <v>1526.1000000000001</v>
      </c>
      <c r="BJ24" s="63">
        <f t="shared" si="19"/>
        <v>1395.7999999999997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10.199999999999999</v>
      </c>
      <c r="C25" s="46">
        <v>10.199999999999999</v>
      </c>
      <c r="D25" s="46">
        <v>10.199999999999999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5</v>
      </c>
      <c r="K25" s="46">
        <v>5</v>
      </c>
      <c r="L25" s="46">
        <v>10</v>
      </c>
      <c r="M25" s="46">
        <v>5.8</v>
      </c>
      <c r="N25" s="46">
        <v>14.8</v>
      </c>
      <c r="O25" s="46">
        <v>30</v>
      </c>
      <c r="P25" s="46">
        <v>30</v>
      </c>
      <c r="Q25" s="46">
        <v>15</v>
      </c>
      <c r="R25" s="46">
        <v>7</v>
      </c>
      <c r="S25" s="46">
        <v>7</v>
      </c>
      <c r="T25" s="46">
        <v>7</v>
      </c>
      <c r="U25" s="46">
        <v>10.6</v>
      </c>
      <c r="V25" s="46">
        <v>10.6</v>
      </c>
      <c r="W25" s="46">
        <v>5.4</v>
      </c>
      <c r="X25" s="46">
        <v>5.4</v>
      </c>
      <c r="Y25" s="46">
        <v>5.4</v>
      </c>
      <c r="Z25" s="46">
        <v>5.4</v>
      </c>
      <c r="AA25" s="46">
        <v>5.4</v>
      </c>
      <c r="AB25" s="46">
        <v>24.3</v>
      </c>
      <c r="AC25" s="46">
        <v>24.3</v>
      </c>
      <c r="AD25" s="46">
        <v>15</v>
      </c>
      <c r="AE25" s="46">
        <v>15</v>
      </c>
      <c r="AF25" s="46">
        <v>7.9</v>
      </c>
      <c r="AG25" s="61">
        <v>30</v>
      </c>
      <c r="AH25" s="48">
        <f t="shared" si="2"/>
        <v>30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25.6</v>
      </c>
      <c r="C26" s="46">
        <v>25.6</v>
      </c>
      <c r="D26" s="46">
        <v>20</v>
      </c>
      <c r="E26" s="46">
        <v>20</v>
      </c>
      <c r="F26" s="46">
        <v>20</v>
      </c>
      <c r="G26" s="46">
        <v>20</v>
      </c>
      <c r="H26" s="46">
        <v>25</v>
      </c>
      <c r="I26" s="46">
        <v>20.6</v>
      </c>
      <c r="J26" s="46">
        <v>24</v>
      </c>
      <c r="K26" s="46">
        <v>24</v>
      </c>
      <c r="L26" s="46">
        <v>24.6</v>
      </c>
      <c r="M26" s="46">
        <v>24.6</v>
      </c>
      <c r="N26" s="46">
        <v>24.6</v>
      </c>
      <c r="O26" s="46">
        <v>24.6</v>
      </c>
      <c r="P26" s="46">
        <v>24.6</v>
      </c>
      <c r="Q26" s="46">
        <v>24.6</v>
      </c>
      <c r="R26" s="46">
        <v>24.6</v>
      </c>
      <c r="S26" s="46">
        <v>24.6</v>
      </c>
      <c r="T26" s="46">
        <v>24.6</v>
      </c>
      <c r="U26" s="46">
        <v>24.6</v>
      </c>
      <c r="V26" s="46">
        <v>24.6</v>
      </c>
      <c r="W26" s="46">
        <v>24.6</v>
      </c>
      <c r="X26" s="46">
        <v>24.6</v>
      </c>
      <c r="Y26" s="46">
        <v>24.6</v>
      </c>
      <c r="Z26" s="46">
        <v>24.6</v>
      </c>
      <c r="AA26" s="46">
        <v>24.6</v>
      </c>
      <c r="AB26" s="46">
        <v>33</v>
      </c>
      <c r="AC26" s="46">
        <v>33</v>
      </c>
      <c r="AD26" s="46">
        <v>33</v>
      </c>
      <c r="AE26" s="46">
        <v>33</v>
      </c>
      <c r="AF26" s="46">
        <v>17.7</v>
      </c>
      <c r="AG26" s="50">
        <v>24.2</v>
      </c>
      <c r="AH26" s="48">
        <f t="shared" si="2"/>
        <v>33</v>
      </c>
      <c r="AI26" s="49">
        <f t="shared" si="3"/>
        <v>17.7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25.4</v>
      </c>
      <c r="C27" s="46">
        <v>25.4</v>
      </c>
      <c r="D27" s="46">
        <v>25.4</v>
      </c>
      <c r="E27" s="46">
        <v>25.5</v>
      </c>
      <c r="F27" s="46">
        <v>25.5</v>
      </c>
      <c r="G27" s="46">
        <v>20</v>
      </c>
      <c r="H27" s="46">
        <v>28</v>
      </c>
      <c r="I27" s="46">
        <v>20</v>
      </c>
      <c r="J27" s="46">
        <v>28</v>
      </c>
      <c r="K27" s="46">
        <v>28</v>
      </c>
      <c r="L27" s="46">
        <v>28</v>
      </c>
      <c r="M27" s="46">
        <v>28</v>
      </c>
      <c r="N27" s="46">
        <v>28</v>
      </c>
      <c r="O27" s="46">
        <v>28</v>
      </c>
      <c r="P27" s="46">
        <v>28</v>
      </c>
      <c r="Q27" s="46">
        <v>28</v>
      </c>
      <c r="R27" s="46">
        <v>28</v>
      </c>
      <c r="S27" s="46">
        <v>28</v>
      </c>
      <c r="T27" s="46">
        <v>28</v>
      </c>
      <c r="U27" s="46">
        <v>28</v>
      </c>
      <c r="V27" s="46">
        <v>28</v>
      </c>
      <c r="W27" s="46">
        <v>28</v>
      </c>
      <c r="X27" s="46">
        <v>28</v>
      </c>
      <c r="Y27" s="46">
        <v>28</v>
      </c>
      <c r="Z27" s="46">
        <v>28</v>
      </c>
      <c r="AA27" s="46">
        <v>28</v>
      </c>
      <c r="AB27" s="46">
        <v>28</v>
      </c>
      <c r="AC27" s="46">
        <v>28</v>
      </c>
      <c r="AD27" s="46">
        <v>28</v>
      </c>
      <c r="AE27" s="46">
        <v>28</v>
      </c>
      <c r="AF27" s="46">
        <v>28</v>
      </c>
      <c r="AG27" s="50">
        <v>28</v>
      </c>
      <c r="AH27" s="48">
        <f t="shared" si="2"/>
        <v>28</v>
      </c>
      <c r="AI27" s="49">
        <f t="shared" si="3"/>
        <v>20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9.5</v>
      </c>
      <c r="C28" s="46">
        <v>9.5</v>
      </c>
      <c r="D28" s="46">
        <v>9.5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5</v>
      </c>
      <c r="K28" s="46">
        <v>5</v>
      </c>
      <c r="L28" s="46">
        <v>10</v>
      </c>
      <c r="M28" s="46">
        <v>5.5</v>
      </c>
      <c r="N28" s="46">
        <v>18.7</v>
      </c>
      <c r="O28" s="46">
        <v>27</v>
      </c>
      <c r="P28" s="46">
        <v>27</v>
      </c>
      <c r="Q28" s="46">
        <v>13.5</v>
      </c>
      <c r="R28" s="46">
        <f>0.25*27</f>
        <v>6.75</v>
      </c>
      <c r="S28" s="46">
        <f>0.25*27</f>
        <v>6.75</v>
      </c>
      <c r="T28" s="46">
        <f>0.25*27</f>
        <v>6.75</v>
      </c>
      <c r="U28" s="46">
        <v>18.5</v>
      </c>
      <c r="V28" s="46">
        <v>18.5</v>
      </c>
      <c r="W28" s="46">
        <v>9</v>
      </c>
      <c r="X28" s="46">
        <v>9</v>
      </c>
      <c r="Y28" s="46">
        <v>9</v>
      </c>
      <c r="Z28" s="46">
        <v>9</v>
      </c>
      <c r="AA28" s="46">
        <v>9</v>
      </c>
      <c r="AB28" s="46">
        <v>18</v>
      </c>
      <c r="AC28" s="46">
        <v>18</v>
      </c>
      <c r="AD28" s="46">
        <v>14.2</v>
      </c>
      <c r="AE28" s="46">
        <v>14.2</v>
      </c>
      <c r="AF28" s="46">
        <v>7.1</v>
      </c>
      <c r="AG28" s="61">
        <v>30</v>
      </c>
      <c r="AH28" s="48">
        <f t="shared" si="2"/>
        <v>27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25.6</v>
      </c>
      <c r="C29" s="46">
        <v>25.6</v>
      </c>
      <c r="D29" s="46">
        <v>25.6</v>
      </c>
      <c r="E29" s="46">
        <v>24</v>
      </c>
      <c r="F29" s="46">
        <v>24</v>
      </c>
      <c r="G29" s="46">
        <v>25</v>
      </c>
      <c r="H29" s="46">
        <v>25</v>
      </c>
      <c r="I29" s="46">
        <v>24</v>
      </c>
      <c r="J29" s="46">
        <v>25.6</v>
      </c>
      <c r="K29" s="46">
        <v>25.6</v>
      </c>
      <c r="L29" s="46">
        <v>24</v>
      </c>
      <c r="M29" s="46">
        <v>24</v>
      </c>
      <c r="N29" s="46">
        <v>24</v>
      </c>
      <c r="O29" s="46">
        <v>24</v>
      </c>
      <c r="P29" s="46">
        <v>24</v>
      </c>
      <c r="Q29" s="46">
        <v>24</v>
      </c>
      <c r="R29" s="46">
        <v>24</v>
      </c>
      <c r="S29" s="46">
        <v>24</v>
      </c>
      <c r="T29" s="46">
        <v>24</v>
      </c>
      <c r="U29" s="46">
        <v>24</v>
      </c>
      <c r="V29" s="46">
        <v>24</v>
      </c>
      <c r="W29" s="46">
        <v>25.8</v>
      </c>
      <c r="X29" s="46">
        <v>25.8</v>
      </c>
      <c r="Y29" s="46">
        <v>25.8</v>
      </c>
      <c r="Z29" s="46">
        <v>25.8</v>
      </c>
      <c r="AA29" s="46">
        <v>25.8</v>
      </c>
      <c r="AB29" s="46">
        <v>25.8</v>
      </c>
      <c r="AC29" s="46">
        <v>25.8</v>
      </c>
      <c r="AD29" s="46">
        <v>24</v>
      </c>
      <c r="AE29" s="46">
        <v>24</v>
      </c>
      <c r="AF29" s="46">
        <v>24.1</v>
      </c>
      <c r="AG29" s="50">
        <v>25</v>
      </c>
      <c r="AH29" s="48">
        <f t="shared" si="2"/>
        <v>25.8</v>
      </c>
      <c r="AI29" s="49">
        <f t="shared" si="3"/>
        <v>24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18.8</v>
      </c>
      <c r="C30" s="46">
        <v>18.8</v>
      </c>
      <c r="D30" s="46">
        <v>18.8</v>
      </c>
      <c r="E30" s="46">
        <v>18</v>
      </c>
      <c r="F30" s="46">
        <v>18</v>
      </c>
      <c r="G30" s="46">
        <v>18</v>
      </c>
      <c r="H30" s="46">
        <v>18</v>
      </c>
      <c r="I30" s="46">
        <v>18</v>
      </c>
      <c r="J30" s="46">
        <v>18</v>
      </c>
      <c r="K30" s="46">
        <v>18</v>
      </c>
      <c r="L30" s="46">
        <v>18</v>
      </c>
      <c r="M30" s="46">
        <v>18</v>
      </c>
      <c r="N30" s="46">
        <v>18</v>
      </c>
      <c r="O30" s="46">
        <v>18</v>
      </c>
      <c r="P30" s="46">
        <v>18</v>
      </c>
      <c r="Q30" s="46">
        <v>18</v>
      </c>
      <c r="R30" s="46">
        <v>18</v>
      </c>
      <c r="S30" s="46">
        <v>18</v>
      </c>
      <c r="T30" s="46">
        <v>18</v>
      </c>
      <c r="U30" s="46">
        <v>18</v>
      </c>
      <c r="V30" s="46">
        <v>18</v>
      </c>
      <c r="W30" s="46">
        <v>18</v>
      </c>
      <c r="X30" s="46">
        <v>18</v>
      </c>
      <c r="Y30" s="46">
        <v>18</v>
      </c>
      <c r="Z30" s="46">
        <v>18</v>
      </c>
      <c r="AA30" s="46">
        <v>18</v>
      </c>
      <c r="AB30" s="46">
        <v>18</v>
      </c>
      <c r="AC30" s="46">
        <v>18</v>
      </c>
      <c r="AD30" s="46">
        <v>18</v>
      </c>
      <c r="AE30" s="46">
        <v>18</v>
      </c>
      <c r="AF30" s="46">
        <v>18</v>
      </c>
      <c r="AG30" s="50">
        <v>25</v>
      </c>
      <c r="AH30" s="48">
        <f t="shared" si="2"/>
        <v>18.8</v>
      </c>
      <c r="AI30" s="49">
        <f t="shared" si="3"/>
        <v>18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25</v>
      </c>
      <c r="C31" s="46">
        <v>25</v>
      </c>
      <c r="D31" s="46">
        <v>25</v>
      </c>
      <c r="E31" s="46">
        <v>25</v>
      </c>
      <c r="F31" s="46">
        <v>25</v>
      </c>
      <c r="G31" s="46">
        <v>20</v>
      </c>
      <c r="H31" s="46">
        <v>20</v>
      </c>
      <c r="I31" s="46">
        <v>20</v>
      </c>
      <c r="J31" s="46">
        <v>20</v>
      </c>
      <c r="K31" s="46">
        <v>20</v>
      </c>
      <c r="L31" s="46">
        <v>25</v>
      </c>
      <c r="M31" s="46">
        <v>25</v>
      </c>
      <c r="N31" s="46">
        <v>25</v>
      </c>
      <c r="O31" s="46">
        <v>25</v>
      </c>
      <c r="P31" s="46">
        <v>25</v>
      </c>
      <c r="Q31" s="46">
        <v>25</v>
      </c>
      <c r="R31" s="46">
        <v>25</v>
      </c>
      <c r="S31" s="46">
        <v>25</v>
      </c>
      <c r="T31" s="46">
        <v>25</v>
      </c>
      <c r="U31" s="46">
        <v>25</v>
      </c>
      <c r="V31" s="46">
        <v>25</v>
      </c>
      <c r="W31" s="46">
        <v>25</v>
      </c>
      <c r="X31" s="46">
        <v>25</v>
      </c>
      <c r="Y31" s="46">
        <v>25</v>
      </c>
      <c r="Z31" s="46">
        <v>25</v>
      </c>
      <c r="AA31" s="46">
        <v>25</v>
      </c>
      <c r="AB31" s="46">
        <v>25</v>
      </c>
      <c r="AC31" s="46">
        <v>25</v>
      </c>
      <c r="AD31" s="46">
        <v>24</v>
      </c>
      <c r="AE31" s="46">
        <v>24</v>
      </c>
      <c r="AF31" s="46">
        <v>24</v>
      </c>
      <c r="AG31" s="50">
        <v>25</v>
      </c>
      <c r="AH31" s="48">
        <f t="shared" si="2"/>
        <v>25</v>
      </c>
      <c r="AI31" s="49">
        <f t="shared" si="3"/>
        <v>20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8.3000000000000007</v>
      </c>
      <c r="C32" s="46">
        <v>8.3000000000000007</v>
      </c>
      <c r="D32" s="46">
        <v>8.3000000000000007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10</v>
      </c>
      <c r="M32" s="46">
        <v>5.4</v>
      </c>
      <c r="N32" s="46">
        <v>20.8</v>
      </c>
      <c r="O32" s="46">
        <v>25</v>
      </c>
      <c r="P32" s="46">
        <v>25</v>
      </c>
      <c r="Q32" s="46">
        <v>12.5</v>
      </c>
      <c r="R32" s="46">
        <v>6.25</v>
      </c>
      <c r="S32" s="46">
        <v>6.25</v>
      </c>
      <c r="T32" s="46">
        <v>6.25</v>
      </c>
      <c r="U32" s="46">
        <v>0</v>
      </c>
      <c r="V32" s="46">
        <v>0</v>
      </c>
      <c r="W32" s="46">
        <v>10</v>
      </c>
      <c r="X32" s="46">
        <v>10</v>
      </c>
      <c r="Y32" s="46">
        <v>10</v>
      </c>
      <c r="Z32" s="46">
        <v>10</v>
      </c>
      <c r="AA32" s="46">
        <v>10</v>
      </c>
      <c r="AB32" s="46">
        <v>25</v>
      </c>
      <c r="AC32" s="46">
        <v>25</v>
      </c>
      <c r="AD32" s="46">
        <v>25</v>
      </c>
      <c r="AE32" s="46">
        <v>25</v>
      </c>
      <c r="AF32" s="46">
        <v>6.9</v>
      </c>
      <c r="AG32" s="50">
        <v>25</v>
      </c>
      <c r="AH32" s="48">
        <f t="shared" si="2"/>
        <v>25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24.7</v>
      </c>
      <c r="C33" s="46">
        <v>24.7</v>
      </c>
      <c r="D33" s="46">
        <v>24.7</v>
      </c>
      <c r="E33" s="46">
        <v>24</v>
      </c>
      <c r="F33" s="46">
        <v>23.5</v>
      </c>
      <c r="G33" s="46">
        <v>20.6</v>
      </c>
      <c r="H33" s="46">
        <v>23.5</v>
      </c>
      <c r="I33" s="46">
        <v>20.5</v>
      </c>
      <c r="J33" s="46">
        <v>23.5</v>
      </c>
      <c r="K33" s="46">
        <v>23.5</v>
      </c>
      <c r="L33" s="46">
        <v>23.5</v>
      </c>
      <c r="M33" s="46">
        <v>23.5</v>
      </c>
      <c r="N33" s="46">
        <v>23.5</v>
      </c>
      <c r="O33" s="46">
        <v>23.5</v>
      </c>
      <c r="P33" s="46">
        <v>23.5</v>
      </c>
      <c r="Q33" s="46">
        <v>23.5</v>
      </c>
      <c r="R33" s="46">
        <v>23.5</v>
      </c>
      <c r="S33" s="46">
        <v>23.5</v>
      </c>
      <c r="T33" s="46">
        <v>23.5</v>
      </c>
      <c r="U33" s="46">
        <v>23.5</v>
      </c>
      <c r="V33" s="46">
        <v>23.5</v>
      </c>
      <c r="W33" s="46">
        <v>23.5</v>
      </c>
      <c r="X33" s="46">
        <v>23.5</v>
      </c>
      <c r="Y33" s="46">
        <v>23.5</v>
      </c>
      <c r="Z33" s="46">
        <v>23.5</v>
      </c>
      <c r="AA33" s="46">
        <v>23.5</v>
      </c>
      <c r="AB33" s="46">
        <v>23.5</v>
      </c>
      <c r="AC33" s="46">
        <v>23.5</v>
      </c>
      <c r="AD33" s="46">
        <v>23.5</v>
      </c>
      <c r="AE33" s="46">
        <v>23.5</v>
      </c>
      <c r="AF33" s="46">
        <v>23.5</v>
      </c>
      <c r="AG33" s="50">
        <v>23.5</v>
      </c>
      <c r="AH33" s="48">
        <f t="shared" si="2"/>
        <v>24.7</v>
      </c>
      <c r="AI33" s="49">
        <f t="shared" si="3"/>
        <v>20.5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19</v>
      </c>
      <c r="H35" s="46">
        <v>19</v>
      </c>
      <c r="I35" s="46">
        <v>19</v>
      </c>
      <c r="J35" s="46">
        <v>19</v>
      </c>
      <c r="K35" s="46">
        <v>19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19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18</v>
      </c>
      <c r="H36" s="46">
        <v>18</v>
      </c>
      <c r="I36" s="46">
        <v>18</v>
      </c>
      <c r="J36" s="46">
        <v>18</v>
      </c>
      <c r="K36" s="46">
        <v>18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18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22</v>
      </c>
      <c r="F37" s="46">
        <v>22</v>
      </c>
      <c r="G37" s="46">
        <v>22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>
        <v>22</v>
      </c>
      <c r="O37" s="46">
        <v>22</v>
      </c>
      <c r="P37" s="46">
        <v>22</v>
      </c>
      <c r="Q37" s="46">
        <v>18</v>
      </c>
      <c r="R37" s="46">
        <v>18</v>
      </c>
      <c r="S37" s="46">
        <v>18</v>
      </c>
      <c r="T37" s="46">
        <v>18</v>
      </c>
      <c r="U37" s="46">
        <v>18</v>
      </c>
      <c r="V37" s="46">
        <v>18</v>
      </c>
      <c r="W37" s="46">
        <v>1.6</v>
      </c>
      <c r="X37" s="46">
        <v>1.6</v>
      </c>
      <c r="Y37" s="46">
        <v>1.6</v>
      </c>
      <c r="Z37" s="46">
        <v>1.6</v>
      </c>
      <c r="AA37" s="46">
        <v>1.6</v>
      </c>
      <c r="AB37" s="46">
        <v>1.6</v>
      </c>
      <c r="AC37" s="46">
        <v>1.6</v>
      </c>
      <c r="AD37" s="46">
        <v>1.6</v>
      </c>
      <c r="AE37" s="46">
        <v>1.6</v>
      </c>
      <c r="AF37" s="46">
        <v>1.6</v>
      </c>
      <c r="AG37" s="50">
        <v>22</v>
      </c>
      <c r="AH37" s="48">
        <f t="shared" si="2"/>
        <v>22</v>
      </c>
      <c r="AI37" s="49">
        <f t="shared" si="3"/>
        <v>1.6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11</v>
      </c>
      <c r="I38" s="46">
        <v>11</v>
      </c>
      <c r="J38" s="46">
        <v>11</v>
      </c>
      <c r="K38" s="46">
        <v>11</v>
      </c>
      <c r="L38" s="46">
        <v>11</v>
      </c>
      <c r="M38" s="46">
        <v>11</v>
      </c>
      <c r="N38" s="46">
        <v>11</v>
      </c>
      <c r="O38" s="46">
        <v>11</v>
      </c>
      <c r="P38" s="46">
        <v>11</v>
      </c>
      <c r="Q38" s="46">
        <v>11</v>
      </c>
      <c r="R38" s="46">
        <v>11</v>
      </c>
      <c r="S38" s="46">
        <v>11</v>
      </c>
      <c r="T38" s="46">
        <v>11</v>
      </c>
      <c r="U38" s="46">
        <v>11</v>
      </c>
      <c r="V38" s="46">
        <v>11</v>
      </c>
      <c r="W38" s="46">
        <v>11</v>
      </c>
      <c r="X38" s="46">
        <v>11</v>
      </c>
      <c r="Y38" s="46">
        <v>11</v>
      </c>
      <c r="Z38" s="46">
        <v>11</v>
      </c>
      <c r="AA38" s="46">
        <v>11</v>
      </c>
      <c r="AB38" s="46">
        <v>11.2</v>
      </c>
      <c r="AC38" s="46">
        <v>11.2</v>
      </c>
      <c r="AD38" s="46">
        <v>11.2</v>
      </c>
      <c r="AE38" s="46">
        <v>11.2</v>
      </c>
      <c r="AF38" s="46">
        <v>11.2</v>
      </c>
      <c r="AG38" s="50">
        <v>20</v>
      </c>
      <c r="AH38" s="48">
        <f t="shared" si="2"/>
        <v>11.2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19</v>
      </c>
      <c r="F39" s="46">
        <v>19</v>
      </c>
      <c r="G39" s="46">
        <v>19</v>
      </c>
      <c r="H39" s="46">
        <v>19</v>
      </c>
      <c r="I39" s="46">
        <v>19</v>
      </c>
      <c r="J39" s="46">
        <v>19</v>
      </c>
      <c r="K39" s="46">
        <v>19</v>
      </c>
      <c r="L39" s="46">
        <v>19</v>
      </c>
      <c r="M39" s="46">
        <v>19</v>
      </c>
      <c r="N39" s="46">
        <v>19</v>
      </c>
      <c r="O39" s="46">
        <v>19</v>
      </c>
      <c r="P39" s="46">
        <v>19</v>
      </c>
      <c r="Q39" s="46">
        <v>19</v>
      </c>
      <c r="R39" s="46">
        <v>19</v>
      </c>
      <c r="S39" s="46">
        <v>19</v>
      </c>
      <c r="T39" s="46">
        <v>19</v>
      </c>
      <c r="U39" s="46">
        <v>19</v>
      </c>
      <c r="V39" s="46">
        <v>19</v>
      </c>
      <c r="W39" s="46">
        <v>19</v>
      </c>
      <c r="X39" s="46">
        <v>19</v>
      </c>
      <c r="Y39" s="46">
        <v>19</v>
      </c>
      <c r="Z39" s="46">
        <v>19</v>
      </c>
      <c r="AA39" s="46">
        <v>19</v>
      </c>
      <c r="AB39" s="46">
        <v>19</v>
      </c>
      <c r="AC39" s="46">
        <v>19</v>
      </c>
      <c r="AD39" s="46">
        <v>19</v>
      </c>
      <c r="AE39" s="46">
        <v>19</v>
      </c>
      <c r="AF39" s="46">
        <v>19</v>
      </c>
      <c r="AG39" s="50">
        <v>20</v>
      </c>
      <c r="AH39" s="48">
        <f t="shared" si="2"/>
        <v>19</v>
      </c>
      <c r="AI39" s="49">
        <f t="shared" si="3"/>
        <v>19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4</v>
      </c>
      <c r="P40" s="46">
        <v>12.7</v>
      </c>
      <c r="Q40" s="46">
        <v>12.7</v>
      </c>
      <c r="R40" s="46">
        <v>12.7</v>
      </c>
      <c r="S40" s="46">
        <v>12.7</v>
      </c>
      <c r="T40" s="46">
        <v>12.7</v>
      </c>
      <c r="U40" s="46">
        <v>12.7</v>
      </c>
      <c r="V40" s="46">
        <v>12.7</v>
      </c>
      <c r="W40" s="46">
        <v>12.7</v>
      </c>
      <c r="X40" s="46">
        <v>12.7</v>
      </c>
      <c r="Y40" s="46">
        <v>12.7</v>
      </c>
      <c r="Z40" s="46">
        <v>12.7</v>
      </c>
      <c r="AA40" s="46">
        <v>12.7</v>
      </c>
      <c r="AB40" s="46">
        <v>12.7</v>
      </c>
      <c r="AC40" s="46">
        <v>12.7</v>
      </c>
      <c r="AD40" s="46">
        <v>12.7</v>
      </c>
      <c r="AE40" s="46">
        <v>12.7</v>
      </c>
      <c r="AF40" s="46">
        <v>12.7</v>
      </c>
      <c r="AG40" s="50">
        <v>18</v>
      </c>
      <c r="AH40" s="48">
        <f t="shared" si="2"/>
        <v>12.7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16</v>
      </c>
      <c r="C41" s="46">
        <v>16</v>
      </c>
      <c r="D41" s="46">
        <v>16</v>
      </c>
      <c r="E41" s="46">
        <v>16</v>
      </c>
      <c r="F41" s="46">
        <v>16</v>
      </c>
      <c r="G41" s="46">
        <v>16</v>
      </c>
      <c r="H41" s="46">
        <v>16</v>
      </c>
      <c r="I41" s="46">
        <v>16</v>
      </c>
      <c r="J41" s="46">
        <v>16</v>
      </c>
      <c r="K41" s="46">
        <v>16</v>
      </c>
      <c r="L41" s="46">
        <v>16</v>
      </c>
      <c r="M41" s="46">
        <v>16</v>
      </c>
      <c r="N41" s="46">
        <v>16</v>
      </c>
      <c r="O41" s="46">
        <v>16</v>
      </c>
      <c r="P41" s="46">
        <v>16</v>
      </c>
      <c r="Q41" s="46">
        <v>16</v>
      </c>
      <c r="R41" s="46">
        <v>16</v>
      </c>
      <c r="S41" s="46">
        <v>16</v>
      </c>
      <c r="T41" s="46">
        <v>16</v>
      </c>
      <c r="U41" s="46">
        <v>16</v>
      </c>
      <c r="V41" s="46">
        <v>16</v>
      </c>
      <c r="W41" s="46">
        <v>16</v>
      </c>
      <c r="X41" s="46">
        <v>16</v>
      </c>
      <c r="Y41" s="46">
        <v>16</v>
      </c>
      <c r="Z41" s="46">
        <v>16</v>
      </c>
      <c r="AA41" s="46">
        <v>16</v>
      </c>
      <c r="AB41" s="46">
        <v>16</v>
      </c>
      <c r="AC41" s="46">
        <v>16</v>
      </c>
      <c r="AD41" s="46">
        <v>16</v>
      </c>
      <c r="AE41" s="46">
        <v>16</v>
      </c>
      <c r="AF41" s="46">
        <v>16</v>
      </c>
      <c r="AG41" s="50">
        <v>15.33</v>
      </c>
      <c r="AH41" s="48">
        <f t="shared" si="2"/>
        <v>16</v>
      </c>
      <c r="AI41" s="49">
        <f t="shared" si="3"/>
        <v>16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ref="AH43:AH74" si="20">MAX(B43:AF43)</f>
        <v>14</v>
      </c>
      <c r="AI43" s="49">
        <f t="shared" ref="AI43:AI74" si="21">MIN(B43:AF43)</f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5</v>
      </c>
      <c r="D44" s="46">
        <v>5</v>
      </c>
      <c r="E44" s="46">
        <v>5</v>
      </c>
      <c r="F44" s="46">
        <v>5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0"/>
        <v>8</v>
      </c>
      <c r="AI44" s="49">
        <f t="shared" si="21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0"/>
        <v>14</v>
      </c>
      <c r="AI45" s="49">
        <f t="shared" si="21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</v>
      </c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>
        <v>7</v>
      </c>
      <c r="O46" s="46">
        <v>7</v>
      </c>
      <c r="P46" s="46">
        <v>7</v>
      </c>
      <c r="Q46" s="46">
        <v>7</v>
      </c>
      <c r="R46" s="46">
        <v>7</v>
      </c>
      <c r="S46" s="46">
        <v>7</v>
      </c>
      <c r="T46" s="46">
        <v>7</v>
      </c>
      <c r="U46" s="46">
        <v>7</v>
      </c>
      <c r="V46" s="46">
        <v>7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7</v>
      </c>
      <c r="AC46" s="46">
        <v>7</v>
      </c>
      <c r="AD46" s="46">
        <v>7</v>
      </c>
      <c r="AE46" s="46">
        <v>7</v>
      </c>
      <c r="AF46" s="46">
        <v>7</v>
      </c>
      <c r="AG46" s="50">
        <v>14</v>
      </c>
      <c r="AH46" s="48">
        <f t="shared" si="20"/>
        <v>7</v>
      </c>
      <c r="AI46" s="49">
        <f t="shared" si="21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0"/>
        <v>8</v>
      </c>
      <c r="AI47" s="49">
        <f t="shared" si="21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0"/>
        <v>12</v>
      </c>
      <c r="AI48" s="49">
        <f t="shared" si="21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4</v>
      </c>
      <c r="C49" s="46">
        <v>4</v>
      </c>
      <c r="D49" s="46">
        <v>4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4</v>
      </c>
      <c r="K49" s="46">
        <v>4</v>
      </c>
      <c r="L49" s="46">
        <v>4</v>
      </c>
      <c r="M49" s="46">
        <v>4</v>
      </c>
      <c r="N49" s="46">
        <v>9.6</v>
      </c>
      <c r="O49" s="46">
        <v>12</v>
      </c>
      <c r="P49" s="46">
        <v>12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4</v>
      </c>
      <c r="X49" s="46">
        <v>4</v>
      </c>
      <c r="Y49" s="46">
        <v>4</v>
      </c>
      <c r="Z49" s="46">
        <v>4</v>
      </c>
      <c r="AA49" s="46">
        <v>4</v>
      </c>
      <c r="AB49" s="46">
        <v>12</v>
      </c>
      <c r="AC49" s="46">
        <v>12</v>
      </c>
      <c r="AD49" s="46">
        <v>6</v>
      </c>
      <c r="AE49" s="46">
        <v>6</v>
      </c>
      <c r="AF49" s="46">
        <v>3</v>
      </c>
      <c r="AG49" s="50">
        <v>12</v>
      </c>
      <c r="AH49" s="48">
        <f t="shared" si="20"/>
        <v>12</v>
      </c>
      <c r="AI49" s="49">
        <f t="shared" si="21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0"/>
        <v>0</v>
      </c>
      <c r="AI50" s="49">
        <f t="shared" si="21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0"/>
        <v>12</v>
      </c>
      <c r="AI51" s="49">
        <f t="shared" si="21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0"/>
        <v>12</v>
      </c>
      <c r="AI52" s="49">
        <f t="shared" si="21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11</v>
      </c>
      <c r="C53" s="46">
        <v>11</v>
      </c>
      <c r="D53" s="46">
        <v>11</v>
      </c>
      <c r="E53" s="46">
        <v>11</v>
      </c>
      <c r="F53" s="46">
        <v>11</v>
      </c>
      <c r="G53" s="46">
        <v>11</v>
      </c>
      <c r="H53" s="46">
        <v>11</v>
      </c>
      <c r="I53" s="46">
        <v>11</v>
      </c>
      <c r="J53" s="46">
        <v>11</v>
      </c>
      <c r="K53" s="46">
        <v>11</v>
      </c>
      <c r="L53" s="46">
        <v>11</v>
      </c>
      <c r="M53" s="46">
        <v>11</v>
      </c>
      <c r="N53" s="46">
        <v>11</v>
      </c>
      <c r="O53" s="46">
        <v>11</v>
      </c>
      <c r="P53" s="46">
        <v>11</v>
      </c>
      <c r="Q53" s="46">
        <v>11</v>
      </c>
      <c r="R53" s="46">
        <v>11</v>
      </c>
      <c r="S53" s="46">
        <v>11</v>
      </c>
      <c r="T53" s="46">
        <v>11</v>
      </c>
      <c r="U53" s="46">
        <v>11</v>
      </c>
      <c r="V53" s="46">
        <v>11</v>
      </c>
      <c r="W53" s="46">
        <v>11</v>
      </c>
      <c r="X53" s="46">
        <v>11</v>
      </c>
      <c r="Y53" s="46">
        <v>11</v>
      </c>
      <c r="Z53" s="46">
        <v>11</v>
      </c>
      <c r="AA53" s="46">
        <v>11</v>
      </c>
      <c r="AB53" s="46">
        <v>11</v>
      </c>
      <c r="AC53" s="46">
        <v>11</v>
      </c>
      <c r="AD53" s="46">
        <v>11</v>
      </c>
      <c r="AE53" s="46">
        <v>11</v>
      </c>
      <c r="AF53" s="46">
        <v>11</v>
      </c>
      <c r="AG53" s="61">
        <v>11.88</v>
      </c>
      <c r="AH53" s="48">
        <f t="shared" si="20"/>
        <v>11</v>
      </c>
      <c r="AI53" s="49">
        <f t="shared" si="21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0"/>
        <v>11</v>
      </c>
      <c r="AI54" s="49">
        <f t="shared" si="21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11.7</v>
      </c>
      <c r="C55" s="46">
        <v>11.7</v>
      </c>
      <c r="D55" s="46">
        <v>11.7</v>
      </c>
      <c r="E55" s="46">
        <v>11.7</v>
      </c>
      <c r="F55" s="46">
        <v>11.7</v>
      </c>
      <c r="G55" s="46">
        <v>11.7</v>
      </c>
      <c r="H55" s="46">
        <v>11.7</v>
      </c>
      <c r="I55" s="46">
        <v>11.7</v>
      </c>
      <c r="J55" s="46">
        <v>11.7</v>
      </c>
      <c r="K55" s="46">
        <v>11.7</v>
      </c>
      <c r="L55" s="46">
        <v>11.7</v>
      </c>
      <c r="M55" s="46">
        <v>11.7</v>
      </c>
      <c r="N55" s="46">
        <v>11.7</v>
      </c>
      <c r="O55" s="46">
        <v>11.7</v>
      </c>
      <c r="P55" s="46">
        <v>11.7</v>
      </c>
      <c r="Q55" s="46">
        <v>11.7</v>
      </c>
      <c r="R55" s="46">
        <v>11.7</v>
      </c>
      <c r="S55" s="46">
        <v>11.7</v>
      </c>
      <c r="T55" s="46">
        <v>11.7</v>
      </c>
      <c r="U55" s="46">
        <v>11.7</v>
      </c>
      <c r="V55" s="46">
        <v>11.7</v>
      </c>
      <c r="W55" s="46">
        <v>11.7</v>
      </c>
      <c r="X55" s="46">
        <v>11.7</v>
      </c>
      <c r="Y55" s="46">
        <v>11.7</v>
      </c>
      <c r="Z55" s="46">
        <v>11.7</v>
      </c>
      <c r="AA55" s="46">
        <v>11.7</v>
      </c>
      <c r="AB55" s="46">
        <v>11.7</v>
      </c>
      <c r="AC55" s="46">
        <v>11.7</v>
      </c>
      <c r="AD55" s="46">
        <v>11.7</v>
      </c>
      <c r="AE55" s="46">
        <v>11.7</v>
      </c>
      <c r="AF55" s="46">
        <v>11.7</v>
      </c>
      <c r="AG55" s="66">
        <v>11</v>
      </c>
      <c r="AH55" s="48">
        <f t="shared" si="20"/>
        <v>11.7</v>
      </c>
      <c r="AI55" s="49">
        <f t="shared" si="21"/>
        <v>11.7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0"/>
        <v>9</v>
      </c>
      <c r="AI56" s="49">
        <f t="shared" si="21"/>
        <v>9</v>
      </c>
      <c r="AK56" s="51"/>
    </row>
    <row r="57" spans="1:88" x14ac:dyDescent="0.25">
      <c r="A57" s="65" t="s">
        <v>69</v>
      </c>
      <c r="B57" s="46">
        <v>5</v>
      </c>
      <c r="C57" s="46">
        <v>5</v>
      </c>
      <c r="D57" s="46">
        <v>5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0"/>
        <v>5</v>
      </c>
      <c r="AI57" s="49">
        <f t="shared" si="21"/>
        <v>0</v>
      </c>
      <c r="AK57" s="51"/>
    </row>
    <row r="58" spans="1:88" x14ac:dyDescent="0.25">
      <c r="A58" s="65" t="s">
        <v>70</v>
      </c>
      <c r="B58" s="46">
        <v>10</v>
      </c>
      <c r="C58" s="46">
        <v>10</v>
      </c>
      <c r="D58" s="46">
        <v>10</v>
      </c>
      <c r="E58" s="46">
        <v>10</v>
      </c>
      <c r="F58" s="46">
        <v>10</v>
      </c>
      <c r="G58" s="46">
        <v>10</v>
      </c>
      <c r="H58" s="46">
        <v>10</v>
      </c>
      <c r="I58" s="46">
        <v>10</v>
      </c>
      <c r="J58" s="46">
        <v>10</v>
      </c>
      <c r="K58" s="46">
        <v>10</v>
      </c>
      <c r="L58" s="46">
        <v>10</v>
      </c>
      <c r="M58" s="46">
        <v>10</v>
      </c>
      <c r="N58" s="46">
        <v>10</v>
      </c>
      <c r="O58" s="46">
        <v>10</v>
      </c>
      <c r="P58" s="46">
        <v>10</v>
      </c>
      <c r="Q58" s="46">
        <v>10</v>
      </c>
      <c r="R58" s="46">
        <v>10</v>
      </c>
      <c r="S58" s="46">
        <v>10</v>
      </c>
      <c r="T58" s="46">
        <v>10</v>
      </c>
      <c r="U58" s="46">
        <v>10</v>
      </c>
      <c r="V58" s="46">
        <v>10</v>
      </c>
      <c r="W58" s="46">
        <v>10</v>
      </c>
      <c r="X58" s="46">
        <v>10</v>
      </c>
      <c r="Y58" s="46">
        <v>10</v>
      </c>
      <c r="Z58" s="46">
        <v>10</v>
      </c>
      <c r="AA58" s="46">
        <v>10</v>
      </c>
      <c r="AB58" s="46">
        <v>10</v>
      </c>
      <c r="AC58" s="46">
        <v>10</v>
      </c>
      <c r="AD58" s="46">
        <v>10</v>
      </c>
      <c r="AE58" s="46">
        <v>10</v>
      </c>
      <c r="AF58" s="46">
        <v>10</v>
      </c>
      <c r="AG58" s="66">
        <v>10</v>
      </c>
      <c r="AH58" s="48">
        <f t="shared" si="20"/>
        <v>10</v>
      </c>
      <c r="AI58" s="49">
        <f t="shared" si="21"/>
        <v>10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0"/>
        <v>300</v>
      </c>
      <c r="AI59" s="49">
        <f t="shared" si="21"/>
        <v>300</v>
      </c>
      <c r="AK59" s="51"/>
    </row>
    <row r="60" spans="1:88" ht="15.75" thickBot="1" x14ac:dyDescent="0.3">
      <c r="A60" s="69" t="s">
        <v>74</v>
      </c>
      <c r="B60" s="68">
        <v>170</v>
      </c>
      <c r="C60" s="68">
        <v>170</v>
      </c>
      <c r="D60" s="68">
        <v>170</v>
      </c>
      <c r="E60" s="68">
        <v>174</v>
      </c>
      <c r="F60" s="68">
        <v>174</v>
      </c>
      <c r="G60" s="68">
        <v>168</v>
      </c>
      <c r="H60" s="68">
        <v>168</v>
      </c>
      <c r="I60" s="68">
        <v>165</v>
      </c>
      <c r="J60" s="68">
        <v>165</v>
      </c>
      <c r="K60" s="68">
        <v>168</v>
      </c>
      <c r="L60" s="68">
        <v>176</v>
      </c>
      <c r="M60" s="68">
        <f>77.1+100.8</f>
        <v>177.89999999999998</v>
      </c>
      <c r="N60" s="53">
        <f>96.9+48.6</f>
        <v>145.5</v>
      </c>
      <c r="O60" s="53">
        <f>97+72</f>
        <v>169</v>
      </c>
      <c r="P60" s="53">
        <f>96.3+71.4</f>
        <v>167.7</v>
      </c>
      <c r="Q60" s="53">
        <f>96.3+71.4</f>
        <v>167.7</v>
      </c>
      <c r="R60" s="53">
        <f>101.1+71.4</f>
        <v>172.5</v>
      </c>
      <c r="S60" s="53">
        <f>67.3+99.5</f>
        <v>166.8</v>
      </c>
      <c r="T60" s="53">
        <f>65+80</f>
        <v>145</v>
      </c>
      <c r="U60" s="53">
        <f>65.6+89</f>
        <v>154.6</v>
      </c>
      <c r="V60" s="53">
        <f>106+64</f>
        <v>170</v>
      </c>
      <c r="W60" s="53">
        <f>101.1+68</f>
        <v>169.1</v>
      </c>
      <c r="X60" s="53">
        <f>101.1+68</f>
        <v>169.1</v>
      </c>
      <c r="Y60" s="53">
        <f>68+96</f>
        <v>164</v>
      </c>
      <c r="Z60" s="53">
        <f>68+96</f>
        <v>164</v>
      </c>
      <c r="AA60" s="53">
        <f>68+96</f>
        <v>164</v>
      </c>
      <c r="AB60" s="53">
        <f>103+69.2</f>
        <v>172.2</v>
      </c>
      <c r="AC60" s="53">
        <f>103+69.2</f>
        <v>172.2</v>
      </c>
      <c r="AD60" s="53">
        <f>103+69.2</f>
        <v>172.2</v>
      </c>
      <c r="AE60" s="53">
        <f>103+69.2</f>
        <v>172.2</v>
      </c>
      <c r="AF60" s="53">
        <f>103+69.2</f>
        <v>172.2</v>
      </c>
      <c r="AG60" s="66">
        <v>240</v>
      </c>
      <c r="AH60" s="48">
        <f t="shared" si="20"/>
        <v>177.89999999999998</v>
      </c>
      <c r="AI60" s="49">
        <f t="shared" si="21"/>
        <v>145</v>
      </c>
      <c r="AK60" s="51"/>
    </row>
    <row r="61" spans="1:88" ht="15.75" thickBot="1" x14ac:dyDescent="0.3">
      <c r="A61" s="70" t="s">
        <v>75</v>
      </c>
      <c r="B61" s="71">
        <f t="shared" ref="B61:AG61" si="22">SUM(B11:B59)</f>
        <v>1254.8000000000002</v>
      </c>
      <c r="C61" s="71">
        <f t="shared" si="22"/>
        <v>1207.8000000000002</v>
      </c>
      <c r="D61" s="71">
        <f t="shared" si="22"/>
        <v>1121.3000000000002</v>
      </c>
      <c r="E61" s="71">
        <f t="shared" si="22"/>
        <v>1103.4000000000001</v>
      </c>
      <c r="F61" s="71">
        <f t="shared" si="22"/>
        <v>1097.3000000000002</v>
      </c>
      <c r="G61" s="71">
        <f t="shared" si="22"/>
        <v>1033.7</v>
      </c>
      <c r="H61" s="71">
        <f t="shared" si="22"/>
        <v>1058.2</v>
      </c>
      <c r="I61" s="71">
        <f t="shared" si="22"/>
        <v>1097.5</v>
      </c>
      <c r="J61" s="71">
        <f t="shared" si="22"/>
        <v>1163.8000000000002</v>
      </c>
      <c r="K61" s="71">
        <f t="shared" si="22"/>
        <v>1168.0999999999999</v>
      </c>
      <c r="L61" s="71">
        <f t="shared" si="22"/>
        <v>1245.0999999999999</v>
      </c>
      <c r="M61" s="71">
        <f t="shared" si="22"/>
        <v>1221.3</v>
      </c>
      <c r="N61" s="71">
        <f t="shared" si="22"/>
        <v>1177.2</v>
      </c>
      <c r="O61" s="71">
        <f t="shared" si="22"/>
        <v>1211.3000000000002</v>
      </c>
      <c r="P61" s="71">
        <f t="shared" si="22"/>
        <v>1282.4000000000001</v>
      </c>
      <c r="Q61" s="71">
        <f t="shared" si="22"/>
        <v>1234.4000000000001</v>
      </c>
      <c r="R61" s="71">
        <f t="shared" si="22"/>
        <v>1213.4000000000001</v>
      </c>
      <c r="S61" s="71">
        <f t="shared" si="22"/>
        <v>1186.2</v>
      </c>
      <c r="T61" s="71">
        <f t="shared" si="22"/>
        <v>1175.4000000000001</v>
      </c>
      <c r="U61" s="71">
        <f t="shared" si="22"/>
        <v>1188.5</v>
      </c>
      <c r="V61" s="71">
        <f t="shared" si="22"/>
        <v>1188.5</v>
      </c>
      <c r="W61" s="71">
        <f t="shared" si="22"/>
        <v>1159.6000000000001</v>
      </c>
      <c r="X61" s="71">
        <f t="shared" si="22"/>
        <v>1185.5999999999999</v>
      </c>
      <c r="Y61" s="71">
        <f t="shared" si="22"/>
        <v>1185.5999999999999</v>
      </c>
      <c r="Z61" s="71">
        <f t="shared" si="22"/>
        <v>1181.5999999999999</v>
      </c>
      <c r="AA61" s="71">
        <f t="shared" si="22"/>
        <v>1181.5999999999999</v>
      </c>
      <c r="AB61" s="71">
        <f t="shared" si="22"/>
        <v>1353.7</v>
      </c>
      <c r="AC61" s="71">
        <f t="shared" si="22"/>
        <v>1353.7</v>
      </c>
      <c r="AD61" s="71">
        <f t="shared" si="22"/>
        <v>1312.1000000000001</v>
      </c>
      <c r="AE61" s="71">
        <f t="shared" si="22"/>
        <v>1312.1000000000001</v>
      </c>
      <c r="AF61" s="71">
        <f t="shared" si="22"/>
        <v>1180.9000000000001</v>
      </c>
      <c r="AG61" s="71">
        <f t="shared" si="22"/>
        <v>1466.0300000000002</v>
      </c>
      <c r="AH61" s="48">
        <f t="shared" si="20"/>
        <v>1353.7</v>
      </c>
      <c r="AI61" s="49">
        <f t="shared" si="21"/>
        <v>1033.7</v>
      </c>
      <c r="AK61" s="51"/>
    </row>
    <row r="62" spans="1:88" x14ac:dyDescent="0.25">
      <c r="A62" s="73" t="s">
        <v>76</v>
      </c>
      <c r="B62" s="46">
        <v>457.9</v>
      </c>
      <c r="C62" s="46">
        <v>457.9</v>
      </c>
      <c r="D62" s="46">
        <v>457.9</v>
      </c>
      <c r="E62" s="46">
        <v>457.9</v>
      </c>
      <c r="F62" s="46">
        <v>456</v>
      </c>
      <c r="G62" s="46">
        <v>456</v>
      </c>
      <c r="H62" s="46">
        <v>456</v>
      </c>
      <c r="I62" s="46">
        <v>456</v>
      </c>
      <c r="J62" s="46">
        <v>456</v>
      </c>
      <c r="K62" s="46">
        <v>456</v>
      </c>
      <c r="L62" s="46">
        <v>456</v>
      </c>
      <c r="M62" s="46">
        <v>456</v>
      </c>
      <c r="N62" s="46">
        <v>456</v>
      </c>
      <c r="O62" s="46">
        <v>456</v>
      </c>
      <c r="P62" s="46">
        <v>456</v>
      </c>
      <c r="Q62" s="46">
        <v>456</v>
      </c>
      <c r="R62" s="46">
        <v>456</v>
      </c>
      <c r="S62" s="46">
        <v>456</v>
      </c>
      <c r="T62" s="46">
        <v>456</v>
      </c>
      <c r="U62" s="46">
        <v>456</v>
      </c>
      <c r="V62" s="46">
        <v>456</v>
      </c>
      <c r="W62" s="46">
        <v>456</v>
      </c>
      <c r="X62" s="46">
        <v>456</v>
      </c>
      <c r="Y62" s="46">
        <v>456</v>
      </c>
      <c r="Z62" s="46">
        <v>456</v>
      </c>
      <c r="AA62" s="46">
        <v>456</v>
      </c>
      <c r="AB62" s="46">
        <v>456</v>
      </c>
      <c r="AC62" s="46">
        <v>456</v>
      </c>
      <c r="AD62" s="46">
        <v>456</v>
      </c>
      <c r="AE62" s="46">
        <v>456</v>
      </c>
      <c r="AF62" s="46">
        <v>456</v>
      </c>
      <c r="AG62" s="61">
        <v>456</v>
      </c>
      <c r="AH62" s="48">
        <f t="shared" si="20"/>
        <v>457.9</v>
      </c>
      <c r="AI62" s="49">
        <f t="shared" si="21"/>
        <v>456</v>
      </c>
      <c r="AK62" s="51"/>
    </row>
    <row r="63" spans="1:88" x14ac:dyDescent="0.25">
      <c r="A63" s="75" t="s">
        <v>77</v>
      </c>
      <c r="B63" s="76">
        <v>60.9</v>
      </c>
      <c r="C63" s="76">
        <v>60.9</v>
      </c>
      <c r="D63" s="76">
        <v>60.9</v>
      </c>
      <c r="E63" s="76">
        <v>60.9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0"/>
        <v>60.9</v>
      </c>
      <c r="AI63" s="49">
        <f t="shared" si="21"/>
        <v>60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</v>
      </c>
      <c r="G64" s="78">
        <v>22</v>
      </c>
      <c r="H64" s="78">
        <v>22</v>
      </c>
      <c r="I64" s="78">
        <v>22</v>
      </c>
      <c r="J64" s="78">
        <v>22</v>
      </c>
      <c r="K64" s="78">
        <v>22</v>
      </c>
      <c r="L64" s="78">
        <v>22</v>
      </c>
      <c r="M64" s="78">
        <v>22</v>
      </c>
      <c r="N64" s="78">
        <v>22</v>
      </c>
      <c r="O64" s="78">
        <v>22</v>
      </c>
      <c r="P64" s="78">
        <v>22</v>
      </c>
      <c r="Q64" s="78">
        <v>22</v>
      </c>
      <c r="R64" s="78">
        <v>22</v>
      </c>
      <c r="S64" s="78">
        <v>22</v>
      </c>
      <c r="T64" s="78">
        <v>22</v>
      </c>
      <c r="U64" s="78">
        <v>22</v>
      </c>
      <c r="V64" s="78">
        <v>22</v>
      </c>
      <c r="W64" s="78">
        <v>22</v>
      </c>
      <c r="X64" s="78">
        <v>22</v>
      </c>
      <c r="Y64" s="78">
        <v>22</v>
      </c>
      <c r="Z64" s="78">
        <v>22</v>
      </c>
      <c r="AA64" s="78">
        <v>22</v>
      </c>
      <c r="AB64" s="78">
        <v>22</v>
      </c>
      <c r="AC64" s="78">
        <v>22</v>
      </c>
      <c r="AD64" s="78">
        <v>22</v>
      </c>
      <c r="AE64" s="78">
        <v>22</v>
      </c>
      <c r="AF64" s="78">
        <v>22</v>
      </c>
      <c r="AG64" s="79">
        <v>22.1</v>
      </c>
      <c r="AH64" s="48">
        <f t="shared" si="20"/>
        <v>22.5</v>
      </c>
      <c r="AI64" s="49">
        <f t="shared" si="21"/>
        <v>22</v>
      </c>
      <c r="AK64" s="51"/>
    </row>
    <row r="65" spans="1:75" ht="15.75" thickBot="1" x14ac:dyDescent="0.3">
      <c r="A65" s="80" t="s">
        <v>79</v>
      </c>
      <c r="B65" s="71">
        <f t="shared" ref="B65:AG65" si="23">SUM(B62:B64)</f>
        <v>541.29999999999995</v>
      </c>
      <c r="C65" s="71">
        <f t="shared" si="23"/>
        <v>541.29999999999995</v>
      </c>
      <c r="D65" s="71">
        <f t="shared" si="23"/>
        <v>541.29999999999995</v>
      </c>
      <c r="E65" s="71">
        <f t="shared" si="23"/>
        <v>541.29999999999995</v>
      </c>
      <c r="F65" s="71">
        <f t="shared" si="23"/>
        <v>538</v>
      </c>
      <c r="G65" s="71">
        <f t="shared" si="23"/>
        <v>538</v>
      </c>
      <c r="H65" s="71">
        <f t="shared" si="23"/>
        <v>538</v>
      </c>
      <c r="I65" s="71">
        <f t="shared" si="23"/>
        <v>538</v>
      </c>
      <c r="J65" s="71">
        <f t="shared" si="23"/>
        <v>538</v>
      </c>
      <c r="K65" s="71">
        <f t="shared" si="23"/>
        <v>538</v>
      </c>
      <c r="L65" s="71">
        <f t="shared" si="23"/>
        <v>538</v>
      </c>
      <c r="M65" s="71">
        <f t="shared" si="23"/>
        <v>538</v>
      </c>
      <c r="N65" s="71">
        <f t="shared" si="23"/>
        <v>538</v>
      </c>
      <c r="O65" s="71">
        <f t="shared" si="23"/>
        <v>538</v>
      </c>
      <c r="P65" s="71">
        <f t="shared" si="23"/>
        <v>538</v>
      </c>
      <c r="Q65" s="71">
        <f t="shared" si="23"/>
        <v>538</v>
      </c>
      <c r="R65" s="71">
        <f t="shared" si="23"/>
        <v>538</v>
      </c>
      <c r="S65" s="71">
        <f t="shared" si="23"/>
        <v>538</v>
      </c>
      <c r="T65" s="71">
        <f t="shared" si="23"/>
        <v>538</v>
      </c>
      <c r="U65" s="71">
        <f t="shared" si="23"/>
        <v>538</v>
      </c>
      <c r="V65" s="71">
        <f t="shared" si="23"/>
        <v>538</v>
      </c>
      <c r="W65" s="71">
        <f t="shared" si="23"/>
        <v>538</v>
      </c>
      <c r="X65" s="71">
        <f t="shared" si="23"/>
        <v>538</v>
      </c>
      <c r="Y65" s="71">
        <f t="shared" si="23"/>
        <v>538</v>
      </c>
      <c r="Z65" s="71">
        <f t="shared" si="23"/>
        <v>538</v>
      </c>
      <c r="AA65" s="71">
        <f t="shared" si="23"/>
        <v>538</v>
      </c>
      <c r="AB65" s="71">
        <f t="shared" si="23"/>
        <v>538</v>
      </c>
      <c r="AC65" s="71">
        <f t="shared" si="23"/>
        <v>538</v>
      </c>
      <c r="AD65" s="71">
        <f t="shared" si="23"/>
        <v>538</v>
      </c>
      <c r="AE65" s="71">
        <f t="shared" si="23"/>
        <v>538</v>
      </c>
      <c r="AF65" s="71">
        <f t="shared" si="23"/>
        <v>538</v>
      </c>
      <c r="AG65" s="72">
        <f t="shared" si="23"/>
        <v>538.1</v>
      </c>
      <c r="AH65" s="48">
        <f t="shared" si="20"/>
        <v>541.29999999999995</v>
      </c>
      <c r="AI65" s="49">
        <f t="shared" si="21"/>
        <v>538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130.4</v>
      </c>
      <c r="C66" s="46">
        <v>110.8</v>
      </c>
      <c r="D66" s="46">
        <v>110.8</v>
      </c>
      <c r="E66" s="46">
        <v>113</v>
      </c>
      <c r="F66" s="46">
        <v>94.4</v>
      </c>
      <c r="G66" s="46">
        <v>106</v>
      </c>
      <c r="H66" s="46">
        <v>106.5</v>
      </c>
      <c r="I66" s="46">
        <v>106.7</v>
      </c>
      <c r="J66" s="46">
        <v>106</v>
      </c>
      <c r="K66" s="46">
        <v>127</v>
      </c>
      <c r="L66" s="46">
        <v>101</v>
      </c>
      <c r="M66" s="46">
        <v>101.3</v>
      </c>
      <c r="N66" s="46">
        <v>82.1</v>
      </c>
      <c r="O66" s="46">
        <v>0</v>
      </c>
      <c r="P66" s="46">
        <v>71.099999999999994</v>
      </c>
      <c r="Q66" s="46">
        <v>90</v>
      </c>
      <c r="R66" s="46">
        <v>70</v>
      </c>
      <c r="S66" s="46">
        <v>70</v>
      </c>
      <c r="T66" s="46">
        <v>70</v>
      </c>
      <c r="U66" s="46">
        <v>70</v>
      </c>
      <c r="V66" s="46">
        <v>91</v>
      </c>
      <c r="W66" s="46">
        <v>130.5</v>
      </c>
      <c r="X66" s="46">
        <v>130.5</v>
      </c>
      <c r="Y66" s="46">
        <v>111</v>
      </c>
      <c r="Z66" s="46">
        <v>125.9</v>
      </c>
      <c r="AA66" s="46">
        <v>125.9</v>
      </c>
      <c r="AB66" s="46">
        <v>129.69999999999999</v>
      </c>
      <c r="AC66" s="46">
        <v>129.69999999999999</v>
      </c>
      <c r="AD66" s="46">
        <v>129.69999999999999</v>
      </c>
      <c r="AE66" s="46">
        <v>129.69999999999999</v>
      </c>
      <c r="AF66" s="46">
        <v>129.69999999999999</v>
      </c>
      <c r="AG66" s="61">
        <v>144</v>
      </c>
      <c r="AH66" s="48">
        <f t="shared" si="20"/>
        <v>130.5</v>
      </c>
      <c r="AI66" s="49">
        <f t="shared" si="21"/>
        <v>0</v>
      </c>
      <c r="AK66" s="51"/>
      <c r="AY66" s="1" t="s">
        <v>86</v>
      </c>
      <c r="AZ66" s="82">
        <f>ROUND(C84,0)</f>
        <v>-28</v>
      </c>
      <c r="BA66" s="81">
        <f t="shared" ref="BA66:BD70" si="24">D84</f>
        <v>-15.5</v>
      </c>
      <c r="BB66" s="81">
        <f t="shared" si="24"/>
        <v>-33</v>
      </c>
      <c r="BC66" s="81">
        <f t="shared" si="24"/>
        <v>-37.4</v>
      </c>
      <c r="BD66" s="81">
        <f t="shared" si="24"/>
        <v>-49.5</v>
      </c>
      <c r="BE66" s="82">
        <f>I84</f>
        <v>-61</v>
      </c>
      <c r="BF66" s="82">
        <f>K84</f>
        <v>-54</v>
      </c>
      <c r="BG66" s="82">
        <f t="shared" ref="BG66:BP70" si="25">M84</f>
        <v>-47.7</v>
      </c>
      <c r="BH66" s="82">
        <f t="shared" si="25"/>
        <v>-47.9</v>
      </c>
      <c r="BI66" s="82">
        <f t="shared" si="25"/>
        <v>-38</v>
      </c>
      <c r="BJ66" s="82">
        <f t="shared" si="25"/>
        <v>-38</v>
      </c>
      <c r="BK66" s="82">
        <f t="shared" si="25"/>
        <v>-41</v>
      </c>
      <c r="BL66" s="82">
        <f t="shared" si="25"/>
        <v>-40</v>
      </c>
      <c r="BM66" s="82">
        <f t="shared" si="25"/>
        <v>-33.5</v>
      </c>
      <c r="BN66" s="82">
        <f t="shared" si="25"/>
        <v>-33.9</v>
      </c>
      <c r="BO66" s="82">
        <f t="shared" si="25"/>
        <v>-11.9</v>
      </c>
      <c r="BP66" s="82">
        <f t="shared" si="25"/>
        <v>-43.5</v>
      </c>
      <c r="BQ66" s="82">
        <f>X84</f>
        <v>-45.8</v>
      </c>
      <c r="BR66" s="82">
        <f>Z84</f>
        <v>-58.2</v>
      </c>
      <c r="BS66" s="81">
        <f>AB84</f>
        <v>-46.4</v>
      </c>
      <c r="BT66" s="81">
        <f t="shared" ref="BT66:BV70" si="26">AD84</f>
        <v>-49.3</v>
      </c>
      <c r="BU66" s="81">
        <f t="shared" si="26"/>
        <v>-47.4</v>
      </c>
      <c r="BV66" s="81">
        <f t="shared" si="26"/>
        <v>-45.5</v>
      </c>
      <c r="BW66" s="81">
        <f>B84</f>
        <v>-49.6</v>
      </c>
    </row>
    <row r="67" spans="1:75" x14ac:dyDescent="0.25">
      <c r="A67" s="65" t="s">
        <v>81</v>
      </c>
      <c r="B67" s="76">
        <v>69</v>
      </c>
      <c r="C67" s="76">
        <v>69</v>
      </c>
      <c r="D67" s="76">
        <v>69</v>
      </c>
      <c r="E67" s="76">
        <v>69</v>
      </c>
      <c r="F67" s="76">
        <v>60</v>
      </c>
      <c r="G67" s="76">
        <v>69</v>
      </c>
      <c r="H67" s="76">
        <v>69</v>
      </c>
      <c r="I67" s="76">
        <v>60</v>
      </c>
      <c r="J67" s="76">
        <v>60</v>
      </c>
      <c r="K67" s="76">
        <v>60</v>
      </c>
      <c r="L67" s="76">
        <v>60</v>
      </c>
      <c r="M67" s="76">
        <v>60</v>
      </c>
      <c r="N67" s="76">
        <v>60</v>
      </c>
      <c r="O67" s="76">
        <v>60</v>
      </c>
      <c r="P67" s="76">
        <v>60</v>
      </c>
      <c r="Q67" s="76">
        <v>60</v>
      </c>
      <c r="R67" s="76">
        <v>60</v>
      </c>
      <c r="S67" s="76">
        <v>60</v>
      </c>
      <c r="T67" s="76">
        <v>60</v>
      </c>
      <c r="U67" s="76">
        <v>60</v>
      </c>
      <c r="V67" s="76">
        <v>60</v>
      </c>
      <c r="W67" s="76">
        <v>60</v>
      </c>
      <c r="X67" s="76">
        <v>60</v>
      </c>
      <c r="Y67" s="76">
        <v>60</v>
      </c>
      <c r="Z67" s="76">
        <v>60</v>
      </c>
      <c r="AA67" s="76">
        <v>60</v>
      </c>
      <c r="AB67" s="76">
        <v>60</v>
      </c>
      <c r="AC67" s="76">
        <v>60</v>
      </c>
      <c r="AD67" s="76">
        <v>60</v>
      </c>
      <c r="AE67" s="76">
        <v>60</v>
      </c>
      <c r="AF67" s="76">
        <v>70</v>
      </c>
      <c r="AG67" s="66">
        <v>70</v>
      </c>
      <c r="AH67" s="48">
        <f t="shared" si="20"/>
        <v>70</v>
      </c>
      <c r="AI67" s="49">
        <f t="shared" si="21"/>
        <v>60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62.2</v>
      </c>
      <c r="C68" s="76">
        <v>50</v>
      </c>
      <c r="D68" s="76">
        <v>61.8</v>
      </c>
      <c r="E68" s="76">
        <v>61</v>
      </c>
      <c r="F68" s="76">
        <v>60</v>
      </c>
      <c r="G68" s="76">
        <v>59.5</v>
      </c>
      <c r="H68" s="76">
        <v>58.9</v>
      </c>
      <c r="I68" s="76">
        <v>58.8</v>
      </c>
      <c r="J68" s="76">
        <v>58.8</v>
      </c>
      <c r="K68" s="76">
        <v>59.5</v>
      </c>
      <c r="L68" s="76">
        <v>60</v>
      </c>
      <c r="M68" s="76">
        <v>59.4</v>
      </c>
      <c r="N68" s="76">
        <v>59.4</v>
      </c>
      <c r="O68" s="76">
        <v>59.4</v>
      </c>
      <c r="P68" s="76">
        <v>60</v>
      </c>
      <c r="Q68" s="76">
        <v>60</v>
      </c>
      <c r="R68" s="76">
        <v>60</v>
      </c>
      <c r="S68" s="76">
        <v>60</v>
      </c>
      <c r="T68" s="76">
        <v>60</v>
      </c>
      <c r="U68" s="76">
        <v>60</v>
      </c>
      <c r="V68" s="76">
        <v>62</v>
      </c>
      <c r="W68" s="76">
        <v>62</v>
      </c>
      <c r="X68" s="76">
        <v>62</v>
      </c>
      <c r="Y68" s="76">
        <v>62</v>
      </c>
      <c r="Z68" s="76">
        <v>62</v>
      </c>
      <c r="AA68" s="76">
        <v>62</v>
      </c>
      <c r="AB68" s="76">
        <v>62</v>
      </c>
      <c r="AC68" s="76">
        <v>62</v>
      </c>
      <c r="AD68" s="76">
        <v>62</v>
      </c>
      <c r="AE68" s="76">
        <v>62</v>
      </c>
      <c r="AF68" s="76">
        <v>62</v>
      </c>
      <c r="AG68" s="66">
        <v>69</v>
      </c>
      <c r="AH68" s="48">
        <f t="shared" si="20"/>
        <v>62.2</v>
      </c>
      <c r="AI68" s="49">
        <f t="shared" si="21"/>
        <v>50</v>
      </c>
      <c r="AK68" s="51"/>
      <c r="AL68" s="83"/>
      <c r="AO68" s="83"/>
      <c r="AY68" s="1" t="s">
        <v>90</v>
      </c>
      <c r="AZ68" s="82">
        <f>ROUND(C86,0)</f>
        <v>-720</v>
      </c>
      <c r="BA68" s="81">
        <f t="shared" si="24"/>
        <v>-714.3</v>
      </c>
      <c r="BB68" s="81">
        <f t="shared" si="24"/>
        <v>-751</v>
      </c>
      <c r="BC68" s="81">
        <f t="shared" si="24"/>
        <v>-733</v>
      </c>
      <c r="BD68" s="81">
        <f t="shared" si="24"/>
        <v>-695</v>
      </c>
      <c r="BE68" s="82">
        <f>I86</f>
        <v>-709</v>
      </c>
      <c r="BF68" s="82">
        <f>K86</f>
        <v>-685</v>
      </c>
      <c r="BG68" s="82">
        <f t="shared" si="25"/>
        <v>-702</v>
      </c>
      <c r="BH68" s="82">
        <f t="shared" si="25"/>
        <v>-686.5</v>
      </c>
      <c r="BI68" s="82">
        <f t="shared" si="25"/>
        <v>-660</v>
      </c>
      <c r="BJ68" s="82">
        <f t="shared" si="25"/>
        <v>-643</v>
      </c>
      <c r="BK68" s="82">
        <f t="shared" si="25"/>
        <v>-699</v>
      </c>
      <c r="BL68" s="82">
        <f t="shared" si="25"/>
        <v>-697</v>
      </c>
      <c r="BM68" s="82">
        <f t="shared" si="25"/>
        <v>-665</v>
      </c>
      <c r="BN68" s="82">
        <f t="shared" si="25"/>
        <v>-646</v>
      </c>
      <c r="BO68" s="82">
        <f t="shared" si="25"/>
        <v>-649</v>
      </c>
      <c r="BP68" s="82">
        <f t="shared" si="25"/>
        <v>-664</v>
      </c>
      <c r="BQ68" s="82">
        <f>X86</f>
        <v>-709</v>
      </c>
      <c r="BR68" s="82">
        <f>Z86</f>
        <v>-629.9</v>
      </c>
      <c r="BS68" s="81">
        <f>AB86</f>
        <v>-659</v>
      </c>
      <c r="BT68" s="81">
        <f t="shared" si="26"/>
        <v>-678.2</v>
      </c>
      <c r="BU68" s="81">
        <f t="shared" si="26"/>
        <v>-671.9</v>
      </c>
      <c r="BV68" s="81">
        <f t="shared" si="26"/>
        <v>-682.9</v>
      </c>
      <c r="BW68" s="81">
        <f>B86</f>
        <v>-713</v>
      </c>
    </row>
    <row r="69" spans="1:75" s="83" customFormat="1" x14ac:dyDescent="0.25">
      <c r="A69" s="65" t="s">
        <v>83</v>
      </c>
      <c r="B69" s="76">
        <v>61.5</v>
      </c>
      <c r="C69" s="76">
        <v>61.5</v>
      </c>
      <c r="D69" s="76">
        <v>61.5</v>
      </c>
      <c r="E69" s="76">
        <v>60</v>
      </c>
      <c r="F69" s="76">
        <v>50</v>
      </c>
      <c r="G69" s="76">
        <v>61</v>
      </c>
      <c r="H69" s="76">
        <v>61</v>
      </c>
      <c r="I69" s="76">
        <v>61</v>
      </c>
      <c r="J69" s="76">
        <v>61</v>
      </c>
      <c r="K69" s="68">
        <v>61</v>
      </c>
      <c r="L69" s="68">
        <v>61</v>
      </c>
      <c r="M69" s="68">
        <v>60</v>
      </c>
      <c r="N69" s="68">
        <v>60</v>
      </c>
      <c r="O69" s="68">
        <v>60</v>
      </c>
      <c r="P69" s="76">
        <v>0</v>
      </c>
      <c r="Q69" s="76">
        <v>50</v>
      </c>
      <c r="R69" s="76">
        <v>50</v>
      </c>
      <c r="S69" s="76">
        <v>50</v>
      </c>
      <c r="T69" s="76">
        <v>61.4</v>
      </c>
      <c r="U69" s="76">
        <v>61.4</v>
      </c>
      <c r="V69" s="76">
        <v>61.4</v>
      </c>
      <c r="W69" s="76">
        <v>61.4</v>
      </c>
      <c r="X69" s="76">
        <v>49</v>
      </c>
      <c r="Y69" s="76">
        <v>61</v>
      </c>
      <c r="Z69" s="76">
        <v>61</v>
      </c>
      <c r="AA69" s="76">
        <v>61</v>
      </c>
      <c r="AB69" s="76">
        <v>61</v>
      </c>
      <c r="AC69" s="76">
        <v>61</v>
      </c>
      <c r="AD69" s="76">
        <v>61</v>
      </c>
      <c r="AE69" s="76">
        <v>61</v>
      </c>
      <c r="AF69" s="76">
        <v>61</v>
      </c>
      <c r="AG69" s="66">
        <v>60</v>
      </c>
      <c r="AH69" s="48">
        <f t="shared" si="20"/>
        <v>61.5</v>
      </c>
      <c r="AI69" s="49">
        <f t="shared" si="21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27.2</v>
      </c>
      <c r="C70" s="46">
        <v>27.2</v>
      </c>
      <c r="D70" s="46">
        <v>27.2</v>
      </c>
      <c r="E70" s="76">
        <v>26.9</v>
      </c>
      <c r="F70" s="76">
        <v>26.9</v>
      </c>
      <c r="G70" s="76">
        <v>26.9</v>
      </c>
      <c r="H70" s="76">
        <v>26.9</v>
      </c>
      <c r="I70" s="76">
        <v>0</v>
      </c>
      <c r="J70" s="76">
        <v>0</v>
      </c>
      <c r="K70" s="76">
        <v>0</v>
      </c>
      <c r="L70" s="76">
        <v>0</v>
      </c>
      <c r="M70" s="76">
        <v>27.8</v>
      </c>
      <c r="N70" s="76">
        <v>27.8</v>
      </c>
      <c r="O70" s="76">
        <v>27.8</v>
      </c>
      <c r="P70" s="76">
        <v>27.8</v>
      </c>
      <c r="Q70" s="76">
        <v>27.8</v>
      </c>
      <c r="R70" s="76">
        <v>27.8</v>
      </c>
      <c r="S70" s="76">
        <v>27.8</v>
      </c>
      <c r="T70" s="76">
        <v>27.8</v>
      </c>
      <c r="U70" s="76">
        <v>27.8</v>
      </c>
      <c r="V70" s="76">
        <v>27.8</v>
      </c>
      <c r="W70" s="76">
        <v>27.8</v>
      </c>
      <c r="X70" s="76">
        <v>27.8</v>
      </c>
      <c r="Y70" s="76">
        <v>27.8</v>
      </c>
      <c r="Z70" s="76">
        <v>27.8</v>
      </c>
      <c r="AA70" s="76">
        <v>27.8</v>
      </c>
      <c r="AB70" s="76">
        <v>27.8</v>
      </c>
      <c r="AC70" s="76">
        <v>27.8</v>
      </c>
      <c r="AD70" s="76">
        <v>27.8</v>
      </c>
      <c r="AE70" s="76">
        <v>27.8</v>
      </c>
      <c r="AF70" s="76">
        <v>27.8</v>
      </c>
      <c r="AG70" s="66">
        <v>30</v>
      </c>
      <c r="AH70" s="48">
        <f t="shared" si="20"/>
        <v>27.8</v>
      </c>
      <c r="AI70" s="49">
        <f t="shared" si="21"/>
        <v>0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2.9</v>
      </c>
      <c r="N71" s="46">
        <v>5</v>
      </c>
      <c r="O71" s="46">
        <v>10</v>
      </c>
      <c r="P71" s="46">
        <v>12</v>
      </c>
      <c r="Q71" s="46">
        <v>16</v>
      </c>
      <c r="R71" s="46">
        <v>19.2</v>
      </c>
      <c r="S71" s="46">
        <v>18.100000000000001</v>
      </c>
      <c r="T71" s="46">
        <v>14.6</v>
      </c>
      <c r="U71" s="46">
        <v>3.9</v>
      </c>
      <c r="V71" s="46">
        <v>0.4</v>
      </c>
      <c r="W71" s="46">
        <v>0.9</v>
      </c>
      <c r="X71" s="46">
        <v>0.3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0"/>
        <v>19.2</v>
      </c>
      <c r="AI71" s="49">
        <f t="shared" si="21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14.6</v>
      </c>
      <c r="C72" s="76">
        <v>14.6</v>
      </c>
      <c r="D72" s="76">
        <v>14.6</v>
      </c>
      <c r="E72" s="76">
        <v>13.9</v>
      </c>
      <c r="F72" s="76">
        <v>13.9</v>
      </c>
      <c r="G72" s="76">
        <v>13.9</v>
      </c>
      <c r="H72" s="76">
        <v>14.8</v>
      </c>
      <c r="I72" s="76">
        <v>13.9</v>
      </c>
      <c r="J72" s="76">
        <v>14.2</v>
      </c>
      <c r="K72" s="76">
        <v>14.2</v>
      </c>
      <c r="L72" s="76">
        <v>14.2</v>
      </c>
      <c r="M72" s="76">
        <v>14.5</v>
      </c>
      <c r="N72" s="76">
        <v>14.5</v>
      </c>
      <c r="O72" s="76">
        <v>14.5</v>
      </c>
      <c r="P72" s="76">
        <v>14</v>
      </c>
      <c r="Q72" s="76">
        <v>14</v>
      </c>
      <c r="R72" s="76">
        <v>13.1</v>
      </c>
      <c r="S72" s="76">
        <v>13.1</v>
      </c>
      <c r="T72" s="76">
        <v>13.1</v>
      </c>
      <c r="U72" s="76">
        <v>13.1</v>
      </c>
      <c r="V72" s="76">
        <v>13.1</v>
      </c>
      <c r="W72" s="76">
        <v>15.4</v>
      </c>
      <c r="X72" s="76">
        <v>15.4</v>
      </c>
      <c r="Y72" s="76">
        <v>15.4</v>
      </c>
      <c r="Z72" s="76">
        <v>15.4</v>
      </c>
      <c r="AA72" s="76">
        <v>15.4</v>
      </c>
      <c r="AB72" s="76">
        <v>15.4</v>
      </c>
      <c r="AC72" s="76">
        <v>15.4</v>
      </c>
      <c r="AD72" s="76">
        <v>15.4</v>
      </c>
      <c r="AE72" s="76">
        <v>15.4</v>
      </c>
      <c r="AF72" s="76">
        <v>15.4</v>
      </c>
      <c r="AG72" s="66">
        <v>24</v>
      </c>
      <c r="AH72" s="48">
        <f t="shared" si="20"/>
        <v>15.4</v>
      </c>
      <c r="AI72" s="49">
        <f t="shared" si="21"/>
        <v>13.1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66">
        <v>15</v>
      </c>
      <c r="AH73" s="48">
        <f t="shared" si="20"/>
        <v>0</v>
      </c>
      <c r="AI73" s="49">
        <f t="shared" si="21"/>
        <v>0</v>
      </c>
      <c r="AK73" s="51"/>
      <c r="AZ73" s="82">
        <f t="shared" ref="AZ73:BW78" si="28">VALUE(AZ66)</f>
        <v>-28</v>
      </c>
      <c r="BA73" s="82">
        <f t="shared" si="28"/>
        <v>-15.5</v>
      </c>
      <c r="BB73" s="82">
        <f t="shared" si="28"/>
        <v>-33</v>
      </c>
      <c r="BC73" s="82">
        <f t="shared" si="28"/>
        <v>-37.4</v>
      </c>
      <c r="BD73" s="82">
        <f t="shared" si="28"/>
        <v>-49.5</v>
      </c>
      <c r="BE73" s="82">
        <f t="shared" si="28"/>
        <v>-61</v>
      </c>
      <c r="BF73" s="82">
        <f t="shared" si="28"/>
        <v>-54</v>
      </c>
      <c r="BG73" s="82">
        <f t="shared" si="28"/>
        <v>-47.7</v>
      </c>
      <c r="BH73" s="82">
        <f t="shared" si="28"/>
        <v>-47.9</v>
      </c>
      <c r="BI73" s="82">
        <f t="shared" si="28"/>
        <v>-38</v>
      </c>
      <c r="BJ73" s="82">
        <f t="shared" si="28"/>
        <v>-38</v>
      </c>
      <c r="BK73" s="82">
        <f t="shared" si="28"/>
        <v>-41</v>
      </c>
      <c r="BL73" s="82">
        <f t="shared" si="28"/>
        <v>-40</v>
      </c>
      <c r="BM73" s="82">
        <f t="shared" si="28"/>
        <v>-33.5</v>
      </c>
      <c r="BN73" s="82">
        <f t="shared" si="28"/>
        <v>-33.9</v>
      </c>
      <c r="BO73" s="82">
        <f t="shared" si="28"/>
        <v>-11.9</v>
      </c>
      <c r="BP73" s="82">
        <f t="shared" si="28"/>
        <v>-43.5</v>
      </c>
      <c r="BQ73" s="82">
        <f t="shared" si="28"/>
        <v>-45.8</v>
      </c>
      <c r="BR73" s="82">
        <f t="shared" si="28"/>
        <v>-58.2</v>
      </c>
      <c r="BS73" s="82">
        <f t="shared" si="28"/>
        <v>-46.4</v>
      </c>
      <c r="BT73" s="82">
        <f t="shared" si="28"/>
        <v>-49.3</v>
      </c>
      <c r="BU73" s="82">
        <f t="shared" si="28"/>
        <v>-47.4</v>
      </c>
      <c r="BV73" s="82">
        <f t="shared" si="28"/>
        <v>-45.5</v>
      </c>
      <c r="BW73" s="82">
        <f t="shared" si="28"/>
        <v>-49.6</v>
      </c>
    </row>
    <row r="74" spans="1:75" x14ac:dyDescent="0.25">
      <c r="A74" s="65" t="s">
        <v>91</v>
      </c>
      <c r="B74" s="76">
        <v>11</v>
      </c>
      <c r="C74" s="76">
        <v>11</v>
      </c>
      <c r="D74" s="76">
        <v>11</v>
      </c>
      <c r="E74" s="76">
        <v>12</v>
      </c>
      <c r="F74" s="76">
        <v>12</v>
      </c>
      <c r="G74" s="76">
        <v>12</v>
      </c>
      <c r="H74" s="76">
        <v>12</v>
      </c>
      <c r="I74" s="76">
        <v>12</v>
      </c>
      <c r="J74" s="76">
        <v>9.1999999999999993</v>
      </c>
      <c r="K74" s="76">
        <v>9.4</v>
      </c>
      <c r="L74" s="76">
        <v>11</v>
      </c>
      <c r="M74" s="76">
        <v>11</v>
      </c>
      <c r="N74" s="76">
        <v>11</v>
      </c>
      <c r="O74" s="76">
        <v>11</v>
      </c>
      <c r="P74" s="76">
        <v>11</v>
      </c>
      <c r="Q74" s="76">
        <v>11</v>
      </c>
      <c r="R74" s="76">
        <v>11</v>
      </c>
      <c r="S74" s="76">
        <v>11</v>
      </c>
      <c r="T74" s="76">
        <v>11</v>
      </c>
      <c r="U74" s="76">
        <v>11</v>
      </c>
      <c r="V74" s="76">
        <v>11</v>
      </c>
      <c r="W74" s="76">
        <v>11</v>
      </c>
      <c r="X74" s="76">
        <v>11</v>
      </c>
      <c r="Y74" s="76">
        <v>11</v>
      </c>
      <c r="Z74" s="76">
        <v>11</v>
      </c>
      <c r="AA74" s="76">
        <v>11</v>
      </c>
      <c r="AB74" s="76">
        <v>11</v>
      </c>
      <c r="AC74" s="76">
        <v>11</v>
      </c>
      <c r="AD74" s="76">
        <v>11</v>
      </c>
      <c r="AE74" s="76">
        <v>11</v>
      </c>
      <c r="AF74" s="76">
        <v>11</v>
      </c>
      <c r="AG74" s="66">
        <v>14.1</v>
      </c>
      <c r="AH74" s="48">
        <f t="shared" si="20"/>
        <v>12</v>
      </c>
      <c r="AI74" s="49">
        <f t="shared" si="21"/>
        <v>9.1999999999999993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5.2</v>
      </c>
      <c r="L75" s="76">
        <v>1.4</v>
      </c>
      <c r="M75" s="76">
        <v>7.1</v>
      </c>
      <c r="N75" s="76">
        <v>7.1</v>
      </c>
      <c r="O75" s="76">
        <v>7.1</v>
      </c>
      <c r="P75" s="76">
        <v>7.1</v>
      </c>
      <c r="Q75" s="76">
        <v>7.1</v>
      </c>
      <c r="R75" s="76">
        <v>7.1</v>
      </c>
      <c r="S75" s="76">
        <v>7.1</v>
      </c>
      <c r="T75" s="76">
        <v>7.1</v>
      </c>
      <c r="U75" s="76">
        <v>7.1</v>
      </c>
      <c r="V75" s="76">
        <v>7.1</v>
      </c>
      <c r="W75" s="76">
        <v>7.1</v>
      </c>
      <c r="X75" s="76">
        <v>5.5</v>
      </c>
      <c r="Y75" s="76">
        <v>5.5</v>
      </c>
      <c r="Z75" s="76">
        <v>6.9</v>
      </c>
      <c r="AA75" s="76">
        <v>6.9</v>
      </c>
      <c r="AB75" s="76">
        <v>6.9</v>
      </c>
      <c r="AC75" s="76">
        <v>6.9</v>
      </c>
      <c r="AD75" s="76">
        <v>6.9</v>
      </c>
      <c r="AE75" s="76">
        <v>6.9</v>
      </c>
      <c r="AF75" s="76">
        <v>6.9</v>
      </c>
      <c r="AG75" s="66">
        <v>14</v>
      </c>
      <c r="AH75" s="48">
        <f t="shared" ref="AH75:AH106" si="29">MAX(B75:AF75)</f>
        <v>7.1</v>
      </c>
      <c r="AI75" s="49">
        <f t="shared" ref="AI75:AI106" si="30">MIN(B75:AF75)</f>
        <v>0</v>
      </c>
      <c r="AK75" s="51"/>
      <c r="AZ75" s="82">
        <f t="shared" si="28"/>
        <v>-720</v>
      </c>
      <c r="BA75" s="82">
        <f t="shared" si="28"/>
        <v>-714.3</v>
      </c>
      <c r="BB75" s="82">
        <f t="shared" si="28"/>
        <v>-751</v>
      </c>
      <c r="BC75" s="82">
        <f t="shared" si="28"/>
        <v>-733</v>
      </c>
      <c r="BD75" s="82">
        <f t="shared" si="28"/>
        <v>-695</v>
      </c>
      <c r="BE75" s="82">
        <f t="shared" si="28"/>
        <v>-709</v>
      </c>
      <c r="BF75" s="82">
        <f t="shared" si="28"/>
        <v>-685</v>
      </c>
      <c r="BG75" s="82">
        <f t="shared" si="28"/>
        <v>-702</v>
      </c>
      <c r="BH75" s="82">
        <f t="shared" si="28"/>
        <v>-686.5</v>
      </c>
      <c r="BI75" s="82">
        <f t="shared" si="28"/>
        <v>-660</v>
      </c>
      <c r="BJ75" s="82">
        <f t="shared" si="28"/>
        <v>-643</v>
      </c>
      <c r="BK75" s="82">
        <f t="shared" si="28"/>
        <v>-699</v>
      </c>
      <c r="BL75" s="82">
        <f t="shared" si="28"/>
        <v>-697</v>
      </c>
      <c r="BM75" s="82">
        <f t="shared" si="28"/>
        <v>-665</v>
      </c>
      <c r="BN75" s="82">
        <f t="shared" si="28"/>
        <v>-646</v>
      </c>
      <c r="BO75" s="82">
        <f t="shared" si="28"/>
        <v>-649</v>
      </c>
      <c r="BP75" s="82">
        <f t="shared" si="28"/>
        <v>-664</v>
      </c>
      <c r="BQ75" s="82">
        <f t="shared" si="28"/>
        <v>-709</v>
      </c>
      <c r="BR75" s="82">
        <f t="shared" si="28"/>
        <v>-629.9</v>
      </c>
      <c r="BS75" s="82">
        <f t="shared" si="28"/>
        <v>-659</v>
      </c>
      <c r="BT75" s="82">
        <f t="shared" si="28"/>
        <v>-678.2</v>
      </c>
      <c r="BU75" s="82">
        <f t="shared" si="28"/>
        <v>-671.9</v>
      </c>
      <c r="BV75" s="82">
        <f t="shared" si="28"/>
        <v>-682.9</v>
      </c>
      <c r="BW75" s="82">
        <f t="shared" si="28"/>
        <v>-713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29"/>
        <v>10</v>
      </c>
      <c r="AI76" s="49">
        <f t="shared" si="30"/>
        <v>10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29"/>
        <v>6</v>
      </c>
      <c r="AI77" s="49">
        <f t="shared" si="30"/>
        <v>6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5.5</v>
      </c>
      <c r="AA78" s="85">
        <v>5.5</v>
      </c>
      <c r="AB78" s="85">
        <v>5.5</v>
      </c>
      <c r="AC78" s="85">
        <v>5.5</v>
      </c>
      <c r="AD78" s="85">
        <v>5.5</v>
      </c>
      <c r="AE78" s="85">
        <v>5.5</v>
      </c>
      <c r="AF78" s="85">
        <v>5.5</v>
      </c>
      <c r="AG78" s="86">
        <f>AG255</f>
        <v>8.56</v>
      </c>
      <c r="AH78" s="48">
        <f t="shared" si="29"/>
        <v>5.5</v>
      </c>
      <c r="AI78" s="49">
        <f t="shared" si="30"/>
        <v>3.54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f t="shared" ref="B79:AG79" si="31">SUM(B66:B78)</f>
        <v>395.44000000000005</v>
      </c>
      <c r="C79" s="71">
        <f t="shared" si="31"/>
        <v>363.64000000000004</v>
      </c>
      <c r="D79" s="71">
        <f t="shared" si="31"/>
        <v>375.44000000000005</v>
      </c>
      <c r="E79" s="71">
        <f t="shared" si="31"/>
        <v>375.34</v>
      </c>
      <c r="F79" s="71">
        <f t="shared" si="31"/>
        <v>336.73999999999995</v>
      </c>
      <c r="G79" s="71">
        <f t="shared" si="31"/>
        <v>367.84</v>
      </c>
      <c r="H79" s="71">
        <f t="shared" si="31"/>
        <v>368.64</v>
      </c>
      <c r="I79" s="71">
        <f t="shared" si="31"/>
        <v>331.94</v>
      </c>
      <c r="J79" s="71">
        <f t="shared" si="31"/>
        <v>328.74</v>
      </c>
      <c r="K79" s="71">
        <f t="shared" si="31"/>
        <v>355.84</v>
      </c>
      <c r="L79" s="71">
        <f t="shared" si="31"/>
        <v>328.14</v>
      </c>
      <c r="M79" s="71">
        <f t="shared" si="31"/>
        <v>363.54000000000008</v>
      </c>
      <c r="N79" s="71">
        <f t="shared" si="31"/>
        <v>346.44000000000005</v>
      </c>
      <c r="O79" s="71">
        <f t="shared" si="31"/>
        <v>269.34000000000003</v>
      </c>
      <c r="P79" s="71">
        <f t="shared" si="31"/>
        <v>282.54000000000002</v>
      </c>
      <c r="Q79" s="71">
        <f t="shared" si="31"/>
        <v>355.44000000000005</v>
      </c>
      <c r="R79" s="71">
        <f t="shared" si="31"/>
        <v>337.74000000000007</v>
      </c>
      <c r="S79" s="71">
        <f t="shared" si="31"/>
        <v>336.6400000000001</v>
      </c>
      <c r="T79" s="71">
        <f t="shared" si="31"/>
        <v>344.54000000000008</v>
      </c>
      <c r="U79" s="71">
        <f t="shared" si="31"/>
        <v>333.84000000000003</v>
      </c>
      <c r="V79" s="71">
        <f t="shared" si="31"/>
        <v>353.34000000000003</v>
      </c>
      <c r="W79" s="71">
        <f t="shared" si="31"/>
        <v>395.64</v>
      </c>
      <c r="X79" s="71">
        <f t="shared" si="31"/>
        <v>381.04</v>
      </c>
      <c r="Y79" s="71">
        <f t="shared" si="31"/>
        <v>373.24</v>
      </c>
      <c r="Z79" s="71">
        <f t="shared" si="31"/>
        <v>391.49999999999994</v>
      </c>
      <c r="AA79" s="71">
        <f t="shared" si="31"/>
        <v>391.49999999999994</v>
      </c>
      <c r="AB79" s="71">
        <f t="shared" si="31"/>
        <v>395.29999999999995</v>
      </c>
      <c r="AC79" s="71">
        <f t="shared" si="31"/>
        <v>395.29999999999995</v>
      </c>
      <c r="AD79" s="71">
        <f t="shared" si="31"/>
        <v>395.29999999999995</v>
      </c>
      <c r="AE79" s="71">
        <f t="shared" si="31"/>
        <v>395.29999999999995</v>
      </c>
      <c r="AF79" s="71">
        <f t="shared" si="31"/>
        <v>405.29999999999995</v>
      </c>
      <c r="AG79" s="72">
        <f t="shared" si="31"/>
        <v>489.91</v>
      </c>
      <c r="AH79" s="48">
        <f t="shared" si="29"/>
        <v>405.29999999999995</v>
      </c>
      <c r="AI79" s="49">
        <f t="shared" si="30"/>
        <v>269.34000000000003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29"/>
        <v>0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29"/>
        <v>0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29"/>
        <v>0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-28</v>
      </c>
      <c r="BH82" s="82">
        <v>0</v>
      </c>
      <c r="BI82" s="82">
        <v>-720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2">B80+B81+B82</f>
        <v>0</v>
      </c>
      <c r="C83" s="71">
        <f t="shared" si="32"/>
        <v>0</v>
      </c>
      <c r="D83" s="71">
        <f t="shared" si="32"/>
        <v>0</v>
      </c>
      <c r="E83" s="71">
        <f t="shared" si="32"/>
        <v>0</v>
      </c>
      <c r="F83" s="71">
        <f t="shared" si="32"/>
        <v>0</v>
      </c>
      <c r="G83" s="71">
        <f t="shared" si="32"/>
        <v>0</v>
      </c>
      <c r="H83" s="71">
        <f t="shared" si="32"/>
        <v>0</v>
      </c>
      <c r="I83" s="71">
        <f t="shared" si="32"/>
        <v>0</v>
      </c>
      <c r="J83" s="71">
        <f t="shared" si="32"/>
        <v>0</v>
      </c>
      <c r="K83" s="71">
        <f t="shared" si="32"/>
        <v>0</v>
      </c>
      <c r="L83" s="71">
        <f t="shared" si="32"/>
        <v>0</v>
      </c>
      <c r="M83" s="71">
        <f t="shared" si="32"/>
        <v>0</v>
      </c>
      <c r="N83" s="71">
        <f t="shared" si="32"/>
        <v>0</v>
      </c>
      <c r="O83" s="71">
        <f t="shared" si="32"/>
        <v>0</v>
      </c>
      <c r="P83" s="71">
        <f t="shared" si="32"/>
        <v>0</v>
      </c>
      <c r="Q83" s="71">
        <f t="shared" si="32"/>
        <v>0</v>
      </c>
      <c r="R83" s="71">
        <f t="shared" si="32"/>
        <v>0</v>
      </c>
      <c r="S83" s="71">
        <f t="shared" si="32"/>
        <v>0</v>
      </c>
      <c r="T83" s="71">
        <f t="shared" si="32"/>
        <v>0</v>
      </c>
      <c r="U83" s="71">
        <f t="shared" si="32"/>
        <v>0</v>
      </c>
      <c r="V83" s="71">
        <f t="shared" si="32"/>
        <v>0</v>
      </c>
      <c r="W83" s="71">
        <f t="shared" si="32"/>
        <v>0</v>
      </c>
      <c r="X83" s="71">
        <f t="shared" si="32"/>
        <v>0</v>
      </c>
      <c r="Y83" s="71">
        <f t="shared" si="32"/>
        <v>0</v>
      </c>
      <c r="Z83" s="71">
        <f t="shared" si="32"/>
        <v>0</v>
      </c>
      <c r="AA83" s="71">
        <f t="shared" si="32"/>
        <v>0</v>
      </c>
      <c r="AB83" s="71">
        <f t="shared" si="32"/>
        <v>0</v>
      </c>
      <c r="AC83" s="71">
        <f t="shared" si="32"/>
        <v>0</v>
      </c>
      <c r="AD83" s="71">
        <f t="shared" si="32"/>
        <v>0</v>
      </c>
      <c r="AE83" s="71">
        <f t="shared" si="32"/>
        <v>0</v>
      </c>
      <c r="AF83" s="71">
        <f t="shared" si="32"/>
        <v>0</v>
      </c>
      <c r="AG83" s="72">
        <f>SUM(AG80:AG82)</f>
        <v>106</v>
      </c>
      <c r="AH83" s="48">
        <f t="shared" si="29"/>
        <v>0</v>
      </c>
      <c r="AI83" s="49">
        <f t="shared" si="30"/>
        <v>0</v>
      </c>
      <c r="AK83" s="51"/>
      <c r="AY83" s="82"/>
      <c r="BF83" s="81"/>
      <c r="BG83" s="82">
        <v>-15.5</v>
      </c>
      <c r="BH83" s="82">
        <v>0</v>
      </c>
      <c r="BI83" s="82">
        <v>-714.3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-49.6</v>
      </c>
      <c r="C84" s="46">
        <v>-28</v>
      </c>
      <c r="D84" s="46">
        <v>-15.5</v>
      </c>
      <c r="E84" s="46">
        <v>-33</v>
      </c>
      <c r="F84" s="46">
        <v>-37.4</v>
      </c>
      <c r="G84" s="46">
        <v>-49.5</v>
      </c>
      <c r="H84" s="46">
        <v>-48.8</v>
      </c>
      <c r="I84" s="46">
        <v>-61</v>
      </c>
      <c r="J84" s="46">
        <v>-55</v>
      </c>
      <c r="K84" s="46">
        <v>-54</v>
      </c>
      <c r="L84" s="46">
        <v>-42</v>
      </c>
      <c r="M84" s="46">
        <v>-47.7</v>
      </c>
      <c r="N84" s="46">
        <v>-47.9</v>
      </c>
      <c r="O84" s="46">
        <v>-38</v>
      </c>
      <c r="P84" s="46">
        <v>-38</v>
      </c>
      <c r="Q84" s="46">
        <v>-41</v>
      </c>
      <c r="R84" s="46">
        <v>-40</v>
      </c>
      <c r="S84" s="46">
        <v>-33.5</v>
      </c>
      <c r="T84" s="46">
        <v>-33.9</v>
      </c>
      <c r="U84" s="46">
        <v>-11.9</v>
      </c>
      <c r="V84" s="46">
        <v>-43.5</v>
      </c>
      <c r="W84" s="46">
        <v>-45.8</v>
      </c>
      <c r="X84" s="46">
        <v>-45.8</v>
      </c>
      <c r="Y84" s="46">
        <v>-55</v>
      </c>
      <c r="Z84" s="46">
        <v>-58.2</v>
      </c>
      <c r="AA84" s="46">
        <v>-55</v>
      </c>
      <c r="AB84" s="46">
        <v>-46.4</v>
      </c>
      <c r="AC84" s="46">
        <v>-46.4</v>
      </c>
      <c r="AD84" s="46">
        <v>-49.3</v>
      </c>
      <c r="AE84" s="46">
        <v>-47.4</v>
      </c>
      <c r="AF84" s="46">
        <v>-45.5</v>
      </c>
      <c r="AG84" s="61"/>
      <c r="AH84" s="48">
        <f t="shared" si="29"/>
        <v>-11.9</v>
      </c>
      <c r="AI84" s="49">
        <f t="shared" si="30"/>
        <v>-61</v>
      </c>
      <c r="AK84" s="51"/>
      <c r="AY84" s="82"/>
      <c r="BF84" s="81"/>
      <c r="BG84" s="82">
        <v>-33</v>
      </c>
      <c r="BH84" s="82">
        <v>0</v>
      </c>
      <c r="BI84" s="82">
        <v>-751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-37.4</v>
      </c>
      <c r="BH85" s="82">
        <v>0</v>
      </c>
      <c r="BI85" s="82">
        <v>-733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-713</v>
      </c>
      <c r="C86" s="76">
        <v>-719.7</v>
      </c>
      <c r="D86" s="76">
        <v>-714.3</v>
      </c>
      <c r="E86" s="76">
        <v>-751</v>
      </c>
      <c r="F86" s="76">
        <v>-733</v>
      </c>
      <c r="G86" s="76">
        <v>-695</v>
      </c>
      <c r="H86" s="76">
        <v>-710</v>
      </c>
      <c r="I86" s="76">
        <v>-709</v>
      </c>
      <c r="J86" s="76">
        <v>-706</v>
      </c>
      <c r="K86" s="76">
        <v>-685</v>
      </c>
      <c r="L86" s="76">
        <v>-728</v>
      </c>
      <c r="M86" s="76">
        <v>-702</v>
      </c>
      <c r="N86" s="76">
        <v>-686.5</v>
      </c>
      <c r="O86" s="76">
        <v>-660</v>
      </c>
      <c r="P86" s="76">
        <v>-643</v>
      </c>
      <c r="Q86" s="76">
        <v>-699</v>
      </c>
      <c r="R86" s="76">
        <v>-697</v>
      </c>
      <c r="S86" s="76">
        <v>-665</v>
      </c>
      <c r="T86" s="76">
        <v>-646</v>
      </c>
      <c r="U86" s="76">
        <v>-649</v>
      </c>
      <c r="V86" s="76">
        <v>-664</v>
      </c>
      <c r="W86" s="76">
        <v>-710</v>
      </c>
      <c r="X86" s="76">
        <v>-709</v>
      </c>
      <c r="Y86" s="76">
        <v>-662</v>
      </c>
      <c r="Z86" s="76">
        <v>-629.9</v>
      </c>
      <c r="AA86" s="76">
        <v>-695</v>
      </c>
      <c r="AB86" s="76">
        <v>-659</v>
      </c>
      <c r="AC86" s="76">
        <v>-659</v>
      </c>
      <c r="AD86" s="76">
        <v>-678.2</v>
      </c>
      <c r="AE86" s="76">
        <v>-671.9</v>
      </c>
      <c r="AF86" s="76">
        <v>-682.9</v>
      </c>
      <c r="AG86" s="88"/>
      <c r="AH86" s="48">
        <f t="shared" si="29"/>
        <v>-629.9</v>
      </c>
      <c r="AI86" s="49">
        <f t="shared" si="30"/>
        <v>-751</v>
      </c>
      <c r="AK86" s="92"/>
      <c r="AL86" s="93"/>
      <c r="AM86" s="93"/>
      <c r="AN86" s="94"/>
      <c r="AY86" s="82"/>
      <c r="BF86" s="82"/>
      <c r="BG86" s="82">
        <v>-49.5</v>
      </c>
      <c r="BH86" s="82">
        <v>0</v>
      </c>
      <c r="BI86" s="82">
        <v>-695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9"/>
        <v>0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-61</v>
      </c>
      <c r="BH87" s="82">
        <v>0</v>
      </c>
      <c r="BI87" s="82">
        <v>-709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9"/>
        <v>0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-54</v>
      </c>
      <c r="BH88" s="82">
        <v>0</v>
      </c>
      <c r="BI88" s="82">
        <v>-685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29"/>
        <v>0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-47.7</v>
      </c>
      <c r="BH89" s="82">
        <v>0</v>
      </c>
      <c r="BI89" s="82">
        <v>-702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4"/>
      <c r="AY90" s="82"/>
      <c r="BF90" s="82"/>
      <c r="BG90" s="82">
        <v>-47.9</v>
      </c>
      <c r="BH90" s="82">
        <v>0</v>
      </c>
      <c r="BI90" s="82">
        <v>-686.5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5"/>
      <c r="BF91" s="82"/>
      <c r="BG91" s="82">
        <v>-38</v>
      </c>
      <c r="BH91" s="82">
        <v>0</v>
      </c>
      <c r="BI91" s="82">
        <v>-660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-38</v>
      </c>
      <c r="BH92" s="82">
        <v>0</v>
      </c>
      <c r="BI92" s="82">
        <v>-643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-41</v>
      </c>
      <c r="BH93" s="82">
        <v>0</v>
      </c>
      <c r="BI93" s="82">
        <v>-699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-40</v>
      </c>
      <c r="BH94" s="82">
        <v>0</v>
      </c>
      <c r="BI94" s="82">
        <v>-697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:AF95" si="33">SUMIF(B84:B94,"&gt;0")</f>
        <v>0</v>
      </c>
      <c r="C95" s="71">
        <f t="shared" si="33"/>
        <v>0</v>
      </c>
      <c r="D95" s="71">
        <f t="shared" si="33"/>
        <v>0</v>
      </c>
      <c r="E95" s="71">
        <f t="shared" si="33"/>
        <v>0</v>
      </c>
      <c r="F95" s="71">
        <f t="shared" si="33"/>
        <v>0</v>
      </c>
      <c r="G95" s="71">
        <f t="shared" si="33"/>
        <v>0</v>
      </c>
      <c r="H95" s="71">
        <f t="shared" si="33"/>
        <v>0</v>
      </c>
      <c r="I95" s="71">
        <f t="shared" si="33"/>
        <v>0</v>
      </c>
      <c r="J95" s="71">
        <f t="shared" si="33"/>
        <v>0</v>
      </c>
      <c r="K95" s="71">
        <f t="shared" si="33"/>
        <v>0</v>
      </c>
      <c r="L95" s="71">
        <f t="shared" si="33"/>
        <v>0</v>
      </c>
      <c r="M95" s="71">
        <f t="shared" si="33"/>
        <v>0</v>
      </c>
      <c r="N95" s="71">
        <f t="shared" si="33"/>
        <v>0</v>
      </c>
      <c r="O95" s="71">
        <f t="shared" si="33"/>
        <v>0</v>
      </c>
      <c r="P95" s="71">
        <f t="shared" si="33"/>
        <v>0</v>
      </c>
      <c r="Q95" s="71">
        <f t="shared" si="33"/>
        <v>0</v>
      </c>
      <c r="R95" s="71">
        <f t="shared" si="33"/>
        <v>0</v>
      </c>
      <c r="S95" s="71">
        <f t="shared" si="33"/>
        <v>0</v>
      </c>
      <c r="T95" s="71">
        <f t="shared" si="33"/>
        <v>0</v>
      </c>
      <c r="U95" s="71">
        <f t="shared" si="33"/>
        <v>0</v>
      </c>
      <c r="V95" s="71">
        <f t="shared" si="33"/>
        <v>0</v>
      </c>
      <c r="W95" s="71">
        <f t="shared" si="33"/>
        <v>0</v>
      </c>
      <c r="X95" s="71">
        <f t="shared" si="33"/>
        <v>0</v>
      </c>
      <c r="Y95" s="71">
        <f t="shared" si="33"/>
        <v>0</v>
      </c>
      <c r="Z95" s="71">
        <f t="shared" si="33"/>
        <v>0</v>
      </c>
      <c r="AA95" s="71">
        <f t="shared" si="33"/>
        <v>0</v>
      </c>
      <c r="AB95" s="71">
        <f t="shared" si="33"/>
        <v>0</v>
      </c>
      <c r="AC95" s="71">
        <f t="shared" si="33"/>
        <v>0</v>
      </c>
      <c r="AD95" s="71">
        <f t="shared" si="33"/>
        <v>0</v>
      </c>
      <c r="AE95" s="71">
        <f t="shared" si="33"/>
        <v>0</v>
      </c>
      <c r="AF95" s="71">
        <f t="shared" si="33"/>
        <v>0</v>
      </c>
      <c r="AG95" s="101">
        <f>SUM(AG84:AG94)</f>
        <v>0</v>
      </c>
      <c r="AH95" s="48">
        <f t="shared" si="29"/>
        <v>0</v>
      </c>
      <c r="AI95" s="49">
        <f t="shared" si="30"/>
        <v>0</v>
      </c>
      <c r="BF95" s="82"/>
      <c r="BG95" s="82">
        <v>-33.5</v>
      </c>
      <c r="BH95" s="82">
        <v>0</v>
      </c>
      <c r="BI95" s="82">
        <v>-665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-33.9</v>
      </c>
      <c r="BH96" s="82">
        <v>0</v>
      </c>
      <c r="BI96" s="82">
        <v>-646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-11.9</v>
      </c>
      <c r="BH97" s="82">
        <v>0</v>
      </c>
      <c r="BI97" s="82">
        <v>-649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-43.5</v>
      </c>
      <c r="BH98" s="82">
        <v>0</v>
      </c>
      <c r="BI98" s="82">
        <v>-664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-45.8</v>
      </c>
      <c r="BH99" s="82">
        <v>0</v>
      </c>
      <c r="BI99" s="82">
        <v>-709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4">B61+B65+B83+B79+B95+B99</f>
        <v>2191.54</v>
      </c>
      <c r="C100" s="108">
        <f t="shared" si="34"/>
        <v>2112.7400000000002</v>
      </c>
      <c r="D100" s="108">
        <f t="shared" si="34"/>
        <v>2038.0400000000002</v>
      </c>
      <c r="E100" s="108">
        <f t="shared" si="34"/>
        <v>2020.04</v>
      </c>
      <c r="F100" s="108">
        <f t="shared" si="34"/>
        <v>1972.0400000000002</v>
      </c>
      <c r="G100" s="108">
        <f t="shared" si="34"/>
        <v>1939.54</v>
      </c>
      <c r="H100" s="108">
        <f t="shared" si="34"/>
        <v>1964.8400000000001</v>
      </c>
      <c r="I100" s="108">
        <f t="shared" si="34"/>
        <v>1967.44</v>
      </c>
      <c r="J100" s="108">
        <f t="shared" si="34"/>
        <v>2030.5400000000002</v>
      </c>
      <c r="K100" s="108">
        <f t="shared" si="34"/>
        <v>2061.94</v>
      </c>
      <c r="L100" s="108">
        <f t="shared" si="34"/>
        <v>2111.2399999999998</v>
      </c>
      <c r="M100" s="108">
        <f t="shared" si="34"/>
        <v>2122.84</v>
      </c>
      <c r="N100" s="108">
        <f t="shared" si="34"/>
        <v>2061.6400000000003</v>
      </c>
      <c r="O100" s="108">
        <f t="shared" si="34"/>
        <v>2018.6400000000003</v>
      </c>
      <c r="P100" s="108">
        <f t="shared" si="34"/>
        <v>2102.94</v>
      </c>
      <c r="Q100" s="108">
        <f t="shared" si="34"/>
        <v>2127.84</v>
      </c>
      <c r="R100" s="108">
        <f t="shared" si="34"/>
        <v>2089.1400000000003</v>
      </c>
      <c r="S100" s="108">
        <f t="shared" si="34"/>
        <v>2060.84</v>
      </c>
      <c r="T100" s="108">
        <f t="shared" si="34"/>
        <v>2057.94</v>
      </c>
      <c r="U100" s="108">
        <f t="shared" si="34"/>
        <v>2060.34</v>
      </c>
      <c r="V100" s="108">
        <f t="shared" si="34"/>
        <v>2079.84</v>
      </c>
      <c r="W100" s="108">
        <f t="shared" si="34"/>
        <v>2093.2400000000002</v>
      </c>
      <c r="X100" s="108">
        <f t="shared" si="34"/>
        <v>2104.64</v>
      </c>
      <c r="Y100" s="108">
        <f t="shared" si="34"/>
        <v>2096.84</v>
      </c>
      <c r="Z100" s="108">
        <f t="shared" si="34"/>
        <v>2111.1</v>
      </c>
      <c r="AA100" s="108">
        <f t="shared" si="34"/>
        <v>2111.1</v>
      </c>
      <c r="AB100" s="108">
        <f t="shared" si="34"/>
        <v>2287</v>
      </c>
      <c r="AC100" s="108">
        <f t="shared" si="34"/>
        <v>2287</v>
      </c>
      <c r="AD100" s="108">
        <f t="shared" si="34"/>
        <v>2245.4</v>
      </c>
      <c r="AE100" s="108">
        <f t="shared" si="34"/>
        <v>2245.4</v>
      </c>
      <c r="AF100" s="108">
        <f t="shared" si="34"/>
        <v>2124.1999999999998</v>
      </c>
      <c r="AG100" s="72">
        <f t="shared" si="34"/>
        <v>2655.44</v>
      </c>
      <c r="AH100" s="48">
        <f t="shared" si="29"/>
        <v>2287</v>
      </c>
      <c r="AI100" s="49">
        <f t="shared" si="30"/>
        <v>1939.54</v>
      </c>
      <c r="BF100" s="81"/>
      <c r="BG100" s="82">
        <v>-58.2</v>
      </c>
      <c r="BH100" s="82">
        <v>0</v>
      </c>
      <c r="BI100" s="82">
        <v>-629.9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9"/>
        <v>0</v>
      </c>
      <c r="AI101" s="49">
        <f t="shared" si="30"/>
        <v>0</v>
      </c>
      <c r="BF101" s="81"/>
      <c r="BG101" s="82">
        <v>-46.4</v>
      </c>
      <c r="BH101" s="82">
        <v>0</v>
      </c>
      <c r="BI101" s="82">
        <v>-659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AF102" si="35">B100+B101</f>
        <v>2191.54</v>
      </c>
      <c r="C102" s="108">
        <f t="shared" si="35"/>
        <v>2112.7400000000002</v>
      </c>
      <c r="D102" s="108">
        <f t="shared" si="35"/>
        <v>2038.0400000000002</v>
      </c>
      <c r="E102" s="108">
        <f t="shared" si="35"/>
        <v>2020.04</v>
      </c>
      <c r="F102" s="108">
        <f t="shared" si="35"/>
        <v>1972.0400000000002</v>
      </c>
      <c r="G102" s="108">
        <f t="shared" si="35"/>
        <v>1939.54</v>
      </c>
      <c r="H102" s="108">
        <f t="shared" si="35"/>
        <v>1964.8400000000001</v>
      </c>
      <c r="I102" s="108">
        <f t="shared" si="35"/>
        <v>1967.44</v>
      </c>
      <c r="J102" s="108">
        <f t="shared" si="35"/>
        <v>2030.5400000000002</v>
      </c>
      <c r="K102" s="108">
        <f t="shared" si="35"/>
        <v>2061.94</v>
      </c>
      <c r="L102" s="108">
        <f t="shared" si="35"/>
        <v>2111.2399999999998</v>
      </c>
      <c r="M102" s="108">
        <f t="shared" si="35"/>
        <v>2122.84</v>
      </c>
      <c r="N102" s="108">
        <f t="shared" si="35"/>
        <v>2061.6400000000003</v>
      </c>
      <c r="O102" s="108">
        <f t="shared" si="35"/>
        <v>2018.6400000000003</v>
      </c>
      <c r="P102" s="108">
        <f t="shared" si="35"/>
        <v>2102.94</v>
      </c>
      <c r="Q102" s="108">
        <f t="shared" si="35"/>
        <v>2127.84</v>
      </c>
      <c r="R102" s="108">
        <f t="shared" si="35"/>
        <v>2089.1400000000003</v>
      </c>
      <c r="S102" s="108">
        <f t="shared" si="35"/>
        <v>2060.84</v>
      </c>
      <c r="T102" s="108">
        <f t="shared" si="35"/>
        <v>2057.94</v>
      </c>
      <c r="U102" s="108">
        <f t="shared" si="35"/>
        <v>2060.34</v>
      </c>
      <c r="V102" s="108">
        <f t="shared" si="35"/>
        <v>2079.84</v>
      </c>
      <c r="W102" s="108">
        <f t="shared" si="35"/>
        <v>2093.2400000000002</v>
      </c>
      <c r="X102" s="108">
        <f t="shared" si="35"/>
        <v>2104.64</v>
      </c>
      <c r="Y102" s="108">
        <f t="shared" si="35"/>
        <v>2096.84</v>
      </c>
      <c r="Z102" s="108">
        <f t="shared" si="35"/>
        <v>2111.1</v>
      </c>
      <c r="AA102" s="108">
        <f t="shared" si="35"/>
        <v>2111.1</v>
      </c>
      <c r="AB102" s="108">
        <f t="shared" si="35"/>
        <v>2287</v>
      </c>
      <c r="AC102" s="108">
        <f t="shared" si="35"/>
        <v>2287</v>
      </c>
      <c r="AD102" s="108">
        <f t="shared" si="35"/>
        <v>2245.4</v>
      </c>
      <c r="AE102" s="108">
        <f t="shared" si="35"/>
        <v>2245.4</v>
      </c>
      <c r="AF102" s="108">
        <f t="shared" si="35"/>
        <v>2124.1999999999998</v>
      </c>
      <c r="AG102" s="101">
        <f>AG99+AG95+AG83+AG79+AG61+AG101</f>
        <v>2117.34</v>
      </c>
      <c r="AH102" s="48">
        <f t="shared" si="29"/>
        <v>2287</v>
      </c>
      <c r="AI102" s="49">
        <f t="shared" si="30"/>
        <v>1939.54</v>
      </c>
      <c r="BF102" s="81"/>
      <c r="BG102" s="82">
        <v>-49.3</v>
      </c>
      <c r="BH102" s="82">
        <v>0</v>
      </c>
      <c r="BI102" s="82">
        <v>-678.2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AF103" si="36">B102-(B110)</f>
        <v>1428.94</v>
      </c>
      <c r="C103" s="108">
        <f t="shared" si="36"/>
        <v>1365.0400000000002</v>
      </c>
      <c r="D103" s="108">
        <f t="shared" si="36"/>
        <v>1308.2400000000002</v>
      </c>
      <c r="E103" s="108">
        <f t="shared" si="36"/>
        <v>1236.04</v>
      </c>
      <c r="F103" s="108">
        <f t="shared" si="36"/>
        <v>1201.6400000000003</v>
      </c>
      <c r="G103" s="108">
        <f t="shared" si="36"/>
        <v>1195.04</v>
      </c>
      <c r="H103" s="108">
        <f t="shared" si="36"/>
        <v>1206.0400000000002</v>
      </c>
      <c r="I103" s="108">
        <f t="shared" si="36"/>
        <v>1197.44</v>
      </c>
      <c r="J103" s="108">
        <f t="shared" si="36"/>
        <v>1269.5400000000002</v>
      </c>
      <c r="K103" s="108">
        <f t="shared" si="36"/>
        <v>1322.94</v>
      </c>
      <c r="L103" s="108">
        <f t="shared" si="36"/>
        <v>1341.2399999999998</v>
      </c>
      <c r="M103" s="108">
        <f t="shared" si="36"/>
        <v>1373.14</v>
      </c>
      <c r="N103" s="108">
        <f t="shared" si="36"/>
        <v>1327.2400000000002</v>
      </c>
      <c r="O103" s="108">
        <f t="shared" si="36"/>
        <v>1320.6400000000003</v>
      </c>
      <c r="P103" s="108">
        <f t="shared" si="36"/>
        <v>1421.94</v>
      </c>
      <c r="Q103" s="108">
        <f t="shared" si="36"/>
        <v>1387.8400000000001</v>
      </c>
      <c r="R103" s="108">
        <f t="shared" si="36"/>
        <v>1352.1400000000003</v>
      </c>
      <c r="S103" s="108">
        <f t="shared" si="36"/>
        <v>1362.3400000000001</v>
      </c>
      <c r="T103" s="108">
        <f t="shared" si="36"/>
        <v>1378.04</v>
      </c>
      <c r="U103" s="108">
        <f t="shared" si="36"/>
        <v>1399.44</v>
      </c>
      <c r="V103" s="108">
        <f t="shared" si="36"/>
        <v>1372.3400000000001</v>
      </c>
      <c r="W103" s="108">
        <f t="shared" si="36"/>
        <v>1337.4400000000003</v>
      </c>
      <c r="X103" s="108">
        <f t="shared" si="36"/>
        <v>1349.84</v>
      </c>
      <c r="Y103" s="108">
        <f t="shared" si="36"/>
        <v>1379.8400000000001</v>
      </c>
      <c r="Z103" s="108">
        <f t="shared" si="36"/>
        <v>1423</v>
      </c>
      <c r="AA103" s="108">
        <f t="shared" si="36"/>
        <v>1361.1</v>
      </c>
      <c r="AB103" s="108">
        <f t="shared" si="36"/>
        <v>1581.6</v>
      </c>
      <c r="AC103" s="108">
        <f t="shared" si="36"/>
        <v>1581.6</v>
      </c>
      <c r="AD103" s="108">
        <f t="shared" si="36"/>
        <v>1517.9</v>
      </c>
      <c r="AE103" s="108">
        <f t="shared" si="36"/>
        <v>1526.1000000000001</v>
      </c>
      <c r="AF103" s="108">
        <f t="shared" si="36"/>
        <v>1395.7999999999997</v>
      </c>
      <c r="AG103" s="101"/>
      <c r="AH103" s="48">
        <f t="shared" si="29"/>
        <v>1581.6</v>
      </c>
      <c r="AI103" s="49">
        <f t="shared" si="30"/>
        <v>1195.04</v>
      </c>
      <c r="BF103" s="81"/>
      <c r="BG103" s="82">
        <v>-47.4</v>
      </c>
      <c r="BH103" s="82">
        <v>0</v>
      </c>
      <c r="BI103" s="82">
        <v>-671.9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4" si="37">IF(B84&lt;0,B84*-1,0)</f>
        <v>49.6</v>
      </c>
      <c r="C104" s="89">
        <f t="shared" si="37"/>
        <v>28</v>
      </c>
      <c r="D104" s="89">
        <f t="shared" si="37"/>
        <v>15.5</v>
      </c>
      <c r="E104" s="89">
        <f t="shared" si="37"/>
        <v>33</v>
      </c>
      <c r="F104" s="89">
        <f t="shared" si="37"/>
        <v>37.4</v>
      </c>
      <c r="G104" s="89">
        <f t="shared" si="37"/>
        <v>49.5</v>
      </c>
      <c r="H104" s="89">
        <f t="shared" si="37"/>
        <v>48.8</v>
      </c>
      <c r="I104" s="89">
        <f t="shared" si="37"/>
        <v>61</v>
      </c>
      <c r="J104" s="89">
        <f t="shared" si="37"/>
        <v>55</v>
      </c>
      <c r="K104" s="89">
        <f t="shared" si="37"/>
        <v>54</v>
      </c>
      <c r="L104" s="89">
        <f t="shared" si="37"/>
        <v>42</v>
      </c>
      <c r="M104" s="89">
        <f t="shared" si="37"/>
        <v>47.7</v>
      </c>
      <c r="N104" s="89">
        <f t="shared" si="37"/>
        <v>47.9</v>
      </c>
      <c r="O104" s="89">
        <f t="shared" si="37"/>
        <v>38</v>
      </c>
      <c r="P104" s="89">
        <f t="shared" si="37"/>
        <v>38</v>
      </c>
      <c r="Q104" s="89">
        <f t="shared" si="37"/>
        <v>41</v>
      </c>
      <c r="R104" s="89">
        <f t="shared" si="37"/>
        <v>40</v>
      </c>
      <c r="S104" s="89">
        <f t="shared" si="37"/>
        <v>33.5</v>
      </c>
      <c r="T104" s="89">
        <f t="shared" si="37"/>
        <v>33.9</v>
      </c>
      <c r="U104" s="89">
        <f t="shared" si="37"/>
        <v>11.9</v>
      </c>
      <c r="V104" s="89">
        <f t="shared" si="37"/>
        <v>43.5</v>
      </c>
      <c r="W104" s="89">
        <f t="shared" si="37"/>
        <v>45.8</v>
      </c>
      <c r="X104" s="89">
        <f t="shared" si="37"/>
        <v>45.8</v>
      </c>
      <c r="Y104" s="89">
        <f t="shared" si="37"/>
        <v>55</v>
      </c>
      <c r="Z104" s="89">
        <f t="shared" si="37"/>
        <v>58.2</v>
      </c>
      <c r="AA104" s="89">
        <f t="shared" si="37"/>
        <v>55</v>
      </c>
      <c r="AB104" s="89">
        <f t="shared" si="37"/>
        <v>46.4</v>
      </c>
      <c r="AC104" s="89">
        <f t="shared" si="37"/>
        <v>46.4</v>
      </c>
      <c r="AD104" s="89">
        <f t="shared" si="37"/>
        <v>49.3</v>
      </c>
      <c r="AE104" s="89">
        <f t="shared" si="37"/>
        <v>47.4</v>
      </c>
      <c r="AF104" s="89">
        <f t="shared" si="37"/>
        <v>45.5</v>
      </c>
      <c r="AG104" s="61"/>
      <c r="AH104" s="48">
        <f t="shared" si="29"/>
        <v>61</v>
      </c>
      <c r="AI104" s="49">
        <f t="shared" si="30"/>
        <v>11.9</v>
      </c>
      <c r="BG104" s="82">
        <v>-45.5</v>
      </c>
      <c r="BH104" s="82">
        <v>0</v>
      </c>
      <c r="BI104" s="82">
        <v>-682.9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AF105" si="38">IF(B85&lt;0,B85*-1,0)</f>
        <v>0</v>
      </c>
      <c r="C105" s="89">
        <f t="shared" si="38"/>
        <v>0</v>
      </c>
      <c r="D105" s="89">
        <f t="shared" si="38"/>
        <v>0</v>
      </c>
      <c r="E105" s="89">
        <f t="shared" si="38"/>
        <v>0</v>
      </c>
      <c r="F105" s="89">
        <f t="shared" si="38"/>
        <v>0</v>
      </c>
      <c r="G105" s="89">
        <f t="shared" si="38"/>
        <v>0</v>
      </c>
      <c r="H105" s="89">
        <f t="shared" si="38"/>
        <v>0</v>
      </c>
      <c r="I105" s="89">
        <f t="shared" si="38"/>
        <v>0</v>
      </c>
      <c r="J105" s="89">
        <f t="shared" si="38"/>
        <v>0</v>
      </c>
      <c r="K105" s="89">
        <f t="shared" si="38"/>
        <v>0</v>
      </c>
      <c r="L105" s="89">
        <f t="shared" si="38"/>
        <v>0</v>
      </c>
      <c r="M105" s="89">
        <f t="shared" si="38"/>
        <v>0</v>
      </c>
      <c r="N105" s="89">
        <f t="shared" si="38"/>
        <v>0</v>
      </c>
      <c r="O105" s="89">
        <f t="shared" si="38"/>
        <v>0</v>
      </c>
      <c r="P105" s="89">
        <f t="shared" si="38"/>
        <v>0</v>
      </c>
      <c r="Q105" s="89">
        <f t="shared" si="38"/>
        <v>0</v>
      </c>
      <c r="R105" s="89">
        <f t="shared" si="38"/>
        <v>0</v>
      </c>
      <c r="S105" s="89">
        <f t="shared" si="38"/>
        <v>0</v>
      </c>
      <c r="T105" s="89">
        <f t="shared" si="38"/>
        <v>0</v>
      </c>
      <c r="U105" s="89">
        <f t="shared" si="38"/>
        <v>0</v>
      </c>
      <c r="V105" s="89">
        <f t="shared" si="38"/>
        <v>0</v>
      </c>
      <c r="W105" s="89">
        <f t="shared" si="38"/>
        <v>0</v>
      </c>
      <c r="X105" s="89">
        <f t="shared" si="38"/>
        <v>0</v>
      </c>
      <c r="Y105" s="89">
        <f t="shared" si="38"/>
        <v>0</v>
      </c>
      <c r="Z105" s="89">
        <f t="shared" si="38"/>
        <v>0</v>
      </c>
      <c r="AA105" s="89">
        <f t="shared" si="38"/>
        <v>0</v>
      </c>
      <c r="AB105" s="89">
        <f t="shared" si="38"/>
        <v>0</v>
      </c>
      <c r="AC105" s="89">
        <f t="shared" si="38"/>
        <v>0</v>
      </c>
      <c r="AD105" s="89">
        <f t="shared" si="38"/>
        <v>0</v>
      </c>
      <c r="AE105" s="89">
        <f t="shared" si="38"/>
        <v>0</v>
      </c>
      <c r="AF105" s="89">
        <f t="shared" si="38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-49.6</v>
      </c>
      <c r="BH105" s="82">
        <v>0</v>
      </c>
      <c r="BI105" s="82">
        <v>-713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ref="B106:AF106" si="39">IF(B86&lt;0,B86*-1,0)</f>
        <v>713</v>
      </c>
      <c r="C106" s="89">
        <f t="shared" si="39"/>
        <v>719.7</v>
      </c>
      <c r="D106" s="89">
        <f t="shared" si="39"/>
        <v>714.3</v>
      </c>
      <c r="E106" s="89">
        <f t="shared" si="39"/>
        <v>751</v>
      </c>
      <c r="F106" s="89">
        <f t="shared" si="39"/>
        <v>733</v>
      </c>
      <c r="G106" s="89">
        <f t="shared" si="39"/>
        <v>695</v>
      </c>
      <c r="H106" s="89">
        <f t="shared" si="39"/>
        <v>710</v>
      </c>
      <c r="I106" s="89">
        <f t="shared" si="39"/>
        <v>709</v>
      </c>
      <c r="J106" s="89">
        <f t="shared" si="39"/>
        <v>706</v>
      </c>
      <c r="K106" s="89">
        <f t="shared" si="39"/>
        <v>685</v>
      </c>
      <c r="L106" s="89">
        <f t="shared" si="39"/>
        <v>728</v>
      </c>
      <c r="M106" s="89">
        <f t="shared" si="39"/>
        <v>702</v>
      </c>
      <c r="N106" s="89">
        <f t="shared" si="39"/>
        <v>686.5</v>
      </c>
      <c r="O106" s="89">
        <f t="shared" si="39"/>
        <v>660</v>
      </c>
      <c r="P106" s="89">
        <f t="shared" si="39"/>
        <v>643</v>
      </c>
      <c r="Q106" s="89">
        <f t="shared" si="39"/>
        <v>699</v>
      </c>
      <c r="R106" s="89">
        <f t="shared" si="39"/>
        <v>697</v>
      </c>
      <c r="S106" s="89">
        <f t="shared" si="39"/>
        <v>665</v>
      </c>
      <c r="T106" s="89">
        <f t="shared" si="39"/>
        <v>646</v>
      </c>
      <c r="U106" s="89">
        <f t="shared" si="39"/>
        <v>649</v>
      </c>
      <c r="V106" s="89">
        <f t="shared" si="39"/>
        <v>664</v>
      </c>
      <c r="W106" s="89">
        <f t="shared" si="39"/>
        <v>710</v>
      </c>
      <c r="X106" s="89">
        <f t="shared" si="39"/>
        <v>709</v>
      </c>
      <c r="Y106" s="89">
        <f t="shared" si="39"/>
        <v>662</v>
      </c>
      <c r="Z106" s="89">
        <f t="shared" si="39"/>
        <v>629.9</v>
      </c>
      <c r="AA106" s="89">
        <f t="shared" si="39"/>
        <v>695</v>
      </c>
      <c r="AB106" s="89">
        <f t="shared" si="39"/>
        <v>659</v>
      </c>
      <c r="AC106" s="89">
        <f t="shared" si="39"/>
        <v>659</v>
      </c>
      <c r="AD106" s="89">
        <f t="shared" si="39"/>
        <v>678.2</v>
      </c>
      <c r="AE106" s="89">
        <f t="shared" si="39"/>
        <v>671.9</v>
      </c>
      <c r="AF106" s="89">
        <f t="shared" si="39"/>
        <v>682.9</v>
      </c>
      <c r="AG106" s="111"/>
      <c r="AH106" s="48">
        <f t="shared" si="29"/>
        <v>751</v>
      </c>
      <c r="AI106" s="49">
        <f t="shared" si="30"/>
        <v>629.9</v>
      </c>
    </row>
    <row r="107" spans="1:64" x14ac:dyDescent="0.25">
      <c r="A107" s="97" t="s">
        <v>107</v>
      </c>
      <c r="B107" s="89">
        <f t="shared" ref="B107:AF107" si="40">IF(B87&lt;0,B87*-1,0)</f>
        <v>0</v>
      </c>
      <c r="C107" s="89">
        <f t="shared" si="40"/>
        <v>0</v>
      </c>
      <c r="D107" s="89">
        <f t="shared" si="40"/>
        <v>0</v>
      </c>
      <c r="E107" s="89">
        <f t="shared" si="40"/>
        <v>0</v>
      </c>
      <c r="F107" s="89">
        <f t="shared" si="40"/>
        <v>0</v>
      </c>
      <c r="G107" s="89">
        <f t="shared" si="40"/>
        <v>0</v>
      </c>
      <c r="H107" s="89">
        <f t="shared" si="40"/>
        <v>0</v>
      </c>
      <c r="I107" s="89">
        <f t="shared" si="40"/>
        <v>0</v>
      </c>
      <c r="J107" s="89">
        <f t="shared" si="40"/>
        <v>0</v>
      </c>
      <c r="K107" s="89">
        <f t="shared" si="40"/>
        <v>0</v>
      </c>
      <c r="L107" s="89">
        <f t="shared" si="40"/>
        <v>0</v>
      </c>
      <c r="M107" s="89">
        <f t="shared" si="40"/>
        <v>0</v>
      </c>
      <c r="N107" s="89">
        <f t="shared" si="40"/>
        <v>0</v>
      </c>
      <c r="O107" s="89">
        <f t="shared" si="40"/>
        <v>0</v>
      </c>
      <c r="P107" s="89">
        <f t="shared" si="40"/>
        <v>0</v>
      </c>
      <c r="Q107" s="89">
        <f t="shared" si="40"/>
        <v>0</v>
      </c>
      <c r="R107" s="89">
        <f t="shared" si="40"/>
        <v>0</v>
      </c>
      <c r="S107" s="89">
        <f t="shared" si="40"/>
        <v>0</v>
      </c>
      <c r="T107" s="89">
        <f t="shared" si="40"/>
        <v>0</v>
      </c>
      <c r="U107" s="89">
        <f t="shared" si="40"/>
        <v>0</v>
      </c>
      <c r="V107" s="89">
        <f t="shared" si="40"/>
        <v>0</v>
      </c>
      <c r="W107" s="89">
        <f t="shared" si="40"/>
        <v>0</v>
      </c>
      <c r="X107" s="89">
        <f t="shared" si="40"/>
        <v>0</v>
      </c>
      <c r="Y107" s="89">
        <f t="shared" si="40"/>
        <v>0</v>
      </c>
      <c r="Z107" s="89">
        <f t="shared" si="40"/>
        <v>0</v>
      </c>
      <c r="AA107" s="89">
        <f t="shared" si="40"/>
        <v>0</v>
      </c>
      <c r="AB107" s="89">
        <f t="shared" si="40"/>
        <v>0</v>
      </c>
      <c r="AC107" s="89">
        <f t="shared" si="40"/>
        <v>0</v>
      </c>
      <c r="AD107" s="89">
        <f t="shared" si="40"/>
        <v>0</v>
      </c>
      <c r="AE107" s="89">
        <f t="shared" si="40"/>
        <v>0</v>
      </c>
      <c r="AF107" s="89">
        <f t="shared" si="40"/>
        <v>0</v>
      </c>
      <c r="AG107" s="111"/>
      <c r="AH107" s="48">
        <f t="shared" ref="AH107:AH133" si="41">MAX(B107:AF107)</f>
        <v>0</v>
      </c>
      <c r="AI107" s="49">
        <f t="shared" ref="AI107:AI133" si="42">MIN(B107:AF107)</f>
        <v>0</v>
      </c>
    </row>
    <row r="108" spans="1:64" x14ac:dyDescent="0.25">
      <c r="A108" s="97" t="s">
        <v>108</v>
      </c>
      <c r="B108" s="89">
        <f t="shared" ref="B108:AF108" si="43">IF(B88&lt;0,B88*-1,0)</f>
        <v>0</v>
      </c>
      <c r="C108" s="89">
        <f t="shared" si="43"/>
        <v>0</v>
      </c>
      <c r="D108" s="89">
        <f t="shared" si="43"/>
        <v>0</v>
      </c>
      <c r="E108" s="89">
        <f t="shared" si="43"/>
        <v>0</v>
      </c>
      <c r="F108" s="89">
        <f t="shared" si="43"/>
        <v>0</v>
      </c>
      <c r="G108" s="89">
        <f t="shared" si="43"/>
        <v>0</v>
      </c>
      <c r="H108" s="89">
        <f t="shared" si="43"/>
        <v>0</v>
      </c>
      <c r="I108" s="89">
        <f t="shared" si="43"/>
        <v>0</v>
      </c>
      <c r="J108" s="89">
        <f t="shared" si="43"/>
        <v>0</v>
      </c>
      <c r="K108" s="89">
        <f t="shared" si="43"/>
        <v>0</v>
      </c>
      <c r="L108" s="89">
        <f t="shared" si="43"/>
        <v>0</v>
      </c>
      <c r="M108" s="89">
        <f t="shared" si="43"/>
        <v>0</v>
      </c>
      <c r="N108" s="89">
        <f t="shared" si="43"/>
        <v>0</v>
      </c>
      <c r="O108" s="89">
        <f t="shared" si="43"/>
        <v>0</v>
      </c>
      <c r="P108" s="89">
        <f t="shared" si="43"/>
        <v>0</v>
      </c>
      <c r="Q108" s="89">
        <f t="shared" si="43"/>
        <v>0</v>
      </c>
      <c r="R108" s="89">
        <f t="shared" si="43"/>
        <v>0</v>
      </c>
      <c r="S108" s="89">
        <f t="shared" si="43"/>
        <v>0</v>
      </c>
      <c r="T108" s="89">
        <f t="shared" si="43"/>
        <v>0</v>
      </c>
      <c r="U108" s="89">
        <f t="shared" si="43"/>
        <v>0</v>
      </c>
      <c r="V108" s="89">
        <f t="shared" si="43"/>
        <v>0</v>
      </c>
      <c r="W108" s="89">
        <f t="shared" si="43"/>
        <v>0</v>
      </c>
      <c r="X108" s="89">
        <f t="shared" si="43"/>
        <v>0</v>
      </c>
      <c r="Y108" s="89">
        <f t="shared" si="43"/>
        <v>0</v>
      </c>
      <c r="Z108" s="89">
        <f t="shared" si="43"/>
        <v>0</v>
      </c>
      <c r="AA108" s="89">
        <f t="shared" si="43"/>
        <v>0</v>
      </c>
      <c r="AB108" s="89">
        <f t="shared" si="43"/>
        <v>0</v>
      </c>
      <c r="AC108" s="89">
        <f t="shared" si="43"/>
        <v>0</v>
      </c>
      <c r="AD108" s="89">
        <f t="shared" si="43"/>
        <v>0</v>
      </c>
      <c r="AE108" s="89">
        <f t="shared" si="43"/>
        <v>0</v>
      </c>
      <c r="AF108" s="89">
        <f t="shared" si="43"/>
        <v>0</v>
      </c>
      <c r="AG108" s="111"/>
      <c r="AH108" s="48">
        <f t="shared" si="41"/>
        <v>0</v>
      </c>
      <c r="AI108" s="49">
        <f t="shared" si="42"/>
        <v>0</v>
      </c>
    </row>
    <row r="109" spans="1:64" ht="15.75" thickBot="1" x14ac:dyDescent="0.3">
      <c r="A109" s="97" t="s">
        <v>117</v>
      </c>
      <c r="B109" s="89">
        <f t="shared" ref="B109:AF109" si="44">IF(B89&lt;0,B89*-1,0)</f>
        <v>0</v>
      </c>
      <c r="C109" s="89">
        <f t="shared" si="44"/>
        <v>0</v>
      </c>
      <c r="D109" s="89">
        <f t="shared" si="44"/>
        <v>0</v>
      </c>
      <c r="E109" s="89">
        <f t="shared" si="44"/>
        <v>0</v>
      </c>
      <c r="F109" s="89">
        <f t="shared" si="44"/>
        <v>0</v>
      </c>
      <c r="G109" s="89">
        <f t="shared" si="44"/>
        <v>0</v>
      </c>
      <c r="H109" s="89">
        <f t="shared" si="44"/>
        <v>0</v>
      </c>
      <c r="I109" s="89">
        <f t="shared" si="44"/>
        <v>0</v>
      </c>
      <c r="J109" s="89">
        <f t="shared" si="44"/>
        <v>0</v>
      </c>
      <c r="K109" s="89">
        <f t="shared" si="44"/>
        <v>0</v>
      </c>
      <c r="L109" s="89">
        <f t="shared" si="44"/>
        <v>0</v>
      </c>
      <c r="M109" s="89">
        <f t="shared" si="44"/>
        <v>0</v>
      </c>
      <c r="N109" s="89">
        <f t="shared" si="44"/>
        <v>0</v>
      </c>
      <c r="O109" s="89">
        <f t="shared" si="44"/>
        <v>0</v>
      </c>
      <c r="P109" s="89">
        <f t="shared" si="44"/>
        <v>0</v>
      </c>
      <c r="Q109" s="89">
        <f t="shared" si="44"/>
        <v>0</v>
      </c>
      <c r="R109" s="89">
        <f t="shared" si="44"/>
        <v>0</v>
      </c>
      <c r="S109" s="89">
        <f t="shared" si="44"/>
        <v>0</v>
      </c>
      <c r="T109" s="89">
        <f t="shared" si="44"/>
        <v>0</v>
      </c>
      <c r="U109" s="89">
        <f t="shared" si="44"/>
        <v>0</v>
      </c>
      <c r="V109" s="89">
        <f t="shared" si="44"/>
        <v>0</v>
      </c>
      <c r="W109" s="89">
        <f t="shared" si="44"/>
        <v>0</v>
      </c>
      <c r="X109" s="89">
        <f t="shared" si="44"/>
        <v>0</v>
      </c>
      <c r="Y109" s="89">
        <f t="shared" si="44"/>
        <v>0</v>
      </c>
      <c r="Z109" s="89">
        <f t="shared" si="44"/>
        <v>0</v>
      </c>
      <c r="AA109" s="89">
        <f t="shared" si="44"/>
        <v>0</v>
      </c>
      <c r="AB109" s="89">
        <f t="shared" si="44"/>
        <v>0</v>
      </c>
      <c r="AC109" s="89">
        <f t="shared" si="44"/>
        <v>0</v>
      </c>
      <c r="AD109" s="89">
        <f t="shared" si="44"/>
        <v>0</v>
      </c>
      <c r="AE109" s="89">
        <f t="shared" si="44"/>
        <v>0</v>
      </c>
      <c r="AF109" s="89">
        <f t="shared" si="44"/>
        <v>0</v>
      </c>
      <c r="AG109" s="98"/>
      <c r="AH109" s="48">
        <f t="shared" si="41"/>
        <v>0</v>
      </c>
      <c r="AI109" s="49">
        <f t="shared" si="42"/>
        <v>0</v>
      </c>
    </row>
    <row r="110" spans="1:64" ht="15.75" thickBot="1" x14ac:dyDescent="0.3">
      <c r="A110" s="112" t="s">
        <v>130</v>
      </c>
      <c r="B110" s="71">
        <f t="shared" ref="B110:AF110" si="45">SUM(B104:B109)</f>
        <v>762.6</v>
      </c>
      <c r="C110" s="71">
        <f t="shared" si="45"/>
        <v>747.7</v>
      </c>
      <c r="D110" s="71">
        <f t="shared" si="45"/>
        <v>729.8</v>
      </c>
      <c r="E110" s="71">
        <f t="shared" si="45"/>
        <v>784</v>
      </c>
      <c r="F110" s="71">
        <f t="shared" si="45"/>
        <v>770.4</v>
      </c>
      <c r="G110" s="71">
        <f t="shared" si="45"/>
        <v>744.5</v>
      </c>
      <c r="H110" s="71">
        <f t="shared" si="45"/>
        <v>758.8</v>
      </c>
      <c r="I110" s="71">
        <f t="shared" si="45"/>
        <v>770</v>
      </c>
      <c r="J110" s="71">
        <f t="shared" si="45"/>
        <v>761</v>
      </c>
      <c r="K110" s="71">
        <f t="shared" si="45"/>
        <v>739</v>
      </c>
      <c r="L110" s="71">
        <f t="shared" si="45"/>
        <v>770</v>
      </c>
      <c r="M110" s="71">
        <f t="shared" si="45"/>
        <v>749.7</v>
      </c>
      <c r="N110" s="71">
        <f t="shared" si="45"/>
        <v>734.4</v>
      </c>
      <c r="O110" s="71">
        <f t="shared" si="45"/>
        <v>698</v>
      </c>
      <c r="P110" s="71">
        <f t="shared" si="45"/>
        <v>681</v>
      </c>
      <c r="Q110" s="71">
        <f t="shared" si="45"/>
        <v>740</v>
      </c>
      <c r="R110" s="71">
        <f t="shared" si="45"/>
        <v>737</v>
      </c>
      <c r="S110" s="71">
        <f t="shared" si="45"/>
        <v>698.5</v>
      </c>
      <c r="T110" s="71">
        <f t="shared" si="45"/>
        <v>679.9</v>
      </c>
      <c r="U110" s="71">
        <f t="shared" si="45"/>
        <v>660.9</v>
      </c>
      <c r="V110" s="71">
        <f t="shared" si="45"/>
        <v>707.5</v>
      </c>
      <c r="W110" s="71">
        <f t="shared" si="45"/>
        <v>755.8</v>
      </c>
      <c r="X110" s="71">
        <f t="shared" si="45"/>
        <v>754.8</v>
      </c>
      <c r="Y110" s="71">
        <f t="shared" si="45"/>
        <v>717</v>
      </c>
      <c r="Z110" s="71">
        <f t="shared" si="45"/>
        <v>688.1</v>
      </c>
      <c r="AA110" s="71">
        <f t="shared" si="45"/>
        <v>750</v>
      </c>
      <c r="AB110" s="71">
        <f t="shared" si="45"/>
        <v>705.4</v>
      </c>
      <c r="AC110" s="71">
        <f t="shared" si="45"/>
        <v>705.4</v>
      </c>
      <c r="AD110" s="71">
        <f t="shared" si="45"/>
        <v>727.5</v>
      </c>
      <c r="AE110" s="71">
        <f t="shared" si="45"/>
        <v>719.3</v>
      </c>
      <c r="AF110" s="71">
        <f t="shared" si="45"/>
        <v>728.4</v>
      </c>
      <c r="AG110" s="101"/>
      <c r="AH110" s="48">
        <f t="shared" si="41"/>
        <v>784</v>
      </c>
      <c r="AI110" s="49">
        <f t="shared" si="42"/>
        <v>660.9</v>
      </c>
    </row>
    <row r="111" spans="1:64" ht="15.75" thickBot="1" x14ac:dyDescent="0.3">
      <c r="A111" s="87" t="s">
        <v>131</v>
      </c>
      <c r="B111" s="71">
        <f t="shared" ref="B111:AF111" si="46">B95-B110</f>
        <v>-762.6</v>
      </c>
      <c r="C111" s="71">
        <f t="shared" si="46"/>
        <v>-747.7</v>
      </c>
      <c r="D111" s="71">
        <f t="shared" si="46"/>
        <v>-729.8</v>
      </c>
      <c r="E111" s="71">
        <f t="shared" si="46"/>
        <v>-784</v>
      </c>
      <c r="F111" s="71">
        <f t="shared" si="46"/>
        <v>-770.4</v>
      </c>
      <c r="G111" s="71">
        <f t="shared" si="46"/>
        <v>-744.5</v>
      </c>
      <c r="H111" s="71">
        <f t="shared" si="46"/>
        <v>-758.8</v>
      </c>
      <c r="I111" s="71">
        <f t="shared" si="46"/>
        <v>-770</v>
      </c>
      <c r="J111" s="71">
        <f t="shared" si="46"/>
        <v>-761</v>
      </c>
      <c r="K111" s="71">
        <f t="shared" si="46"/>
        <v>-739</v>
      </c>
      <c r="L111" s="71">
        <f t="shared" si="46"/>
        <v>-770</v>
      </c>
      <c r="M111" s="71">
        <f t="shared" si="46"/>
        <v>-749.7</v>
      </c>
      <c r="N111" s="71">
        <f t="shared" si="46"/>
        <v>-734.4</v>
      </c>
      <c r="O111" s="71">
        <f t="shared" si="46"/>
        <v>-698</v>
      </c>
      <c r="P111" s="71">
        <f t="shared" si="46"/>
        <v>-681</v>
      </c>
      <c r="Q111" s="71">
        <f t="shared" si="46"/>
        <v>-740</v>
      </c>
      <c r="R111" s="71">
        <f t="shared" si="46"/>
        <v>-737</v>
      </c>
      <c r="S111" s="71">
        <f t="shared" si="46"/>
        <v>-698.5</v>
      </c>
      <c r="T111" s="71">
        <f t="shared" si="46"/>
        <v>-679.9</v>
      </c>
      <c r="U111" s="71">
        <f t="shared" si="46"/>
        <v>-660.9</v>
      </c>
      <c r="V111" s="71">
        <f t="shared" si="46"/>
        <v>-707.5</v>
      </c>
      <c r="W111" s="71">
        <f t="shared" si="46"/>
        <v>-755.8</v>
      </c>
      <c r="X111" s="71">
        <f t="shared" si="46"/>
        <v>-754.8</v>
      </c>
      <c r="Y111" s="71">
        <f t="shared" si="46"/>
        <v>-717</v>
      </c>
      <c r="Z111" s="71">
        <f t="shared" si="46"/>
        <v>-688.1</v>
      </c>
      <c r="AA111" s="71">
        <f t="shared" si="46"/>
        <v>-750</v>
      </c>
      <c r="AB111" s="71">
        <f t="shared" si="46"/>
        <v>-705.4</v>
      </c>
      <c r="AC111" s="71">
        <f t="shared" si="46"/>
        <v>-705.4</v>
      </c>
      <c r="AD111" s="71">
        <f t="shared" si="46"/>
        <v>-727.5</v>
      </c>
      <c r="AE111" s="71">
        <f t="shared" si="46"/>
        <v>-719.3</v>
      </c>
      <c r="AF111" s="71">
        <f t="shared" si="46"/>
        <v>-728.4</v>
      </c>
      <c r="AG111" s="101"/>
      <c r="AH111" s="48">
        <f t="shared" si="41"/>
        <v>-660.9</v>
      </c>
      <c r="AI111" s="49">
        <f t="shared" si="42"/>
        <v>-784</v>
      </c>
    </row>
    <row r="112" spans="1:64" x14ac:dyDescent="0.25">
      <c r="A112" s="113" t="s">
        <v>132</v>
      </c>
      <c r="B112" s="114">
        <v>50.042000000000002</v>
      </c>
      <c r="C112" s="114">
        <v>50.05</v>
      </c>
      <c r="D112" s="114">
        <v>50.027000000000001</v>
      </c>
      <c r="E112" s="114">
        <v>50.024000000000001</v>
      </c>
      <c r="F112" s="114">
        <v>50.02</v>
      </c>
      <c r="G112" s="114">
        <v>50.038499999999999</v>
      </c>
      <c r="H112" s="114">
        <v>50.036999999999999</v>
      </c>
      <c r="I112" s="114">
        <v>50.029000000000003</v>
      </c>
      <c r="J112" s="114">
        <v>50</v>
      </c>
      <c r="K112" s="114">
        <v>50.029000000000003</v>
      </c>
      <c r="L112" s="114">
        <v>49.9</v>
      </c>
      <c r="M112" s="114">
        <v>49.99</v>
      </c>
      <c r="N112" s="114">
        <v>50.043999999999997</v>
      </c>
      <c r="O112" s="114">
        <v>50.052</v>
      </c>
      <c r="P112" s="114">
        <v>49.966999999999999</v>
      </c>
      <c r="Q112" s="114">
        <v>50.054000000000002</v>
      </c>
      <c r="R112" s="114">
        <v>50.014000000000003</v>
      </c>
      <c r="S112" s="114">
        <v>49.997</v>
      </c>
      <c r="T112" s="114">
        <v>49.927</v>
      </c>
      <c r="U112" s="114">
        <v>49.792000000000002</v>
      </c>
      <c r="V112" s="114">
        <v>49.954000000000001</v>
      </c>
      <c r="W112" s="114">
        <v>50</v>
      </c>
      <c r="X112" s="114">
        <v>50.066000000000003</v>
      </c>
      <c r="Y112" s="114">
        <v>50.03</v>
      </c>
      <c r="Z112" s="114">
        <v>50.064</v>
      </c>
      <c r="AA112" s="114">
        <v>50.061999999999998</v>
      </c>
      <c r="AB112" s="114">
        <v>50.057000000000002</v>
      </c>
      <c r="AC112" s="114">
        <v>50.057000000000002</v>
      </c>
      <c r="AD112" s="114">
        <v>50.04</v>
      </c>
      <c r="AE112" s="114">
        <v>49.97</v>
      </c>
      <c r="AF112" s="114">
        <v>49.97</v>
      </c>
      <c r="AG112" s="115"/>
      <c r="AH112" s="48">
        <f t="shared" si="41"/>
        <v>50.066000000000003</v>
      </c>
      <c r="AI112" s="49">
        <f t="shared" si="42"/>
        <v>49.792000000000002</v>
      </c>
    </row>
    <row r="113" spans="1:35" x14ac:dyDescent="0.25">
      <c r="A113" s="116" t="s">
        <v>133</v>
      </c>
      <c r="B113" s="76">
        <v>126.5</v>
      </c>
      <c r="C113" s="76">
        <v>126.3</v>
      </c>
      <c r="D113" s="76">
        <v>128</v>
      </c>
      <c r="E113" s="76">
        <v>128</v>
      </c>
      <c r="F113" s="76">
        <v>130</v>
      </c>
      <c r="G113" s="76">
        <v>130</v>
      </c>
      <c r="H113" s="76">
        <v>130</v>
      </c>
      <c r="I113" s="76">
        <v>126.9</v>
      </c>
      <c r="J113" s="76">
        <v>125.5</v>
      </c>
      <c r="K113" s="76">
        <v>125.5</v>
      </c>
      <c r="L113" s="76">
        <v>125.5</v>
      </c>
      <c r="M113" s="76">
        <v>125.4</v>
      </c>
      <c r="N113" s="76">
        <v>124.2</v>
      </c>
      <c r="O113" s="76">
        <v>122.9</v>
      </c>
      <c r="P113" s="76">
        <v>123.1</v>
      </c>
      <c r="Q113" s="76">
        <v>124.4</v>
      </c>
      <c r="R113" s="76">
        <v>126.2</v>
      </c>
      <c r="S113" s="76">
        <v>124.4</v>
      </c>
      <c r="T113" s="76">
        <v>124.3</v>
      </c>
      <c r="U113" s="76">
        <v>123.7</v>
      </c>
      <c r="V113" s="76">
        <v>125.3</v>
      </c>
      <c r="W113" s="76">
        <v>124.6</v>
      </c>
      <c r="X113" s="76"/>
      <c r="Y113" s="76">
        <v>125.8</v>
      </c>
      <c r="Z113" s="76">
        <v>125.3</v>
      </c>
      <c r="AA113" s="76">
        <v>123</v>
      </c>
      <c r="AB113" s="76">
        <v>123.5</v>
      </c>
      <c r="AC113" s="76">
        <v>123.5</v>
      </c>
      <c r="AD113" s="76">
        <v>124.1</v>
      </c>
      <c r="AE113" s="76">
        <v>126</v>
      </c>
      <c r="AF113" s="76">
        <v>127.6</v>
      </c>
      <c r="AG113" s="117"/>
      <c r="AH113" s="48">
        <f t="shared" si="41"/>
        <v>130</v>
      </c>
      <c r="AI113" s="49">
        <f t="shared" si="42"/>
        <v>122.9</v>
      </c>
    </row>
    <row r="114" spans="1:35" x14ac:dyDescent="0.25">
      <c r="A114" s="116" t="s">
        <v>134</v>
      </c>
      <c r="B114" s="76">
        <v>129.80000000000001</v>
      </c>
      <c r="C114" s="76">
        <v>129.69999999999999</v>
      </c>
      <c r="D114" s="76">
        <v>131.4</v>
      </c>
      <c r="E114" s="76">
        <v>131.4</v>
      </c>
      <c r="F114" s="76">
        <v>133</v>
      </c>
      <c r="G114" s="76">
        <v>133</v>
      </c>
      <c r="H114" s="76">
        <v>133</v>
      </c>
      <c r="I114" s="76">
        <v>130</v>
      </c>
      <c r="J114" s="76">
        <v>128</v>
      </c>
      <c r="K114" s="76">
        <v>128</v>
      </c>
      <c r="L114" s="76">
        <v>128</v>
      </c>
      <c r="M114" s="76">
        <v>128</v>
      </c>
      <c r="N114" s="76">
        <v>128.6</v>
      </c>
      <c r="O114" s="76">
        <v>126.2</v>
      </c>
      <c r="P114" s="76">
        <v>125.7</v>
      </c>
      <c r="Q114" s="76">
        <v>127.5</v>
      </c>
      <c r="R114" s="76">
        <v>128.4</v>
      </c>
      <c r="S114" s="76">
        <v>127.1</v>
      </c>
      <c r="T114" s="76">
        <v>127.4</v>
      </c>
      <c r="U114" s="76">
        <v>127.3</v>
      </c>
      <c r="V114" s="76">
        <v>128.5</v>
      </c>
      <c r="W114" s="76">
        <v>127.8</v>
      </c>
      <c r="X114" s="76">
        <v>128.4</v>
      </c>
      <c r="Y114" s="76">
        <v>128</v>
      </c>
      <c r="Z114" s="76">
        <v>127.4</v>
      </c>
      <c r="AA114" s="76">
        <v>126.1</v>
      </c>
      <c r="AB114" s="76">
        <v>126.8</v>
      </c>
      <c r="AC114" s="76">
        <v>126.8</v>
      </c>
      <c r="AD114" s="76">
        <v>127.7</v>
      </c>
      <c r="AE114" s="76">
        <v>130</v>
      </c>
      <c r="AF114" s="76">
        <v>131.19999999999999</v>
      </c>
      <c r="AG114" s="117"/>
      <c r="AH114" s="48">
        <f t="shared" si="41"/>
        <v>133</v>
      </c>
      <c r="AI114" s="49">
        <f t="shared" si="42"/>
        <v>125.7</v>
      </c>
    </row>
    <row r="115" spans="1:35" x14ac:dyDescent="0.25">
      <c r="A115" s="116" t="s">
        <v>135</v>
      </c>
      <c r="B115" s="76">
        <v>130.6</v>
      </c>
      <c r="C115" s="76">
        <v>130.1</v>
      </c>
      <c r="D115" s="76">
        <v>130.9</v>
      </c>
      <c r="E115" s="76">
        <v>130.9</v>
      </c>
      <c r="F115" s="76">
        <v>130.9</v>
      </c>
      <c r="G115" s="76">
        <v>130.9</v>
      </c>
      <c r="H115" s="76">
        <v>130.9</v>
      </c>
      <c r="I115" s="76">
        <v>130.69999999999999</v>
      </c>
      <c r="J115" s="76">
        <v>129</v>
      </c>
      <c r="K115" s="76">
        <v>129</v>
      </c>
      <c r="L115" s="76">
        <v>129</v>
      </c>
      <c r="M115" s="76">
        <v>128.69999999999999</v>
      </c>
      <c r="N115" s="76">
        <v>128.19999999999999</v>
      </c>
      <c r="O115" s="76">
        <v>128.69999999999999</v>
      </c>
      <c r="P115" s="76">
        <v>128</v>
      </c>
      <c r="Q115" s="76">
        <v>128.69999999999999</v>
      </c>
      <c r="R115" s="76">
        <v>130.1</v>
      </c>
      <c r="S115" s="76">
        <v>130</v>
      </c>
      <c r="T115" s="76">
        <v>129.69999999999999</v>
      </c>
      <c r="U115" s="76">
        <v>129.6</v>
      </c>
      <c r="V115" s="76">
        <v>130.4</v>
      </c>
      <c r="W115" s="76">
        <v>129.6</v>
      </c>
      <c r="X115" s="76">
        <v>130</v>
      </c>
      <c r="Y115" s="76">
        <v>130.19999999999999</v>
      </c>
      <c r="Z115" s="76">
        <v>130.5</v>
      </c>
      <c r="AA115" s="76">
        <v>128.5</v>
      </c>
      <c r="AB115" s="76">
        <v>129.69999999999999</v>
      </c>
      <c r="AC115" s="76">
        <v>129.69999999999999</v>
      </c>
      <c r="AD115" s="76">
        <v>128.19999999999999</v>
      </c>
      <c r="AE115" s="76">
        <v>128.19999999999999</v>
      </c>
      <c r="AF115" s="76">
        <v>128.1</v>
      </c>
      <c r="AG115" s="117"/>
      <c r="AH115" s="48">
        <f t="shared" si="41"/>
        <v>130.9</v>
      </c>
      <c r="AI115" s="49">
        <f t="shared" si="42"/>
        <v>128</v>
      </c>
    </row>
    <row r="116" spans="1:35" x14ac:dyDescent="0.25">
      <c r="A116" s="118" t="s">
        <v>136</v>
      </c>
      <c r="B116" s="76">
        <v>133.4</v>
      </c>
      <c r="C116" s="76">
        <v>131.4</v>
      </c>
      <c r="D116" s="76">
        <v>132.80000000000001</v>
      </c>
      <c r="E116" s="76">
        <v>132.80000000000001</v>
      </c>
      <c r="F116" s="76">
        <v>132.80000000000001</v>
      </c>
      <c r="G116" s="76">
        <v>132.80000000000001</v>
      </c>
      <c r="H116" s="76">
        <v>132.80000000000001</v>
      </c>
      <c r="I116" s="76">
        <v>133</v>
      </c>
      <c r="J116" s="76">
        <v>131</v>
      </c>
      <c r="K116" s="76">
        <v>131</v>
      </c>
      <c r="L116" s="76">
        <v>131</v>
      </c>
      <c r="M116" s="76">
        <v>130.9</v>
      </c>
      <c r="N116" s="76">
        <v>129.19999999999999</v>
      </c>
      <c r="O116" s="76">
        <v>129.69999999999999</v>
      </c>
      <c r="P116" s="76">
        <v>130.1</v>
      </c>
      <c r="Q116" s="76">
        <v>130.9</v>
      </c>
      <c r="R116" s="76">
        <v>132.69999999999999</v>
      </c>
      <c r="S116" s="76">
        <v>132.4</v>
      </c>
      <c r="T116" s="76">
        <v>131.30000000000001</v>
      </c>
      <c r="U116" s="76">
        <v>131.19999999999999</v>
      </c>
      <c r="V116" s="76">
        <v>131.9</v>
      </c>
      <c r="W116" s="76">
        <v>132.1</v>
      </c>
      <c r="X116" s="76">
        <v>132.80000000000001</v>
      </c>
      <c r="Y116" s="76">
        <v>132.6</v>
      </c>
      <c r="Z116" s="76">
        <v>132</v>
      </c>
      <c r="AA116" s="76">
        <v>130.4</v>
      </c>
      <c r="AB116" s="76">
        <v>131.6</v>
      </c>
      <c r="AC116" s="76">
        <v>131.6</v>
      </c>
      <c r="AD116" s="76">
        <v>130.6</v>
      </c>
      <c r="AE116" s="76">
        <v>130.80000000000001</v>
      </c>
      <c r="AF116" s="76">
        <v>131</v>
      </c>
      <c r="AG116" s="117"/>
      <c r="AH116" s="48">
        <f t="shared" si="41"/>
        <v>133.4</v>
      </c>
      <c r="AI116" s="49">
        <f t="shared" si="42"/>
        <v>129.19999999999999</v>
      </c>
    </row>
    <row r="117" spans="1:35" x14ac:dyDescent="0.25">
      <c r="A117" s="118" t="s">
        <v>137</v>
      </c>
      <c r="B117" s="119">
        <v>135.80000000000001</v>
      </c>
      <c r="C117" s="119">
        <v>134.9</v>
      </c>
      <c r="D117" s="119">
        <v>135.80000000000001</v>
      </c>
      <c r="E117" s="119">
        <v>135.80000000000001</v>
      </c>
      <c r="F117" s="119">
        <v>135.80000000000001</v>
      </c>
      <c r="G117" s="119">
        <v>135.80000000000001</v>
      </c>
      <c r="H117" s="119">
        <v>135.80000000000001</v>
      </c>
      <c r="I117" s="119">
        <v>130.6</v>
      </c>
      <c r="J117" s="119">
        <v>133.69999999999999</v>
      </c>
      <c r="K117" s="119">
        <v>133.69999999999999</v>
      </c>
      <c r="L117" s="119">
        <v>133.69999999999999</v>
      </c>
      <c r="M117" s="119">
        <v>135</v>
      </c>
      <c r="N117" s="119">
        <v>132.69999999999999</v>
      </c>
      <c r="O117" s="119">
        <v>130.6</v>
      </c>
      <c r="P117" s="119">
        <v>132.9</v>
      </c>
      <c r="Q117" s="119">
        <v>136.4</v>
      </c>
      <c r="R117" s="119">
        <v>135.30000000000001</v>
      </c>
      <c r="S117" s="119">
        <v>131.1</v>
      </c>
      <c r="T117" s="119">
        <v>131.19999999999999</v>
      </c>
      <c r="U117" s="119">
        <v>131.4</v>
      </c>
      <c r="V117" s="119">
        <v>135.19999999999999</v>
      </c>
      <c r="W117" s="119">
        <v>134.4</v>
      </c>
      <c r="X117" s="119">
        <v>134</v>
      </c>
      <c r="Y117" s="119">
        <v>131.9</v>
      </c>
      <c r="Z117" s="119">
        <v>135.30000000000001</v>
      </c>
      <c r="AA117" s="119">
        <v>134.5</v>
      </c>
      <c r="AB117" s="119">
        <v>133.4</v>
      </c>
      <c r="AC117" s="119">
        <v>133.4</v>
      </c>
      <c r="AD117" s="119">
        <v>132.69999999999999</v>
      </c>
      <c r="AE117" s="119">
        <v>135.30000000000001</v>
      </c>
      <c r="AF117" s="119">
        <v>133.80000000000001</v>
      </c>
      <c r="AG117" s="120"/>
      <c r="AH117" s="48">
        <f t="shared" si="41"/>
        <v>136.4</v>
      </c>
      <c r="AI117" s="49">
        <f t="shared" si="42"/>
        <v>130.6</v>
      </c>
    </row>
    <row r="118" spans="1:35" x14ac:dyDescent="0.25">
      <c r="A118" s="116" t="s">
        <v>138</v>
      </c>
      <c r="B118" s="76">
        <v>131.80000000000001</v>
      </c>
      <c r="C118" s="76">
        <v>128.69999999999999</v>
      </c>
      <c r="D118" s="76">
        <v>127.4</v>
      </c>
      <c r="E118" s="76">
        <v>127.4</v>
      </c>
      <c r="F118" s="76">
        <v>127.4</v>
      </c>
      <c r="G118" s="76">
        <v>127.4</v>
      </c>
      <c r="H118" s="76">
        <v>127.4</v>
      </c>
      <c r="I118" s="76">
        <v>125.9</v>
      </c>
      <c r="J118" s="76">
        <v>132</v>
      </c>
      <c r="K118" s="76">
        <v>132</v>
      </c>
      <c r="L118" s="76">
        <v>132</v>
      </c>
      <c r="M118" s="76">
        <v>133.80000000000001</v>
      </c>
      <c r="N118" s="76">
        <v>130.1</v>
      </c>
      <c r="O118" s="76">
        <v>131</v>
      </c>
      <c r="P118" s="76">
        <v>129.6</v>
      </c>
      <c r="Q118" s="76">
        <v>132.6</v>
      </c>
      <c r="R118" s="76">
        <v>133.69999999999999</v>
      </c>
      <c r="S118" s="76">
        <v>129.1</v>
      </c>
      <c r="T118" s="76">
        <v>130.69999999999999</v>
      </c>
      <c r="U118" s="76">
        <v>132.80000000000001</v>
      </c>
      <c r="V118" s="76">
        <v>128.9</v>
      </c>
      <c r="W118" s="76">
        <v>127.7</v>
      </c>
      <c r="X118" s="76">
        <v>133.6</v>
      </c>
      <c r="Y118" s="76">
        <v>128</v>
      </c>
      <c r="Z118" s="76">
        <v>133.4</v>
      </c>
      <c r="AA118" s="76">
        <v>131.4</v>
      </c>
      <c r="AB118" s="76">
        <v>130.19999999999999</v>
      </c>
      <c r="AC118" s="76">
        <v>130.19999999999999</v>
      </c>
      <c r="AD118" s="76">
        <v>126.8</v>
      </c>
      <c r="AE118" s="76">
        <v>129.1</v>
      </c>
      <c r="AF118" s="76">
        <v>125.1</v>
      </c>
      <c r="AG118" s="117"/>
      <c r="AH118" s="48">
        <f t="shared" si="41"/>
        <v>133.80000000000001</v>
      </c>
      <c r="AI118" s="49">
        <f t="shared" si="42"/>
        <v>125.1</v>
      </c>
    </row>
    <row r="119" spans="1:35" ht="15.75" thickBot="1" x14ac:dyDescent="0.3">
      <c r="A119" s="116" t="s">
        <v>139</v>
      </c>
      <c r="B119" s="105">
        <v>65.599999999999994</v>
      </c>
      <c r="C119" s="105">
        <v>65.400000000000006</v>
      </c>
      <c r="D119" s="105">
        <v>66.2</v>
      </c>
      <c r="E119" s="105">
        <v>66.2</v>
      </c>
      <c r="F119" s="105">
        <v>66.2</v>
      </c>
      <c r="G119" s="105">
        <v>66.2</v>
      </c>
      <c r="H119" s="105">
        <v>66.2</v>
      </c>
      <c r="I119" s="105">
        <v>65.5</v>
      </c>
      <c r="J119" s="105">
        <v>64.400000000000006</v>
      </c>
      <c r="K119" s="105">
        <v>64.400000000000006</v>
      </c>
      <c r="L119" s="105">
        <v>64.400000000000006</v>
      </c>
      <c r="M119" s="105">
        <v>64.2</v>
      </c>
      <c r="N119" s="105">
        <v>63.7</v>
      </c>
      <c r="O119" s="105">
        <v>63</v>
      </c>
      <c r="P119" s="105">
        <v>63.1</v>
      </c>
      <c r="Q119" s="105">
        <v>64</v>
      </c>
      <c r="R119" s="105">
        <v>64.599999999999994</v>
      </c>
      <c r="S119" s="105">
        <v>63.8</v>
      </c>
      <c r="T119" s="105">
        <v>64.099999999999994</v>
      </c>
      <c r="U119" s="105">
        <v>64</v>
      </c>
      <c r="V119" s="105">
        <v>64.7</v>
      </c>
      <c r="W119" s="105">
        <v>64.099999999999994</v>
      </c>
      <c r="X119" s="105">
        <v>64.7</v>
      </c>
      <c r="Y119" s="105">
        <v>64.5</v>
      </c>
      <c r="Z119" s="105">
        <v>64</v>
      </c>
      <c r="AA119" s="105">
        <v>63.6</v>
      </c>
      <c r="AB119" s="105">
        <v>63.8</v>
      </c>
      <c r="AC119" s="105">
        <v>63.8</v>
      </c>
      <c r="AD119" s="105">
        <v>64.3</v>
      </c>
      <c r="AE119" s="105">
        <v>65.5</v>
      </c>
      <c r="AF119" s="105">
        <v>66.3</v>
      </c>
      <c r="AG119" s="121"/>
      <c r="AH119" s="48">
        <f t="shared" si="41"/>
        <v>66.3</v>
      </c>
      <c r="AI119" s="49">
        <f t="shared" si="42"/>
        <v>63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1"/>
        <v>0</v>
      </c>
      <c r="AI120" s="49">
        <f t="shared" si="42"/>
        <v>0</v>
      </c>
    </row>
    <row r="121" spans="1:35" ht="15.75" thickBot="1" x14ac:dyDescent="0.3">
      <c r="A121" s="123" t="s">
        <v>141</v>
      </c>
      <c r="B121" s="124">
        <f t="shared" ref="B121:O121" si="47">SUM(B25,B31,B34:B35,B69,B71:B72,B74,B76,B122:B126,B158,B164,B170,B179,B181,B193,B200,B203:B204,B211,B213,B215,B219:B221,B223:B225,B230,B236:B237,B239:B241,B249,B254)</f>
        <v>61.940000000000012</v>
      </c>
      <c r="C121" s="124">
        <f t="shared" si="47"/>
        <v>53.54</v>
      </c>
      <c r="D121" s="124">
        <f t="shared" si="47"/>
        <v>81.239999999999995</v>
      </c>
      <c r="E121" s="124">
        <f t="shared" si="47"/>
        <v>46.540000000000006</v>
      </c>
      <c r="F121" s="124">
        <f t="shared" si="47"/>
        <v>65.739999999999995</v>
      </c>
      <c r="G121" s="124">
        <f t="shared" si="47"/>
        <v>79.440000000000012</v>
      </c>
      <c r="H121" s="124">
        <f t="shared" si="47"/>
        <v>80.340000000000018</v>
      </c>
      <c r="I121" s="124">
        <f t="shared" si="47"/>
        <v>123.24</v>
      </c>
      <c r="J121" s="124">
        <f t="shared" si="47"/>
        <v>155.94</v>
      </c>
      <c r="K121" s="124">
        <f t="shared" si="47"/>
        <v>151.63999999999999</v>
      </c>
      <c r="L121" s="124">
        <f t="shared" si="47"/>
        <v>181.84</v>
      </c>
      <c r="M121" s="124">
        <f t="shared" si="47"/>
        <v>178.33999999999997</v>
      </c>
      <c r="N121" s="124">
        <f t="shared" si="47"/>
        <v>174.54000000000002</v>
      </c>
      <c r="O121" s="124">
        <f t="shared" si="47"/>
        <v>203.94</v>
      </c>
      <c r="P121" s="124">
        <v>42</v>
      </c>
      <c r="Q121" s="124">
        <f t="shared" ref="Q121:X121" si="48">SUM(Q25,Q31,Q34:Q35,Q69,Q71:Q72,Q74,Q76,Q122:Q126,Q158,Q164,Q170,Q179,Q181,Q193,Q200,Q203:Q204,Q211,Q213,Q215,Q219:Q221,Q223:Q225,Q230,Q236:Q237,Q239:Q241,Q249,Q254)</f>
        <v>209.83999999999997</v>
      </c>
      <c r="R121" s="124">
        <f t="shared" si="48"/>
        <v>191.24</v>
      </c>
      <c r="S121" s="124">
        <f t="shared" si="48"/>
        <v>190.64</v>
      </c>
      <c r="T121" s="124">
        <f t="shared" si="48"/>
        <v>189.93999999999997</v>
      </c>
      <c r="U121" s="124">
        <f t="shared" si="48"/>
        <v>191.44</v>
      </c>
      <c r="V121" s="124">
        <f t="shared" si="48"/>
        <v>187.14</v>
      </c>
      <c r="W121" s="124">
        <f t="shared" si="48"/>
        <v>195.23999999999998</v>
      </c>
      <c r="X121" s="124">
        <f t="shared" si="48"/>
        <v>186.64000000000004</v>
      </c>
      <c r="Y121" s="124">
        <f>SUM(Y23,Y29,Y40:Y41,Y69,Y71:Y72,Y74,Y76,Y122:Y126,Y151,Y157,Y163,Y172,Y174,Y186,Y193,Y196:Y197,Y204,Y206,Y208,Y212:Y214,Y216:Y218,Y223,Y229:Y230,Y232:Y234,Y242,Y247)</f>
        <v>252.20000000000005</v>
      </c>
      <c r="Z121" s="124">
        <f>SUM(Z23,Z29,Z40:Z41,Z69,Z71:Z72,Z74,Z76,Z122:Z126,Z151,Z157,Z163,Z172,Z174,Z186,Z193,Z196:Z197,Z204,Z206,Z208,Z212:Z214,Z216:Z218,Z223,Z229:Z230,Z232:Z234,Z242,Z247)</f>
        <v>284.30000000000007</v>
      </c>
      <c r="AA121" s="124">
        <f t="shared" ref="AA121:AF121" si="49">SUM(AA25,AA31,AA34:AA35,AA69,AA71:AA72,AA74,AA76,AA122:AA126,AA158,AA164,AA170,AA179,AA181,AA193,AA200,AA203:AA204,AA211,AA213,AA215,AA219:AA221,AA223:AA225,AA230,AA236:AA237,AA239:AA241,AA249,AA254)</f>
        <v>239.94000000000003</v>
      </c>
      <c r="AB121" s="124">
        <f t="shared" si="49"/>
        <v>245.94</v>
      </c>
      <c r="AC121" s="124">
        <f t="shared" si="49"/>
        <v>245.94</v>
      </c>
      <c r="AD121" s="124">
        <f t="shared" si="49"/>
        <v>176.24</v>
      </c>
      <c r="AE121" s="124">
        <f t="shared" si="49"/>
        <v>122.04000000000002</v>
      </c>
      <c r="AF121" s="124">
        <f t="shared" si="49"/>
        <v>73.640000000000015</v>
      </c>
      <c r="AG121" s="125"/>
      <c r="AH121" s="48">
        <f t="shared" si="41"/>
        <v>284.30000000000007</v>
      </c>
      <c r="AI121" s="49">
        <f t="shared" si="42"/>
        <v>42</v>
      </c>
    </row>
    <row r="122" spans="1:35" x14ac:dyDescent="0.25">
      <c r="A122" s="126" t="s">
        <v>142</v>
      </c>
      <c r="B122" s="127">
        <v>35.9</v>
      </c>
      <c r="C122" s="127">
        <v>19</v>
      </c>
      <c r="D122" s="127">
        <v>31.3</v>
      </c>
      <c r="E122" s="127">
        <v>29.4</v>
      </c>
      <c r="F122" s="127">
        <v>20.2</v>
      </c>
      <c r="G122" s="127">
        <v>20</v>
      </c>
      <c r="H122" s="127">
        <v>20</v>
      </c>
      <c r="I122" s="127">
        <v>24.2</v>
      </c>
      <c r="J122" s="127">
        <v>44.5</v>
      </c>
      <c r="K122" s="127">
        <v>34.5</v>
      </c>
      <c r="L122" s="127">
        <v>49</v>
      </c>
      <c r="M122" s="127">
        <v>39.200000000000003</v>
      </c>
      <c r="N122" s="127">
        <v>53</v>
      </c>
      <c r="O122" s="127">
        <v>35.9</v>
      </c>
      <c r="P122" s="127">
        <v>44.2</v>
      </c>
      <c r="Q122" s="127">
        <v>44.9</v>
      </c>
      <c r="R122" s="127">
        <v>40.700000000000003</v>
      </c>
      <c r="S122" s="127">
        <v>26.4</v>
      </c>
      <c r="T122" s="127">
        <v>51.3</v>
      </c>
      <c r="U122" s="127">
        <v>54</v>
      </c>
      <c r="V122" s="127">
        <v>38.200000000000003</v>
      </c>
      <c r="W122" s="127">
        <v>60.8</v>
      </c>
      <c r="X122" s="127">
        <v>61.8</v>
      </c>
      <c r="Y122" s="127">
        <v>47.4</v>
      </c>
      <c r="Z122" s="127">
        <v>67.7</v>
      </c>
      <c r="AA122" s="127">
        <v>80.3</v>
      </c>
      <c r="AB122" s="127">
        <v>76.3</v>
      </c>
      <c r="AC122" s="127">
        <v>76.3</v>
      </c>
      <c r="AD122" s="127">
        <v>67</v>
      </c>
      <c r="AE122" s="127">
        <v>49.7</v>
      </c>
      <c r="AF122" s="127">
        <v>44.7</v>
      </c>
      <c r="AG122" s="128">
        <v>75</v>
      </c>
      <c r="AH122" s="48">
        <f t="shared" si="41"/>
        <v>80.3</v>
      </c>
      <c r="AI122" s="49">
        <f t="shared" si="42"/>
        <v>19</v>
      </c>
    </row>
    <row r="123" spans="1:35" x14ac:dyDescent="0.25">
      <c r="A123" s="129" t="s">
        <v>143</v>
      </c>
      <c r="B123" s="130">
        <v>59.1</v>
      </c>
      <c r="C123" s="130">
        <v>37.700000000000003</v>
      </c>
      <c r="D123" s="130">
        <v>53.5</v>
      </c>
      <c r="E123" s="130">
        <v>48</v>
      </c>
      <c r="F123" s="130">
        <v>34.4</v>
      </c>
      <c r="G123" s="130">
        <v>34.9</v>
      </c>
      <c r="H123" s="130">
        <v>34.9</v>
      </c>
      <c r="I123" s="130">
        <v>38.5</v>
      </c>
      <c r="J123" s="130">
        <v>65.400000000000006</v>
      </c>
      <c r="K123" s="130">
        <v>52.5</v>
      </c>
      <c r="L123" s="130">
        <v>72.5</v>
      </c>
      <c r="M123" s="130">
        <v>57.9</v>
      </c>
      <c r="N123" s="130">
        <v>78</v>
      </c>
      <c r="O123" s="130">
        <v>57.8</v>
      </c>
      <c r="P123" s="130">
        <v>68.099999999999994</v>
      </c>
      <c r="Q123" s="130">
        <v>70.099999999999994</v>
      </c>
      <c r="R123" s="130">
        <v>62.1</v>
      </c>
      <c r="S123" s="130">
        <v>43.1</v>
      </c>
      <c r="T123" s="130">
        <v>77.3</v>
      </c>
      <c r="U123" s="130">
        <v>81</v>
      </c>
      <c r="V123" s="130">
        <v>60.2</v>
      </c>
      <c r="W123" s="130">
        <v>87.3</v>
      </c>
      <c r="X123" s="130">
        <v>88.3</v>
      </c>
      <c r="Y123" s="130">
        <v>65.8</v>
      </c>
      <c r="Z123" s="130">
        <v>94.8</v>
      </c>
      <c r="AA123" s="130">
        <v>117</v>
      </c>
      <c r="AB123" s="130">
        <v>111</v>
      </c>
      <c r="AC123" s="130">
        <v>111</v>
      </c>
      <c r="AD123" s="130">
        <v>98.8</v>
      </c>
      <c r="AE123" s="130">
        <v>76</v>
      </c>
      <c r="AF123" s="130">
        <v>68.099999999999994</v>
      </c>
      <c r="AG123" s="128">
        <v>240</v>
      </c>
      <c r="AH123" s="48">
        <f t="shared" si="41"/>
        <v>117</v>
      </c>
      <c r="AI123" s="49">
        <f t="shared" si="42"/>
        <v>34.4</v>
      </c>
    </row>
    <row r="124" spans="1:35" x14ac:dyDescent="0.25">
      <c r="A124" s="129" t="s">
        <v>144</v>
      </c>
      <c r="B124" s="130">
        <v>-185</v>
      </c>
      <c r="C124" s="130">
        <v>-158</v>
      </c>
      <c r="D124" s="130">
        <v>-160</v>
      </c>
      <c r="E124" s="130">
        <v>-160</v>
      </c>
      <c r="F124" s="130">
        <v>-115</v>
      </c>
      <c r="G124" s="130">
        <v>-107</v>
      </c>
      <c r="H124" s="130">
        <v>-107</v>
      </c>
      <c r="I124" s="130">
        <v>-111</v>
      </c>
      <c r="J124" s="130">
        <v>-127</v>
      </c>
      <c r="K124" s="130">
        <v>-120</v>
      </c>
      <c r="L124" s="130">
        <v>-129</v>
      </c>
      <c r="M124" s="130">
        <f>-56.2-60</f>
        <v>-116.2</v>
      </c>
      <c r="N124" s="130">
        <f>-68-71</f>
        <v>-139</v>
      </c>
      <c r="O124" s="130">
        <f>-59-62</f>
        <v>-121</v>
      </c>
      <c r="P124" s="130">
        <f>-48-51.5</f>
        <v>-99.5</v>
      </c>
      <c r="Q124" s="130">
        <f>-60-62.9</f>
        <v>-122.9</v>
      </c>
      <c r="R124" s="130">
        <f>-56.2-60.3</f>
        <v>-116.5</v>
      </c>
      <c r="S124" s="130">
        <v>-103</v>
      </c>
      <c r="T124" s="130">
        <v>-135</v>
      </c>
      <c r="U124" s="130">
        <v>-134</v>
      </c>
      <c r="V124" s="130">
        <v>-120.5</v>
      </c>
      <c r="W124" s="130">
        <v>-136</v>
      </c>
      <c r="X124" s="130">
        <v>-125</v>
      </c>
      <c r="Y124" s="130">
        <v>-104</v>
      </c>
      <c r="Z124" s="130">
        <v>-115</v>
      </c>
      <c r="AA124" s="130">
        <v>-145</v>
      </c>
      <c r="AB124" s="130">
        <v>-145</v>
      </c>
      <c r="AC124" s="130">
        <v>-145</v>
      </c>
      <c r="AD124" s="130">
        <v>-161.19999999999999</v>
      </c>
      <c r="AE124" s="130">
        <v>-161</v>
      </c>
      <c r="AF124" s="130">
        <v>-136.9</v>
      </c>
      <c r="AG124" s="128">
        <v>240</v>
      </c>
      <c r="AH124" s="48">
        <f t="shared" si="41"/>
        <v>-99.5</v>
      </c>
      <c r="AI124" s="49">
        <f t="shared" si="42"/>
        <v>-185</v>
      </c>
    </row>
    <row r="125" spans="1:35" ht="15.75" thickBot="1" x14ac:dyDescent="0.3">
      <c r="A125" s="129" t="s">
        <v>145</v>
      </c>
      <c r="B125" s="130">
        <v>-14.3</v>
      </c>
      <c r="C125" s="130">
        <v>-11.4</v>
      </c>
      <c r="D125" s="130">
        <v>-9.8000000000000007</v>
      </c>
      <c r="E125" s="130">
        <v>-14.7</v>
      </c>
      <c r="F125" s="130">
        <v>-7.7</v>
      </c>
      <c r="G125" s="130">
        <v>-5.3</v>
      </c>
      <c r="H125" s="130">
        <v>-5.3</v>
      </c>
      <c r="I125" s="130">
        <v>-3.6</v>
      </c>
      <c r="J125" s="130">
        <v>-4.4000000000000004</v>
      </c>
      <c r="K125" s="130">
        <v>-1.9</v>
      </c>
      <c r="L125" s="130">
        <v>-2.2000000000000002</v>
      </c>
      <c r="M125" s="130">
        <v>1.8</v>
      </c>
      <c r="N125" s="130">
        <v>-2.6</v>
      </c>
      <c r="O125" s="130">
        <v>0</v>
      </c>
      <c r="P125" s="130">
        <v>2.5</v>
      </c>
      <c r="Q125" s="130">
        <v>2</v>
      </c>
      <c r="R125" s="130">
        <v>4</v>
      </c>
      <c r="S125" s="130">
        <v>4.5999999999999996</v>
      </c>
      <c r="T125" s="130">
        <v>3.2</v>
      </c>
      <c r="U125" s="130">
        <v>5</v>
      </c>
      <c r="V125" s="130">
        <v>5.8</v>
      </c>
      <c r="W125" s="130">
        <v>-8</v>
      </c>
      <c r="X125" s="130">
        <v>-8</v>
      </c>
      <c r="Y125" s="130">
        <v>-2.4</v>
      </c>
      <c r="Z125" s="130">
        <v>-0.5</v>
      </c>
      <c r="AA125" s="130">
        <v>0.9</v>
      </c>
      <c r="AB125" s="130">
        <v>0</v>
      </c>
      <c r="AC125" s="130">
        <v>0</v>
      </c>
      <c r="AD125" s="130">
        <v>0</v>
      </c>
      <c r="AE125" s="130">
        <v>-3</v>
      </c>
      <c r="AF125" s="130">
        <v>-8</v>
      </c>
      <c r="AG125" s="128">
        <v>60</v>
      </c>
      <c r="AH125" s="48">
        <f t="shared" si="41"/>
        <v>5.8</v>
      </c>
      <c r="AI125" s="49">
        <f t="shared" si="42"/>
        <v>-14.7</v>
      </c>
    </row>
    <row r="126" spans="1:35" x14ac:dyDescent="0.25">
      <c r="A126" s="126" t="s">
        <v>146</v>
      </c>
      <c r="B126" s="131">
        <v>0</v>
      </c>
      <c r="C126" s="131">
        <v>0</v>
      </c>
      <c r="D126" s="131">
        <v>0</v>
      </c>
      <c r="E126" s="131">
        <v>0</v>
      </c>
      <c r="F126" s="131">
        <v>0</v>
      </c>
      <c r="G126" s="131">
        <v>0</v>
      </c>
      <c r="H126" s="131">
        <v>0</v>
      </c>
      <c r="I126" s="131">
        <v>38.299999999999997</v>
      </c>
      <c r="J126" s="131">
        <v>38.1</v>
      </c>
      <c r="K126" s="131">
        <v>47</v>
      </c>
      <c r="L126" s="131">
        <v>37.4</v>
      </c>
      <c r="M126" s="131">
        <v>43.5</v>
      </c>
      <c r="N126" s="131">
        <v>21.9</v>
      </c>
      <c r="O126" s="131">
        <v>47.8</v>
      </c>
      <c r="P126" s="131">
        <v>66.400000000000006</v>
      </c>
      <c r="Q126" s="131">
        <v>51.8</v>
      </c>
      <c r="R126" s="131">
        <v>42.7</v>
      </c>
      <c r="S126" s="131">
        <v>62.4</v>
      </c>
      <c r="T126" s="131">
        <v>28.1</v>
      </c>
      <c r="U126" s="131">
        <v>27.5</v>
      </c>
      <c r="V126" s="131">
        <v>49</v>
      </c>
      <c r="W126" s="131">
        <v>39.1</v>
      </c>
      <c r="X126" s="131">
        <v>30.5</v>
      </c>
      <c r="Y126" s="131">
        <v>53.2</v>
      </c>
      <c r="Z126" s="131">
        <v>45.1</v>
      </c>
      <c r="AA126" s="131">
        <v>36</v>
      </c>
      <c r="AB126" s="131">
        <v>34</v>
      </c>
      <c r="AC126" s="131">
        <v>34</v>
      </c>
      <c r="AD126" s="131">
        <v>12.3</v>
      </c>
      <c r="AE126" s="131">
        <v>1</v>
      </c>
      <c r="AF126" s="131">
        <v>-46.5</v>
      </c>
      <c r="AG126" s="132">
        <v>120</v>
      </c>
      <c r="AH126" s="48">
        <f t="shared" si="41"/>
        <v>66.400000000000006</v>
      </c>
      <c r="AI126" s="49">
        <f t="shared" si="42"/>
        <v>-46.5</v>
      </c>
    </row>
    <row r="127" spans="1:35" x14ac:dyDescent="0.25">
      <c r="A127" s="129" t="s">
        <v>147</v>
      </c>
      <c r="B127" s="131">
        <v>75.400000000000006</v>
      </c>
      <c r="C127" s="131">
        <v>73.599999999999994</v>
      </c>
      <c r="D127" s="131">
        <v>57.3</v>
      </c>
      <c r="E127" s="131">
        <v>60</v>
      </c>
      <c r="F127" s="131">
        <v>56.8</v>
      </c>
      <c r="G127" s="131">
        <v>56.6</v>
      </c>
      <c r="H127" s="131">
        <v>56.6</v>
      </c>
      <c r="I127" s="131">
        <v>76</v>
      </c>
      <c r="J127" s="131">
        <v>80.400000000000006</v>
      </c>
      <c r="K127" s="131">
        <v>89.2</v>
      </c>
      <c r="L127" s="131">
        <v>90</v>
      </c>
      <c r="M127" s="131">
        <v>101</v>
      </c>
      <c r="N127" s="131">
        <v>89.2</v>
      </c>
      <c r="O127" s="131">
        <v>94</v>
      </c>
      <c r="P127" s="131">
        <v>107.2</v>
      </c>
      <c r="Q127" s="131">
        <v>90.1</v>
      </c>
      <c r="R127" s="131">
        <v>91.2</v>
      </c>
      <c r="S127" s="131">
        <v>106</v>
      </c>
      <c r="T127" s="131">
        <v>89</v>
      </c>
      <c r="U127" s="131">
        <v>85.3</v>
      </c>
      <c r="V127" s="131">
        <v>92.7</v>
      </c>
      <c r="W127" s="131">
        <v>88</v>
      </c>
      <c r="X127" s="131">
        <v>88</v>
      </c>
      <c r="Y127" s="131">
        <v>102</v>
      </c>
      <c r="Z127" s="131">
        <v>98.1</v>
      </c>
      <c r="AA127" s="131">
        <v>92</v>
      </c>
      <c r="AB127" s="131">
        <v>91</v>
      </c>
      <c r="AC127" s="131">
        <v>91</v>
      </c>
      <c r="AD127" s="131">
        <v>77</v>
      </c>
      <c r="AE127" s="131">
        <v>68.2</v>
      </c>
      <c r="AF127" s="131">
        <v>46.2</v>
      </c>
      <c r="AG127" s="132"/>
      <c r="AH127" s="48">
        <f t="shared" si="41"/>
        <v>107.2</v>
      </c>
      <c r="AI127" s="49">
        <f t="shared" si="42"/>
        <v>46.2</v>
      </c>
    </row>
    <row r="128" spans="1:35" x14ac:dyDescent="0.25">
      <c r="A128" s="129" t="s">
        <v>148</v>
      </c>
      <c r="B128" s="131">
        <v>64.8</v>
      </c>
      <c r="C128" s="131">
        <v>68.7</v>
      </c>
      <c r="D128" s="131">
        <v>49</v>
      </c>
      <c r="E128" s="131">
        <v>46.9</v>
      </c>
      <c r="F128" s="131">
        <v>39</v>
      </c>
      <c r="G128" s="131">
        <v>42</v>
      </c>
      <c r="H128" s="131">
        <v>42</v>
      </c>
      <c r="I128" s="131">
        <v>47.7</v>
      </c>
      <c r="J128" s="131">
        <v>30.8</v>
      </c>
      <c r="K128" s="131">
        <v>41.3</v>
      </c>
      <c r="L128" s="131">
        <v>28.3</v>
      </c>
      <c r="M128" s="131">
        <v>40.700000000000003</v>
      </c>
      <c r="N128" s="131">
        <v>32.6</v>
      </c>
      <c r="O128" s="131">
        <v>32.299999999999997</v>
      </c>
      <c r="P128" s="131">
        <v>67</v>
      </c>
      <c r="Q128" s="131">
        <v>35.5</v>
      </c>
      <c r="R128" s="131">
        <v>44</v>
      </c>
      <c r="S128" s="131">
        <v>61</v>
      </c>
      <c r="T128" s="131">
        <v>26.5</v>
      </c>
      <c r="U128" s="131">
        <v>20</v>
      </c>
      <c r="V128" s="131">
        <v>30.3</v>
      </c>
      <c r="W128" s="131">
        <v>22.3</v>
      </c>
      <c r="X128" s="131">
        <v>21</v>
      </c>
      <c r="Y128" s="131">
        <v>36</v>
      </c>
      <c r="Z128" s="131">
        <v>10.5</v>
      </c>
      <c r="AA128" s="131">
        <v>5.4</v>
      </c>
      <c r="AB128" s="131">
        <v>11</v>
      </c>
      <c r="AC128" s="131">
        <v>11</v>
      </c>
      <c r="AD128" s="131">
        <v>17.899999999999999</v>
      </c>
      <c r="AE128" s="131">
        <v>30.7</v>
      </c>
      <c r="AF128" s="131">
        <v>-1.7</v>
      </c>
      <c r="AG128" s="132"/>
      <c r="AH128" s="48">
        <f t="shared" si="41"/>
        <v>68.7</v>
      </c>
      <c r="AI128" s="49">
        <f t="shared" si="42"/>
        <v>-1.7</v>
      </c>
    </row>
    <row r="129" spans="1:37" ht="15.75" thickBot="1" x14ac:dyDescent="0.3">
      <c r="A129" s="129" t="s">
        <v>149</v>
      </c>
      <c r="B129" s="131">
        <v>3.9</v>
      </c>
      <c r="C129" s="131">
        <v>16.100000000000001</v>
      </c>
      <c r="D129" s="131">
        <v>21</v>
      </c>
      <c r="E129" s="131">
        <v>7.1</v>
      </c>
      <c r="F129" s="131">
        <v>23.6</v>
      </c>
      <c r="G129" s="131">
        <v>26.1</v>
      </c>
      <c r="H129" s="131">
        <v>26.1</v>
      </c>
      <c r="I129" s="131">
        <v>23.4</v>
      </c>
      <c r="J129" s="131">
        <v>24.1</v>
      </c>
      <c r="K129" s="131">
        <v>35.5</v>
      </c>
      <c r="L129" s="131">
        <v>37.200000000000003</v>
      </c>
      <c r="M129" s="131">
        <v>35.4</v>
      </c>
      <c r="N129" s="131">
        <v>24</v>
      </c>
      <c r="O129" s="131">
        <v>31.7</v>
      </c>
      <c r="P129" s="131">
        <v>59.7</v>
      </c>
      <c r="Q129" s="131">
        <v>37.799999999999997</v>
      </c>
      <c r="R129" s="131">
        <v>37</v>
      </c>
      <c r="S129" s="131">
        <v>51</v>
      </c>
      <c r="T129" s="131">
        <v>29.3</v>
      </c>
      <c r="U129" s="131">
        <v>28.1</v>
      </c>
      <c r="V129" s="131">
        <v>39</v>
      </c>
      <c r="W129" s="131">
        <v>35.4</v>
      </c>
      <c r="X129" s="131">
        <v>26</v>
      </c>
      <c r="Y129" s="131">
        <v>41</v>
      </c>
      <c r="Z129" s="131">
        <v>34.4</v>
      </c>
      <c r="AA129" s="131">
        <v>33</v>
      </c>
      <c r="AB129" s="131">
        <v>34</v>
      </c>
      <c r="AC129" s="131">
        <v>34</v>
      </c>
      <c r="AD129" s="131">
        <v>27.7</v>
      </c>
      <c r="AE129" s="131">
        <v>18.899999999999999</v>
      </c>
      <c r="AF129" s="131">
        <v>18.399999999999999</v>
      </c>
      <c r="AG129" s="128"/>
      <c r="AH129" s="48">
        <f t="shared" si="41"/>
        <v>59.7</v>
      </c>
      <c r="AI129" s="49">
        <f t="shared" si="42"/>
        <v>3.9</v>
      </c>
    </row>
    <row r="130" spans="1:37" x14ac:dyDescent="0.25">
      <c r="A130" s="126" t="s">
        <v>150</v>
      </c>
      <c r="B130" s="131">
        <v>-354.7</v>
      </c>
      <c r="C130" s="131">
        <v>-352.7</v>
      </c>
      <c r="D130" s="131">
        <v>-352.2</v>
      </c>
      <c r="E130" s="131">
        <v>-352.8</v>
      </c>
      <c r="F130" s="131">
        <v>-349.4</v>
      </c>
      <c r="G130" s="131">
        <v>-346</v>
      </c>
      <c r="H130" s="131">
        <v>-346</v>
      </c>
      <c r="I130" s="131">
        <v>-328.7</v>
      </c>
      <c r="J130" s="131">
        <v>-336.7</v>
      </c>
      <c r="K130" s="131">
        <v>-333.3</v>
      </c>
      <c r="L130" s="131">
        <v>-338.9</v>
      </c>
      <c r="M130" s="131">
        <v>-337.8</v>
      </c>
      <c r="N130" s="131">
        <v>-348.7</v>
      </c>
      <c r="O130" s="131">
        <v>-340</v>
      </c>
      <c r="P130" s="131">
        <v>-322.60000000000002</v>
      </c>
      <c r="Q130" s="131">
        <v>-331.3</v>
      </c>
      <c r="R130" s="131">
        <v>-324.89999999999998</v>
      </c>
      <c r="S130" s="131">
        <v>-321</v>
      </c>
      <c r="T130" s="131">
        <v>-332</v>
      </c>
      <c r="U130" s="131">
        <v>-335</v>
      </c>
      <c r="V130" s="131">
        <v>-327</v>
      </c>
      <c r="W130" s="131">
        <v>-330.2</v>
      </c>
      <c r="X130" s="131">
        <v>-332</v>
      </c>
      <c r="Y130" s="131">
        <v>-328</v>
      </c>
      <c r="Z130" s="131">
        <v>-330.8</v>
      </c>
      <c r="AA130" s="131">
        <v>-350</v>
      </c>
      <c r="AB130" s="131">
        <v>-345</v>
      </c>
      <c r="AC130" s="131">
        <v>-345</v>
      </c>
      <c r="AD130" s="131">
        <v>-350.2</v>
      </c>
      <c r="AE130" s="131">
        <v>-348.7</v>
      </c>
      <c r="AF130" s="131">
        <v>-354.5</v>
      </c>
      <c r="AG130" s="128"/>
      <c r="AH130" s="48">
        <f t="shared" si="41"/>
        <v>-321</v>
      </c>
      <c r="AI130" s="49">
        <f t="shared" si="42"/>
        <v>-354.7</v>
      </c>
    </row>
    <row r="131" spans="1:37" x14ac:dyDescent="0.25">
      <c r="A131" s="129" t="s">
        <v>151</v>
      </c>
      <c r="B131" s="119">
        <v>102.4</v>
      </c>
      <c r="C131" s="119">
        <v>105.9</v>
      </c>
      <c r="D131" s="119">
        <v>107.6</v>
      </c>
      <c r="E131" s="119">
        <v>118</v>
      </c>
      <c r="F131" s="119">
        <v>119</v>
      </c>
      <c r="G131" s="119">
        <v>111</v>
      </c>
      <c r="H131" s="119">
        <v>111</v>
      </c>
      <c r="I131" s="119">
        <v>115.9</v>
      </c>
      <c r="J131" s="119">
        <v>111</v>
      </c>
      <c r="K131" s="119">
        <v>112.5</v>
      </c>
      <c r="L131" s="119">
        <v>114</v>
      </c>
      <c r="M131" s="119">
        <v>117.4</v>
      </c>
      <c r="N131" s="119">
        <v>83.9</v>
      </c>
      <c r="O131" s="119">
        <v>105.2</v>
      </c>
      <c r="P131" s="119">
        <v>104.2</v>
      </c>
      <c r="Q131" s="119">
        <v>118</v>
      </c>
      <c r="R131" s="119">
        <v>117.8</v>
      </c>
      <c r="S131" s="119">
        <v>122.4</v>
      </c>
      <c r="T131" s="119">
        <v>93</v>
      </c>
      <c r="U131" s="119">
        <v>106.1</v>
      </c>
      <c r="V131" s="119">
        <v>115.1</v>
      </c>
      <c r="W131" s="119">
        <v>106</v>
      </c>
      <c r="X131" s="119">
        <v>107</v>
      </c>
      <c r="Y131" s="119">
        <v>95.2</v>
      </c>
      <c r="Z131" s="119">
        <v>92.6</v>
      </c>
      <c r="AA131" s="119">
        <v>94</v>
      </c>
      <c r="AB131" s="119">
        <v>95.1</v>
      </c>
      <c r="AC131" s="119">
        <v>95.1</v>
      </c>
      <c r="AD131" s="119">
        <v>99.5</v>
      </c>
      <c r="AE131" s="119">
        <v>96.9</v>
      </c>
      <c r="AF131" s="119">
        <v>111</v>
      </c>
      <c r="AG131" s="128"/>
      <c r="AH131" s="48">
        <f t="shared" si="41"/>
        <v>122.4</v>
      </c>
      <c r="AI131" s="49">
        <f t="shared" si="42"/>
        <v>83.9</v>
      </c>
    </row>
    <row r="132" spans="1:37" x14ac:dyDescent="0.25">
      <c r="A132" s="129" t="s">
        <v>152</v>
      </c>
      <c r="B132" s="119">
        <v>-26.1</v>
      </c>
      <c r="C132" s="119">
        <v>-26.8</v>
      </c>
      <c r="D132" s="119">
        <v>-28</v>
      </c>
      <c r="E132" s="119">
        <v>-29.3</v>
      </c>
      <c r="F132" s="119">
        <v>-28.8</v>
      </c>
      <c r="G132" s="119">
        <v>-23.6</v>
      </c>
      <c r="H132" s="119">
        <v>-23.6</v>
      </c>
      <c r="I132" s="119">
        <v>-22.5</v>
      </c>
      <c r="J132" s="119">
        <v>-28.3</v>
      </c>
      <c r="K132" s="119">
        <v>-30.5</v>
      </c>
      <c r="L132" s="119">
        <v>-32.6</v>
      </c>
      <c r="M132" s="119">
        <v>-34.700000000000003</v>
      </c>
      <c r="N132" s="119">
        <v>-30.4</v>
      </c>
      <c r="O132" s="119">
        <v>-34.799999999999997</v>
      </c>
      <c r="P132" s="119">
        <v>-36</v>
      </c>
      <c r="Q132" s="119">
        <v>-36.5</v>
      </c>
      <c r="R132" s="119">
        <v>-37.4</v>
      </c>
      <c r="S132" s="119">
        <v>-39.700000000000003</v>
      </c>
      <c r="T132" s="119">
        <v>-29</v>
      </c>
      <c r="U132" s="119">
        <v>-28</v>
      </c>
      <c r="V132" s="119">
        <v>-33</v>
      </c>
      <c r="W132" s="119">
        <v>-34</v>
      </c>
      <c r="X132" s="119">
        <v>-32</v>
      </c>
      <c r="Y132" s="119">
        <v>-31.6</v>
      </c>
      <c r="Z132" s="119">
        <v>-25.8</v>
      </c>
      <c r="AA132" s="119">
        <v>-25.4</v>
      </c>
      <c r="AB132" s="119">
        <v>-25</v>
      </c>
      <c r="AC132" s="119">
        <v>-25</v>
      </c>
      <c r="AD132" s="119">
        <v>-25.3</v>
      </c>
      <c r="AE132" s="119">
        <v>-22.1</v>
      </c>
      <c r="AF132" s="119">
        <v>-23.2</v>
      </c>
      <c r="AG132" s="128"/>
      <c r="AH132" s="48">
        <f t="shared" si="41"/>
        <v>-22.1</v>
      </c>
      <c r="AI132" s="49">
        <f t="shared" si="42"/>
        <v>-39.700000000000003</v>
      </c>
    </row>
    <row r="133" spans="1:37" ht="15.75" thickBot="1" x14ac:dyDescent="0.3">
      <c r="A133" s="129" t="s">
        <v>153</v>
      </c>
      <c r="B133" s="119">
        <v>44.6</v>
      </c>
      <c r="C133" s="119">
        <v>43.9</v>
      </c>
      <c r="D133" s="119">
        <v>42.7</v>
      </c>
      <c r="E133" s="119">
        <v>30.6</v>
      </c>
      <c r="F133" s="119">
        <v>39.4</v>
      </c>
      <c r="G133" s="119">
        <v>38.1</v>
      </c>
      <c r="H133" s="119">
        <v>38.1</v>
      </c>
      <c r="I133" s="119">
        <v>38.799999999999997</v>
      </c>
      <c r="J133" s="119">
        <v>41.1</v>
      </c>
      <c r="K133" s="119">
        <v>39.1</v>
      </c>
      <c r="L133" s="119">
        <v>38.200000000000003</v>
      </c>
      <c r="M133" s="119">
        <v>35.200000000000003</v>
      </c>
      <c r="N133" s="119">
        <v>35.799999999999997</v>
      </c>
      <c r="O133" s="119">
        <v>32.700000000000003</v>
      </c>
      <c r="P133" s="119">
        <v>30.7</v>
      </c>
      <c r="Q133" s="119">
        <v>29.6</v>
      </c>
      <c r="R133" s="119">
        <v>30.9</v>
      </c>
      <c r="S133" s="119">
        <v>30</v>
      </c>
      <c r="T133" s="119">
        <v>43.1</v>
      </c>
      <c r="U133" s="119">
        <v>39.200000000000003</v>
      </c>
      <c r="V133" s="119">
        <v>35.4</v>
      </c>
      <c r="W133" s="119">
        <v>35</v>
      </c>
      <c r="X133" s="119">
        <v>37.1</v>
      </c>
      <c r="Y133" s="119">
        <v>37.4</v>
      </c>
      <c r="Z133" s="119">
        <v>41.4</v>
      </c>
      <c r="AA133" s="119">
        <v>41.6</v>
      </c>
      <c r="AB133" s="119">
        <v>42</v>
      </c>
      <c r="AC133" s="119">
        <v>42</v>
      </c>
      <c r="AD133" s="119">
        <v>43.5</v>
      </c>
      <c r="AE133" s="119">
        <v>45.6</v>
      </c>
      <c r="AF133" s="119">
        <v>44.8</v>
      </c>
      <c r="AG133" s="128"/>
      <c r="AH133" s="48">
        <f t="shared" si="41"/>
        <v>45.6</v>
      </c>
      <c r="AI133" s="49">
        <f t="shared" si="42"/>
        <v>29.6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1497.64</v>
      </c>
      <c r="C140" s="142"/>
      <c r="D140" s="142"/>
      <c r="E140" s="142">
        <v>1497.77</v>
      </c>
      <c r="F140" s="142">
        <v>1497.85</v>
      </c>
      <c r="G140" s="142">
        <v>1497.96</v>
      </c>
      <c r="H140" s="142"/>
      <c r="I140" s="142">
        <v>1498.4</v>
      </c>
      <c r="J140" s="142"/>
      <c r="K140" s="142">
        <v>1498.83</v>
      </c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0">SUM(B142:B246)</f>
        <v>0</v>
      </c>
      <c r="C247" s="161">
        <f t="shared" si="50"/>
        <v>0</v>
      </c>
      <c r="D247" s="161">
        <f t="shared" si="50"/>
        <v>0</v>
      </c>
      <c r="E247" s="161">
        <f t="shared" si="50"/>
        <v>0</v>
      </c>
      <c r="F247" s="161">
        <f t="shared" si="50"/>
        <v>0</v>
      </c>
      <c r="G247" s="161">
        <f t="shared" si="50"/>
        <v>0</v>
      </c>
      <c r="H247" s="161">
        <f t="shared" si="50"/>
        <v>0</v>
      </c>
      <c r="I247" s="161">
        <f t="shared" si="50"/>
        <v>0</v>
      </c>
      <c r="J247" s="161">
        <f t="shared" si="50"/>
        <v>0</v>
      </c>
      <c r="K247" s="161">
        <f t="shared" si="50"/>
        <v>0</v>
      </c>
      <c r="L247" s="161">
        <f t="shared" si="50"/>
        <v>0</v>
      </c>
      <c r="M247" s="161">
        <f t="shared" si="50"/>
        <v>0</v>
      </c>
      <c r="N247" s="161">
        <f t="shared" si="50"/>
        <v>0</v>
      </c>
      <c r="O247" s="161">
        <f t="shared" si="50"/>
        <v>0</v>
      </c>
      <c r="P247" s="161">
        <f t="shared" si="50"/>
        <v>0</v>
      </c>
      <c r="Q247" s="161">
        <f t="shared" si="50"/>
        <v>0</v>
      </c>
      <c r="R247" s="161">
        <f t="shared" si="50"/>
        <v>0</v>
      </c>
      <c r="S247" s="161">
        <f t="shared" si="50"/>
        <v>0</v>
      </c>
      <c r="T247" s="161">
        <f t="shared" si="50"/>
        <v>0</v>
      </c>
      <c r="U247" s="161">
        <f t="shared" si="50"/>
        <v>0</v>
      </c>
      <c r="V247" s="161">
        <f t="shared" si="50"/>
        <v>0</v>
      </c>
      <c r="W247" s="161">
        <f t="shared" si="50"/>
        <v>0</v>
      </c>
      <c r="X247" s="161">
        <f t="shared" si="50"/>
        <v>0</v>
      </c>
      <c r="Y247" s="161">
        <f t="shared" si="50"/>
        <v>0</v>
      </c>
      <c r="Z247" s="161">
        <f t="shared" si="50"/>
        <v>0</v>
      </c>
      <c r="AA247" s="161">
        <f t="shared" si="50"/>
        <v>0</v>
      </c>
      <c r="AB247" s="161">
        <f t="shared" si="50"/>
        <v>0</v>
      </c>
      <c r="AC247" s="161">
        <f t="shared" si="50"/>
        <v>0</v>
      </c>
      <c r="AD247" s="161">
        <f t="shared" si="50"/>
        <v>0</v>
      </c>
      <c r="AE247" s="161">
        <f t="shared" si="50"/>
        <v>0</v>
      </c>
      <c r="AF247" s="162">
        <f t="shared" si="50"/>
        <v>0</v>
      </c>
      <c r="AG247" s="163">
        <f t="shared" si="50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1">AF249</f>
        <v>0.3</v>
      </c>
      <c r="C249" s="166">
        <v>0.3</v>
      </c>
      <c r="D249" s="166">
        <f t="shared" ref="D249:S254" si="52">C249</f>
        <v>0.3</v>
      </c>
      <c r="E249" s="166">
        <f t="shared" si="52"/>
        <v>0.3</v>
      </c>
      <c r="F249" s="166">
        <f t="shared" si="52"/>
        <v>0.3</v>
      </c>
      <c r="G249" s="166">
        <f t="shared" si="52"/>
        <v>0.3</v>
      </c>
      <c r="H249" s="166">
        <f t="shared" si="52"/>
        <v>0.3</v>
      </c>
      <c r="I249" s="166">
        <f t="shared" si="52"/>
        <v>0.3</v>
      </c>
      <c r="J249" s="166">
        <f t="shared" si="52"/>
        <v>0.3</v>
      </c>
      <c r="K249" s="166">
        <f t="shared" si="52"/>
        <v>0.3</v>
      </c>
      <c r="L249" s="166">
        <f t="shared" si="52"/>
        <v>0.3</v>
      </c>
      <c r="M249" s="166">
        <f t="shared" si="52"/>
        <v>0.3</v>
      </c>
      <c r="N249" s="166">
        <f t="shared" si="52"/>
        <v>0.3</v>
      </c>
      <c r="O249" s="166">
        <f t="shared" si="52"/>
        <v>0.3</v>
      </c>
      <c r="P249" s="166">
        <f t="shared" si="52"/>
        <v>0.3</v>
      </c>
      <c r="Q249" s="166">
        <f t="shared" si="52"/>
        <v>0.3</v>
      </c>
      <c r="R249" s="166">
        <f t="shared" si="52"/>
        <v>0.3</v>
      </c>
      <c r="S249" s="166">
        <f t="shared" si="52"/>
        <v>0.3</v>
      </c>
      <c r="T249" s="166">
        <f t="shared" ref="T249:AF254" si="53">S249</f>
        <v>0.3</v>
      </c>
      <c r="U249" s="166">
        <f t="shared" si="53"/>
        <v>0.3</v>
      </c>
      <c r="V249" s="166">
        <f t="shared" si="53"/>
        <v>0.3</v>
      </c>
      <c r="W249" s="166">
        <f t="shared" si="53"/>
        <v>0.3</v>
      </c>
      <c r="X249" s="166">
        <f t="shared" si="53"/>
        <v>0.3</v>
      </c>
      <c r="Y249" s="166">
        <f t="shared" si="53"/>
        <v>0.3</v>
      </c>
      <c r="Z249" s="166">
        <f t="shared" si="53"/>
        <v>0.3</v>
      </c>
      <c r="AA249" s="166">
        <f t="shared" si="53"/>
        <v>0.3</v>
      </c>
      <c r="AB249" s="166">
        <f t="shared" si="53"/>
        <v>0.3</v>
      </c>
      <c r="AC249" s="166">
        <f t="shared" si="53"/>
        <v>0.3</v>
      </c>
      <c r="AD249" s="166">
        <f t="shared" si="53"/>
        <v>0.3</v>
      </c>
      <c r="AE249" s="166">
        <f t="shared" si="53"/>
        <v>0.3</v>
      </c>
      <c r="AF249" s="166">
        <f t="shared" si="53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1"/>
        <v>0.4</v>
      </c>
      <c r="C250" s="152">
        <v>0.4</v>
      </c>
      <c r="D250" s="152">
        <f t="shared" si="52"/>
        <v>0.4</v>
      </c>
      <c r="E250" s="152">
        <f t="shared" si="52"/>
        <v>0.4</v>
      </c>
      <c r="F250" s="152">
        <f t="shared" si="52"/>
        <v>0.4</v>
      </c>
      <c r="G250" s="152">
        <f t="shared" si="52"/>
        <v>0.4</v>
      </c>
      <c r="H250" s="152">
        <f t="shared" si="52"/>
        <v>0.4</v>
      </c>
      <c r="I250" s="152">
        <f t="shared" si="52"/>
        <v>0.4</v>
      </c>
      <c r="J250" s="152">
        <f t="shared" si="52"/>
        <v>0.4</v>
      </c>
      <c r="K250" s="152">
        <f t="shared" si="52"/>
        <v>0.4</v>
      </c>
      <c r="L250" s="152">
        <f t="shared" si="52"/>
        <v>0.4</v>
      </c>
      <c r="M250" s="152">
        <f t="shared" si="52"/>
        <v>0.4</v>
      </c>
      <c r="N250" s="152">
        <f t="shared" si="52"/>
        <v>0.4</v>
      </c>
      <c r="O250" s="152">
        <f t="shared" si="52"/>
        <v>0.4</v>
      </c>
      <c r="P250" s="152">
        <f t="shared" si="52"/>
        <v>0.4</v>
      </c>
      <c r="Q250" s="152">
        <f t="shared" si="52"/>
        <v>0.4</v>
      </c>
      <c r="R250" s="152">
        <f t="shared" si="52"/>
        <v>0.4</v>
      </c>
      <c r="S250" s="152">
        <f t="shared" si="52"/>
        <v>0.4</v>
      </c>
      <c r="T250" s="152">
        <f t="shared" si="53"/>
        <v>0.4</v>
      </c>
      <c r="U250" s="152">
        <f t="shared" si="53"/>
        <v>0.4</v>
      </c>
      <c r="V250" s="152">
        <f t="shared" si="53"/>
        <v>0.4</v>
      </c>
      <c r="W250" s="152">
        <f t="shared" si="53"/>
        <v>0.4</v>
      </c>
      <c r="X250" s="152">
        <f t="shared" si="53"/>
        <v>0.4</v>
      </c>
      <c r="Y250" s="152">
        <f t="shared" si="53"/>
        <v>0.4</v>
      </c>
      <c r="Z250" s="152">
        <f t="shared" si="53"/>
        <v>0.4</v>
      </c>
      <c r="AA250" s="152">
        <f t="shared" si="53"/>
        <v>0.4</v>
      </c>
      <c r="AB250" s="152">
        <f t="shared" si="53"/>
        <v>0.4</v>
      </c>
      <c r="AC250" s="152">
        <f t="shared" si="53"/>
        <v>0.4</v>
      </c>
      <c r="AD250" s="152">
        <f t="shared" si="53"/>
        <v>0.4</v>
      </c>
      <c r="AE250" s="152">
        <f t="shared" si="53"/>
        <v>0.4</v>
      </c>
      <c r="AF250" s="152">
        <f t="shared" si="53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1"/>
        <v>1.5</v>
      </c>
      <c r="C251" s="152">
        <v>1.5</v>
      </c>
      <c r="D251" s="152">
        <f t="shared" si="52"/>
        <v>1.5</v>
      </c>
      <c r="E251" s="152">
        <f t="shared" si="52"/>
        <v>1.5</v>
      </c>
      <c r="F251" s="152">
        <f t="shared" si="52"/>
        <v>1.5</v>
      </c>
      <c r="G251" s="152">
        <f t="shared" si="52"/>
        <v>1.5</v>
      </c>
      <c r="H251" s="152">
        <f t="shared" si="52"/>
        <v>1.5</v>
      </c>
      <c r="I251" s="152">
        <f t="shared" si="52"/>
        <v>1.5</v>
      </c>
      <c r="J251" s="152">
        <f t="shared" si="52"/>
        <v>1.5</v>
      </c>
      <c r="K251" s="152">
        <f t="shared" si="52"/>
        <v>1.5</v>
      </c>
      <c r="L251" s="152">
        <f t="shared" si="52"/>
        <v>1.5</v>
      </c>
      <c r="M251" s="152">
        <f t="shared" si="52"/>
        <v>1.5</v>
      </c>
      <c r="N251" s="152">
        <f t="shared" si="52"/>
        <v>1.5</v>
      </c>
      <c r="O251" s="152">
        <f t="shared" si="52"/>
        <v>1.5</v>
      </c>
      <c r="P251" s="152">
        <f t="shared" si="52"/>
        <v>1.5</v>
      </c>
      <c r="Q251" s="152">
        <f t="shared" si="52"/>
        <v>1.5</v>
      </c>
      <c r="R251" s="152">
        <f t="shared" si="52"/>
        <v>1.5</v>
      </c>
      <c r="S251" s="152">
        <f t="shared" si="52"/>
        <v>1.5</v>
      </c>
      <c r="T251" s="152">
        <f t="shared" si="53"/>
        <v>1.5</v>
      </c>
      <c r="U251" s="152">
        <f t="shared" si="53"/>
        <v>1.5</v>
      </c>
      <c r="V251" s="152">
        <f t="shared" si="53"/>
        <v>1.5</v>
      </c>
      <c r="W251" s="152">
        <f t="shared" si="53"/>
        <v>1.5</v>
      </c>
      <c r="X251" s="152">
        <f t="shared" si="53"/>
        <v>1.5</v>
      </c>
      <c r="Y251" s="152">
        <f t="shared" si="53"/>
        <v>1.5</v>
      </c>
      <c r="Z251" s="152">
        <f t="shared" si="53"/>
        <v>1.5</v>
      </c>
      <c r="AA251" s="152">
        <f t="shared" si="53"/>
        <v>1.5</v>
      </c>
      <c r="AB251" s="152">
        <f t="shared" si="53"/>
        <v>1.5</v>
      </c>
      <c r="AC251" s="152">
        <f t="shared" si="53"/>
        <v>1.5</v>
      </c>
      <c r="AD251" s="152">
        <f t="shared" si="53"/>
        <v>1.5</v>
      </c>
      <c r="AE251" s="152">
        <f t="shared" si="53"/>
        <v>1.5</v>
      </c>
      <c r="AF251" s="152">
        <f t="shared" si="53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1"/>
        <v>0.3</v>
      </c>
      <c r="C252" s="152">
        <v>0.3</v>
      </c>
      <c r="D252" s="152">
        <f t="shared" si="52"/>
        <v>0.3</v>
      </c>
      <c r="E252" s="152">
        <f t="shared" si="52"/>
        <v>0.3</v>
      </c>
      <c r="F252" s="152">
        <f t="shared" si="52"/>
        <v>0.3</v>
      </c>
      <c r="G252" s="152">
        <f t="shared" si="52"/>
        <v>0.3</v>
      </c>
      <c r="H252" s="152">
        <f t="shared" si="52"/>
        <v>0.3</v>
      </c>
      <c r="I252" s="152">
        <f t="shared" si="52"/>
        <v>0.3</v>
      </c>
      <c r="J252" s="152">
        <f t="shared" si="52"/>
        <v>0.3</v>
      </c>
      <c r="K252" s="152">
        <f t="shared" si="52"/>
        <v>0.3</v>
      </c>
      <c r="L252" s="152">
        <f t="shared" si="52"/>
        <v>0.3</v>
      </c>
      <c r="M252" s="152">
        <f t="shared" si="52"/>
        <v>0.3</v>
      </c>
      <c r="N252" s="152">
        <f t="shared" si="52"/>
        <v>0.3</v>
      </c>
      <c r="O252" s="152">
        <f t="shared" si="52"/>
        <v>0.3</v>
      </c>
      <c r="P252" s="152">
        <f t="shared" si="52"/>
        <v>0.3</v>
      </c>
      <c r="Q252" s="152">
        <f t="shared" si="52"/>
        <v>0.3</v>
      </c>
      <c r="R252" s="152">
        <f t="shared" si="52"/>
        <v>0.3</v>
      </c>
      <c r="S252" s="152">
        <f t="shared" si="52"/>
        <v>0.3</v>
      </c>
      <c r="T252" s="152">
        <f t="shared" si="53"/>
        <v>0.3</v>
      </c>
      <c r="U252" s="152">
        <f t="shared" si="53"/>
        <v>0.3</v>
      </c>
      <c r="V252" s="152">
        <f t="shared" si="53"/>
        <v>0.3</v>
      </c>
      <c r="W252" s="152">
        <f t="shared" si="53"/>
        <v>0.3</v>
      </c>
      <c r="X252" s="152">
        <f t="shared" si="53"/>
        <v>0.3</v>
      </c>
      <c r="Y252" s="152">
        <f t="shared" si="53"/>
        <v>0.3</v>
      </c>
      <c r="Z252" s="152">
        <f t="shared" si="53"/>
        <v>0.3</v>
      </c>
      <c r="AA252" s="152">
        <f t="shared" si="53"/>
        <v>0.3</v>
      </c>
      <c r="AB252" s="152">
        <f t="shared" si="53"/>
        <v>0.3</v>
      </c>
      <c r="AC252" s="152">
        <f t="shared" si="53"/>
        <v>0.3</v>
      </c>
      <c r="AD252" s="152">
        <f t="shared" si="53"/>
        <v>0.3</v>
      </c>
      <c r="AE252" s="152">
        <f t="shared" si="53"/>
        <v>0.3</v>
      </c>
      <c r="AF252" s="152">
        <f t="shared" si="53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1"/>
        <v>0.4</v>
      </c>
      <c r="C253" s="152">
        <v>0.4</v>
      </c>
      <c r="D253" s="152">
        <f t="shared" si="52"/>
        <v>0.4</v>
      </c>
      <c r="E253" s="152">
        <f t="shared" si="52"/>
        <v>0.4</v>
      </c>
      <c r="F253" s="152">
        <f t="shared" si="52"/>
        <v>0.4</v>
      </c>
      <c r="G253" s="152">
        <f t="shared" si="52"/>
        <v>0.4</v>
      </c>
      <c r="H253" s="152">
        <f t="shared" si="52"/>
        <v>0.4</v>
      </c>
      <c r="I253" s="152">
        <f t="shared" si="52"/>
        <v>0.4</v>
      </c>
      <c r="J253" s="152">
        <f t="shared" si="52"/>
        <v>0.4</v>
      </c>
      <c r="K253" s="152">
        <f t="shared" si="52"/>
        <v>0.4</v>
      </c>
      <c r="L253" s="152">
        <f t="shared" si="52"/>
        <v>0.4</v>
      </c>
      <c r="M253" s="152">
        <f t="shared" si="52"/>
        <v>0.4</v>
      </c>
      <c r="N253" s="152">
        <f t="shared" si="52"/>
        <v>0.4</v>
      </c>
      <c r="O253" s="152">
        <f t="shared" si="52"/>
        <v>0.4</v>
      </c>
      <c r="P253" s="152">
        <f t="shared" si="52"/>
        <v>0.4</v>
      </c>
      <c r="Q253" s="152">
        <f t="shared" si="52"/>
        <v>0.4</v>
      </c>
      <c r="R253" s="152">
        <f t="shared" si="52"/>
        <v>0.4</v>
      </c>
      <c r="S253" s="152">
        <f t="shared" si="52"/>
        <v>0.4</v>
      </c>
      <c r="T253" s="152">
        <f t="shared" si="53"/>
        <v>0.4</v>
      </c>
      <c r="U253" s="152">
        <f t="shared" si="53"/>
        <v>0.4</v>
      </c>
      <c r="V253" s="152">
        <f t="shared" si="53"/>
        <v>0.4</v>
      </c>
      <c r="W253" s="152">
        <f t="shared" si="53"/>
        <v>0.4</v>
      </c>
      <c r="X253" s="152">
        <f t="shared" si="53"/>
        <v>0.4</v>
      </c>
      <c r="Y253" s="152">
        <f t="shared" si="53"/>
        <v>0.4</v>
      </c>
      <c r="Z253" s="152">
        <f t="shared" si="53"/>
        <v>0.4</v>
      </c>
      <c r="AA253" s="152">
        <f t="shared" si="53"/>
        <v>0.4</v>
      </c>
      <c r="AB253" s="152">
        <f t="shared" si="53"/>
        <v>0.4</v>
      </c>
      <c r="AC253" s="152">
        <f t="shared" si="53"/>
        <v>0.4</v>
      </c>
      <c r="AD253" s="152">
        <f t="shared" si="53"/>
        <v>0.4</v>
      </c>
      <c r="AE253" s="152">
        <f t="shared" si="53"/>
        <v>0.4</v>
      </c>
      <c r="AF253" s="152">
        <f t="shared" si="53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1"/>
        <v>0.64</v>
      </c>
      <c r="C254" s="157">
        <v>0.64</v>
      </c>
      <c r="D254" s="157">
        <f t="shared" si="52"/>
        <v>0.64</v>
      </c>
      <c r="E254" s="157">
        <f t="shared" si="52"/>
        <v>0.64</v>
      </c>
      <c r="F254" s="157">
        <f t="shared" si="52"/>
        <v>0.64</v>
      </c>
      <c r="G254" s="157">
        <f t="shared" si="52"/>
        <v>0.64</v>
      </c>
      <c r="H254" s="157">
        <f t="shared" si="52"/>
        <v>0.64</v>
      </c>
      <c r="I254" s="157">
        <f t="shared" si="52"/>
        <v>0.64</v>
      </c>
      <c r="J254" s="157">
        <f t="shared" si="52"/>
        <v>0.64</v>
      </c>
      <c r="K254" s="157">
        <f t="shared" si="52"/>
        <v>0.64</v>
      </c>
      <c r="L254" s="157">
        <f t="shared" si="52"/>
        <v>0.64</v>
      </c>
      <c r="M254" s="157">
        <f t="shared" si="52"/>
        <v>0.64</v>
      </c>
      <c r="N254" s="157">
        <f t="shared" si="52"/>
        <v>0.64</v>
      </c>
      <c r="O254" s="157">
        <f t="shared" si="52"/>
        <v>0.64</v>
      </c>
      <c r="P254" s="157">
        <f t="shared" si="52"/>
        <v>0.64</v>
      </c>
      <c r="Q254" s="157">
        <f t="shared" si="52"/>
        <v>0.64</v>
      </c>
      <c r="R254" s="157">
        <f t="shared" si="52"/>
        <v>0.64</v>
      </c>
      <c r="S254" s="157">
        <f t="shared" si="52"/>
        <v>0.64</v>
      </c>
      <c r="T254" s="157">
        <f t="shared" si="53"/>
        <v>0.64</v>
      </c>
      <c r="U254" s="157">
        <f t="shared" si="53"/>
        <v>0.64</v>
      </c>
      <c r="V254" s="157">
        <f t="shared" si="53"/>
        <v>0.64</v>
      </c>
      <c r="W254" s="157">
        <f t="shared" si="53"/>
        <v>0.64</v>
      </c>
      <c r="X254" s="157">
        <f t="shared" si="53"/>
        <v>0.64</v>
      </c>
      <c r="Y254" s="157">
        <f t="shared" si="53"/>
        <v>0.64</v>
      </c>
      <c r="Z254" s="157">
        <f t="shared" si="53"/>
        <v>0.64</v>
      </c>
      <c r="AA254" s="157">
        <f t="shared" si="53"/>
        <v>0.64</v>
      </c>
      <c r="AB254" s="157">
        <f t="shared" si="53"/>
        <v>0.64</v>
      </c>
      <c r="AC254" s="157">
        <f t="shared" si="53"/>
        <v>0.64</v>
      </c>
      <c r="AD254" s="157">
        <f t="shared" si="53"/>
        <v>0.64</v>
      </c>
      <c r="AE254" s="157">
        <f t="shared" si="53"/>
        <v>0.64</v>
      </c>
      <c r="AF254" s="157">
        <f t="shared" si="53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4">SUM(B249:B254)</f>
        <v>3.54</v>
      </c>
      <c r="C255" s="161">
        <f t="shared" si="54"/>
        <v>3.54</v>
      </c>
      <c r="D255" s="161">
        <f t="shared" si="54"/>
        <v>3.54</v>
      </c>
      <c r="E255" s="161">
        <f t="shared" si="54"/>
        <v>3.54</v>
      </c>
      <c r="F255" s="161">
        <f t="shared" si="54"/>
        <v>3.54</v>
      </c>
      <c r="G255" s="161">
        <f t="shared" si="54"/>
        <v>3.54</v>
      </c>
      <c r="H255" s="161">
        <f t="shared" si="54"/>
        <v>3.54</v>
      </c>
      <c r="I255" s="161">
        <f t="shared" si="54"/>
        <v>3.54</v>
      </c>
      <c r="J255" s="161">
        <f t="shared" si="54"/>
        <v>3.54</v>
      </c>
      <c r="K255" s="161">
        <f t="shared" si="54"/>
        <v>3.54</v>
      </c>
      <c r="L255" s="161">
        <f t="shared" si="54"/>
        <v>3.54</v>
      </c>
      <c r="M255" s="161">
        <f t="shared" si="54"/>
        <v>3.54</v>
      </c>
      <c r="N255" s="161">
        <f t="shared" si="54"/>
        <v>3.54</v>
      </c>
      <c r="O255" s="161">
        <f t="shared" si="54"/>
        <v>3.54</v>
      </c>
      <c r="P255" s="161">
        <f t="shared" si="54"/>
        <v>3.54</v>
      </c>
      <c r="Q255" s="161">
        <f t="shared" si="54"/>
        <v>3.54</v>
      </c>
      <c r="R255" s="161">
        <f t="shared" si="54"/>
        <v>3.54</v>
      </c>
      <c r="S255" s="161">
        <f t="shared" si="54"/>
        <v>3.54</v>
      </c>
      <c r="T255" s="161">
        <f t="shared" si="54"/>
        <v>3.54</v>
      </c>
      <c r="U255" s="161">
        <f t="shared" si="54"/>
        <v>3.54</v>
      </c>
      <c r="V255" s="161">
        <f t="shared" si="54"/>
        <v>3.54</v>
      </c>
      <c r="W255" s="161">
        <f t="shared" si="54"/>
        <v>3.54</v>
      </c>
      <c r="X255" s="161">
        <f t="shared" si="54"/>
        <v>3.54</v>
      </c>
      <c r="Y255" s="161">
        <f t="shared" si="54"/>
        <v>3.54</v>
      </c>
      <c r="Z255" s="161">
        <f t="shared" si="54"/>
        <v>3.54</v>
      </c>
      <c r="AA255" s="161">
        <f t="shared" si="54"/>
        <v>3.54</v>
      </c>
      <c r="AB255" s="161">
        <f t="shared" si="54"/>
        <v>3.54</v>
      </c>
      <c r="AC255" s="161">
        <f t="shared" si="54"/>
        <v>3.54</v>
      </c>
      <c r="AD255" s="161">
        <f t="shared" si="54"/>
        <v>3.54</v>
      </c>
      <c r="AE255" s="161">
        <f t="shared" si="54"/>
        <v>3.54</v>
      </c>
      <c r="AF255" s="161">
        <f t="shared" si="54"/>
        <v>3.54</v>
      </c>
      <c r="AG255" s="171">
        <f t="shared" si="54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2122.84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2080/10/28)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N90:AN91"/>
    <mergeCell ref="AB9:AB10"/>
    <mergeCell ref="AC9:AC10"/>
    <mergeCell ref="AD9:AD10"/>
    <mergeCell ref="AE9:AE10"/>
    <mergeCell ref="AF9:AF10"/>
    <mergeCell ref="AG9:AG10"/>
  </mergeCells>
  <conditionalFormatting sqref="A11:A89 A95:A133 A135:A256">
    <cfRule type="expression" dxfId="892" priority="80">
      <formula>$AH11=0</formula>
    </cfRule>
  </conditionalFormatting>
  <conditionalFormatting sqref="A89">
    <cfRule type="expression" dxfId="891" priority="138">
      <formula>$AH94=0</formula>
    </cfRule>
  </conditionalFormatting>
  <conditionalFormatting sqref="A90:A94">
    <cfRule type="expression" dxfId="890" priority="81">
      <formula>$AH89=0</formula>
    </cfRule>
  </conditionalFormatting>
  <conditionalFormatting sqref="B8">
    <cfRule type="expression" dxfId="889" priority="134">
      <formula>AND(C$9&gt;=14/24,C$9&lt;20/24)</formula>
    </cfRule>
    <cfRule type="expression" dxfId="888" priority="135">
      <formula>AND(C$9&gt;=8/24,C$9&lt;14/24)</formula>
    </cfRule>
    <cfRule type="expression" dxfId="887" priority="136">
      <formula>C$9&lt;8/24</formula>
    </cfRule>
    <cfRule type="expression" dxfId="886" priority="137">
      <formula>C$9&gt;=20/24</formula>
    </cfRule>
  </conditionalFormatting>
  <conditionalFormatting sqref="B11:D60 S11:AF83 N12:O59 E12:L60 M12:M83 P15:P59 Q15:R77 N60:P77 E11 AG61 B61:L83 AG65 N78:R83 AG83">
    <cfRule type="expression" dxfId="885" priority="40">
      <formula>B11&gt;$AG11</formula>
    </cfRule>
  </conditionalFormatting>
  <conditionalFormatting sqref="B9:AF10 E11 B11:D57 E12:O57 P15:AF57 E62:AF64 B62:D71 C66:D77 B72:AF77 B80:AF102 B104:AF120 B122:AF140 B247:AF247 B249:B255">
    <cfRule type="expression" dxfId="884" priority="42">
      <formula>AND(B$9&gt;=14/24,B$9&lt;20/24)</formula>
    </cfRule>
    <cfRule type="expression" dxfId="883" priority="43">
      <formula>AND(B$9&gt;=8/24,B$9&lt;14/24)</formula>
    </cfRule>
    <cfRule type="expression" dxfId="882" priority="44">
      <formula>B$9&lt;8/24</formula>
    </cfRule>
  </conditionalFormatting>
  <conditionalFormatting sqref="B58:AF60">
    <cfRule type="expression" dxfId="881" priority="37">
      <formula>B$9&gt;=20/24</formula>
    </cfRule>
    <cfRule type="expression" dxfId="880" priority="38">
      <formula>AND(B$9&gt;=14/24,B$9&lt;20/24)</formula>
    </cfRule>
    <cfRule type="expression" dxfId="879" priority="39">
      <formula>AND(B$9&gt;=8/24,B$9&lt;14/24)</formula>
    </cfRule>
    <cfRule type="expression" dxfId="878" priority="49">
      <formula>B$9&lt;8/24</formula>
    </cfRule>
  </conditionalFormatting>
  <conditionalFormatting sqref="D249:AF255">
    <cfRule type="expression" dxfId="877" priority="119">
      <formula>D$9&gt;=20/24</formula>
    </cfRule>
    <cfRule type="expression" dxfId="876" priority="120">
      <formula>AND(D$9&gt;=14/24,D$9&lt;20/24)</formula>
    </cfRule>
    <cfRule type="expression" dxfId="875" priority="121">
      <formula>AND(D$9&gt;=8/24,D$9&lt;14/24)</formula>
    </cfRule>
    <cfRule type="expression" dxfId="874" priority="122">
      <formula>D$9&lt;8/24</formula>
    </cfRule>
  </conditionalFormatting>
  <conditionalFormatting sqref="E11 B11:D57 E12:O57 P15:AF57 E62:AF64 B62:D71 C66:D77 B72:AF77 B80:AF102 B9:AF10 B104:AF120 B122:AF140 B247:AF247 B249:B255">
    <cfRule type="expression" dxfId="873" priority="41">
      <formula>B$9&gt;=20/24</formula>
    </cfRule>
  </conditionalFormatting>
  <conditionalFormatting sqref="E66:I70 J67:J70 F70:AF70">
    <cfRule type="expression" dxfId="872" priority="50">
      <formula>E$9&gt;=20/24</formula>
    </cfRule>
    <cfRule type="expression" dxfId="871" priority="51">
      <formula>AND(E$9&gt;=14/24,E$9&lt;20/24)</formula>
    </cfRule>
    <cfRule type="expression" dxfId="870" priority="52">
      <formula>AND(E$9&gt;=8/24,E$9&lt;14/24)</formula>
    </cfRule>
    <cfRule type="expression" dxfId="869" priority="53">
      <formula>E$9&lt;8/24</formula>
    </cfRule>
  </conditionalFormatting>
  <conditionalFormatting sqref="E11:R11 P12:R14 S11:AF14">
    <cfRule type="expression" dxfId="868" priority="55">
      <formula>E$9&gt;=20/24</formula>
    </cfRule>
  </conditionalFormatting>
  <conditionalFormatting sqref="E11:R11 P12:R14">
    <cfRule type="expression" dxfId="867" priority="54">
      <formula>E11&gt;$AG11</formula>
    </cfRule>
  </conditionalFormatting>
  <conditionalFormatting sqref="E11:R11 S11:AF14 P12:R14">
    <cfRule type="expression" dxfId="866" priority="56">
      <formula>AND(E$9&gt;=14/24,E$9&lt;20/24)</formula>
    </cfRule>
    <cfRule type="expression" dxfId="865" priority="57">
      <formula>AND(E$9&gt;=8/24,E$9&lt;14/24)</formula>
    </cfRule>
    <cfRule type="expression" dxfId="864" priority="58">
      <formula>E$9&lt;8/24</formula>
    </cfRule>
  </conditionalFormatting>
  <conditionalFormatting sqref="E62:AF65">
    <cfRule type="expression" dxfId="863" priority="60">
      <formula>E$9&gt;=20/24</formula>
    </cfRule>
    <cfRule type="expression" dxfId="862" priority="61">
      <formula>AND(E$9&gt;=14/24,E$9&lt;20/24)</formula>
    </cfRule>
    <cfRule type="expression" dxfId="861" priority="62">
      <formula>AND(E$9&gt;=8/24,E$9&lt;14/24)</formula>
    </cfRule>
    <cfRule type="expression" dxfId="860" priority="63">
      <formula>E$9&lt;8/24</formula>
    </cfRule>
  </conditionalFormatting>
  <conditionalFormatting sqref="E71:AF71">
    <cfRule type="expression" dxfId="859" priority="45">
      <formula>E$9&gt;=20/24</formula>
    </cfRule>
    <cfRule type="expression" dxfId="858" priority="46">
      <formula>AND(E$9&gt;=14/24,E$9&lt;20/24)</formula>
    </cfRule>
    <cfRule type="expression" dxfId="857" priority="47">
      <formula>AND(E$9&gt;=8/24,E$9&lt;14/24)</formula>
    </cfRule>
    <cfRule type="expression" dxfId="856" priority="48">
      <formula>E$9&lt;8/24</formula>
    </cfRule>
  </conditionalFormatting>
  <conditionalFormatting sqref="F66:O68">
    <cfRule type="expression" dxfId="855" priority="72">
      <formula>F$9&gt;=20/24</formula>
    </cfRule>
    <cfRule type="expression" dxfId="854" priority="73">
      <formula>AND(F$9&gt;=14/24,F$9&lt;20/24)</formula>
    </cfRule>
    <cfRule type="expression" dxfId="853" priority="74">
      <formula>AND(F$9&gt;=8/24,F$9&lt;14/24)</formula>
    </cfRule>
    <cfRule type="expression" dxfId="852" priority="75">
      <formula>F$9&lt;8/24</formula>
    </cfRule>
  </conditionalFormatting>
  <conditionalFormatting sqref="L71:AF71">
    <cfRule type="expression" dxfId="851" priority="68">
      <formula>L$9&gt;=20/24</formula>
    </cfRule>
    <cfRule type="expression" dxfId="850" priority="69">
      <formula>AND(L$9&gt;=14/24,L$9&lt;20/24)</formula>
    </cfRule>
    <cfRule type="expression" dxfId="849" priority="70">
      <formula>AND(L$9&gt;=8/24,L$9&lt;14/24)</formula>
    </cfRule>
    <cfRule type="expression" dxfId="848" priority="71">
      <formula>L$9&lt;8/24</formula>
    </cfRule>
  </conditionalFormatting>
  <conditionalFormatting sqref="M8 S8 AB8">
    <cfRule type="expression" dxfId="847" priority="126">
      <formula>AND(N$9&gt;=14/24,N$9&lt;20/24)</formula>
    </cfRule>
    <cfRule type="expression" dxfId="846" priority="127">
      <formula>AND(N$9&gt;=8/24,N$9&lt;14/24)</formula>
    </cfRule>
    <cfRule type="expression" dxfId="845" priority="128">
      <formula>N$9&lt;8/24</formula>
    </cfRule>
  </conditionalFormatting>
  <conditionalFormatting sqref="N66:AF70">
    <cfRule type="expression" dxfId="844" priority="76">
      <formula>N$9&gt;=20/24</formula>
    </cfRule>
    <cfRule type="expression" dxfId="843" priority="77">
      <formula>AND(N$9&gt;=14/24,N$9&lt;20/24)</formula>
    </cfRule>
    <cfRule type="expression" dxfId="842" priority="78">
      <formula>AND(N$9&gt;=8/24,N$9&lt;14/24)</formula>
    </cfRule>
    <cfRule type="expression" dxfId="841" priority="79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40" priority="125">
      <formula>N$9&gt;=20/24</formula>
    </cfRule>
  </conditionalFormatting>
  <conditionalFormatting sqref="S8">
    <cfRule type="expression" dxfId="839" priority="112">
      <formula>U$9&gt;=20/24</formula>
    </cfRule>
    <cfRule type="expression" dxfId="838" priority="113">
      <formula>AND(U$9&gt;=14/24,U$9&lt;20/24)</formula>
    </cfRule>
    <cfRule type="expression" dxfId="837" priority="114">
      <formula>AND(U$9&gt;=8/24,U$9&lt;14/24)</formula>
    </cfRule>
    <cfRule type="expression" dxfId="836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Z66:AF71">
    <cfRule type="expression" dxfId="835" priority="64">
      <formula>Z$9&gt;=20/24</formula>
    </cfRule>
    <cfRule type="expression" dxfId="834" priority="65">
      <formula>AND(Z$9&gt;=14/24,Z$9&lt;20/24)</formula>
    </cfRule>
    <cfRule type="expression" dxfId="833" priority="66">
      <formula>AND(Z$9&gt;=8/24,Z$9&lt;14/24)</formula>
    </cfRule>
    <cfRule type="expression" dxfId="832" priority="67">
      <formula>Z$9&lt;8/24</formula>
    </cfRule>
  </conditionalFormatting>
  <conditionalFormatting sqref="AB8">
    <cfRule type="expression" dxfId="831" priority="108">
      <formula>AD$9&gt;=20/24</formula>
    </cfRule>
    <cfRule type="expression" dxfId="830" priority="109">
      <formula>AND(AD$9&gt;=14/24,AD$9&lt;20/24)</formula>
    </cfRule>
    <cfRule type="expression" dxfId="829" priority="110">
      <formula>AND(AD$9&gt;=8/24,AD$9&lt;14/24)</formula>
    </cfRule>
    <cfRule type="expression" dxfId="828" priority="111">
      <formula>AD$9&lt;8/24</formula>
    </cfRule>
  </conditionalFormatting>
  <conditionalFormatting sqref="AG65">
    <cfRule type="expression" dxfId="827" priority="87">
      <formula>AG$9&gt;=20/24</formula>
    </cfRule>
    <cfRule type="expression" dxfId="826" priority="88">
      <formula>AND(AG$9&gt;=14/24,AG$9&lt;20/24)</formula>
    </cfRule>
    <cfRule type="expression" dxfId="825" priority="89">
      <formula>AND(AG$9&gt;=8/24,AG$9&lt;14/24)</formula>
    </cfRule>
    <cfRule type="expression" dxfId="824" priority="90">
      <formula>AG$9&lt;8/24</formula>
    </cfRule>
  </conditionalFormatting>
  <conditionalFormatting sqref="AG78:AG79">
    <cfRule type="expression" dxfId="823" priority="82">
      <formula>AG78&gt;$AG78</formula>
    </cfRule>
  </conditionalFormatting>
  <conditionalFormatting sqref="AG83">
    <cfRule type="expression" dxfId="822" priority="83">
      <formula>AG$9&gt;=20/24</formula>
    </cfRule>
    <cfRule type="expression" dxfId="821" priority="84">
      <formula>AND(AG$9&gt;=14/24,AG$9&lt;20/24)</formula>
    </cfRule>
    <cfRule type="expression" dxfId="820" priority="85">
      <formula>AND(AG$9&gt;=8/24,AG$9&lt;14/24)</formula>
    </cfRule>
    <cfRule type="expression" dxfId="819" priority="86">
      <formula>AG$9&lt;8/24</formula>
    </cfRule>
  </conditionalFormatting>
  <conditionalFormatting sqref="AG100">
    <cfRule type="expression" dxfId="818" priority="104">
      <formula>AG$9&gt;=20/24</formula>
    </cfRule>
    <cfRule type="expression" dxfId="817" priority="105">
      <formula>AND(AG$9&gt;=14/24,AG$9&lt;20/24)</formula>
    </cfRule>
    <cfRule type="expression" dxfId="816" priority="106">
      <formula>AND(AG$9&gt;=8/24,AG$9&lt;14/24)</formula>
    </cfRule>
    <cfRule type="expression" dxfId="815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814" priority="129">
      <formula>AJ$9&gt;=20/24</formula>
    </cfRule>
    <cfRule type="expression" dxfId="813" priority="130">
      <formula>AND(AJ$9&gt;=14/24,AJ$9&lt;20/24)</formula>
    </cfRule>
    <cfRule type="expression" dxfId="812" priority="131">
      <formula>AND(AJ$9&gt;=8/24,AJ$9&lt;14/24)</formula>
    </cfRule>
    <cfRule type="expression" dxfId="811" priority="132">
      <formula>AJ$9&lt;8/24</formula>
    </cfRule>
  </conditionalFormatting>
  <conditionalFormatting sqref="AL86:AN86 AL92:AN92">
    <cfRule type="expression" dxfId="810" priority="97">
      <formula>AL$9&gt;=20/24</formula>
    </cfRule>
    <cfRule type="expression" dxfId="809" priority="98">
      <formula>AND(AL$9&gt;=14/24,AL$9&lt;20/24)</formula>
    </cfRule>
    <cfRule type="expression" dxfId="808" priority="99">
      <formula>AND(AL$9&gt;=8/24,AL$9&lt;14/24)</formula>
    </cfRule>
    <cfRule type="expression" dxfId="807" priority="100">
      <formula>AL$9&lt;8/24</formula>
    </cfRule>
  </conditionalFormatting>
  <conditionalFormatting sqref="AM15:AM21 AN16:AR21">
    <cfRule type="expression" dxfId="806" priority="13">
      <formula>AX$9&gt;=20/24</formula>
    </cfRule>
    <cfRule type="expression" dxfId="805" priority="14">
      <formula>AND(AX$9&gt;=14/24,AX$9&lt;20/24)</formula>
    </cfRule>
    <cfRule type="expression" dxfId="804" priority="15">
      <formula>AND(AX$9&gt;=8/24,AX$9&lt;14/24)</formula>
    </cfRule>
    <cfRule type="expression" dxfId="803" priority="16">
      <formula>AX$9&lt;8/24</formula>
    </cfRule>
  </conditionalFormatting>
  <conditionalFormatting sqref="AN87:AN90">
    <cfRule type="expression" dxfId="802" priority="93">
      <formula>AN$9&gt;=20/24</formula>
    </cfRule>
    <cfRule type="expression" dxfId="801" priority="94">
      <formula>AND(AN$9&gt;=14/24,AN$9&lt;20/24)</formula>
    </cfRule>
    <cfRule type="expression" dxfId="800" priority="95">
      <formula>AND(AN$9&gt;=8/24,AN$9&lt;14/24)</formula>
    </cfRule>
    <cfRule type="expression" dxfId="799" priority="96">
      <formula>AN$9&lt;8/24</formula>
    </cfRule>
  </conditionalFormatting>
  <conditionalFormatting sqref="AN15:AR15">
    <cfRule type="expression" dxfId="798" priority="1">
      <formula>U$9&gt;=20/24</formula>
    </cfRule>
    <cfRule type="expression" dxfId="797" priority="2">
      <formula>AND(U$9&gt;=14/24,U$9&lt;20/24)</formula>
    </cfRule>
    <cfRule type="expression" dxfId="796" priority="3">
      <formula>AND(U$9&gt;=8/24,U$9&lt;14/24)</formula>
    </cfRule>
    <cfRule type="expression" dxfId="795" priority="4">
      <formula>U$9&lt;8/24</formula>
    </cfRule>
  </conditionalFormatting>
  <conditionalFormatting sqref="AS15">
    <cfRule type="expression" dxfId="794" priority="9">
      <formula>AA$9&gt;=20/24</formula>
    </cfRule>
    <cfRule type="expression" dxfId="793" priority="10">
      <formula>AND(AA$9&gt;=14/24,AA$9&lt;20/24)</formula>
    </cfRule>
    <cfRule type="expression" dxfId="792" priority="11">
      <formula>AND(AA$9&gt;=8/24,AA$9&lt;14/24)</formula>
    </cfRule>
    <cfRule type="expression" dxfId="791" priority="12">
      <formula>AA$9&lt;8/24</formula>
    </cfRule>
  </conditionalFormatting>
  <conditionalFormatting sqref="AS16:AS21">
    <cfRule type="expression" dxfId="790" priority="17">
      <formula>BE$9&gt;=20/24</formula>
    </cfRule>
    <cfRule type="expression" dxfId="789" priority="18">
      <formula>AND(BE$9&gt;=14/24,BE$9&lt;20/24)</formula>
    </cfRule>
    <cfRule type="expression" dxfId="788" priority="19">
      <formula>AND(BE$9&gt;=8/24,BE$9&lt;14/24)</formula>
    </cfRule>
    <cfRule type="expression" dxfId="787" priority="20">
      <formula>BE$9&lt;8/24</formula>
    </cfRule>
  </conditionalFormatting>
  <conditionalFormatting sqref="AT15 AX15:BJ15">
    <cfRule type="expression" dxfId="786" priority="21">
      <formula>AC$9&gt;=20/24</formula>
    </cfRule>
    <cfRule type="expression" dxfId="785" priority="22">
      <formula>AND(AC$9&gt;=14/24,AC$9&lt;20/24)</formula>
    </cfRule>
    <cfRule type="expression" dxfId="784" priority="23">
      <formula>AND(AC$9&gt;=8/24,AC$9&lt;14/24)</formula>
    </cfRule>
    <cfRule type="expression" dxfId="783" priority="24">
      <formula>AC$9&lt;8/24</formula>
    </cfRule>
  </conditionalFormatting>
  <conditionalFormatting sqref="AT16:AT21">
    <cfRule type="expression" dxfId="782" priority="25">
      <formula>BG$9&gt;=20/24</formula>
    </cfRule>
    <cfRule type="expression" dxfId="781" priority="26">
      <formula>AND(BG$9&gt;=14/24,BG$9&lt;20/24)</formula>
    </cfRule>
    <cfRule type="expression" dxfId="780" priority="27">
      <formula>AND(BG$9&gt;=8/24,BG$9&lt;14/24)</formula>
    </cfRule>
    <cfRule type="expression" dxfId="779" priority="28">
      <formula>BG$9&lt;8/24</formula>
    </cfRule>
  </conditionalFormatting>
  <conditionalFormatting sqref="AU15:AV15">
    <cfRule type="expression" dxfId="778" priority="29">
      <formula>AE$9&gt;=20/24</formula>
    </cfRule>
    <cfRule type="expression" dxfId="777" priority="30">
      <formula>AND(AE$9&gt;=14/24,AE$9&lt;20/24)</formula>
    </cfRule>
    <cfRule type="expression" dxfId="776" priority="31">
      <formula>AND(AE$9&gt;=8/24,AE$9&lt;14/24)</formula>
    </cfRule>
    <cfRule type="expression" dxfId="775" priority="32">
      <formula>AE$9&lt;8/24</formula>
    </cfRule>
  </conditionalFormatting>
  <conditionalFormatting sqref="AU16:BJ21">
    <cfRule type="expression" dxfId="774" priority="33">
      <formula>BI$9&gt;=20/24</formula>
    </cfRule>
    <cfRule type="expression" dxfId="773" priority="34">
      <formula>AND(BI$9&gt;=14/24,BI$9&lt;20/24)</formula>
    </cfRule>
    <cfRule type="expression" dxfId="772" priority="35">
      <formula>AND(BI$9&gt;=8/24,BI$9&lt;14/24)</formula>
    </cfRule>
    <cfRule type="expression" dxfId="771" priority="36">
      <formula>BI$9&lt;8/24</formula>
    </cfRule>
  </conditionalFormatting>
  <conditionalFormatting sqref="AW15">
    <cfRule type="expression" dxfId="770" priority="5">
      <formula>B$9&gt;=20/24</formula>
    </cfRule>
    <cfRule type="expression" dxfId="769" priority="6">
      <formula>AND(B$9&gt;=14/24,B$9&lt;20/24)</formula>
    </cfRule>
    <cfRule type="expression" dxfId="768" priority="7">
      <formula>AND(B$9&gt;=8/24,B$9&lt;14/24)</formula>
    </cfRule>
    <cfRule type="expression" dxfId="76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79C7-18FA-4FF2-B73C-341756EDBAC1}">
  <dimension ref="A1:CJ297"/>
  <sheetViews>
    <sheetView zoomScale="106" workbookViewId="0">
      <pane xSplit="1" ySplit="10" topLeftCell="B7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L86" sqref="L86"/>
    </sheetView>
  </sheetViews>
  <sheetFormatPr defaultColWidth="9.140625" defaultRowHeight="15" x14ac:dyDescent="0.25"/>
  <cols>
    <col min="1" max="1" width="35.28515625" style="1" bestFit="1" customWidth="1"/>
    <col min="2" max="2" width="9" style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2080/10/29</v>
      </c>
      <c r="C4" s="189"/>
      <c r="D4" s="189"/>
      <c r="E4" s="190" t="str">
        <f ca="1">"2080/"&amp;"10/"&amp;INT(MID(CELL("filename",G6),FIND("]",CELL("filename",G6))+1,200))</f>
        <v>2080/10/29</v>
      </c>
      <c r="F4" s="190"/>
      <c r="G4" s="190"/>
      <c r="H4" s="190" t="str">
        <f ca="1">TEXT(E4,"dddd")</f>
        <v>Tuesday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25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2099MW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Load=1226</v>
      </c>
      <c r="B7" s="35">
        <f>B103</f>
        <v>1368.1999999999998</v>
      </c>
      <c r="C7" s="35">
        <f t="shared" ref="C7:AF7" si="1">C103</f>
        <v>1315.5</v>
      </c>
      <c r="D7" s="35">
        <f t="shared" si="1"/>
        <v>1329.5</v>
      </c>
      <c r="E7" s="35">
        <f t="shared" si="1"/>
        <v>1329.44</v>
      </c>
      <c r="F7" s="35">
        <f t="shared" si="1"/>
        <v>1312.5399999999997</v>
      </c>
      <c r="G7" s="35">
        <f t="shared" si="1"/>
        <v>1244.74</v>
      </c>
      <c r="H7" s="35">
        <f t="shared" si="1"/>
        <v>1225.7399999999998</v>
      </c>
      <c r="I7" s="35">
        <f t="shared" si="1"/>
        <v>1231.2400000000002</v>
      </c>
      <c r="J7" s="35">
        <f t="shared" si="1"/>
        <v>1252.7400000000002</v>
      </c>
      <c r="K7" s="35">
        <f t="shared" si="1"/>
        <v>1303.1399999999999</v>
      </c>
      <c r="L7" s="35">
        <f t="shared" si="1"/>
        <v>1252.44</v>
      </c>
      <c r="M7" s="35">
        <f t="shared" si="1"/>
        <v>1238.44</v>
      </c>
      <c r="N7" s="35">
        <f t="shared" si="1"/>
        <v>1410.2399999999998</v>
      </c>
      <c r="O7" s="35">
        <f t="shared" si="1"/>
        <v>1411.8400000000001</v>
      </c>
      <c r="P7" s="35">
        <f t="shared" si="1"/>
        <v>1328.2999999999997</v>
      </c>
      <c r="Q7" s="35">
        <f t="shared" si="1"/>
        <v>1323.8000000000002</v>
      </c>
      <c r="R7" s="35">
        <f t="shared" si="1"/>
        <v>1318.2400000000002</v>
      </c>
      <c r="S7" s="35">
        <f t="shared" si="1"/>
        <v>1317.04</v>
      </c>
      <c r="T7" s="35">
        <f t="shared" si="1"/>
        <v>1313.7399999999998</v>
      </c>
      <c r="U7" s="35">
        <f t="shared" si="1"/>
        <v>1263.4400000000005</v>
      </c>
      <c r="V7" s="35">
        <f t="shared" si="1"/>
        <v>1236.3400000000004</v>
      </c>
      <c r="W7" s="35">
        <f t="shared" si="1"/>
        <v>1280.3400000000001</v>
      </c>
      <c r="X7" s="35">
        <f t="shared" si="1"/>
        <v>1319.04</v>
      </c>
      <c r="Y7" s="35">
        <f t="shared" si="1"/>
        <v>1349.3400000000001</v>
      </c>
      <c r="Z7" s="35">
        <f t="shared" si="1"/>
        <v>1375.14</v>
      </c>
      <c r="AA7" s="35">
        <f t="shared" si="1"/>
        <v>1567.2400000000002</v>
      </c>
      <c r="AB7" s="35">
        <f t="shared" si="1"/>
        <v>1570.8400000000001</v>
      </c>
      <c r="AC7" s="35">
        <f t="shared" si="1"/>
        <v>1575.04</v>
      </c>
      <c r="AD7" s="35">
        <f t="shared" si="1"/>
        <v>1576.7400000000002</v>
      </c>
      <c r="AE7" s="35">
        <f t="shared" si="1"/>
        <v>1544.7400000000002</v>
      </c>
      <c r="AF7" s="35">
        <f t="shared" si="1"/>
        <v>1398.04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2318.44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1576.74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82.4</v>
      </c>
      <c r="C11" s="46">
        <v>82.4</v>
      </c>
      <c r="D11" s="46">
        <v>82.4</v>
      </c>
      <c r="E11" s="46">
        <v>82.4</v>
      </c>
      <c r="F11" s="46">
        <v>82.4</v>
      </c>
      <c r="G11" s="46">
        <v>82.4</v>
      </c>
      <c r="H11" s="46">
        <v>82.4</v>
      </c>
      <c r="I11" s="46">
        <v>82.4</v>
      </c>
      <c r="J11" s="46">
        <v>82.4</v>
      </c>
      <c r="K11" s="46">
        <v>82.4</v>
      </c>
      <c r="L11" s="46">
        <v>82.4</v>
      </c>
      <c r="M11" s="46">
        <v>87</v>
      </c>
      <c r="N11" s="46">
        <v>87.2</v>
      </c>
      <c r="O11" s="46">
        <v>87.2</v>
      </c>
      <c r="P11" s="46">
        <v>82.9</v>
      </c>
      <c r="Q11" s="46">
        <v>83</v>
      </c>
      <c r="R11" s="46">
        <v>83</v>
      </c>
      <c r="S11" s="46">
        <v>83</v>
      </c>
      <c r="T11" s="46">
        <v>83</v>
      </c>
      <c r="U11" s="46">
        <v>83</v>
      </c>
      <c r="V11" s="46">
        <v>83</v>
      </c>
      <c r="W11" s="46">
        <v>83</v>
      </c>
      <c r="X11" s="46">
        <v>83</v>
      </c>
      <c r="Y11" s="46">
        <v>83</v>
      </c>
      <c r="Z11" s="46">
        <v>83</v>
      </c>
      <c r="AA11" s="46">
        <v>86.7</v>
      </c>
      <c r="AB11" s="46">
        <v>86.7</v>
      </c>
      <c r="AC11" s="46">
        <v>86.7</v>
      </c>
      <c r="AD11" s="46">
        <v>86.7</v>
      </c>
      <c r="AE11" s="46">
        <v>86.7</v>
      </c>
      <c r="AF11" s="46">
        <v>70</v>
      </c>
      <c r="AG11" s="47">
        <v>86</v>
      </c>
      <c r="AH11" s="48">
        <f t="shared" ref="AH11:AH42" si="2">MAX(B11:AF11)</f>
        <v>87.2</v>
      </c>
      <c r="AI11" s="49">
        <f t="shared" ref="AI11:AI42" si="3">MIN(B11:AF11)</f>
        <v>70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47.1</v>
      </c>
      <c r="C12" s="46">
        <v>47.1</v>
      </c>
      <c r="D12" s="46">
        <v>47.1</v>
      </c>
      <c r="E12" s="46">
        <v>40</v>
      </c>
      <c r="F12" s="46">
        <v>40</v>
      </c>
      <c r="G12" s="46">
        <v>40</v>
      </c>
      <c r="H12" s="46">
        <v>40</v>
      </c>
      <c r="I12" s="46">
        <v>40</v>
      </c>
      <c r="J12" s="46">
        <v>54.7</v>
      </c>
      <c r="K12" s="46">
        <v>54.7</v>
      </c>
      <c r="L12" s="46">
        <v>54.7</v>
      </c>
      <c r="M12" s="46">
        <v>54.7</v>
      </c>
      <c r="N12" s="46">
        <v>54.7</v>
      </c>
      <c r="O12" s="46">
        <v>54.7</v>
      </c>
      <c r="P12" s="46">
        <v>56</v>
      </c>
      <c r="Q12" s="46">
        <v>56</v>
      </c>
      <c r="R12" s="46">
        <v>56</v>
      </c>
      <c r="S12" s="46">
        <v>56</v>
      </c>
      <c r="T12" s="46">
        <v>56</v>
      </c>
      <c r="U12" s="46">
        <v>56</v>
      </c>
      <c r="V12" s="46">
        <v>56</v>
      </c>
      <c r="W12" s="46">
        <v>56</v>
      </c>
      <c r="X12" s="46">
        <v>56</v>
      </c>
      <c r="Y12" s="46">
        <v>56</v>
      </c>
      <c r="Z12" s="46">
        <v>56</v>
      </c>
      <c r="AA12" s="46">
        <v>82.4</v>
      </c>
      <c r="AB12" s="46">
        <v>83.2</v>
      </c>
      <c r="AC12" s="46">
        <v>83.2</v>
      </c>
      <c r="AD12" s="46">
        <v>83.2</v>
      </c>
      <c r="AE12" s="46">
        <v>83.2</v>
      </c>
      <c r="AF12" s="46">
        <v>50</v>
      </c>
      <c r="AG12" s="50">
        <v>77</v>
      </c>
      <c r="AH12" s="48">
        <f t="shared" si="2"/>
        <v>83.2</v>
      </c>
      <c r="AI12" s="49">
        <f t="shared" si="3"/>
        <v>40</v>
      </c>
      <c r="AK12" s="51"/>
      <c r="AL12" s="52" t="str">
        <f ca="1">MID(CELL("filename",C7),FIND("]",CELL("filename",C7))+1,600)</f>
        <v>29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10</v>
      </c>
      <c r="J13" s="46">
        <v>0</v>
      </c>
      <c r="K13" s="46">
        <v>10</v>
      </c>
      <c r="L13" s="46">
        <v>10</v>
      </c>
      <c r="M13" s="46">
        <v>10</v>
      </c>
      <c r="N13" s="46">
        <v>10</v>
      </c>
      <c r="O13" s="46">
        <v>20</v>
      </c>
      <c r="P13" s="46">
        <v>20</v>
      </c>
      <c r="Q13" s="46">
        <v>10</v>
      </c>
      <c r="R13" s="46">
        <v>10</v>
      </c>
      <c r="S13" s="46">
        <v>73</v>
      </c>
      <c r="T13" s="46">
        <v>73</v>
      </c>
      <c r="U13" s="46">
        <v>73</v>
      </c>
      <c r="V13" s="46">
        <v>73</v>
      </c>
      <c r="W13" s="46">
        <v>73</v>
      </c>
      <c r="X13" s="46">
        <v>73</v>
      </c>
      <c r="Y13" s="46">
        <v>73</v>
      </c>
      <c r="Z13" s="46">
        <v>73</v>
      </c>
      <c r="AA13" s="46">
        <v>73</v>
      </c>
      <c r="AB13" s="46">
        <v>72</v>
      </c>
      <c r="AC13" s="46">
        <v>72</v>
      </c>
      <c r="AD13" s="46">
        <v>72</v>
      </c>
      <c r="AE13" s="46">
        <v>72</v>
      </c>
      <c r="AF13" s="46">
        <v>30</v>
      </c>
      <c r="AG13" s="50">
        <v>73</v>
      </c>
      <c r="AH13" s="48">
        <f t="shared" si="2"/>
        <v>73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2080/10/29)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10</v>
      </c>
      <c r="C14" s="46">
        <v>10</v>
      </c>
      <c r="D14" s="46">
        <v>10</v>
      </c>
      <c r="E14" s="46">
        <v>10.9</v>
      </c>
      <c r="F14" s="46">
        <v>10.9</v>
      </c>
      <c r="G14" s="46">
        <v>10.9</v>
      </c>
      <c r="H14" s="46">
        <v>10.9</v>
      </c>
      <c r="I14" s="46">
        <v>10.9</v>
      </c>
      <c r="J14" s="46">
        <v>10.9</v>
      </c>
      <c r="K14" s="46">
        <v>10.9</v>
      </c>
      <c r="L14" s="46">
        <v>10.9</v>
      </c>
      <c r="M14" s="46">
        <v>10.9</v>
      </c>
      <c r="N14" s="46">
        <v>11</v>
      </c>
      <c r="O14" s="46">
        <v>11</v>
      </c>
      <c r="P14" s="46">
        <v>10.9</v>
      </c>
      <c r="Q14" s="46">
        <v>5</v>
      </c>
      <c r="R14" s="46">
        <v>5</v>
      </c>
      <c r="S14" s="46">
        <v>5</v>
      </c>
      <c r="T14" s="46">
        <v>5</v>
      </c>
      <c r="U14" s="46">
        <v>5</v>
      </c>
      <c r="V14" s="46">
        <v>5</v>
      </c>
      <c r="W14" s="46">
        <v>5</v>
      </c>
      <c r="X14" s="46">
        <v>20.7</v>
      </c>
      <c r="Y14" s="46">
        <v>20.7</v>
      </c>
      <c r="Z14" s="46">
        <v>20.7</v>
      </c>
      <c r="AA14" s="46">
        <v>33.4</v>
      </c>
      <c r="AB14" s="46">
        <v>33.4</v>
      </c>
      <c r="AC14" s="46">
        <v>33.4</v>
      </c>
      <c r="AD14" s="46">
        <v>33.4</v>
      </c>
      <c r="AE14" s="46">
        <v>33.4</v>
      </c>
      <c r="AF14" s="46">
        <v>30</v>
      </c>
      <c r="AG14" s="50">
        <v>71</v>
      </c>
      <c r="AH14" s="48">
        <f t="shared" si="2"/>
        <v>33.4</v>
      </c>
      <c r="AI14" s="49">
        <f t="shared" si="3"/>
        <v>5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36.1</v>
      </c>
      <c r="C15" s="46">
        <v>36.1</v>
      </c>
      <c r="D15" s="46">
        <v>36.1</v>
      </c>
      <c r="E15" s="46">
        <v>26.1</v>
      </c>
      <c r="F15" s="46">
        <v>26.1</v>
      </c>
      <c r="G15" s="46">
        <v>26.1</v>
      </c>
      <c r="H15" s="46">
        <v>26.1</v>
      </c>
      <c r="I15" s="46">
        <v>26.1</v>
      </c>
      <c r="J15" s="46">
        <v>34</v>
      </c>
      <c r="K15" s="46">
        <v>34</v>
      </c>
      <c r="L15" s="46">
        <v>34</v>
      </c>
      <c r="M15" s="46">
        <v>34</v>
      </c>
      <c r="N15" s="46">
        <v>34</v>
      </c>
      <c r="O15" s="46">
        <v>34</v>
      </c>
      <c r="P15" s="46">
        <v>36</v>
      </c>
      <c r="Q15" s="46">
        <v>36</v>
      </c>
      <c r="R15" s="46">
        <v>36</v>
      </c>
      <c r="S15" s="46">
        <v>36</v>
      </c>
      <c r="T15" s="46">
        <v>36</v>
      </c>
      <c r="U15" s="46">
        <v>36</v>
      </c>
      <c r="V15" s="46">
        <v>36</v>
      </c>
      <c r="W15" s="46">
        <v>36</v>
      </c>
      <c r="X15" s="46">
        <v>48</v>
      </c>
      <c r="Y15" s="46">
        <v>48</v>
      </c>
      <c r="Z15" s="46">
        <v>48</v>
      </c>
      <c r="AA15" s="46">
        <v>58.9</v>
      </c>
      <c r="AB15" s="46">
        <v>58.9</v>
      </c>
      <c r="AC15" s="46">
        <v>58.9</v>
      </c>
      <c r="AD15" s="46">
        <v>35.700000000000003</v>
      </c>
      <c r="AE15" s="46">
        <v>35.700000000000003</v>
      </c>
      <c r="AF15" s="46">
        <v>30</v>
      </c>
      <c r="AG15" s="50">
        <v>54</v>
      </c>
      <c r="AH15" s="48">
        <f t="shared" si="2"/>
        <v>58.9</v>
      </c>
      <c r="AI15" s="49">
        <f t="shared" si="3"/>
        <v>26.1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13.9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9</v>
      </c>
      <c r="J16" s="46">
        <v>0</v>
      </c>
      <c r="K16" s="46">
        <v>0</v>
      </c>
      <c r="L16" s="46">
        <v>0</v>
      </c>
      <c r="M16" s="46">
        <v>10</v>
      </c>
      <c r="N16" s="46">
        <v>10</v>
      </c>
      <c r="O16" s="46">
        <v>27</v>
      </c>
      <c r="P16" s="46">
        <v>10</v>
      </c>
      <c r="Q16" s="46">
        <v>10</v>
      </c>
      <c r="R16" s="46">
        <v>10</v>
      </c>
      <c r="S16" s="46">
        <v>10</v>
      </c>
      <c r="T16" s="46">
        <v>10</v>
      </c>
      <c r="U16" s="46">
        <v>10</v>
      </c>
      <c r="V16" s="46">
        <v>10</v>
      </c>
      <c r="W16" s="46">
        <v>10</v>
      </c>
      <c r="X16" s="46">
        <v>27.2</v>
      </c>
      <c r="Y16" s="46">
        <v>27.2</v>
      </c>
      <c r="Z16" s="46">
        <v>27.2</v>
      </c>
      <c r="AA16" s="46">
        <v>27.2</v>
      </c>
      <c r="AB16" s="46">
        <v>27.2</v>
      </c>
      <c r="AC16" s="46">
        <v>27.2</v>
      </c>
      <c r="AD16" s="46">
        <v>27.2</v>
      </c>
      <c r="AE16" s="46">
        <v>27.2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>B61</f>
        <v>1180.9000000000001</v>
      </c>
      <c r="AN16" s="59">
        <f t="shared" ref="AN16:AR16" si="4">C61</f>
        <v>1142.1000000000001</v>
      </c>
      <c r="AO16" s="59">
        <f t="shared" si="4"/>
        <v>1142.1000000000001</v>
      </c>
      <c r="AP16" s="59">
        <f t="shared" si="4"/>
        <v>1146</v>
      </c>
      <c r="AQ16" s="59">
        <f t="shared" si="4"/>
        <v>1120</v>
      </c>
      <c r="AR16" s="59">
        <f t="shared" si="4"/>
        <v>1105.9000000000001</v>
      </c>
      <c r="AS16" s="59">
        <f>I61</f>
        <v>1149.5999999999999</v>
      </c>
      <c r="AT16" s="59">
        <f>K61</f>
        <v>1151.6999999999998</v>
      </c>
      <c r="AU16" s="59">
        <f t="shared" ref="AU16:BD16" si="5">M61</f>
        <v>1140.3999999999999</v>
      </c>
      <c r="AV16" s="59">
        <f t="shared" si="5"/>
        <v>1211.3</v>
      </c>
      <c r="AW16" s="59">
        <f t="shared" si="5"/>
        <v>1214.3</v>
      </c>
      <c r="AX16" s="59">
        <f t="shared" si="5"/>
        <v>1170.6999999999998</v>
      </c>
      <c r="AY16" s="59">
        <f t="shared" si="5"/>
        <v>1187.9000000000001</v>
      </c>
      <c r="AZ16" s="59">
        <f t="shared" si="5"/>
        <v>1187.9000000000001</v>
      </c>
      <c r="BA16" s="59">
        <f t="shared" si="5"/>
        <v>1250.9000000000001</v>
      </c>
      <c r="BB16" s="59">
        <f t="shared" si="5"/>
        <v>1250.9000000000001</v>
      </c>
      <c r="BC16" s="59">
        <f t="shared" si="5"/>
        <v>1250.9000000000001</v>
      </c>
      <c r="BD16" s="59">
        <f t="shared" si="5"/>
        <v>1250.9000000000001</v>
      </c>
      <c r="BE16" s="60">
        <f>X61</f>
        <v>1295.8</v>
      </c>
      <c r="BF16" s="60">
        <f>Z61</f>
        <v>1295.8</v>
      </c>
      <c r="BG16" s="60">
        <f>AB61</f>
        <v>1435.4</v>
      </c>
      <c r="BH16" s="60">
        <f>AD61</f>
        <v>1413.7</v>
      </c>
      <c r="BI16" s="60">
        <f>AE61</f>
        <v>1413.7</v>
      </c>
      <c r="BJ16" s="60">
        <f>AF61</f>
        <v>1259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52.8</v>
      </c>
      <c r="C17" s="46">
        <v>52.8</v>
      </c>
      <c r="D17" s="46">
        <v>52.8</v>
      </c>
      <c r="E17" s="46">
        <v>53.6</v>
      </c>
      <c r="F17" s="46">
        <v>53.6</v>
      </c>
      <c r="G17" s="46">
        <v>53.6</v>
      </c>
      <c r="H17" s="46">
        <v>53.6</v>
      </c>
      <c r="I17" s="46">
        <v>53.6</v>
      </c>
      <c r="J17" s="46">
        <v>53.6</v>
      </c>
      <c r="K17" s="46">
        <v>53.6</v>
      </c>
      <c r="L17" s="46">
        <v>53.6</v>
      </c>
      <c r="M17" s="46">
        <v>53.6</v>
      </c>
      <c r="N17" s="46">
        <v>53.6</v>
      </c>
      <c r="O17" s="46">
        <v>53.6</v>
      </c>
      <c r="P17" s="46">
        <v>53.6</v>
      </c>
      <c r="Q17" s="46">
        <v>53.6</v>
      </c>
      <c r="R17" s="46">
        <v>53.6</v>
      </c>
      <c r="S17" s="46">
        <v>53.6</v>
      </c>
      <c r="T17" s="46">
        <v>53.6</v>
      </c>
      <c r="U17" s="46">
        <v>53.6</v>
      </c>
      <c r="V17" s="46">
        <v>53.6</v>
      </c>
      <c r="W17" s="46">
        <v>53.6</v>
      </c>
      <c r="X17" s="46">
        <v>53.6</v>
      </c>
      <c r="Y17" s="46">
        <v>53.6</v>
      </c>
      <c r="Z17" s="46">
        <v>53.6</v>
      </c>
      <c r="AA17" s="46">
        <v>53.6</v>
      </c>
      <c r="AB17" s="46">
        <v>53.6</v>
      </c>
      <c r="AC17" s="46">
        <v>53.6</v>
      </c>
      <c r="AD17" s="46">
        <v>55.6</v>
      </c>
      <c r="AE17" s="46">
        <v>55.6</v>
      </c>
      <c r="AF17" s="46">
        <v>52</v>
      </c>
      <c r="AG17" s="47">
        <v>52.4</v>
      </c>
      <c r="AH17" s="48">
        <f t="shared" si="2"/>
        <v>55.6</v>
      </c>
      <c r="AI17" s="49">
        <f t="shared" si="3"/>
        <v>52</v>
      </c>
      <c r="AK17" s="51"/>
      <c r="AL17" s="54" t="s">
        <v>27</v>
      </c>
      <c r="AM17" s="59">
        <f>B65</f>
        <v>538</v>
      </c>
      <c r="AN17" s="59">
        <f t="shared" ref="AN17:AR17" si="6">C65</f>
        <v>538</v>
      </c>
      <c r="AO17" s="59">
        <f t="shared" si="6"/>
        <v>538</v>
      </c>
      <c r="AP17" s="59">
        <f t="shared" si="6"/>
        <v>541.19999999999993</v>
      </c>
      <c r="AQ17" s="59">
        <f t="shared" si="6"/>
        <v>539.69999999999993</v>
      </c>
      <c r="AR17" s="59">
        <f t="shared" si="6"/>
        <v>539.79999999999995</v>
      </c>
      <c r="AS17" s="59">
        <f>I65</f>
        <v>539.9</v>
      </c>
      <c r="AT17" s="59">
        <f>K65</f>
        <v>540</v>
      </c>
      <c r="AU17" s="59">
        <f t="shared" ref="AU17:BD17" si="7">M65</f>
        <v>541.20000000000005</v>
      </c>
      <c r="AV17" s="59">
        <f t="shared" si="7"/>
        <v>541.20000000000005</v>
      </c>
      <c r="AW17" s="59">
        <f t="shared" si="7"/>
        <v>541.20000000000005</v>
      </c>
      <c r="AX17" s="59">
        <f t="shared" si="7"/>
        <v>541.20000000000005</v>
      </c>
      <c r="AY17" s="59">
        <f t="shared" si="7"/>
        <v>541.20000000000005</v>
      </c>
      <c r="AZ17" s="59">
        <f t="shared" si="7"/>
        <v>466.40000000000003</v>
      </c>
      <c r="BA17" s="59">
        <f t="shared" si="7"/>
        <v>466.40000000000003</v>
      </c>
      <c r="BB17" s="59">
        <f t="shared" si="7"/>
        <v>466.40000000000003</v>
      </c>
      <c r="BC17" s="59">
        <f t="shared" si="7"/>
        <v>466.40000000000003</v>
      </c>
      <c r="BD17" s="59">
        <f t="shared" si="7"/>
        <v>466.40000000000003</v>
      </c>
      <c r="BE17" s="60">
        <f>X65</f>
        <v>466.40000000000003</v>
      </c>
      <c r="BF17" s="60">
        <f>Z65</f>
        <v>466.40000000000003</v>
      </c>
      <c r="BG17" s="60">
        <f>AB65</f>
        <v>466.40000000000003</v>
      </c>
      <c r="BH17" s="60">
        <f>AD65</f>
        <v>466.40000000000003</v>
      </c>
      <c r="BI17" s="60">
        <f>AE65</f>
        <v>466.40000000000003</v>
      </c>
      <c r="BJ17" s="60">
        <f>AF65</f>
        <v>466.40000000000003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50.9</v>
      </c>
      <c r="Q18" s="46">
        <v>50.9</v>
      </c>
      <c r="R18" s="46">
        <v>50.9</v>
      </c>
      <c r="S18" s="46">
        <v>50.9</v>
      </c>
      <c r="T18" s="46">
        <v>50.9</v>
      </c>
      <c r="U18" s="46">
        <v>50.9</v>
      </c>
      <c r="V18" s="46">
        <v>50.9</v>
      </c>
      <c r="W18" s="46">
        <v>50.9</v>
      </c>
      <c r="X18" s="46">
        <v>50.9</v>
      </c>
      <c r="Y18" s="46">
        <v>50.9</v>
      </c>
      <c r="Z18" s="46">
        <v>50.9</v>
      </c>
      <c r="AA18" s="46">
        <v>50.9</v>
      </c>
      <c r="AB18" s="46">
        <v>50.9</v>
      </c>
      <c r="AC18" s="46">
        <v>50.9</v>
      </c>
      <c r="AD18" s="46">
        <v>50.4</v>
      </c>
      <c r="AE18" s="46">
        <v>50.4</v>
      </c>
      <c r="AF18" s="46">
        <v>50.4</v>
      </c>
      <c r="AG18" s="50">
        <v>50</v>
      </c>
      <c r="AH18" s="48">
        <f t="shared" si="2"/>
        <v>50.9</v>
      </c>
      <c r="AI18" s="49">
        <f t="shared" si="3"/>
        <v>50.4</v>
      </c>
      <c r="AK18" s="51"/>
      <c r="AL18" s="54" t="s">
        <v>29</v>
      </c>
      <c r="AM18" s="59">
        <f>B79</f>
        <v>405.29999999999995</v>
      </c>
      <c r="AN18" s="59">
        <f t="shared" ref="AN18:AR18" si="8">C79</f>
        <v>405.29999999999995</v>
      </c>
      <c r="AO18" s="59">
        <f t="shared" si="8"/>
        <v>405.29999999999995</v>
      </c>
      <c r="AP18" s="59">
        <f t="shared" si="8"/>
        <v>380.34</v>
      </c>
      <c r="AQ18" s="59">
        <f t="shared" si="8"/>
        <v>380.34</v>
      </c>
      <c r="AR18" s="59">
        <f t="shared" si="8"/>
        <v>391.34000000000003</v>
      </c>
      <c r="AS18" s="59">
        <f>I79</f>
        <v>330.34000000000003</v>
      </c>
      <c r="AT18" s="59">
        <f>K79</f>
        <v>311.64000000000004</v>
      </c>
      <c r="AU18" s="59">
        <f t="shared" ref="AU18:BD18" si="9">M79</f>
        <v>326.64000000000004</v>
      </c>
      <c r="AV18" s="59">
        <f t="shared" si="9"/>
        <v>346.64000000000004</v>
      </c>
      <c r="AW18" s="59">
        <f t="shared" si="9"/>
        <v>351.34</v>
      </c>
      <c r="AX18" s="59">
        <f t="shared" si="9"/>
        <v>352.29999999999995</v>
      </c>
      <c r="AY18" s="59">
        <f t="shared" si="9"/>
        <v>352.29999999999995</v>
      </c>
      <c r="AZ18" s="59">
        <f t="shared" si="9"/>
        <v>333.44</v>
      </c>
      <c r="BA18" s="59">
        <f t="shared" si="9"/>
        <v>348.24</v>
      </c>
      <c r="BB18" s="59">
        <f t="shared" si="9"/>
        <v>348.24</v>
      </c>
      <c r="BC18" s="59">
        <f t="shared" si="9"/>
        <v>366.34</v>
      </c>
      <c r="BD18" s="59">
        <f t="shared" si="9"/>
        <v>363.34</v>
      </c>
      <c r="BE18" s="60">
        <f>X79</f>
        <v>368.14</v>
      </c>
      <c r="BF18" s="60">
        <f>Z79</f>
        <v>364.74</v>
      </c>
      <c r="BG18" s="60">
        <f>AB79</f>
        <v>416.64</v>
      </c>
      <c r="BH18" s="60">
        <f>AD79</f>
        <v>416.64</v>
      </c>
      <c r="BI18" s="60">
        <f>AE79</f>
        <v>416.64</v>
      </c>
      <c r="BJ18" s="60">
        <f>AF79</f>
        <v>416.64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</v>
      </c>
      <c r="C19" s="46">
        <v>44</v>
      </c>
      <c r="D19" s="46">
        <v>44</v>
      </c>
      <c r="E19" s="46">
        <v>44</v>
      </c>
      <c r="F19" s="46">
        <v>44</v>
      </c>
      <c r="G19" s="46">
        <v>44</v>
      </c>
      <c r="H19" s="46">
        <v>44</v>
      </c>
      <c r="I19" s="46">
        <v>44</v>
      </c>
      <c r="J19" s="46">
        <v>44</v>
      </c>
      <c r="K19" s="46">
        <v>44</v>
      </c>
      <c r="L19" s="46">
        <v>44</v>
      </c>
      <c r="M19" s="46">
        <v>44</v>
      </c>
      <c r="N19" s="46">
        <v>44</v>
      </c>
      <c r="O19" s="46">
        <v>44</v>
      </c>
      <c r="P19" s="46">
        <v>44</v>
      </c>
      <c r="Q19" s="46">
        <v>44</v>
      </c>
      <c r="R19" s="46">
        <v>44</v>
      </c>
      <c r="S19" s="46">
        <v>44</v>
      </c>
      <c r="T19" s="46">
        <v>44</v>
      </c>
      <c r="U19" s="46">
        <v>44</v>
      </c>
      <c r="V19" s="46">
        <v>44</v>
      </c>
      <c r="W19" s="46">
        <v>44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>
        <v>44</v>
      </c>
      <c r="AE19" s="46">
        <v>44</v>
      </c>
      <c r="AF19" s="46">
        <v>44</v>
      </c>
      <c r="AG19" s="50">
        <v>45</v>
      </c>
      <c r="AH19" s="48">
        <f t="shared" si="2"/>
        <v>44</v>
      </c>
      <c r="AI19" s="49">
        <f t="shared" si="3"/>
        <v>44</v>
      </c>
      <c r="AK19" s="51"/>
      <c r="AL19" s="54" t="s">
        <v>31</v>
      </c>
      <c r="AM19" s="59">
        <f>B95</f>
        <v>0</v>
      </c>
      <c r="AN19" s="59">
        <f t="shared" ref="AN19:AR19" si="10">C95</f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35</v>
      </c>
      <c r="AG20" s="50">
        <v>44</v>
      </c>
      <c r="AH20" s="48">
        <f t="shared" si="2"/>
        <v>44</v>
      </c>
      <c r="AI20" s="49">
        <f t="shared" si="3"/>
        <v>35</v>
      </c>
      <c r="AK20" s="51"/>
      <c r="AL20" s="54" t="s">
        <v>33</v>
      </c>
      <c r="AM20" s="59">
        <f>B83</f>
        <v>0</v>
      </c>
      <c r="AN20" s="59">
        <f t="shared" ref="AN20:AR20" si="12">C83</f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>B101</f>
        <v>0</v>
      </c>
      <c r="AN21" s="59">
        <f t="shared" ref="AN21:AR21" si="14">C101</f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27</v>
      </c>
      <c r="F22" s="46">
        <v>27</v>
      </c>
      <c r="G22" s="46">
        <v>27</v>
      </c>
      <c r="H22" s="46">
        <v>27</v>
      </c>
      <c r="I22" s="46">
        <v>27</v>
      </c>
      <c r="J22" s="46">
        <v>27</v>
      </c>
      <c r="K22" s="46">
        <v>27</v>
      </c>
      <c r="L22" s="46">
        <v>27</v>
      </c>
      <c r="M22" s="46">
        <v>22</v>
      </c>
      <c r="N22" s="46">
        <v>27</v>
      </c>
      <c r="O22" s="46">
        <v>27</v>
      </c>
      <c r="P22" s="46">
        <v>27</v>
      </c>
      <c r="Q22" s="46">
        <v>27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>
        <v>27</v>
      </c>
      <c r="X22" s="46">
        <v>27</v>
      </c>
      <c r="Y22" s="46">
        <v>27</v>
      </c>
      <c r="Z22" s="46">
        <v>27</v>
      </c>
      <c r="AA22" s="46">
        <v>26</v>
      </c>
      <c r="AB22" s="46">
        <v>26</v>
      </c>
      <c r="AC22" s="46">
        <v>26</v>
      </c>
      <c r="AD22" s="46">
        <v>26</v>
      </c>
      <c r="AE22" s="46">
        <v>26</v>
      </c>
      <c r="AF22" s="46">
        <v>26</v>
      </c>
      <c r="AG22" s="50">
        <v>38.46</v>
      </c>
      <c r="AH22" s="48">
        <f t="shared" si="2"/>
        <v>27</v>
      </c>
      <c r="AI22" s="49">
        <f t="shared" si="3"/>
        <v>22</v>
      </c>
      <c r="AK22" s="51"/>
      <c r="AL22" s="62" t="s">
        <v>37</v>
      </c>
      <c r="AM22" s="63">
        <f t="shared" ref="AM22:BJ22" si="16">SUM(AM16:AM21)</f>
        <v>2124.1999999999998</v>
      </c>
      <c r="AN22" s="63">
        <f t="shared" si="16"/>
        <v>2085.4</v>
      </c>
      <c r="AO22" s="63">
        <f t="shared" si="16"/>
        <v>2085.4</v>
      </c>
      <c r="AP22" s="63">
        <f t="shared" si="16"/>
        <v>2067.54</v>
      </c>
      <c r="AQ22" s="63">
        <f t="shared" si="16"/>
        <v>2040.0399999999997</v>
      </c>
      <c r="AR22" s="63">
        <f t="shared" si="16"/>
        <v>2037.04</v>
      </c>
      <c r="AS22" s="63">
        <f t="shared" si="16"/>
        <v>2019.8400000000001</v>
      </c>
      <c r="AT22" s="63">
        <f t="shared" si="16"/>
        <v>2003.34</v>
      </c>
      <c r="AU22" s="63">
        <f t="shared" si="16"/>
        <v>2008.24</v>
      </c>
      <c r="AV22" s="63">
        <f t="shared" si="16"/>
        <v>2099.14</v>
      </c>
      <c r="AW22" s="63">
        <f t="shared" si="16"/>
        <v>2106.84</v>
      </c>
      <c r="AX22" s="63">
        <f t="shared" si="16"/>
        <v>2064.1999999999998</v>
      </c>
      <c r="AY22" s="63">
        <f t="shared" si="16"/>
        <v>2081.4</v>
      </c>
      <c r="AZ22" s="63">
        <f t="shared" si="16"/>
        <v>1987.7400000000002</v>
      </c>
      <c r="BA22" s="63">
        <f t="shared" si="16"/>
        <v>2065.54</v>
      </c>
      <c r="BB22" s="63">
        <f t="shared" si="16"/>
        <v>2065.54</v>
      </c>
      <c r="BC22" s="63">
        <f t="shared" si="16"/>
        <v>2083.6400000000003</v>
      </c>
      <c r="BD22" s="63">
        <f t="shared" si="16"/>
        <v>2080.6400000000003</v>
      </c>
      <c r="BE22" s="63">
        <f t="shared" si="16"/>
        <v>2130.34</v>
      </c>
      <c r="BF22" s="63">
        <f t="shared" si="16"/>
        <v>2126.94</v>
      </c>
      <c r="BG22" s="63">
        <f t="shared" si="16"/>
        <v>2318.44</v>
      </c>
      <c r="BH22" s="63">
        <f t="shared" si="16"/>
        <v>2296.7400000000002</v>
      </c>
      <c r="BI22" s="63">
        <f t="shared" si="16"/>
        <v>2296.7400000000002</v>
      </c>
      <c r="BJ22" s="63">
        <f t="shared" si="16"/>
        <v>2142.04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40.799999999999997</v>
      </c>
      <c r="C23" s="46">
        <v>40.799999999999997</v>
      </c>
      <c r="D23" s="46">
        <v>40.799999999999997</v>
      </c>
      <c r="E23" s="46">
        <v>40.799999999999997</v>
      </c>
      <c r="F23" s="46">
        <v>40.799999999999997</v>
      </c>
      <c r="G23" s="46">
        <v>31.5</v>
      </c>
      <c r="H23" s="46">
        <v>31.5</v>
      </c>
      <c r="I23" s="46">
        <v>31.5</v>
      </c>
      <c r="J23" s="46">
        <v>31.5</v>
      </c>
      <c r="K23" s="46">
        <v>11</v>
      </c>
      <c r="L23" s="46">
        <v>0</v>
      </c>
      <c r="M23" s="46">
        <v>22</v>
      </c>
      <c r="N23" s="46">
        <v>38</v>
      </c>
      <c r="O23" s="46">
        <v>38</v>
      </c>
      <c r="P23" s="46">
        <v>38</v>
      </c>
      <c r="Q23" s="46">
        <v>38</v>
      </c>
      <c r="R23" s="46">
        <v>38</v>
      </c>
      <c r="S23" s="46">
        <v>38</v>
      </c>
      <c r="T23" s="46">
        <v>38</v>
      </c>
      <c r="U23" s="46">
        <v>38</v>
      </c>
      <c r="V23" s="46">
        <v>38</v>
      </c>
      <c r="W23" s="46">
        <v>38</v>
      </c>
      <c r="X23" s="46">
        <v>38</v>
      </c>
      <c r="Y23" s="46">
        <v>38</v>
      </c>
      <c r="Z23" s="46">
        <v>38</v>
      </c>
      <c r="AA23" s="46">
        <v>34.700000000000003</v>
      </c>
      <c r="AB23" s="46">
        <v>34.700000000000003</v>
      </c>
      <c r="AC23" s="46">
        <v>34.700000000000003</v>
      </c>
      <c r="AD23" s="46">
        <v>34.700000000000003</v>
      </c>
      <c r="AE23" s="46">
        <v>34.700000000000003</v>
      </c>
      <c r="AF23" s="46">
        <v>34.700000000000003</v>
      </c>
      <c r="AG23" s="50">
        <v>38.46</v>
      </c>
      <c r="AH23" s="48">
        <f t="shared" si="2"/>
        <v>40.799999999999997</v>
      </c>
      <c r="AI23" s="49">
        <f t="shared" si="3"/>
        <v>0</v>
      </c>
      <c r="AK23" s="51"/>
      <c r="AL23" s="62" t="s">
        <v>39</v>
      </c>
      <c r="AM23" s="63">
        <f>B110*-1</f>
        <v>-756</v>
      </c>
      <c r="AN23" s="63">
        <f t="shared" ref="AN23:AR23" si="17">C110*-1</f>
        <v>-769.9</v>
      </c>
      <c r="AO23" s="63">
        <f t="shared" si="17"/>
        <v>-755.9</v>
      </c>
      <c r="AP23" s="63">
        <f t="shared" si="17"/>
        <v>-738.1</v>
      </c>
      <c r="AQ23" s="63">
        <f t="shared" si="17"/>
        <v>-727.5</v>
      </c>
      <c r="AR23" s="63">
        <f t="shared" si="17"/>
        <v>-792.3</v>
      </c>
      <c r="AS23" s="63">
        <f>I110*-1</f>
        <v>-788.6</v>
      </c>
      <c r="AT23" s="63">
        <f>K110*-1</f>
        <v>-700.2</v>
      </c>
      <c r="AU23" s="63">
        <f t="shared" ref="AU23:BD23" si="18">M110*-1</f>
        <v>-769.8</v>
      </c>
      <c r="AV23" s="63">
        <f t="shared" si="18"/>
        <v>-688.90000000000009</v>
      </c>
      <c r="AW23" s="63">
        <f t="shared" si="18"/>
        <v>-695</v>
      </c>
      <c r="AX23" s="63">
        <f t="shared" si="18"/>
        <v>-735.90000000000009</v>
      </c>
      <c r="AY23" s="63">
        <f t="shared" si="18"/>
        <v>-757.6</v>
      </c>
      <c r="AZ23" s="63">
        <f t="shared" si="18"/>
        <v>-669.5</v>
      </c>
      <c r="BA23" s="63">
        <f t="shared" si="18"/>
        <v>-748.5</v>
      </c>
      <c r="BB23" s="63">
        <f t="shared" si="18"/>
        <v>-751.80000000000007</v>
      </c>
      <c r="BC23" s="63">
        <f t="shared" si="18"/>
        <v>-820.19999999999993</v>
      </c>
      <c r="BD23" s="63">
        <f t="shared" si="18"/>
        <v>-844.3</v>
      </c>
      <c r="BE23" s="63">
        <f>X110*-1</f>
        <v>-811.30000000000007</v>
      </c>
      <c r="BF23" s="63">
        <f>Z110*-1</f>
        <v>-751.8</v>
      </c>
      <c r="BG23" s="63">
        <f>AB110*-1</f>
        <v>-747.6</v>
      </c>
      <c r="BH23" s="63">
        <f>AD110*-1</f>
        <v>-720</v>
      </c>
      <c r="BI23" s="63">
        <f>AE110*-1</f>
        <v>-752</v>
      </c>
      <c r="BJ23" s="63">
        <f>AF110*-1</f>
        <v>-744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>
        <v>36</v>
      </c>
      <c r="R24" s="46">
        <v>36</v>
      </c>
      <c r="S24" s="46">
        <v>36</v>
      </c>
      <c r="T24" s="46">
        <v>36</v>
      </c>
      <c r="U24" s="46">
        <v>36</v>
      </c>
      <c r="V24" s="46">
        <v>36</v>
      </c>
      <c r="W24" s="46">
        <v>36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>
        <v>36</v>
      </c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36</v>
      </c>
      <c r="AK24" s="51"/>
      <c r="AL24" s="62" t="s">
        <v>41</v>
      </c>
      <c r="AM24" s="63">
        <f t="shared" ref="AM24:BJ24" si="19">AM22+AM23</f>
        <v>1368.1999999999998</v>
      </c>
      <c r="AN24" s="63">
        <f t="shared" si="19"/>
        <v>1315.5</v>
      </c>
      <c r="AO24" s="63">
        <f t="shared" si="19"/>
        <v>1329.5</v>
      </c>
      <c r="AP24" s="63">
        <f t="shared" si="19"/>
        <v>1329.44</v>
      </c>
      <c r="AQ24" s="63">
        <f t="shared" si="19"/>
        <v>1312.5399999999997</v>
      </c>
      <c r="AR24" s="63">
        <f t="shared" si="19"/>
        <v>1244.74</v>
      </c>
      <c r="AS24" s="63">
        <f t="shared" si="19"/>
        <v>1231.2400000000002</v>
      </c>
      <c r="AT24" s="63">
        <f t="shared" si="19"/>
        <v>1303.1399999999999</v>
      </c>
      <c r="AU24" s="63">
        <f t="shared" si="19"/>
        <v>1238.44</v>
      </c>
      <c r="AV24" s="63">
        <f t="shared" si="19"/>
        <v>1410.2399999999998</v>
      </c>
      <c r="AW24" s="63">
        <f t="shared" si="19"/>
        <v>1411.8400000000001</v>
      </c>
      <c r="AX24" s="63">
        <f t="shared" si="19"/>
        <v>1328.2999999999997</v>
      </c>
      <c r="AY24" s="63">
        <f t="shared" si="19"/>
        <v>1323.8000000000002</v>
      </c>
      <c r="AZ24" s="63">
        <f t="shared" si="19"/>
        <v>1318.2400000000002</v>
      </c>
      <c r="BA24" s="63">
        <f t="shared" si="19"/>
        <v>1317.04</v>
      </c>
      <c r="BB24" s="63">
        <f t="shared" si="19"/>
        <v>1313.7399999999998</v>
      </c>
      <c r="BC24" s="63">
        <f t="shared" si="19"/>
        <v>1263.4400000000005</v>
      </c>
      <c r="BD24" s="63">
        <f t="shared" si="19"/>
        <v>1236.3400000000004</v>
      </c>
      <c r="BE24" s="63">
        <f t="shared" si="19"/>
        <v>1319.04</v>
      </c>
      <c r="BF24" s="63">
        <f t="shared" si="19"/>
        <v>1375.14</v>
      </c>
      <c r="BG24" s="63">
        <f t="shared" si="19"/>
        <v>1570.8400000000001</v>
      </c>
      <c r="BH24" s="63">
        <f t="shared" si="19"/>
        <v>1576.7400000000002</v>
      </c>
      <c r="BI24" s="63">
        <f t="shared" si="19"/>
        <v>1544.7400000000002</v>
      </c>
      <c r="BJ24" s="63">
        <f t="shared" si="19"/>
        <v>1398.04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7.9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5</v>
      </c>
      <c r="J25" s="46">
        <v>0</v>
      </c>
      <c r="K25" s="46">
        <v>5.0999999999999996</v>
      </c>
      <c r="L25" s="46">
        <v>5.0999999999999996</v>
      </c>
      <c r="M25" s="46">
        <v>5.0999999999999996</v>
      </c>
      <c r="N25" s="46">
        <v>5.0999999999999996</v>
      </c>
      <c r="O25" s="46">
        <v>5.0999999999999996</v>
      </c>
      <c r="P25" s="46">
        <v>5.0999999999999996</v>
      </c>
      <c r="Q25" s="46">
        <v>5.0999999999999996</v>
      </c>
      <c r="R25" s="46">
        <v>5.0999999999999996</v>
      </c>
      <c r="S25" s="46">
        <v>5.0999999999999996</v>
      </c>
      <c r="T25" s="46">
        <v>5.0999999999999996</v>
      </c>
      <c r="U25" s="46">
        <v>5.0999999999999996</v>
      </c>
      <c r="V25" s="46">
        <v>5.0999999999999996</v>
      </c>
      <c r="W25" s="46">
        <v>5.0999999999999996</v>
      </c>
      <c r="X25" s="46">
        <v>5.0999999999999996</v>
      </c>
      <c r="Y25" s="46">
        <v>5.0999999999999996</v>
      </c>
      <c r="Z25" s="46">
        <v>5.0999999999999996</v>
      </c>
      <c r="AA25" s="46">
        <v>20.8</v>
      </c>
      <c r="AB25" s="46">
        <v>25.7</v>
      </c>
      <c r="AC25" s="46">
        <v>25.6</v>
      </c>
      <c r="AD25" s="46">
        <v>25.7</v>
      </c>
      <c r="AE25" s="46">
        <v>25.7</v>
      </c>
      <c r="AF25" s="46">
        <v>15</v>
      </c>
      <c r="AG25" s="61">
        <v>30</v>
      </c>
      <c r="AH25" s="48">
        <f t="shared" si="2"/>
        <v>25.7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17.7</v>
      </c>
      <c r="C26" s="46">
        <v>17.7</v>
      </c>
      <c r="D26" s="46">
        <v>17.7</v>
      </c>
      <c r="E26" s="46">
        <v>15.5</v>
      </c>
      <c r="F26" s="46">
        <v>15.5</v>
      </c>
      <c r="G26" s="46">
        <v>15.5</v>
      </c>
      <c r="H26" s="46">
        <v>15.5</v>
      </c>
      <c r="I26" s="46">
        <v>20</v>
      </c>
      <c r="J26" s="46">
        <v>25.9</v>
      </c>
      <c r="K26" s="46">
        <v>25.9</v>
      </c>
      <c r="L26" s="46">
        <v>25.9</v>
      </c>
      <c r="M26" s="46">
        <v>25.9</v>
      </c>
      <c r="N26" s="46">
        <v>25.9</v>
      </c>
      <c r="O26" s="46">
        <v>25.9</v>
      </c>
      <c r="P26" s="46">
        <v>25.9</v>
      </c>
      <c r="Q26" s="46">
        <v>25.9</v>
      </c>
      <c r="R26" s="46">
        <v>25.9</v>
      </c>
      <c r="S26" s="46">
        <v>25.9</v>
      </c>
      <c r="T26" s="46">
        <v>25.9</v>
      </c>
      <c r="U26" s="46">
        <v>25.9</v>
      </c>
      <c r="V26" s="46">
        <v>25.9</v>
      </c>
      <c r="W26" s="46">
        <v>25.9</v>
      </c>
      <c r="X26" s="46">
        <v>25.9</v>
      </c>
      <c r="Y26" s="46">
        <v>25.9</v>
      </c>
      <c r="Z26" s="46">
        <v>25.9</v>
      </c>
      <c r="AA26" s="46">
        <v>25.9</v>
      </c>
      <c r="AB26" s="46">
        <v>25.9</v>
      </c>
      <c r="AC26" s="46">
        <v>25.9</v>
      </c>
      <c r="AD26" s="46">
        <v>25.9</v>
      </c>
      <c r="AE26" s="46">
        <v>25.9</v>
      </c>
      <c r="AF26" s="46">
        <v>25</v>
      </c>
      <c r="AG26" s="50">
        <v>24.2</v>
      </c>
      <c r="AH26" s="48">
        <f t="shared" si="2"/>
        <v>25.9</v>
      </c>
      <c r="AI26" s="49">
        <f t="shared" si="3"/>
        <v>15.5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</v>
      </c>
      <c r="C27" s="46">
        <v>28</v>
      </c>
      <c r="D27" s="46">
        <v>28</v>
      </c>
      <c r="E27" s="46">
        <v>28.5</v>
      </c>
      <c r="F27" s="46">
        <v>28.5</v>
      </c>
      <c r="G27" s="46">
        <v>28.5</v>
      </c>
      <c r="H27" s="46">
        <v>28.5</v>
      </c>
      <c r="I27" s="46">
        <v>28.5</v>
      </c>
      <c r="J27" s="46">
        <v>28.5</v>
      </c>
      <c r="K27" s="46">
        <v>28.5</v>
      </c>
      <c r="L27" s="46">
        <v>28.5</v>
      </c>
      <c r="M27" s="46">
        <v>28.5</v>
      </c>
      <c r="N27" s="46">
        <v>28.5</v>
      </c>
      <c r="O27" s="46">
        <v>28.5</v>
      </c>
      <c r="P27" s="46">
        <v>28.5</v>
      </c>
      <c r="Q27" s="46">
        <v>28.5</v>
      </c>
      <c r="R27" s="46">
        <v>28.5</v>
      </c>
      <c r="S27" s="46">
        <v>28.5</v>
      </c>
      <c r="T27" s="46">
        <v>28.5</v>
      </c>
      <c r="U27" s="46">
        <v>28.5</v>
      </c>
      <c r="V27" s="46">
        <v>28.5</v>
      </c>
      <c r="W27" s="46">
        <v>28.5</v>
      </c>
      <c r="X27" s="46">
        <v>28.5</v>
      </c>
      <c r="Y27" s="46">
        <v>28.5</v>
      </c>
      <c r="Z27" s="46">
        <v>28.5</v>
      </c>
      <c r="AA27" s="46">
        <v>28.5</v>
      </c>
      <c r="AB27" s="46">
        <v>28.5</v>
      </c>
      <c r="AC27" s="46">
        <v>28.5</v>
      </c>
      <c r="AD27" s="46">
        <v>28.5</v>
      </c>
      <c r="AE27" s="46">
        <v>28.5</v>
      </c>
      <c r="AF27" s="46">
        <v>28.6</v>
      </c>
      <c r="AG27" s="50">
        <v>28</v>
      </c>
      <c r="AH27" s="48">
        <f t="shared" si="2"/>
        <v>28.6</v>
      </c>
      <c r="AI27" s="49">
        <f t="shared" si="3"/>
        <v>28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7.1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4.5</v>
      </c>
      <c r="J28" s="46">
        <v>0</v>
      </c>
      <c r="K28" s="46">
        <v>4.8</v>
      </c>
      <c r="L28" s="46">
        <v>4.8</v>
      </c>
      <c r="M28" s="46">
        <v>4.8</v>
      </c>
      <c r="N28" s="46">
        <v>15</v>
      </c>
      <c r="O28" s="46">
        <v>15</v>
      </c>
      <c r="P28" s="46">
        <v>5</v>
      </c>
      <c r="Q28" s="46">
        <v>5</v>
      </c>
      <c r="R28" s="46">
        <v>5</v>
      </c>
      <c r="S28" s="46">
        <v>5</v>
      </c>
      <c r="T28" s="46">
        <v>5</v>
      </c>
      <c r="U28" s="46">
        <v>5</v>
      </c>
      <c r="V28" s="46">
        <v>5</v>
      </c>
      <c r="W28" s="46">
        <v>5</v>
      </c>
      <c r="X28" s="46">
        <v>5</v>
      </c>
      <c r="Y28" s="46">
        <v>5</v>
      </c>
      <c r="Z28" s="46">
        <v>5</v>
      </c>
      <c r="AA28" s="46">
        <v>22.7</v>
      </c>
      <c r="AB28" s="46">
        <v>22.7</v>
      </c>
      <c r="AC28" s="46">
        <v>22.7</v>
      </c>
      <c r="AD28" s="46">
        <v>22.7</v>
      </c>
      <c r="AE28" s="46">
        <v>22.7</v>
      </c>
      <c r="AF28" s="46">
        <v>13.5</v>
      </c>
      <c r="AG28" s="61">
        <v>30</v>
      </c>
      <c r="AH28" s="48">
        <f t="shared" si="2"/>
        <v>22.7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24.1</v>
      </c>
      <c r="C29" s="46">
        <v>24.1</v>
      </c>
      <c r="D29" s="46">
        <v>24.1</v>
      </c>
      <c r="E29" s="46">
        <v>24.1</v>
      </c>
      <c r="F29" s="46">
        <v>24.1</v>
      </c>
      <c r="G29" s="46">
        <v>24.1</v>
      </c>
      <c r="H29" s="46">
        <v>24.1</v>
      </c>
      <c r="I29" s="46">
        <v>24.1</v>
      </c>
      <c r="J29" s="46">
        <v>24.1</v>
      </c>
      <c r="K29" s="46">
        <v>24.1</v>
      </c>
      <c r="L29" s="46">
        <v>24.1</v>
      </c>
      <c r="M29" s="46">
        <v>24.1</v>
      </c>
      <c r="N29" s="46">
        <v>24.1</v>
      </c>
      <c r="O29" s="46">
        <v>24.1</v>
      </c>
      <c r="P29" s="46">
        <v>24.1</v>
      </c>
      <c r="Q29" s="46">
        <v>24.1</v>
      </c>
      <c r="R29" s="46">
        <v>24.1</v>
      </c>
      <c r="S29" s="46">
        <v>24.1</v>
      </c>
      <c r="T29" s="46">
        <v>24.1</v>
      </c>
      <c r="U29" s="46">
        <v>24.1</v>
      </c>
      <c r="V29" s="46">
        <v>24.1</v>
      </c>
      <c r="W29" s="46">
        <v>24.1</v>
      </c>
      <c r="X29" s="46">
        <v>24.1</v>
      </c>
      <c r="Y29" s="46">
        <v>24.1</v>
      </c>
      <c r="Z29" s="46">
        <v>24.1</v>
      </c>
      <c r="AA29" s="46">
        <v>24.1</v>
      </c>
      <c r="AB29" s="46">
        <v>24.1</v>
      </c>
      <c r="AC29" s="46">
        <v>24.1</v>
      </c>
      <c r="AD29" s="46">
        <v>24.1</v>
      </c>
      <c r="AE29" s="46">
        <v>24.1</v>
      </c>
      <c r="AF29" s="46">
        <v>20</v>
      </c>
      <c r="AG29" s="50">
        <v>25</v>
      </c>
      <c r="AH29" s="48">
        <f t="shared" si="2"/>
        <v>24.1</v>
      </c>
      <c r="AI29" s="49">
        <f t="shared" si="3"/>
        <v>20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18</v>
      </c>
      <c r="C30" s="46">
        <v>18</v>
      </c>
      <c r="D30" s="46">
        <v>18</v>
      </c>
      <c r="E30" s="46">
        <v>18</v>
      </c>
      <c r="F30" s="46">
        <v>18</v>
      </c>
      <c r="G30" s="46">
        <v>18</v>
      </c>
      <c r="H30" s="46">
        <v>18</v>
      </c>
      <c r="I30" s="46">
        <v>18</v>
      </c>
      <c r="J30" s="46">
        <v>18</v>
      </c>
      <c r="K30" s="46">
        <v>18</v>
      </c>
      <c r="L30" s="46">
        <v>18</v>
      </c>
      <c r="M30" s="46">
        <v>18</v>
      </c>
      <c r="N30" s="46">
        <v>18</v>
      </c>
      <c r="O30" s="46">
        <v>18</v>
      </c>
      <c r="P30" s="46">
        <v>18</v>
      </c>
      <c r="Q30" s="46">
        <v>22</v>
      </c>
      <c r="R30" s="46">
        <v>22</v>
      </c>
      <c r="S30" s="46">
        <v>22</v>
      </c>
      <c r="T30" s="46">
        <v>22</v>
      </c>
      <c r="U30" s="46">
        <v>22</v>
      </c>
      <c r="V30" s="46">
        <v>22</v>
      </c>
      <c r="W30" s="46">
        <v>22</v>
      </c>
      <c r="X30" s="46">
        <v>22</v>
      </c>
      <c r="Y30" s="46">
        <v>22</v>
      </c>
      <c r="Z30" s="46">
        <v>22</v>
      </c>
      <c r="AA30" s="46">
        <v>22</v>
      </c>
      <c r="AB30" s="46">
        <v>22</v>
      </c>
      <c r="AC30" s="46">
        <v>22</v>
      </c>
      <c r="AD30" s="46">
        <v>22</v>
      </c>
      <c r="AE30" s="46">
        <v>22</v>
      </c>
      <c r="AF30" s="46">
        <v>22</v>
      </c>
      <c r="AG30" s="50">
        <v>25</v>
      </c>
      <c r="AH30" s="48">
        <f t="shared" si="2"/>
        <v>22</v>
      </c>
      <c r="AI30" s="49">
        <f t="shared" si="3"/>
        <v>18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24</v>
      </c>
      <c r="C31" s="46">
        <v>24</v>
      </c>
      <c r="D31" s="46">
        <v>24</v>
      </c>
      <c r="E31" s="46">
        <v>24</v>
      </c>
      <c r="F31" s="46">
        <v>24</v>
      </c>
      <c r="G31" s="46">
        <v>24</v>
      </c>
      <c r="H31" s="46">
        <v>24</v>
      </c>
      <c r="I31" s="46">
        <v>24</v>
      </c>
      <c r="J31" s="46">
        <v>24</v>
      </c>
      <c r="K31" s="46">
        <v>24</v>
      </c>
      <c r="L31" s="46">
        <v>24</v>
      </c>
      <c r="M31" s="46">
        <v>24</v>
      </c>
      <c r="N31" s="46">
        <v>24</v>
      </c>
      <c r="O31" s="46">
        <v>0</v>
      </c>
      <c r="P31" s="46">
        <v>0</v>
      </c>
      <c r="Q31" s="46">
        <v>24</v>
      </c>
      <c r="R31" s="46">
        <v>24</v>
      </c>
      <c r="S31" s="46">
        <v>24</v>
      </c>
      <c r="T31" s="46">
        <v>24</v>
      </c>
      <c r="U31" s="46">
        <v>24</v>
      </c>
      <c r="V31" s="46">
        <v>24</v>
      </c>
      <c r="W31" s="46">
        <v>24</v>
      </c>
      <c r="X31" s="46">
        <v>24</v>
      </c>
      <c r="Y31" s="46">
        <v>24</v>
      </c>
      <c r="Z31" s="46">
        <v>24</v>
      </c>
      <c r="AA31" s="46">
        <v>24</v>
      </c>
      <c r="AB31" s="46">
        <v>24</v>
      </c>
      <c r="AC31" s="46">
        <v>24</v>
      </c>
      <c r="AD31" s="46">
        <v>24</v>
      </c>
      <c r="AE31" s="46">
        <v>24</v>
      </c>
      <c r="AF31" s="46">
        <v>20</v>
      </c>
      <c r="AG31" s="50">
        <v>25</v>
      </c>
      <c r="AH31" s="48">
        <f t="shared" si="2"/>
        <v>24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6.9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4.7</v>
      </c>
      <c r="J32" s="46">
        <v>0</v>
      </c>
      <c r="K32" s="46">
        <v>4.5999999999999996</v>
      </c>
      <c r="L32" s="46">
        <v>4.5999999999999996</v>
      </c>
      <c r="M32" s="46">
        <v>4.5999999999999996</v>
      </c>
      <c r="N32" s="46">
        <v>17</v>
      </c>
      <c r="O32" s="46">
        <v>17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20.8</v>
      </c>
      <c r="AB32" s="46">
        <v>20.8</v>
      </c>
      <c r="AC32" s="46">
        <v>20.8</v>
      </c>
      <c r="AD32" s="46">
        <v>20.8</v>
      </c>
      <c r="AE32" s="46">
        <v>20.8</v>
      </c>
      <c r="AF32" s="46">
        <v>12.5</v>
      </c>
      <c r="AG32" s="50">
        <v>25</v>
      </c>
      <c r="AH32" s="48">
        <f t="shared" si="2"/>
        <v>20.8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23.5</v>
      </c>
      <c r="C33" s="46">
        <v>23.5</v>
      </c>
      <c r="D33" s="46">
        <v>23.5</v>
      </c>
      <c r="E33" s="46">
        <v>23.5</v>
      </c>
      <c r="F33" s="46">
        <v>23.5</v>
      </c>
      <c r="G33" s="46">
        <v>23.5</v>
      </c>
      <c r="H33" s="46">
        <v>23.5</v>
      </c>
      <c r="I33" s="46">
        <v>23.5</v>
      </c>
      <c r="J33" s="46">
        <v>23.5</v>
      </c>
      <c r="K33" s="46">
        <v>23.5</v>
      </c>
      <c r="L33" s="46">
        <v>23.5</v>
      </c>
      <c r="M33" s="46">
        <v>23.5</v>
      </c>
      <c r="N33" s="46">
        <v>23.5</v>
      </c>
      <c r="O33" s="46">
        <v>23.5</v>
      </c>
      <c r="P33" s="46">
        <v>23.5</v>
      </c>
      <c r="Q33" s="46">
        <v>23.5</v>
      </c>
      <c r="R33" s="46">
        <v>23.5</v>
      </c>
      <c r="S33" s="46">
        <v>23.5</v>
      </c>
      <c r="T33" s="46">
        <v>23.5</v>
      </c>
      <c r="U33" s="46">
        <v>23.5</v>
      </c>
      <c r="V33" s="46">
        <v>23.5</v>
      </c>
      <c r="W33" s="46">
        <v>23.5</v>
      </c>
      <c r="X33" s="46">
        <v>23.5</v>
      </c>
      <c r="Y33" s="46">
        <v>23.5</v>
      </c>
      <c r="Z33" s="46">
        <v>23.5</v>
      </c>
      <c r="AA33" s="46">
        <v>23.5</v>
      </c>
      <c r="AB33" s="46">
        <v>23.5</v>
      </c>
      <c r="AC33" s="46">
        <v>23.5</v>
      </c>
      <c r="AD33" s="46">
        <v>23.5</v>
      </c>
      <c r="AE33" s="46">
        <v>23.5</v>
      </c>
      <c r="AF33" s="46">
        <v>19.5</v>
      </c>
      <c r="AG33" s="50">
        <v>23.5</v>
      </c>
      <c r="AH33" s="48">
        <f t="shared" si="2"/>
        <v>23.5</v>
      </c>
      <c r="AI33" s="49">
        <f t="shared" si="3"/>
        <v>19.5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50">
        <v>22.2</v>
      </c>
      <c r="AH34" s="48">
        <f t="shared" si="2"/>
        <v>0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1.6</v>
      </c>
      <c r="C37" s="46">
        <v>1.6</v>
      </c>
      <c r="D37" s="46">
        <v>1.6</v>
      </c>
      <c r="E37" s="46">
        <v>22</v>
      </c>
      <c r="F37" s="46">
        <v>22</v>
      </c>
      <c r="G37" s="46">
        <v>22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>
        <v>22</v>
      </c>
      <c r="O37" s="46">
        <v>22</v>
      </c>
      <c r="P37" s="46">
        <v>17</v>
      </c>
      <c r="Q37" s="46">
        <v>22</v>
      </c>
      <c r="R37" s="46">
        <v>22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22</v>
      </c>
      <c r="AI37" s="49">
        <f t="shared" si="3"/>
        <v>1.6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11.2</v>
      </c>
      <c r="C38" s="46">
        <v>11.2</v>
      </c>
      <c r="D38" s="46">
        <v>11.2</v>
      </c>
      <c r="E38" s="46">
        <v>11.2</v>
      </c>
      <c r="F38" s="46">
        <v>11.2</v>
      </c>
      <c r="G38" s="46">
        <v>11.2</v>
      </c>
      <c r="H38" s="46">
        <v>11.2</v>
      </c>
      <c r="I38" s="46">
        <v>11.2</v>
      </c>
      <c r="J38" s="46">
        <v>11.2</v>
      </c>
      <c r="K38" s="46">
        <v>11.2</v>
      </c>
      <c r="L38" s="46">
        <v>11.2</v>
      </c>
      <c r="M38" s="46">
        <v>5</v>
      </c>
      <c r="N38" s="46">
        <v>5</v>
      </c>
      <c r="O38" s="46">
        <v>5</v>
      </c>
      <c r="P38" s="46">
        <v>6</v>
      </c>
      <c r="Q38" s="46">
        <v>6</v>
      </c>
      <c r="R38" s="46">
        <v>6</v>
      </c>
      <c r="S38" s="46">
        <v>6</v>
      </c>
      <c r="T38" s="46">
        <v>6</v>
      </c>
      <c r="U38" s="46">
        <v>6</v>
      </c>
      <c r="V38" s="46">
        <v>6</v>
      </c>
      <c r="W38" s="46">
        <v>6</v>
      </c>
      <c r="X38" s="46">
        <v>6</v>
      </c>
      <c r="Y38" s="46">
        <v>6</v>
      </c>
      <c r="Z38" s="46">
        <v>6</v>
      </c>
      <c r="AA38" s="46">
        <v>11.3</v>
      </c>
      <c r="AB38" s="46">
        <v>11.3</v>
      </c>
      <c r="AC38" s="46">
        <v>11.3</v>
      </c>
      <c r="AD38" s="46">
        <v>11.3</v>
      </c>
      <c r="AE38" s="46">
        <v>11.3</v>
      </c>
      <c r="AF38" s="46">
        <v>11.3</v>
      </c>
      <c r="AG38" s="50">
        <v>20</v>
      </c>
      <c r="AH38" s="48">
        <f t="shared" si="2"/>
        <v>11.3</v>
      </c>
      <c r="AI38" s="49">
        <f t="shared" si="3"/>
        <v>5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19</v>
      </c>
      <c r="C39" s="46">
        <v>19</v>
      </c>
      <c r="D39" s="46">
        <v>19</v>
      </c>
      <c r="E39" s="46">
        <v>18.3</v>
      </c>
      <c r="F39" s="46">
        <v>18.3</v>
      </c>
      <c r="G39" s="46">
        <v>18.3</v>
      </c>
      <c r="H39" s="46">
        <v>18.3</v>
      </c>
      <c r="I39" s="46">
        <v>18.3</v>
      </c>
      <c r="J39" s="46">
        <v>18.3</v>
      </c>
      <c r="K39" s="46">
        <v>18.3</v>
      </c>
      <c r="L39" s="46">
        <v>18.3</v>
      </c>
      <c r="M39" s="46">
        <v>18.3</v>
      </c>
      <c r="N39" s="46">
        <v>18.3</v>
      </c>
      <c r="O39" s="46">
        <v>18.3</v>
      </c>
      <c r="P39" s="46">
        <v>18.3</v>
      </c>
      <c r="Q39" s="46">
        <v>18.3</v>
      </c>
      <c r="R39" s="46">
        <v>18.3</v>
      </c>
      <c r="S39" s="46">
        <v>18.3</v>
      </c>
      <c r="T39" s="46">
        <v>18.3</v>
      </c>
      <c r="U39" s="46">
        <v>18.3</v>
      </c>
      <c r="V39" s="46">
        <v>18.3</v>
      </c>
      <c r="W39" s="46">
        <v>18.3</v>
      </c>
      <c r="X39" s="46">
        <v>18.3</v>
      </c>
      <c r="Y39" s="46">
        <v>18.3</v>
      </c>
      <c r="Z39" s="46">
        <v>18.3</v>
      </c>
      <c r="AA39" s="46">
        <v>18.3</v>
      </c>
      <c r="AB39" s="46">
        <v>18.3</v>
      </c>
      <c r="AC39" s="46">
        <v>18.3</v>
      </c>
      <c r="AD39" s="46">
        <v>18.3</v>
      </c>
      <c r="AE39" s="46">
        <v>18.3</v>
      </c>
      <c r="AF39" s="46">
        <v>18.3</v>
      </c>
      <c r="AG39" s="50">
        <v>20</v>
      </c>
      <c r="AH39" s="48">
        <f t="shared" si="2"/>
        <v>19</v>
      </c>
      <c r="AI39" s="49">
        <f t="shared" si="3"/>
        <v>18.3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12.7</v>
      </c>
      <c r="C40" s="46">
        <v>12.7</v>
      </c>
      <c r="D40" s="46">
        <v>12.7</v>
      </c>
      <c r="E40" s="46">
        <v>14</v>
      </c>
      <c r="F40" s="46">
        <v>0</v>
      </c>
      <c r="G40" s="46">
        <v>0</v>
      </c>
      <c r="H40" s="46">
        <v>0</v>
      </c>
      <c r="I40" s="46">
        <v>4</v>
      </c>
      <c r="J40" s="46">
        <v>4</v>
      </c>
      <c r="K40" s="46">
        <v>4</v>
      </c>
      <c r="L40" s="46">
        <v>4</v>
      </c>
      <c r="M40" s="46">
        <v>4</v>
      </c>
      <c r="N40" s="46">
        <v>4</v>
      </c>
      <c r="O40" s="46">
        <v>4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14.5</v>
      </c>
      <c r="AB40" s="46">
        <v>14.5</v>
      </c>
      <c r="AC40" s="46">
        <v>14.5</v>
      </c>
      <c r="AD40" s="46">
        <v>14.5</v>
      </c>
      <c r="AE40" s="46">
        <v>14.5</v>
      </c>
      <c r="AF40" s="46">
        <v>14.5</v>
      </c>
      <c r="AG40" s="50">
        <v>18</v>
      </c>
      <c r="AH40" s="48">
        <f t="shared" si="2"/>
        <v>14.5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16</v>
      </c>
      <c r="C41" s="46">
        <v>16</v>
      </c>
      <c r="D41" s="46">
        <v>16</v>
      </c>
      <c r="E41" s="46">
        <v>16</v>
      </c>
      <c r="F41" s="46">
        <v>16</v>
      </c>
      <c r="G41" s="46">
        <v>13.1</v>
      </c>
      <c r="H41" s="46">
        <v>13.1</v>
      </c>
      <c r="I41" s="46">
        <v>13.1</v>
      </c>
      <c r="J41" s="46">
        <v>13.1</v>
      </c>
      <c r="K41" s="46">
        <v>15.9</v>
      </c>
      <c r="L41" s="46">
        <v>0</v>
      </c>
      <c r="M41" s="46">
        <v>0</v>
      </c>
      <c r="N41" s="46">
        <v>15</v>
      </c>
      <c r="O41" s="46">
        <v>15</v>
      </c>
      <c r="P41" s="46">
        <v>14</v>
      </c>
      <c r="Q41" s="46">
        <v>14</v>
      </c>
      <c r="R41" s="46">
        <v>14</v>
      </c>
      <c r="S41" s="46">
        <v>14</v>
      </c>
      <c r="T41" s="46">
        <v>14</v>
      </c>
      <c r="U41" s="46">
        <v>14</v>
      </c>
      <c r="V41" s="46">
        <v>14</v>
      </c>
      <c r="W41" s="46">
        <v>14</v>
      </c>
      <c r="X41" s="46">
        <v>14</v>
      </c>
      <c r="Y41" s="46">
        <v>14</v>
      </c>
      <c r="Z41" s="46">
        <v>14</v>
      </c>
      <c r="AA41" s="46">
        <v>16</v>
      </c>
      <c r="AB41" s="46">
        <v>16</v>
      </c>
      <c r="AC41" s="46">
        <v>16</v>
      </c>
      <c r="AD41" s="46">
        <v>16</v>
      </c>
      <c r="AE41" s="46">
        <v>16</v>
      </c>
      <c r="AF41" s="46">
        <v>16</v>
      </c>
      <c r="AG41" s="50">
        <v>15.33</v>
      </c>
      <c r="AH41" s="48">
        <f t="shared" si="2"/>
        <v>16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ref="AH43:AH74" si="20">MAX(B43:AF43)</f>
        <v>14</v>
      </c>
      <c r="AI43" s="49">
        <f t="shared" ref="AI43:AI74" si="21">MIN(B43:AF43)</f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12</v>
      </c>
      <c r="O44" s="46">
        <v>12</v>
      </c>
      <c r="P44" s="46">
        <v>12</v>
      </c>
      <c r="Q44" s="46">
        <v>12</v>
      </c>
      <c r="R44" s="46">
        <v>12</v>
      </c>
      <c r="S44" s="46">
        <v>12</v>
      </c>
      <c r="T44" s="46">
        <v>12</v>
      </c>
      <c r="U44" s="46">
        <v>12</v>
      </c>
      <c r="V44" s="46">
        <v>12</v>
      </c>
      <c r="W44" s="46">
        <v>12</v>
      </c>
      <c r="X44" s="46">
        <v>12</v>
      </c>
      <c r="Y44" s="46">
        <v>12</v>
      </c>
      <c r="Z44" s="46">
        <v>12</v>
      </c>
      <c r="AA44" s="46">
        <v>12</v>
      </c>
      <c r="AB44" s="46">
        <v>12</v>
      </c>
      <c r="AC44" s="46">
        <v>12</v>
      </c>
      <c r="AD44" s="46">
        <v>12</v>
      </c>
      <c r="AE44" s="46">
        <v>12</v>
      </c>
      <c r="AF44" s="46">
        <v>12</v>
      </c>
      <c r="AG44" s="50">
        <v>14.8</v>
      </c>
      <c r="AH44" s="48">
        <f t="shared" si="20"/>
        <v>12</v>
      </c>
      <c r="AI44" s="49">
        <f t="shared" si="21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0"/>
        <v>14</v>
      </c>
      <c r="AI45" s="49">
        <f t="shared" si="21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</v>
      </c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>
        <v>7</v>
      </c>
      <c r="O46" s="46">
        <v>7</v>
      </c>
      <c r="P46" s="46">
        <v>7</v>
      </c>
      <c r="Q46" s="46">
        <v>7</v>
      </c>
      <c r="R46" s="46">
        <v>7</v>
      </c>
      <c r="S46" s="46">
        <v>7</v>
      </c>
      <c r="T46" s="46">
        <v>7</v>
      </c>
      <c r="U46" s="46">
        <v>7</v>
      </c>
      <c r="V46" s="46">
        <v>7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7</v>
      </c>
      <c r="AC46" s="46">
        <v>7</v>
      </c>
      <c r="AD46" s="46">
        <v>7</v>
      </c>
      <c r="AE46" s="46">
        <v>7</v>
      </c>
      <c r="AF46" s="46">
        <v>7</v>
      </c>
      <c r="AG46" s="50">
        <v>14</v>
      </c>
      <c r="AH46" s="48">
        <f t="shared" si="20"/>
        <v>7</v>
      </c>
      <c r="AI46" s="49">
        <f t="shared" si="21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0"/>
        <v>8</v>
      </c>
      <c r="AI47" s="49">
        <f t="shared" si="21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0"/>
        <v>12</v>
      </c>
      <c r="AI48" s="49">
        <f t="shared" si="21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3</v>
      </c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2</v>
      </c>
      <c r="J49" s="46">
        <v>2</v>
      </c>
      <c r="K49" s="46">
        <v>2</v>
      </c>
      <c r="L49" s="46">
        <v>2</v>
      </c>
      <c r="M49" s="46">
        <v>2</v>
      </c>
      <c r="N49" s="46">
        <v>2</v>
      </c>
      <c r="O49" s="46">
        <v>2</v>
      </c>
      <c r="P49" s="46">
        <v>2</v>
      </c>
      <c r="Q49" s="46">
        <v>2</v>
      </c>
      <c r="R49" s="46">
        <v>2</v>
      </c>
      <c r="S49" s="46">
        <v>2</v>
      </c>
      <c r="T49" s="46">
        <v>2</v>
      </c>
      <c r="U49" s="46">
        <v>2</v>
      </c>
      <c r="V49" s="46">
        <v>2</v>
      </c>
      <c r="W49" s="46">
        <v>2</v>
      </c>
      <c r="X49" s="46">
        <v>2</v>
      </c>
      <c r="Y49" s="46">
        <v>2</v>
      </c>
      <c r="Z49" s="46">
        <v>2</v>
      </c>
      <c r="AA49" s="46">
        <v>10</v>
      </c>
      <c r="AB49" s="46">
        <v>10</v>
      </c>
      <c r="AC49" s="46">
        <v>10</v>
      </c>
      <c r="AD49" s="46">
        <v>10</v>
      </c>
      <c r="AE49" s="46">
        <v>10</v>
      </c>
      <c r="AF49" s="46">
        <v>10</v>
      </c>
      <c r="AG49" s="50">
        <v>12</v>
      </c>
      <c r="AH49" s="48">
        <f t="shared" si="20"/>
        <v>10</v>
      </c>
      <c r="AI49" s="49">
        <f t="shared" si="21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0"/>
        <v>0</v>
      </c>
      <c r="AI50" s="49">
        <f t="shared" si="21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6"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50">
        <v>12</v>
      </c>
      <c r="AH51" s="48">
        <f t="shared" si="20"/>
        <v>12</v>
      </c>
      <c r="AI51" s="49">
        <f t="shared" si="21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0"/>
        <v>12</v>
      </c>
      <c r="AI52" s="49">
        <f t="shared" si="21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11</v>
      </c>
      <c r="C53" s="46">
        <v>11</v>
      </c>
      <c r="D53" s="46">
        <v>11</v>
      </c>
      <c r="E53" s="46">
        <v>11</v>
      </c>
      <c r="F53" s="46">
        <v>11</v>
      </c>
      <c r="G53" s="46">
        <v>11</v>
      </c>
      <c r="H53" s="46">
        <v>11</v>
      </c>
      <c r="I53" s="46">
        <v>11</v>
      </c>
      <c r="J53" s="46">
        <v>11</v>
      </c>
      <c r="K53" s="46">
        <v>11</v>
      </c>
      <c r="L53" s="46">
        <v>11</v>
      </c>
      <c r="M53" s="46">
        <v>11</v>
      </c>
      <c r="N53" s="46">
        <v>11</v>
      </c>
      <c r="O53" s="46">
        <v>11</v>
      </c>
      <c r="P53" s="46">
        <v>11</v>
      </c>
      <c r="Q53" s="46">
        <v>11</v>
      </c>
      <c r="R53" s="46">
        <v>11</v>
      </c>
      <c r="S53" s="46">
        <v>11</v>
      </c>
      <c r="T53" s="46">
        <v>11</v>
      </c>
      <c r="U53" s="46">
        <v>11</v>
      </c>
      <c r="V53" s="46">
        <v>11</v>
      </c>
      <c r="W53" s="46">
        <v>11</v>
      </c>
      <c r="X53" s="46">
        <v>11</v>
      </c>
      <c r="Y53" s="46">
        <v>11</v>
      </c>
      <c r="Z53" s="46">
        <v>11</v>
      </c>
      <c r="AA53" s="46">
        <v>11</v>
      </c>
      <c r="AB53" s="46">
        <v>11</v>
      </c>
      <c r="AC53" s="46">
        <v>11</v>
      </c>
      <c r="AD53" s="46">
        <v>11</v>
      </c>
      <c r="AE53" s="46">
        <v>11</v>
      </c>
      <c r="AF53" s="46">
        <v>11</v>
      </c>
      <c r="AG53" s="61">
        <v>11.88</v>
      </c>
      <c r="AH53" s="48">
        <f t="shared" si="20"/>
        <v>11</v>
      </c>
      <c r="AI53" s="49">
        <f t="shared" si="21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0"/>
        <v>11</v>
      </c>
      <c r="AI54" s="49">
        <f t="shared" si="21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11.7</v>
      </c>
      <c r="C55" s="46">
        <v>11.7</v>
      </c>
      <c r="D55" s="46">
        <v>11.7</v>
      </c>
      <c r="E55" s="46">
        <v>11.7</v>
      </c>
      <c r="F55" s="46">
        <v>11.7</v>
      </c>
      <c r="G55" s="46">
        <v>9.8000000000000007</v>
      </c>
      <c r="H55" s="46">
        <v>9.8000000000000007</v>
      </c>
      <c r="I55" s="46">
        <v>9.8000000000000007</v>
      </c>
      <c r="J55" s="46">
        <v>9.8000000000000007</v>
      </c>
      <c r="K55" s="46">
        <v>9.8000000000000007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11.5</v>
      </c>
      <c r="AB55" s="46">
        <v>11.5</v>
      </c>
      <c r="AC55" s="46">
        <v>11.5</v>
      </c>
      <c r="AD55" s="46">
        <v>11.5</v>
      </c>
      <c r="AE55" s="46">
        <v>11.5</v>
      </c>
      <c r="AF55" s="46">
        <v>11.5</v>
      </c>
      <c r="AG55" s="66">
        <v>11</v>
      </c>
      <c r="AH55" s="48">
        <f t="shared" si="20"/>
        <v>11.7</v>
      </c>
      <c r="AI55" s="49">
        <f t="shared" si="2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0"/>
        <v>9</v>
      </c>
      <c r="AI56" s="49">
        <f t="shared" si="21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0"/>
        <v>0</v>
      </c>
      <c r="AI57" s="49">
        <f t="shared" si="21"/>
        <v>0</v>
      </c>
      <c r="AK57" s="51"/>
    </row>
    <row r="58" spans="1:88" x14ac:dyDescent="0.25">
      <c r="A58" s="65" t="s">
        <v>70</v>
      </c>
      <c r="B58" s="46">
        <v>10</v>
      </c>
      <c r="C58" s="46">
        <v>10</v>
      </c>
      <c r="D58" s="46">
        <v>10</v>
      </c>
      <c r="E58" s="46">
        <v>10</v>
      </c>
      <c r="F58" s="46">
        <v>10</v>
      </c>
      <c r="G58" s="46">
        <v>10</v>
      </c>
      <c r="H58" s="46">
        <v>10</v>
      </c>
      <c r="I58" s="46">
        <v>10</v>
      </c>
      <c r="J58" s="46">
        <v>10</v>
      </c>
      <c r="K58" s="46">
        <v>10</v>
      </c>
      <c r="L58" s="46">
        <v>10</v>
      </c>
      <c r="M58" s="46">
        <v>10</v>
      </c>
      <c r="N58" s="46">
        <v>10</v>
      </c>
      <c r="O58" s="46">
        <v>10</v>
      </c>
      <c r="P58" s="46">
        <v>10</v>
      </c>
      <c r="Q58" s="46">
        <v>10</v>
      </c>
      <c r="R58" s="46">
        <v>10</v>
      </c>
      <c r="S58" s="46">
        <v>10</v>
      </c>
      <c r="T58" s="46">
        <v>10</v>
      </c>
      <c r="U58" s="46">
        <v>10</v>
      </c>
      <c r="V58" s="46">
        <v>10</v>
      </c>
      <c r="W58" s="46">
        <v>10</v>
      </c>
      <c r="X58" s="46">
        <v>10</v>
      </c>
      <c r="Y58" s="46">
        <v>10</v>
      </c>
      <c r="Z58" s="46">
        <v>10</v>
      </c>
      <c r="AA58" s="46">
        <v>10</v>
      </c>
      <c r="AB58" s="46">
        <v>10</v>
      </c>
      <c r="AC58" s="46">
        <v>10</v>
      </c>
      <c r="AD58" s="46">
        <v>10</v>
      </c>
      <c r="AE58" s="46">
        <v>10</v>
      </c>
      <c r="AF58" s="46">
        <v>10</v>
      </c>
      <c r="AG58" s="66">
        <v>10</v>
      </c>
      <c r="AH58" s="48">
        <f t="shared" si="20"/>
        <v>10</v>
      </c>
      <c r="AI58" s="49">
        <f t="shared" si="21"/>
        <v>10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0"/>
        <v>300</v>
      </c>
      <c r="AI59" s="49">
        <f t="shared" si="21"/>
        <v>300</v>
      </c>
      <c r="AK59" s="51"/>
    </row>
    <row r="60" spans="1:88" ht="15.75" thickBot="1" x14ac:dyDescent="0.3">
      <c r="A60" s="69" t="s">
        <v>74</v>
      </c>
      <c r="B60" s="68">
        <f>103+69.2</f>
        <v>172.2</v>
      </c>
      <c r="C60" s="68">
        <f>103+69.2</f>
        <v>172.2</v>
      </c>
      <c r="D60" s="68">
        <f>103+69.2</f>
        <v>172.2</v>
      </c>
      <c r="E60" s="68">
        <f>69+100.8</f>
        <v>169.8</v>
      </c>
      <c r="F60" s="68">
        <f>69.3+100.9</f>
        <v>170.2</v>
      </c>
      <c r="G60" s="68">
        <f>68.7+101.4</f>
        <v>170.10000000000002</v>
      </c>
      <c r="H60" s="68">
        <f>68.9+101.3</f>
        <v>170.2</v>
      </c>
      <c r="I60" s="68">
        <f>68.5+101.2</f>
        <v>169.7</v>
      </c>
      <c r="J60" s="68">
        <f>45.8+101.4</f>
        <v>147.19999999999999</v>
      </c>
      <c r="K60" s="53">
        <f>74.6+105.9</f>
        <v>180.5</v>
      </c>
      <c r="L60" s="53">
        <f>70.1+103.1</f>
        <v>173.2</v>
      </c>
      <c r="M60" s="53">
        <v>145</v>
      </c>
      <c r="N60" s="53">
        <v>145</v>
      </c>
      <c r="O60" s="53">
        <v>145</v>
      </c>
      <c r="P60" s="53">
        <v>144</v>
      </c>
      <c r="Q60" s="53">
        <v>162</v>
      </c>
      <c r="R60" s="53">
        <v>150</v>
      </c>
      <c r="S60" s="53">
        <v>150</v>
      </c>
      <c r="T60" s="53">
        <v>150</v>
      </c>
      <c r="U60" s="53">
        <v>150</v>
      </c>
      <c r="V60" s="53">
        <v>150</v>
      </c>
      <c r="W60" s="53">
        <v>150</v>
      </c>
      <c r="X60" s="53">
        <v>150</v>
      </c>
      <c r="Y60" s="53">
        <v>150</v>
      </c>
      <c r="Z60" s="53">
        <v>150</v>
      </c>
      <c r="AA60" s="53">
        <v>178</v>
      </c>
      <c r="AB60" s="53">
        <f>76+107.2</f>
        <v>183.2</v>
      </c>
      <c r="AC60" s="53">
        <f>76.5+107.2</f>
        <v>183.7</v>
      </c>
      <c r="AD60" s="53">
        <f>77.2+108.5</f>
        <v>185.7</v>
      </c>
      <c r="AE60" s="53">
        <v>186</v>
      </c>
      <c r="AF60" s="53">
        <v>187</v>
      </c>
      <c r="AG60" s="66">
        <v>240</v>
      </c>
      <c r="AH60" s="48">
        <f t="shared" si="20"/>
        <v>187</v>
      </c>
      <c r="AI60" s="49">
        <f t="shared" si="21"/>
        <v>144</v>
      </c>
      <c r="AK60" s="51"/>
    </row>
    <row r="61" spans="1:88" ht="15.75" thickBot="1" x14ac:dyDescent="0.3">
      <c r="A61" s="70" t="s">
        <v>75</v>
      </c>
      <c r="B61" s="71">
        <f>SUM(B11:B59)</f>
        <v>1180.9000000000001</v>
      </c>
      <c r="C61" s="71">
        <f>SUM(C11:C59)</f>
        <v>1142.1000000000001</v>
      </c>
      <c r="D61" s="71">
        <f>SUM(D11:D59)</f>
        <v>1142.1000000000001</v>
      </c>
      <c r="E61" s="71">
        <f t="shared" ref="E61:AG61" si="22">SUM(E11:E59)</f>
        <v>1146</v>
      </c>
      <c r="F61" s="71">
        <f t="shared" si="22"/>
        <v>1120</v>
      </c>
      <c r="G61" s="71">
        <f t="shared" si="22"/>
        <v>1105.9000000000001</v>
      </c>
      <c r="H61" s="71">
        <f t="shared" si="22"/>
        <v>1105.9000000000001</v>
      </c>
      <c r="I61" s="71">
        <f t="shared" si="22"/>
        <v>1149.5999999999999</v>
      </c>
      <c r="J61" s="71">
        <f t="shared" si="22"/>
        <v>1144.9000000000001</v>
      </c>
      <c r="K61" s="71">
        <f t="shared" si="22"/>
        <v>1151.6999999999998</v>
      </c>
      <c r="L61" s="71">
        <f t="shared" si="22"/>
        <v>1115</v>
      </c>
      <c r="M61" s="71">
        <f t="shared" si="22"/>
        <v>1140.3999999999999</v>
      </c>
      <c r="N61" s="71">
        <f t="shared" si="22"/>
        <v>1211.3</v>
      </c>
      <c r="O61" s="71">
        <f t="shared" si="22"/>
        <v>1214.3</v>
      </c>
      <c r="P61" s="71">
        <f t="shared" si="22"/>
        <v>1170.6999999999998</v>
      </c>
      <c r="Q61" s="71">
        <f t="shared" si="22"/>
        <v>1187.9000000000001</v>
      </c>
      <c r="R61" s="71">
        <f t="shared" si="22"/>
        <v>1187.9000000000001</v>
      </c>
      <c r="S61" s="71">
        <f t="shared" ref="S61:T61" si="23">SUM(S11:S59)</f>
        <v>1250.9000000000001</v>
      </c>
      <c r="T61" s="71">
        <f t="shared" si="23"/>
        <v>1250.9000000000001</v>
      </c>
      <c r="U61" s="71">
        <f t="shared" ref="U61:V61" si="24">SUM(U11:U59)</f>
        <v>1250.9000000000001</v>
      </c>
      <c r="V61" s="71">
        <f t="shared" si="24"/>
        <v>1250.9000000000001</v>
      </c>
      <c r="W61" s="71">
        <f t="shared" ref="W61:X61" si="25">SUM(W11:W59)</f>
        <v>1250.9000000000001</v>
      </c>
      <c r="X61" s="71">
        <f t="shared" si="25"/>
        <v>1295.8</v>
      </c>
      <c r="Y61" s="71">
        <f t="shared" ref="Y61:Z61" si="26">SUM(Y11:Y59)</f>
        <v>1295.8</v>
      </c>
      <c r="Z61" s="71">
        <f t="shared" si="26"/>
        <v>1295.8</v>
      </c>
      <c r="AA61" s="71">
        <f t="shared" ref="AA61:AB61" si="27">SUM(AA11:AA59)</f>
        <v>1430.6999999999998</v>
      </c>
      <c r="AB61" s="71">
        <f t="shared" si="27"/>
        <v>1435.4</v>
      </c>
      <c r="AC61" s="71">
        <f t="shared" ref="AC61:AD61" si="28">SUM(AC11:AC59)</f>
        <v>1435.3</v>
      </c>
      <c r="AD61" s="71">
        <f t="shared" si="28"/>
        <v>1413.7</v>
      </c>
      <c r="AE61" s="71">
        <f t="shared" ref="AE61:AF61" si="29">SUM(AE11:AE59)</f>
        <v>1413.7</v>
      </c>
      <c r="AF61" s="71">
        <f t="shared" si="29"/>
        <v>1259</v>
      </c>
      <c r="AG61" s="71">
        <f t="shared" si="22"/>
        <v>1466.0300000000002</v>
      </c>
      <c r="AH61" s="48">
        <f t="shared" si="20"/>
        <v>1435.4</v>
      </c>
      <c r="AI61" s="49">
        <f t="shared" si="21"/>
        <v>1105.9000000000001</v>
      </c>
      <c r="AK61" s="51"/>
    </row>
    <row r="62" spans="1:88" x14ac:dyDescent="0.25">
      <c r="A62" s="73" t="s">
        <v>76</v>
      </c>
      <c r="B62" s="46">
        <v>456</v>
      </c>
      <c r="C62" s="46">
        <v>456</v>
      </c>
      <c r="D62" s="46">
        <v>456</v>
      </c>
      <c r="E62" s="46">
        <v>457.5</v>
      </c>
      <c r="F62" s="46">
        <v>457.3</v>
      </c>
      <c r="G62" s="46">
        <v>457.4</v>
      </c>
      <c r="H62" s="46">
        <v>457.8</v>
      </c>
      <c r="I62" s="46">
        <v>457.4</v>
      </c>
      <c r="J62" s="46">
        <v>457.1</v>
      </c>
      <c r="K62" s="46">
        <v>457.5</v>
      </c>
      <c r="L62" s="46">
        <v>457.5</v>
      </c>
      <c r="M62" s="46">
        <v>457.6</v>
      </c>
      <c r="N62" s="46">
        <v>457.6</v>
      </c>
      <c r="O62" s="46">
        <v>457.6</v>
      </c>
      <c r="P62" s="46">
        <v>457.6</v>
      </c>
      <c r="Q62" s="46">
        <v>457.6</v>
      </c>
      <c r="R62" s="74">
        <v>382.8</v>
      </c>
      <c r="S62" s="74">
        <v>382.8</v>
      </c>
      <c r="T62" s="74">
        <v>382.8</v>
      </c>
      <c r="U62" s="74">
        <v>382.8</v>
      </c>
      <c r="V62" s="74">
        <v>382.8</v>
      </c>
      <c r="W62" s="74">
        <v>382.8</v>
      </c>
      <c r="X62" s="74">
        <v>382.8</v>
      </c>
      <c r="Y62" s="74">
        <v>382.8</v>
      </c>
      <c r="Z62" s="74">
        <v>382.8</v>
      </c>
      <c r="AA62" s="74">
        <v>382.8</v>
      </c>
      <c r="AB62" s="74">
        <v>382.8</v>
      </c>
      <c r="AC62" s="74">
        <v>382.8</v>
      </c>
      <c r="AD62" s="74">
        <v>382.8</v>
      </c>
      <c r="AE62" s="74">
        <v>382.8</v>
      </c>
      <c r="AF62" s="74">
        <v>382.8</v>
      </c>
      <c r="AG62" s="61">
        <v>456</v>
      </c>
      <c r="AH62" s="48">
        <f t="shared" si="20"/>
        <v>457.8</v>
      </c>
      <c r="AI62" s="49">
        <f t="shared" si="21"/>
        <v>382.8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61.3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61.1</v>
      </c>
      <c r="N63" s="76">
        <v>61.1</v>
      </c>
      <c r="O63" s="76">
        <v>61.1</v>
      </c>
      <c r="P63" s="76">
        <v>61.1</v>
      </c>
      <c r="Q63" s="76">
        <v>61.1</v>
      </c>
      <c r="R63" s="76">
        <v>61.1</v>
      </c>
      <c r="S63" s="76">
        <v>61.1</v>
      </c>
      <c r="T63" s="76">
        <v>61.1</v>
      </c>
      <c r="U63" s="76">
        <v>61.1</v>
      </c>
      <c r="V63" s="76">
        <v>61.1</v>
      </c>
      <c r="W63" s="76">
        <v>61.1</v>
      </c>
      <c r="X63" s="76">
        <v>61.1</v>
      </c>
      <c r="Y63" s="76">
        <v>61.1</v>
      </c>
      <c r="Z63" s="76">
        <v>61.1</v>
      </c>
      <c r="AA63" s="76">
        <v>61.1</v>
      </c>
      <c r="AB63" s="76">
        <v>61.1</v>
      </c>
      <c r="AC63" s="76">
        <v>61.1</v>
      </c>
      <c r="AD63" s="76">
        <v>61.1</v>
      </c>
      <c r="AE63" s="76">
        <v>61.1</v>
      </c>
      <c r="AF63" s="76">
        <v>61.1</v>
      </c>
      <c r="AG63" s="66">
        <v>60</v>
      </c>
      <c r="AH63" s="48">
        <f t="shared" si="20"/>
        <v>61.3</v>
      </c>
      <c r="AI63" s="49">
        <f t="shared" si="21"/>
        <v>60</v>
      </c>
      <c r="AK63" s="51"/>
    </row>
    <row r="64" spans="1:88" ht="15.75" thickBot="1" x14ac:dyDescent="0.3">
      <c r="A64" s="77" t="s">
        <v>78</v>
      </c>
      <c r="B64" s="78">
        <v>22</v>
      </c>
      <c r="C64" s="78">
        <v>22</v>
      </c>
      <c r="D64" s="78">
        <v>22</v>
      </c>
      <c r="E64" s="78">
        <v>22.4</v>
      </c>
      <c r="F64" s="78">
        <v>22.4</v>
      </c>
      <c r="G64" s="78">
        <v>22.4</v>
      </c>
      <c r="H64" s="78">
        <v>22.4</v>
      </c>
      <c r="I64" s="78">
        <v>22.5</v>
      </c>
      <c r="J64" s="78">
        <v>22.4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0"/>
        <v>22.5</v>
      </c>
      <c r="AI64" s="49">
        <f t="shared" si="21"/>
        <v>22</v>
      </c>
      <c r="AK64" s="51"/>
    </row>
    <row r="65" spans="1:75" ht="15.75" thickBot="1" x14ac:dyDescent="0.3">
      <c r="A65" s="80" t="s">
        <v>79</v>
      </c>
      <c r="B65" s="71">
        <f>SUM(B62:B64)</f>
        <v>538</v>
      </c>
      <c r="C65" s="71">
        <f>SUM(C62:C64)</f>
        <v>538</v>
      </c>
      <c r="D65" s="71">
        <f>SUM(D62:D64)</f>
        <v>538</v>
      </c>
      <c r="E65" s="71">
        <f t="shared" ref="E65:AG65" si="30">SUM(E62:E64)</f>
        <v>541.19999999999993</v>
      </c>
      <c r="F65" s="71">
        <f t="shared" si="30"/>
        <v>539.69999999999993</v>
      </c>
      <c r="G65" s="71">
        <f t="shared" si="30"/>
        <v>539.79999999999995</v>
      </c>
      <c r="H65" s="71">
        <f t="shared" si="30"/>
        <v>540.19999999999993</v>
      </c>
      <c r="I65" s="71">
        <f t="shared" si="30"/>
        <v>539.9</v>
      </c>
      <c r="J65" s="71">
        <f t="shared" si="30"/>
        <v>539.5</v>
      </c>
      <c r="K65" s="71">
        <f t="shared" si="30"/>
        <v>540</v>
      </c>
      <c r="L65" s="71">
        <f t="shared" si="30"/>
        <v>540</v>
      </c>
      <c r="M65" s="71">
        <f t="shared" si="30"/>
        <v>541.20000000000005</v>
      </c>
      <c r="N65" s="71">
        <f t="shared" si="30"/>
        <v>541.20000000000005</v>
      </c>
      <c r="O65" s="71">
        <f t="shared" si="30"/>
        <v>541.20000000000005</v>
      </c>
      <c r="P65" s="71">
        <f t="shared" si="30"/>
        <v>541.20000000000005</v>
      </c>
      <c r="Q65" s="71">
        <f t="shared" si="30"/>
        <v>541.20000000000005</v>
      </c>
      <c r="R65" s="71">
        <f t="shared" si="30"/>
        <v>466.40000000000003</v>
      </c>
      <c r="S65" s="71">
        <f t="shared" ref="S65:T65" si="31">SUM(S62:S64)</f>
        <v>466.40000000000003</v>
      </c>
      <c r="T65" s="71">
        <f t="shared" si="31"/>
        <v>466.40000000000003</v>
      </c>
      <c r="U65" s="71">
        <f t="shared" ref="U65:V65" si="32">SUM(U62:U64)</f>
        <v>466.40000000000003</v>
      </c>
      <c r="V65" s="71">
        <f t="shared" si="32"/>
        <v>466.40000000000003</v>
      </c>
      <c r="W65" s="71">
        <f t="shared" ref="W65:X65" si="33">SUM(W62:W64)</f>
        <v>466.40000000000003</v>
      </c>
      <c r="X65" s="71">
        <f t="shared" si="33"/>
        <v>466.40000000000003</v>
      </c>
      <c r="Y65" s="71">
        <f t="shared" ref="Y65:Z65" si="34">SUM(Y62:Y64)</f>
        <v>466.40000000000003</v>
      </c>
      <c r="Z65" s="71">
        <f t="shared" si="34"/>
        <v>466.40000000000003</v>
      </c>
      <c r="AA65" s="71">
        <f t="shared" ref="AA65:AB65" si="35">SUM(AA62:AA64)</f>
        <v>466.40000000000003</v>
      </c>
      <c r="AB65" s="71">
        <f t="shared" si="35"/>
        <v>466.40000000000003</v>
      </c>
      <c r="AC65" s="71">
        <f t="shared" ref="AC65:AD65" si="36">SUM(AC62:AC64)</f>
        <v>466.40000000000003</v>
      </c>
      <c r="AD65" s="71">
        <f t="shared" si="36"/>
        <v>466.40000000000003</v>
      </c>
      <c r="AE65" s="71">
        <f t="shared" ref="AE65:AF65" si="37">SUM(AE62:AE64)</f>
        <v>466.40000000000003</v>
      </c>
      <c r="AF65" s="71">
        <f t="shared" si="37"/>
        <v>466.40000000000003</v>
      </c>
      <c r="AG65" s="72">
        <f t="shared" si="30"/>
        <v>538.1</v>
      </c>
      <c r="AH65" s="48">
        <f t="shared" si="20"/>
        <v>541.20000000000005</v>
      </c>
      <c r="AI65" s="49">
        <f t="shared" si="21"/>
        <v>466.40000000000003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129.69999999999999</v>
      </c>
      <c r="C66" s="46">
        <v>129.69999999999999</v>
      </c>
      <c r="D66" s="46">
        <v>129.69999999999999</v>
      </c>
      <c r="E66" s="46">
        <v>133</v>
      </c>
      <c r="F66" s="46">
        <v>132.19999999999999</v>
      </c>
      <c r="G66" s="46">
        <v>131</v>
      </c>
      <c r="H66" s="46">
        <v>130.69999999999999</v>
      </c>
      <c r="I66" s="46">
        <v>130.30000000000001</v>
      </c>
      <c r="J66" s="46">
        <v>128.5</v>
      </c>
      <c r="K66" s="46">
        <v>111.6</v>
      </c>
      <c r="L66" s="46">
        <v>111.3</v>
      </c>
      <c r="M66" s="46">
        <v>111.5</v>
      </c>
      <c r="N66" s="46">
        <v>128.9</v>
      </c>
      <c r="O66" s="46">
        <v>128.9</v>
      </c>
      <c r="P66" s="46">
        <v>128.5</v>
      </c>
      <c r="Q66" s="46">
        <v>128.5</v>
      </c>
      <c r="R66" s="46">
        <v>111.1</v>
      </c>
      <c r="S66" s="46">
        <v>127.3</v>
      </c>
      <c r="T66" s="46">
        <v>127.3</v>
      </c>
      <c r="U66" s="46">
        <v>127.3</v>
      </c>
      <c r="V66" s="46">
        <v>127.3</v>
      </c>
      <c r="W66" s="46">
        <v>127.3</v>
      </c>
      <c r="X66" s="46">
        <v>127.3</v>
      </c>
      <c r="Y66" s="46">
        <v>127.3</v>
      </c>
      <c r="Z66" s="46">
        <v>127.3</v>
      </c>
      <c r="AA66" s="46">
        <v>127.3</v>
      </c>
      <c r="AB66" s="46">
        <v>133.5</v>
      </c>
      <c r="AC66" s="46">
        <v>133.5</v>
      </c>
      <c r="AD66" s="46">
        <v>133.5</v>
      </c>
      <c r="AE66" s="46">
        <v>133.5</v>
      </c>
      <c r="AF66" s="46">
        <v>133.5</v>
      </c>
      <c r="AG66" s="61">
        <v>144</v>
      </c>
      <c r="AH66" s="48">
        <f t="shared" si="20"/>
        <v>133.5</v>
      </c>
      <c r="AI66" s="49">
        <f t="shared" si="21"/>
        <v>111.1</v>
      </c>
      <c r="AK66" s="51"/>
      <c r="AY66" s="1" t="s">
        <v>86</v>
      </c>
      <c r="AZ66" s="82">
        <f>ROUND(C84,0)</f>
        <v>-55</v>
      </c>
      <c r="BA66" s="81">
        <f t="shared" ref="BA66:BD70" si="38">D84</f>
        <v>-39.4</v>
      </c>
      <c r="BB66" s="81">
        <f t="shared" si="38"/>
        <v>-58.1</v>
      </c>
      <c r="BC66" s="81">
        <f t="shared" si="38"/>
        <v>-60.2</v>
      </c>
      <c r="BD66" s="81">
        <f t="shared" si="38"/>
        <v>-56.3</v>
      </c>
      <c r="BE66" s="82">
        <f>I84</f>
        <v>-69.599999999999994</v>
      </c>
      <c r="BF66" s="82">
        <f>K84</f>
        <v>-47.2</v>
      </c>
      <c r="BG66" s="82">
        <f t="shared" ref="BG66:BP70" si="39">M84</f>
        <v>-66</v>
      </c>
      <c r="BH66" s="82">
        <f t="shared" si="39"/>
        <v>-57.7</v>
      </c>
      <c r="BI66" s="82">
        <f t="shared" si="39"/>
        <v>-62.6</v>
      </c>
      <c r="BJ66" s="82">
        <f t="shared" si="39"/>
        <v>-61.2</v>
      </c>
      <c r="BK66" s="82">
        <f t="shared" si="39"/>
        <v>-66.599999999999994</v>
      </c>
      <c r="BL66" s="82">
        <f t="shared" si="39"/>
        <v>-59.5</v>
      </c>
      <c r="BM66" s="82">
        <f t="shared" si="39"/>
        <v>-59</v>
      </c>
      <c r="BN66" s="82">
        <f t="shared" si="39"/>
        <v>-61.6</v>
      </c>
      <c r="BO66" s="82">
        <f t="shared" si="39"/>
        <v>-62.9</v>
      </c>
      <c r="BP66" s="82">
        <f t="shared" si="39"/>
        <v>-64.400000000000006</v>
      </c>
      <c r="BQ66" s="82">
        <f>X84</f>
        <v>-49.2</v>
      </c>
      <c r="BR66" s="82">
        <f>Z84</f>
        <v>-61.3</v>
      </c>
      <c r="BS66" s="81">
        <f>AB84</f>
        <v>-55.9</v>
      </c>
      <c r="BT66" s="81">
        <f t="shared" ref="BT66:BV70" si="40">AD84</f>
        <v>-65</v>
      </c>
      <c r="BU66" s="81">
        <f t="shared" si="40"/>
        <v>-67</v>
      </c>
      <c r="BV66" s="81">
        <f t="shared" si="40"/>
        <v>-69</v>
      </c>
      <c r="BW66" s="81">
        <f>B84</f>
        <v>-49.5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69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20</v>
      </c>
      <c r="V67" s="76">
        <v>20</v>
      </c>
      <c r="W67" s="76">
        <v>50</v>
      </c>
      <c r="X67" s="76">
        <v>50</v>
      </c>
      <c r="Y67" s="76">
        <v>50</v>
      </c>
      <c r="Z67" s="76">
        <v>50</v>
      </c>
      <c r="AA67" s="76">
        <v>70</v>
      </c>
      <c r="AB67" s="76">
        <v>70</v>
      </c>
      <c r="AC67" s="76">
        <v>70</v>
      </c>
      <c r="AD67" s="76">
        <v>70</v>
      </c>
      <c r="AE67" s="76">
        <v>70</v>
      </c>
      <c r="AF67" s="76">
        <v>70</v>
      </c>
      <c r="AG67" s="66">
        <v>70</v>
      </c>
      <c r="AH67" s="48">
        <f t="shared" si="20"/>
        <v>70</v>
      </c>
      <c r="AI67" s="49">
        <f t="shared" si="21"/>
        <v>0</v>
      </c>
      <c r="AK67" s="51"/>
      <c r="AY67" s="1" t="s">
        <v>88</v>
      </c>
      <c r="AZ67" s="82">
        <f>ROUND(C85,0)</f>
        <v>0</v>
      </c>
      <c r="BA67" s="81">
        <f t="shared" si="38"/>
        <v>0</v>
      </c>
      <c r="BB67" s="81">
        <f t="shared" si="38"/>
        <v>0</v>
      </c>
      <c r="BC67" s="81">
        <f t="shared" si="38"/>
        <v>0</v>
      </c>
      <c r="BD67" s="81">
        <f t="shared" si="38"/>
        <v>0</v>
      </c>
      <c r="BE67" s="82">
        <f>I85</f>
        <v>0</v>
      </c>
      <c r="BF67" s="82">
        <f>K85</f>
        <v>0</v>
      </c>
      <c r="BG67" s="82">
        <f t="shared" si="39"/>
        <v>0</v>
      </c>
      <c r="BH67" s="82">
        <f t="shared" si="39"/>
        <v>0</v>
      </c>
      <c r="BI67" s="82">
        <f t="shared" si="39"/>
        <v>0</v>
      </c>
      <c r="BJ67" s="82">
        <f t="shared" si="39"/>
        <v>0</v>
      </c>
      <c r="BK67" s="82">
        <f t="shared" si="39"/>
        <v>0</v>
      </c>
      <c r="BL67" s="82">
        <f t="shared" si="39"/>
        <v>0</v>
      </c>
      <c r="BM67" s="82">
        <f t="shared" si="39"/>
        <v>0</v>
      </c>
      <c r="BN67" s="82">
        <f t="shared" si="39"/>
        <v>0</v>
      </c>
      <c r="BO67" s="82">
        <f t="shared" si="39"/>
        <v>0</v>
      </c>
      <c r="BP67" s="82">
        <f t="shared" si="39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0"/>
        <v>0</v>
      </c>
      <c r="BU67" s="81">
        <f t="shared" si="40"/>
        <v>0</v>
      </c>
      <c r="BV67" s="81">
        <f t="shared" si="40"/>
        <v>0</v>
      </c>
      <c r="BW67" s="81">
        <f>B85</f>
        <v>0</v>
      </c>
    </row>
    <row r="68" spans="1:75" x14ac:dyDescent="0.25">
      <c r="A68" s="65" t="s">
        <v>82</v>
      </c>
      <c r="B68" s="76">
        <v>62</v>
      </c>
      <c r="C68" s="76">
        <v>62</v>
      </c>
      <c r="D68" s="76">
        <v>62</v>
      </c>
      <c r="E68" s="76">
        <v>63.1</v>
      </c>
      <c r="F68" s="76">
        <v>63.4</v>
      </c>
      <c r="G68" s="76">
        <v>62.5</v>
      </c>
      <c r="H68" s="76">
        <v>62.1</v>
      </c>
      <c r="I68" s="76">
        <v>62.1</v>
      </c>
      <c r="J68" s="76">
        <v>62.9</v>
      </c>
      <c r="K68" s="76">
        <v>62.9</v>
      </c>
      <c r="L68" s="76">
        <v>62.3</v>
      </c>
      <c r="M68" s="76">
        <v>62.4</v>
      </c>
      <c r="N68" s="76">
        <v>63.7</v>
      </c>
      <c r="O68" s="76">
        <v>63.4</v>
      </c>
      <c r="P68" s="76">
        <v>62.7</v>
      </c>
      <c r="Q68" s="76">
        <v>62.7</v>
      </c>
      <c r="R68" s="76">
        <v>62.7</v>
      </c>
      <c r="S68" s="76">
        <v>62.7</v>
      </c>
      <c r="T68" s="76">
        <v>62.7</v>
      </c>
      <c r="U68" s="76">
        <v>62.7</v>
      </c>
      <c r="V68" s="76">
        <v>62.7</v>
      </c>
      <c r="W68" s="76">
        <v>52.8</v>
      </c>
      <c r="X68" s="76">
        <v>61</v>
      </c>
      <c r="Y68" s="76">
        <v>61</v>
      </c>
      <c r="Z68" s="76">
        <v>61</v>
      </c>
      <c r="AA68" s="76">
        <v>61</v>
      </c>
      <c r="AB68" s="76">
        <v>63.9</v>
      </c>
      <c r="AC68" s="76">
        <v>63.9</v>
      </c>
      <c r="AD68" s="76">
        <v>63.9</v>
      </c>
      <c r="AE68" s="76">
        <v>63.9</v>
      </c>
      <c r="AF68" s="76">
        <v>63.9</v>
      </c>
      <c r="AG68" s="66">
        <v>69</v>
      </c>
      <c r="AH68" s="48">
        <f t="shared" si="20"/>
        <v>63.9</v>
      </c>
      <c r="AI68" s="49">
        <f t="shared" si="21"/>
        <v>52.8</v>
      </c>
      <c r="AK68" s="51"/>
      <c r="AL68" s="83"/>
      <c r="AO68" s="83"/>
      <c r="AY68" s="1" t="s">
        <v>90</v>
      </c>
      <c r="AZ68" s="82">
        <f>ROUND(C86,0)</f>
        <v>-715</v>
      </c>
      <c r="BA68" s="81">
        <f t="shared" si="38"/>
        <v>-716.5</v>
      </c>
      <c r="BB68" s="81">
        <f t="shared" si="38"/>
        <v>-680</v>
      </c>
      <c r="BC68" s="81">
        <f t="shared" si="38"/>
        <v>-667.3</v>
      </c>
      <c r="BD68" s="81">
        <f t="shared" si="38"/>
        <v>-736</v>
      </c>
      <c r="BE68" s="82">
        <f>I86</f>
        <v>-719</v>
      </c>
      <c r="BF68" s="82">
        <f>K86</f>
        <v>-653</v>
      </c>
      <c r="BG68" s="82">
        <f t="shared" si="39"/>
        <v>-703.8</v>
      </c>
      <c r="BH68" s="82">
        <f t="shared" si="39"/>
        <v>-631.20000000000005</v>
      </c>
      <c r="BI68" s="82">
        <f t="shared" si="39"/>
        <v>-632.4</v>
      </c>
      <c r="BJ68" s="82">
        <f t="shared" si="39"/>
        <v>-674.7</v>
      </c>
      <c r="BK68" s="82">
        <f t="shared" si="39"/>
        <v>-691</v>
      </c>
      <c r="BL68" s="82">
        <f t="shared" si="39"/>
        <v>-610</v>
      </c>
      <c r="BM68" s="82">
        <f t="shared" si="39"/>
        <v>-689.5</v>
      </c>
      <c r="BN68" s="82">
        <f t="shared" si="39"/>
        <v>-690.2</v>
      </c>
      <c r="BO68" s="82">
        <f t="shared" si="39"/>
        <v>-757.3</v>
      </c>
      <c r="BP68" s="82">
        <f t="shared" si="39"/>
        <v>-779.9</v>
      </c>
      <c r="BQ68" s="82">
        <f>X86</f>
        <v>-762.1</v>
      </c>
      <c r="BR68" s="82">
        <f>Z86</f>
        <v>-690.5</v>
      </c>
      <c r="BS68" s="81">
        <f>AB86</f>
        <v>-691.7</v>
      </c>
      <c r="BT68" s="81">
        <f t="shared" si="40"/>
        <v>-655</v>
      </c>
      <c r="BU68" s="81">
        <f t="shared" si="40"/>
        <v>-685</v>
      </c>
      <c r="BV68" s="81">
        <f t="shared" si="40"/>
        <v>-675</v>
      </c>
      <c r="BW68" s="81">
        <f>B86</f>
        <v>-706.5</v>
      </c>
    </row>
    <row r="69" spans="1:75" s="83" customFormat="1" x14ac:dyDescent="0.25">
      <c r="A69" s="65" t="s">
        <v>83</v>
      </c>
      <c r="B69" s="76">
        <v>61</v>
      </c>
      <c r="C69" s="76">
        <v>61</v>
      </c>
      <c r="D69" s="76">
        <v>61</v>
      </c>
      <c r="E69" s="76">
        <v>61.4</v>
      </c>
      <c r="F69" s="76">
        <v>61.4</v>
      </c>
      <c r="G69" s="76">
        <v>61.4</v>
      </c>
      <c r="H69" s="76">
        <v>61.4</v>
      </c>
      <c r="I69" s="76">
        <v>61.2</v>
      </c>
      <c r="J69" s="76">
        <v>61.7</v>
      </c>
      <c r="K69" s="68">
        <v>61.4</v>
      </c>
      <c r="L69" s="68">
        <v>61.4</v>
      </c>
      <c r="M69" s="68">
        <v>61.4</v>
      </c>
      <c r="N69" s="76">
        <v>61.4</v>
      </c>
      <c r="O69" s="76">
        <v>61.4</v>
      </c>
      <c r="P69" s="76">
        <v>61.4</v>
      </c>
      <c r="Q69" s="76">
        <v>61.4</v>
      </c>
      <c r="R69" s="76">
        <v>61.4</v>
      </c>
      <c r="S69" s="76">
        <v>61.4</v>
      </c>
      <c r="T69" s="76">
        <v>61.4</v>
      </c>
      <c r="U69" s="76">
        <v>61.4</v>
      </c>
      <c r="V69" s="76">
        <v>61.4</v>
      </c>
      <c r="W69" s="76">
        <v>61.4</v>
      </c>
      <c r="X69" s="76">
        <v>61.4</v>
      </c>
      <c r="Y69" s="76">
        <v>61.4</v>
      </c>
      <c r="Z69" s="76">
        <v>61.4</v>
      </c>
      <c r="AA69" s="76">
        <v>61.4</v>
      </c>
      <c r="AB69" s="76">
        <v>61.4</v>
      </c>
      <c r="AC69" s="76">
        <v>61.4</v>
      </c>
      <c r="AD69" s="76">
        <v>61.4</v>
      </c>
      <c r="AE69" s="76">
        <v>61.4</v>
      </c>
      <c r="AF69" s="76">
        <v>61.4</v>
      </c>
      <c r="AG69" s="66">
        <v>60</v>
      </c>
      <c r="AH69" s="48">
        <f t="shared" si="20"/>
        <v>61.7</v>
      </c>
      <c r="AI69" s="49">
        <f t="shared" si="21"/>
        <v>61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8"/>
        <v>0</v>
      </c>
      <c r="BB69" s="81">
        <f t="shared" si="38"/>
        <v>0</v>
      </c>
      <c r="BC69" s="81">
        <f t="shared" si="38"/>
        <v>0</v>
      </c>
      <c r="BD69" s="81">
        <f t="shared" si="38"/>
        <v>0</v>
      </c>
      <c r="BE69" s="82">
        <f>I87</f>
        <v>0</v>
      </c>
      <c r="BF69" s="82">
        <f>K87</f>
        <v>0</v>
      </c>
      <c r="BG69" s="82">
        <f t="shared" si="39"/>
        <v>0</v>
      </c>
      <c r="BH69" s="82">
        <f t="shared" si="39"/>
        <v>0</v>
      </c>
      <c r="BI69" s="82">
        <f t="shared" si="39"/>
        <v>0</v>
      </c>
      <c r="BJ69" s="82">
        <f t="shared" si="39"/>
        <v>0</v>
      </c>
      <c r="BK69" s="82">
        <f t="shared" si="39"/>
        <v>0</v>
      </c>
      <c r="BL69" s="82">
        <f t="shared" si="39"/>
        <v>0</v>
      </c>
      <c r="BM69" s="82">
        <f t="shared" si="39"/>
        <v>0</v>
      </c>
      <c r="BN69" s="82">
        <f t="shared" si="39"/>
        <v>0</v>
      </c>
      <c r="BO69" s="82">
        <f t="shared" si="39"/>
        <v>0</v>
      </c>
      <c r="BP69" s="82">
        <f t="shared" si="39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0"/>
        <v>0</v>
      </c>
      <c r="BU69" s="81">
        <f t="shared" si="40"/>
        <v>0</v>
      </c>
      <c r="BV69" s="81">
        <f t="shared" si="40"/>
        <v>0</v>
      </c>
      <c r="BW69" s="81">
        <f>B87</f>
        <v>0</v>
      </c>
    </row>
    <row r="70" spans="1:75" x14ac:dyDescent="0.25">
      <c r="A70" s="65" t="s">
        <v>84</v>
      </c>
      <c r="B70" s="46">
        <v>27.8</v>
      </c>
      <c r="C70" s="46">
        <v>27.8</v>
      </c>
      <c r="D70" s="46">
        <v>27.8</v>
      </c>
      <c r="E70" s="76">
        <v>0</v>
      </c>
      <c r="F70" s="76">
        <v>0</v>
      </c>
      <c r="G70" s="76">
        <v>14.3</v>
      </c>
      <c r="H70" s="76">
        <v>28.1</v>
      </c>
      <c r="I70" s="76">
        <v>23.3</v>
      </c>
      <c r="J70" s="76">
        <v>24.6</v>
      </c>
      <c r="K70" s="76">
        <v>20</v>
      </c>
      <c r="L70" s="68">
        <v>0</v>
      </c>
      <c r="M70" s="68">
        <v>27.8</v>
      </c>
      <c r="N70" s="68">
        <v>27.8</v>
      </c>
      <c r="O70" s="68">
        <v>27.8</v>
      </c>
      <c r="P70" s="68">
        <v>27.8</v>
      </c>
      <c r="Q70" s="68">
        <v>27.8</v>
      </c>
      <c r="R70" s="68">
        <v>27.8</v>
      </c>
      <c r="S70" s="68">
        <v>27.8</v>
      </c>
      <c r="T70" s="68">
        <v>27.8</v>
      </c>
      <c r="U70" s="68">
        <v>27.8</v>
      </c>
      <c r="V70" s="68">
        <v>27.8</v>
      </c>
      <c r="W70" s="68">
        <v>12.1</v>
      </c>
      <c r="X70" s="68">
        <v>12.1</v>
      </c>
      <c r="Y70" s="68">
        <v>12.1</v>
      </c>
      <c r="Z70" s="68">
        <v>12.1</v>
      </c>
      <c r="AA70" s="68">
        <v>12.1</v>
      </c>
      <c r="AB70" s="68">
        <v>27.4</v>
      </c>
      <c r="AC70" s="68">
        <v>27.4</v>
      </c>
      <c r="AD70" s="68">
        <v>27.4</v>
      </c>
      <c r="AE70" s="68">
        <v>27.4</v>
      </c>
      <c r="AF70" s="68">
        <v>27.4</v>
      </c>
      <c r="AG70" s="66">
        <v>30</v>
      </c>
      <c r="AH70" s="48">
        <f t="shared" si="20"/>
        <v>28.1</v>
      </c>
      <c r="AI70" s="49">
        <f t="shared" si="21"/>
        <v>0</v>
      </c>
      <c r="AK70" s="51"/>
      <c r="AY70" s="1" t="s">
        <v>94</v>
      </c>
      <c r="AZ70" s="82">
        <f>ROUND(C88,0)</f>
        <v>0</v>
      </c>
      <c r="BA70" s="81">
        <f t="shared" si="38"/>
        <v>0</v>
      </c>
      <c r="BB70" s="81">
        <f t="shared" si="38"/>
        <v>0</v>
      </c>
      <c r="BC70" s="81">
        <f t="shared" si="38"/>
        <v>0</v>
      </c>
      <c r="BD70" s="81">
        <f t="shared" si="38"/>
        <v>0</v>
      </c>
      <c r="BE70" s="82">
        <f>I88</f>
        <v>0</v>
      </c>
      <c r="BF70" s="82">
        <f>K88</f>
        <v>0</v>
      </c>
      <c r="BG70" s="82">
        <f t="shared" si="39"/>
        <v>0</v>
      </c>
      <c r="BH70" s="82">
        <f t="shared" si="39"/>
        <v>0</v>
      </c>
      <c r="BI70" s="82">
        <f t="shared" si="39"/>
        <v>0</v>
      </c>
      <c r="BJ70" s="82">
        <f t="shared" si="39"/>
        <v>0</v>
      </c>
      <c r="BK70" s="82">
        <f t="shared" si="39"/>
        <v>0</v>
      </c>
      <c r="BL70" s="82">
        <f t="shared" si="39"/>
        <v>0</v>
      </c>
      <c r="BM70" s="82">
        <f t="shared" si="39"/>
        <v>0</v>
      </c>
      <c r="BN70" s="82">
        <f t="shared" si="39"/>
        <v>0</v>
      </c>
      <c r="BO70" s="82">
        <f t="shared" si="39"/>
        <v>0</v>
      </c>
      <c r="BP70" s="82">
        <f t="shared" si="39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0"/>
        <v>0</v>
      </c>
      <c r="BU70" s="81">
        <f t="shared" si="40"/>
        <v>0</v>
      </c>
      <c r="BV70" s="81">
        <f t="shared" si="40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0.5</v>
      </c>
      <c r="J71" s="46">
        <v>0.7</v>
      </c>
      <c r="K71" s="46">
        <v>2.9</v>
      </c>
      <c r="L71" s="46">
        <v>5.6</v>
      </c>
      <c r="M71" s="46">
        <v>10.7</v>
      </c>
      <c r="N71" s="46">
        <v>12</v>
      </c>
      <c r="O71" s="46">
        <v>16.899999999999999</v>
      </c>
      <c r="P71" s="46">
        <v>18.96</v>
      </c>
      <c r="Q71" s="46">
        <v>18.96</v>
      </c>
      <c r="R71" s="46">
        <v>17.5</v>
      </c>
      <c r="S71" s="46">
        <v>16.100000000000001</v>
      </c>
      <c r="T71" s="46">
        <v>16.100000000000001</v>
      </c>
      <c r="U71" s="46">
        <v>14.2</v>
      </c>
      <c r="V71" s="46">
        <v>11.2</v>
      </c>
      <c r="W71" s="46">
        <v>8.6</v>
      </c>
      <c r="X71" s="46">
        <v>3.4</v>
      </c>
      <c r="Y71" s="46">
        <v>2.1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0"/>
        <v>18.96</v>
      </c>
      <c r="AI71" s="49">
        <f t="shared" si="21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1">M94</f>
        <v>0</v>
      </c>
      <c r="BH71" s="82">
        <f t="shared" si="41"/>
        <v>0</v>
      </c>
      <c r="BI71" s="82">
        <f t="shared" si="41"/>
        <v>0</v>
      </c>
      <c r="BJ71" s="82">
        <f t="shared" si="41"/>
        <v>0</v>
      </c>
      <c r="BK71" s="82">
        <f t="shared" si="41"/>
        <v>0</v>
      </c>
      <c r="BL71" s="82">
        <f t="shared" si="41"/>
        <v>0</v>
      </c>
      <c r="BM71" s="82">
        <f t="shared" si="41"/>
        <v>0</v>
      </c>
      <c r="BN71" s="82">
        <f t="shared" si="41"/>
        <v>0</v>
      </c>
      <c r="BO71" s="82">
        <f t="shared" si="41"/>
        <v>0</v>
      </c>
      <c r="BP71" s="82">
        <f t="shared" si="41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15.4</v>
      </c>
      <c r="C72" s="76">
        <v>15.4</v>
      </c>
      <c r="D72" s="76">
        <v>15.4</v>
      </c>
      <c r="E72" s="76">
        <v>15.4</v>
      </c>
      <c r="F72" s="76">
        <v>14.4</v>
      </c>
      <c r="G72" s="76">
        <v>14.4</v>
      </c>
      <c r="H72" s="76">
        <v>14.4</v>
      </c>
      <c r="I72" s="76">
        <v>14.4</v>
      </c>
      <c r="J72" s="76">
        <v>14.4</v>
      </c>
      <c r="K72" s="76">
        <v>14.3</v>
      </c>
      <c r="L72" s="76">
        <v>14.3</v>
      </c>
      <c r="M72" s="76">
        <v>14.3</v>
      </c>
      <c r="N72" s="76">
        <v>14.3</v>
      </c>
      <c r="O72" s="76">
        <v>15.1</v>
      </c>
      <c r="P72" s="76">
        <v>15.1</v>
      </c>
      <c r="Q72" s="76">
        <v>15.1</v>
      </c>
      <c r="R72" s="76">
        <v>15.1</v>
      </c>
      <c r="S72" s="76">
        <v>15.1</v>
      </c>
      <c r="T72" s="76">
        <v>15.1</v>
      </c>
      <c r="U72" s="76">
        <v>15.1</v>
      </c>
      <c r="V72" s="76">
        <v>15.1</v>
      </c>
      <c r="W72" s="76">
        <v>15.1</v>
      </c>
      <c r="X72" s="76">
        <v>15.1</v>
      </c>
      <c r="Y72" s="76">
        <v>15.1</v>
      </c>
      <c r="Z72" s="76">
        <v>15.1</v>
      </c>
      <c r="AA72" s="76">
        <v>15.1</v>
      </c>
      <c r="AB72" s="76">
        <v>15.3</v>
      </c>
      <c r="AC72" s="76">
        <v>15.3</v>
      </c>
      <c r="AD72" s="76">
        <v>15.3</v>
      </c>
      <c r="AE72" s="76">
        <v>15.3</v>
      </c>
      <c r="AF72" s="76">
        <v>15.3</v>
      </c>
      <c r="AG72" s="66">
        <v>24</v>
      </c>
      <c r="AH72" s="48">
        <f t="shared" si="20"/>
        <v>15.4</v>
      </c>
      <c r="AI72" s="49">
        <f t="shared" si="21"/>
        <v>14.3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66">
        <v>15</v>
      </c>
      <c r="AH73" s="48">
        <f t="shared" si="20"/>
        <v>0</v>
      </c>
      <c r="AI73" s="49">
        <f t="shared" si="21"/>
        <v>0</v>
      </c>
      <c r="AK73" s="51"/>
      <c r="AZ73" s="82">
        <f t="shared" ref="AZ73:BW78" si="42">VALUE(AZ66)</f>
        <v>-55</v>
      </c>
      <c r="BA73" s="82">
        <f t="shared" si="42"/>
        <v>-39.4</v>
      </c>
      <c r="BB73" s="82">
        <f t="shared" si="42"/>
        <v>-58.1</v>
      </c>
      <c r="BC73" s="82">
        <f t="shared" si="42"/>
        <v>-60.2</v>
      </c>
      <c r="BD73" s="82">
        <f t="shared" si="42"/>
        <v>-56.3</v>
      </c>
      <c r="BE73" s="82">
        <f t="shared" si="42"/>
        <v>-69.599999999999994</v>
      </c>
      <c r="BF73" s="82">
        <f t="shared" si="42"/>
        <v>-47.2</v>
      </c>
      <c r="BG73" s="82">
        <f t="shared" si="42"/>
        <v>-66</v>
      </c>
      <c r="BH73" s="82">
        <f t="shared" si="42"/>
        <v>-57.7</v>
      </c>
      <c r="BI73" s="82">
        <f t="shared" si="42"/>
        <v>-62.6</v>
      </c>
      <c r="BJ73" s="82">
        <f t="shared" si="42"/>
        <v>-61.2</v>
      </c>
      <c r="BK73" s="82">
        <f t="shared" si="42"/>
        <v>-66.599999999999994</v>
      </c>
      <c r="BL73" s="82">
        <f t="shared" si="42"/>
        <v>-59.5</v>
      </c>
      <c r="BM73" s="82">
        <f t="shared" si="42"/>
        <v>-59</v>
      </c>
      <c r="BN73" s="82">
        <f t="shared" si="42"/>
        <v>-61.6</v>
      </c>
      <c r="BO73" s="82">
        <f t="shared" si="42"/>
        <v>-62.9</v>
      </c>
      <c r="BP73" s="82">
        <f t="shared" si="42"/>
        <v>-64.400000000000006</v>
      </c>
      <c r="BQ73" s="82">
        <f t="shared" si="42"/>
        <v>-49.2</v>
      </c>
      <c r="BR73" s="82">
        <f t="shared" si="42"/>
        <v>-61.3</v>
      </c>
      <c r="BS73" s="82">
        <f t="shared" si="42"/>
        <v>-55.9</v>
      </c>
      <c r="BT73" s="82">
        <f t="shared" si="42"/>
        <v>-65</v>
      </c>
      <c r="BU73" s="82">
        <f t="shared" si="42"/>
        <v>-67</v>
      </c>
      <c r="BV73" s="82">
        <f t="shared" si="42"/>
        <v>-69</v>
      </c>
      <c r="BW73" s="82">
        <f t="shared" si="42"/>
        <v>-49.5</v>
      </c>
    </row>
    <row r="74" spans="1:75" x14ac:dyDescent="0.25">
      <c r="A74" s="65" t="s">
        <v>91</v>
      </c>
      <c r="B74" s="76">
        <v>11</v>
      </c>
      <c r="C74" s="76">
        <v>11</v>
      </c>
      <c r="D74" s="76">
        <v>11</v>
      </c>
      <c r="E74" s="76">
        <v>11</v>
      </c>
      <c r="F74" s="76">
        <v>12.3</v>
      </c>
      <c r="G74" s="76">
        <v>12.1</v>
      </c>
      <c r="H74" s="76">
        <v>11.9</v>
      </c>
      <c r="I74" s="76">
        <v>11.9</v>
      </c>
      <c r="J74" s="76">
        <v>11.9</v>
      </c>
      <c r="K74" s="76">
        <v>11.9</v>
      </c>
      <c r="L74" s="76">
        <v>11.9</v>
      </c>
      <c r="M74" s="76">
        <v>11.9</v>
      </c>
      <c r="N74" s="76">
        <v>11.9</v>
      </c>
      <c r="O74" s="76">
        <v>11.4</v>
      </c>
      <c r="P74" s="76">
        <v>11.4</v>
      </c>
      <c r="Q74" s="76">
        <v>11.4</v>
      </c>
      <c r="R74" s="76">
        <v>11.4</v>
      </c>
      <c r="S74" s="76">
        <v>11.4</v>
      </c>
      <c r="T74" s="76">
        <v>11.4</v>
      </c>
      <c r="U74" s="76">
        <v>11.4</v>
      </c>
      <c r="V74" s="76">
        <v>11.4</v>
      </c>
      <c r="W74" s="76">
        <v>11.4</v>
      </c>
      <c r="X74" s="76">
        <v>11.4</v>
      </c>
      <c r="Y74" s="76">
        <v>11.4</v>
      </c>
      <c r="Z74" s="76">
        <v>11.4</v>
      </c>
      <c r="AA74" s="76">
        <v>11.4</v>
      </c>
      <c r="AB74" s="76">
        <v>12</v>
      </c>
      <c r="AC74" s="76">
        <v>12</v>
      </c>
      <c r="AD74" s="76">
        <v>12</v>
      </c>
      <c r="AE74" s="76">
        <v>12</v>
      </c>
      <c r="AF74" s="76">
        <v>12</v>
      </c>
      <c r="AG74" s="66">
        <v>14.1</v>
      </c>
      <c r="AH74" s="48">
        <f t="shared" si="20"/>
        <v>12.3</v>
      </c>
      <c r="AI74" s="49">
        <f t="shared" si="21"/>
        <v>11</v>
      </c>
      <c r="AK74" s="51"/>
      <c r="AZ74" s="82">
        <f t="shared" si="42"/>
        <v>0</v>
      </c>
      <c r="BA74" s="82">
        <f t="shared" si="42"/>
        <v>0</v>
      </c>
      <c r="BB74" s="82">
        <f t="shared" si="42"/>
        <v>0</v>
      </c>
      <c r="BC74" s="82">
        <f t="shared" si="42"/>
        <v>0</v>
      </c>
      <c r="BD74" s="82">
        <f t="shared" si="42"/>
        <v>0</v>
      </c>
      <c r="BE74" s="82">
        <f t="shared" si="42"/>
        <v>0</v>
      </c>
      <c r="BF74" s="82">
        <f t="shared" si="42"/>
        <v>0</v>
      </c>
      <c r="BG74" s="82">
        <f t="shared" si="42"/>
        <v>0</v>
      </c>
      <c r="BH74" s="82">
        <f t="shared" si="42"/>
        <v>0</v>
      </c>
      <c r="BI74" s="82">
        <f t="shared" si="42"/>
        <v>0</v>
      </c>
      <c r="BJ74" s="82">
        <f t="shared" si="42"/>
        <v>0</v>
      </c>
      <c r="BK74" s="82">
        <f t="shared" si="42"/>
        <v>0</v>
      </c>
      <c r="BL74" s="82">
        <f t="shared" si="42"/>
        <v>0</v>
      </c>
      <c r="BM74" s="82">
        <f t="shared" si="42"/>
        <v>0</v>
      </c>
      <c r="BN74" s="82">
        <f t="shared" si="42"/>
        <v>0</v>
      </c>
      <c r="BO74" s="82">
        <f t="shared" si="42"/>
        <v>0</v>
      </c>
      <c r="BP74" s="82">
        <f t="shared" si="42"/>
        <v>0</v>
      </c>
      <c r="BQ74" s="82">
        <f t="shared" si="42"/>
        <v>0</v>
      </c>
      <c r="BR74" s="82">
        <f t="shared" si="42"/>
        <v>0</v>
      </c>
      <c r="BS74" s="82">
        <f t="shared" si="42"/>
        <v>0</v>
      </c>
      <c r="BT74" s="82">
        <f t="shared" si="42"/>
        <v>0</v>
      </c>
      <c r="BU74" s="82">
        <f t="shared" si="42"/>
        <v>0</v>
      </c>
      <c r="BV74" s="82">
        <f t="shared" si="42"/>
        <v>0</v>
      </c>
      <c r="BW74" s="82">
        <f t="shared" si="42"/>
        <v>0</v>
      </c>
    </row>
    <row r="75" spans="1:75" x14ac:dyDescent="0.25">
      <c r="A75" s="84" t="s">
        <v>93</v>
      </c>
      <c r="B75" s="76">
        <v>6.9</v>
      </c>
      <c r="C75" s="76">
        <v>6.9</v>
      </c>
      <c r="D75" s="76">
        <v>6.9</v>
      </c>
      <c r="E75" s="76">
        <v>6.9</v>
      </c>
      <c r="F75" s="76">
        <v>7.1</v>
      </c>
      <c r="G75" s="76">
        <v>7.1</v>
      </c>
      <c r="H75" s="76">
        <v>7.1</v>
      </c>
      <c r="I75" s="76">
        <v>7.1</v>
      </c>
      <c r="J75" s="76">
        <v>7.1</v>
      </c>
      <c r="K75" s="76">
        <v>7.1</v>
      </c>
      <c r="L75" s="76">
        <v>7.1</v>
      </c>
      <c r="M75" s="76">
        <v>7.1</v>
      </c>
      <c r="N75" s="76">
        <v>7.1</v>
      </c>
      <c r="O75" s="76">
        <v>6.9</v>
      </c>
      <c r="P75" s="76">
        <v>6.9</v>
      </c>
      <c r="Q75" s="76">
        <v>6.9</v>
      </c>
      <c r="R75" s="76">
        <v>6.9</v>
      </c>
      <c r="S75" s="76">
        <v>6.9</v>
      </c>
      <c r="T75" s="76">
        <v>6.9</v>
      </c>
      <c r="U75" s="76">
        <v>6.9</v>
      </c>
      <c r="V75" s="76">
        <v>6.9</v>
      </c>
      <c r="W75" s="76">
        <v>6.9</v>
      </c>
      <c r="X75" s="76">
        <v>6.9</v>
      </c>
      <c r="Y75" s="76">
        <v>6.9</v>
      </c>
      <c r="Z75" s="76">
        <v>6.9</v>
      </c>
      <c r="AA75" s="76">
        <v>6.9</v>
      </c>
      <c r="AB75" s="76">
        <v>13.6</v>
      </c>
      <c r="AC75" s="76">
        <v>13.6</v>
      </c>
      <c r="AD75" s="76">
        <v>13.6</v>
      </c>
      <c r="AE75" s="76">
        <v>13.6</v>
      </c>
      <c r="AF75" s="76">
        <v>13.6</v>
      </c>
      <c r="AG75" s="66">
        <v>14</v>
      </c>
      <c r="AH75" s="48">
        <f t="shared" ref="AH75:AH106" si="43">MAX(B75:AF75)</f>
        <v>13.6</v>
      </c>
      <c r="AI75" s="49">
        <f t="shared" ref="AI75:AI106" si="44">MIN(B75:AF75)</f>
        <v>6.9</v>
      </c>
      <c r="AK75" s="51"/>
      <c r="AZ75" s="82">
        <f t="shared" si="42"/>
        <v>-715</v>
      </c>
      <c r="BA75" s="82">
        <f t="shared" si="42"/>
        <v>-716.5</v>
      </c>
      <c r="BB75" s="82">
        <f t="shared" si="42"/>
        <v>-680</v>
      </c>
      <c r="BC75" s="82">
        <f t="shared" si="42"/>
        <v>-667.3</v>
      </c>
      <c r="BD75" s="82">
        <f t="shared" si="42"/>
        <v>-736</v>
      </c>
      <c r="BE75" s="82">
        <f t="shared" si="42"/>
        <v>-719</v>
      </c>
      <c r="BF75" s="82">
        <f t="shared" si="42"/>
        <v>-653</v>
      </c>
      <c r="BG75" s="82">
        <f t="shared" si="42"/>
        <v>-703.8</v>
      </c>
      <c r="BH75" s="82">
        <f t="shared" si="42"/>
        <v>-631.20000000000005</v>
      </c>
      <c r="BI75" s="82">
        <f t="shared" si="42"/>
        <v>-632.4</v>
      </c>
      <c r="BJ75" s="82">
        <f t="shared" si="42"/>
        <v>-674.7</v>
      </c>
      <c r="BK75" s="82">
        <f t="shared" si="42"/>
        <v>-691</v>
      </c>
      <c r="BL75" s="82">
        <f t="shared" si="42"/>
        <v>-610</v>
      </c>
      <c r="BM75" s="82">
        <f t="shared" si="42"/>
        <v>-689.5</v>
      </c>
      <c r="BN75" s="82">
        <f t="shared" si="42"/>
        <v>-690.2</v>
      </c>
      <c r="BO75" s="82">
        <f t="shared" si="42"/>
        <v>-757.3</v>
      </c>
      <c r="BP75" s="82">
        <f t="shared" si="42"/>
        <v>-779.9</v>
      </c>
      <c r="BQ75" s="82">
        <f t="shared" si="42"/>
        <v>-762.1</v>
      </c>
      <c r="BR75" s="82">
        <f t="shared" si="42"/>
        <v>-690.5</v>
      </c>
      <c r="BS75" s="82">
        <f t="shared" si="42"/>
        <v>-691.7</v>
      </c>
      <c r="BT75" s="82">
        <f t="shared" si="42"/>
        <v>-655</v>
      </c>
      <c r="BU75" s="82">
        <f t="shared" si="42"/>
        <v>-685</v>
      </c>
      <c r="BV75" s="82">
        <f t="shared" si="42"/>
        <v>-675</v>
      </c>
      <c r="BW75" s="82">
        <f t="shared" si="42"/>
        <v>-706.5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3"/>
        <v>10</v>
      </c>
      <c r="AI76" s="49">
        <f t="shared" si="44"/>
        <v>10</v>
      </c>
      <c r="AK76" s="51"/>
      <c r="AZ76" s="82">
        <f t="shared" si="42"/>
        <v>0</v>
      </c>
      <c r="BA76" s="82">
        <f t="shared" si="42"/>
        <v>0</v>
      </c>
      <c r="BB76" s="82">
        <f t="shared" si="42"/>
        <v>0</v>
      </c>
      <c r="BC76" s="82">
        <f t="shared" si="42"/>
        <v>0</v>
      </c>
      <c r="BD76" s="82">
        <f t="shared" si="42"/>
        <v>0</v>
      </c>
      <c r="BE76" s="82">
        <f t="shared" si="42"/>
        <v>0</v>
      </c>
      <c r="BF76" s="82">
        <f t="shared" si="42"/>
        <v>0</v>
      </c>
      <c r="BG76" s="82">
        <f t="shared" si="42"/>
        <v>0</v>
      </c>
      <c r="BH76" s="82">
        <f t="shared" si="42"/>
        <v>0</v>
      </c>
      <c r="BI76" s="82">
        <f t="shared" si="42"/>
        <v>0</v>
      </c>
      <c r="BJ76" s="82">
        <f t="shared" si="42"/>
        <v>0</v>
      </c>
      <c r="BK76" s="82">
        <f t="shared" si="42"/>
        <v>0</v>
      </c>
      <c r="BL76" s="82">
        <f t="shared" si="42"/>
        <v>0</v>
      </c>
      <c r="BM76" s="82">
        <f t="shared" si="42"/>
        <v>0</v>
      </c>
      <c r="BN76" s="82">
        <f t="shared" si="42"/>
        <v>0</v>
      </c>
      <c r="BO76" s="82">
        <f t="shared" si="42"/>
        <v>0</v>
      </c>
      <c r="BP76" s="82">
        <f t="shared" si="42"/>
        <v>0</v>
      </c>
      <c r="BQ76" s="82">
        <f t="shared" si="42"/>
        <v>0</v>
      </c>
      <c r="BR76" s="82">
        <f t="shared" si="42"/>
        <v>0</v>
      </c>
      <c r="BS76" s="82">
        <f t="shared" si="42"/>
        <v>0</v>
      </c>
      <c r="BT76" s="82">
        <f t="shared" si="42"/>
        <v>0</v>
      </c>
      <c r="BU76" s="82">
        <f t="shared" si="42"/>
        <v>0</v>
      </c>
      <c r="BV76" s="82">
        <f t="shared" si="42"/>
        <v>0</v>
      </c>
      <c r="BW76" s="82">
        <f t="shared" si="42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3"/>
        <v>6</v>
      </c>
      <c r="AI77" s="49">
        <f t="shared" si="44"/>
        <v>6</v>
      </c>
      <c r="AK77" s="51"/>
      <c r="AZ77" s="82">
        <f t="shared" si="42"/>
        <v>0</v>
      </c>
      <c r="BA77" s="82">
        <f t="shared" si="42"/>
        <v>0</v>
      </c>
      <c r="BB77" s="82">
        <f t="shared" si="42"/>
        <v>0</v>
      </c>
      <c r="BC77" s="82">
        <f t="shared" si="42"/>
        <v>0</v>
      </c>
      <c r="BD77" s="82">
        <f t="shared" si="42"/>
        <v>0</v>
      </c>
      <c r="BE77" s="82">
        <f t="shared" si="42"/>
        <v>0</v>
      </c>
      <c r="BF77" s="82">
        <f t="shared" si="42"/>
        <v>0</v>
      </c>
      <c r="BG77" s="82">
        <f t="shared" si="42"/>
        <v>0</v>
      </c>
      <c r="BH77" s="82">
        <f t="shared" si="42"/>
        <v>0</v>
      </c>
      <c r="BI77" s="82">
        <f t="shared" si="42"/>
        <v>0</v>
      </c>
      <c r="BJ77" s="82">
        <f t="shared" si="42"/>
        <v>0</v>
      </c>
      <c r="BK77" s="82">
        <f t="shared" si="42"/>
        <v>0</v>
      </c>
      <c r="BL77" s="82">
        <f t="shared" si="42"/>
        <v>0</v>
      </c>
      <c r="BM77" s="82">
        <f t="shared" si="42"/>
        <v>0</v>
      </c>
      <c r="BN77" s="82">
        <f t="shared" si="42"/>
        <v>0</v>
      </c>
      <c r="BO77" s="82">
        <f t="shared" si="42"/>
        <v>0</v>
      </c>
      <c r="BP77" s="82">
        <f t="shared" si="42"/>
        <v>0</v>
      </c>
      <c r="BQ77" s="82">
        <f t="shared" si="42"/>
        <v>0</v>
      </c>
      <c r="BR77" s="82">
        <f t="shared" si="42"/>
        <v>0</v>
      </c>
      <c r="BS77" s="82">
        <f t="shared" si="42"/>
        <v>0</v>
      </c>
      <c r="BT77" s="82">
        <f t="shared" si="42"/>
        <v>0</v>
      </c>
      <c r="BU77" s="82">
        <f t="shared" si="42"/>
        <v>0</v>
      </c>
      <c r="BV77" s="82">
        <f t="shared" si="42"/>
        <v>0</v>
      </c>
      <c r="BW77" s="82">
        <f t="shared" si="42"/>
        <v>0</v>
      </c>
    </row>
    <row r="78" spans="1:75" ht="15.75" thickBot="1" x14ac:dyDescent="0.3">
      <c r="A78" s="67" t="s">
        <v>98</v>
      </c>
      <c r="B78" s="85">
        <v>5.5</v>
      </c>
      <c r="C78" s="85">
        <v>5.5</v>
      </c>
      <c r="D78" s="85">
        <v>5.5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3"/>
        <v>5.5</v>
      </c>
      <c r="AI78" s="49">
        <f t="shared" si="44"/>
        <v>3.54</v>
      </c>
      <c r="AK78" s="51"/>
      <c r="AZ78" s="82">
        <f t="shared" si="42"/>
        <v>0</v>
      </c>
      <c r="BA78" s="82">
        <f t="shared" si="42"/>
        <v>0</v>
      </c>
      <c r="BB78" s="82">
        <f t="shared" si="42"/>
        <v>0</v>
      </c>
      <c r="BC78" s="82">
        <f t="shared" si="42"/>
        <v>0</v>
      </c>
      <c r="BD78" s="82">
        <f t="shared" si="42"/>
        <v>0</v>
      </c>
      <c r="BE78" s="82">
        <f t="shared" si="42"/>
        <v>0</v>
      </c>
      <c r="BF78" s="82">
        <f t="shared" si="42"/>
        <v>0</v>
      </c>
      <c r="BG78" s="82">
        <f t="shared" si="42"/>
        <v>0</v>
      </c>
      <c r="BH78" s="82">
        <f t="shared" si="42"/>
        <v>0</v>
      </c>
      <c r="BI78" s="82">
        <f t="shared" si="42"/>
        <v>0</v>
      </c>
      <c r="BJ78" s="82">
        <f t="shared" si="42"/>
        <v>0</v>
      </c>
      <c r="BK78" s="82">
        <f t="shared" si="42"/>
        <v>0</v>
      </c>
      <c r="BL78" s="82">
        <f t="shared" si="42"/>
        <v>0</v>
      </c>
      <c r="BM78" s="82">
        <f t="shared" si="42"/>
        <v>0</v>
      </c>
      <c r="BN78" s="82">
        <f t="shared" si="42"/>
        <v>0</v>
      </c>
      <c r="BO78" s="82">
        <f t="shared" si="42"/>
        <v>0</v>
      </c>
      <c r="BP78" s="82">
        <f t="shared" si="42"/>
        <v>0</v>
      </c>
      <c r="BQ78" s="82">
        <f t="shared" si="42"/>
        <v>0</v>
      </c>
      <c r="BR78" s="82">
        <f t="shared" si="42"/>
        <v>0</v>
      </c>
      <c r="BS78" s="82">
        <f t="shared" si="42"/>
        <v>0</v>
      </c>
      <c r="BT78" s="82">
        <f t="shared" si="42"/>
        <v>0</v>
      </c>
      <c r="BU78" s="82">
        <f t="shared" si="42"/>
        <v>0</v>
      </c>
      <c r="BV78" s="82">
        <f t="shared" si="42"/>
        <v>0</v>
      </c>
      <c r="BW78" s="82">
        <f t="shared" si="42"/>
        <v>0</v>
      </c>
    </row>
    <row r="79" spans="1:75" ht="15.75" thickBot="1" x14ac:dyDescent="0.3">
      <c r="A79" s="87" t="s">
        <v>99</v>
      </c>
      <c r="B79" s="71">
        <f>SUM(B66:B78)</f>
        <v>405.29999999999995</v>
      </c>
      <c r="C79" s="71">
        <f>SUM(C66:C78)</f>
        <v>405.29999999999995</v>
      </c>
      <c r="D79" s="71">
        <f>SUM(D66:D78)</f>
        <v>405.29999999999995</v>
      </c>
      <c r="E79" s="71">
        <f t="shared" ref="E79:AG79" si="45">SUM(E66:E78)</f>
        <v>380.34</v>
      </c>
      <c r="F79" s="71">
        <f t="shared" si="45"/>
        <v>380.34</v>
      </c>
      <c r="G79" s="71">
        <f t="shared" si="45"/>
        <v>391.34000000000003</v>
      </c>
      <c r="H79" s="71">
        <f t="shared" si="45"/>
        <v>335.24</v>
      </c>
      <c r="I79" s="71">
        <f t="shared" si="45"/>
        <v>330.34000000000003</v>
      </c>
      <c r="J79" s="71">
        <f t="shared" si="45"/>
        <v>331.34000000000003</v>
      </c>
      <c r="K79" s="71">
        <f t="shared" si="45"/>
        <v>311.64000000000004</v>
      </c>
      <c r="L79" s="71">
        <f t="shared" si="45"/>
        <v>293.44000000000005</v>
      </c>
      <c r="M79" s="71">
        <f t="shared" si="45"/>
        <v>326.64000000000004</v>
      </c>
      <c r="N79" s="71">
        <f t="shared" si="45"/>
        <v>346.64000000000004</v>
      </c>
      <c r="O79" s="71">
        <f t="shared" si="45"/>
        <v>351.34</v>
      </c>
      <c r="P79" s="71">
        <f t="shared" si="45"/>
        <v>352.29999999999995</v>
      </c>
      <c r="Q79" s="71">
        <f t="shared" si="45"/>
        <v>352.29999999999995</v>
      </c>
      <c r="R79" s="71">
        <f t="shared" si="45"/>
        <v>333.44</v>
      </c>
      <c r="S79" s="71">
        <f t="shared" ref="S79:T79" si="46">SUM(S66:S78)</f>
        <v>348.24</v>
      </c>
      <c r="T79" s="71">
        <f t="shared" si="46"/>
        <v>348.24</v>
      </c>
      <c r="U79" s="71">
        <f t="shared" ref="U79:V79" si="47">SUM(U66:U78)</f>
        <v>366.34</v>
      </c>
      <c r="V79" s="71">
        <f t="shared" si="47"/>
        <v>363.34</v>
      </c>
      <c r="W79" s="71">
        <f t="shared" ref="W79:X79" si="48">SUM(W66:W78)</f>
        <v>365.14000000000004</v>
      </c>
      <c r="X79" s="71">
        <f t="shared" si="48"/>
        <v>368.14</v>
      </c>
      <c r="Y79" s="71">
        <f t="shared" ref="Y79:Z79" si="49">SUM(Y66:Y78)</f>
        <v>366.84000000000003</v>
      </c>
      <c r="Z79" s="71">
        <f t="shared" si="49"/>
        <v>364.74</v>
      </c>
      <c r="AA79" s="71">
        <f t="shared" ref="AA79" si="50">SUM(AA66:AA78)</f>
        <v>384.74</v>
      </c>
      <c r="AB79" s="71">
        <f t="shared" si="45"/>
        <v>416.64</v>
      </c>
      <c r="AC79" s="71">
        <f t="shared" ref="AC79" si="51">SUM(AC66:AC78)</f>
        <v>416.64</v>
      </c>
      <c r="AD79" s="71">
        <f t="shared" si="45"/>
        <v>416.64</v>
      </c>
      <c r="AE79" s="71">
        <f t="shared" si="45"/>
        <v>416.64</v>
      </c>
      <c r="AF79" s="71">
        <f t="shared" si="45"/>
        <v>416.64</v>
      </c>
      <c r="AG79" s="72">
        <f t="shared" si="45"/>
        <v>489.91</v>
      </c>
      <c r="AH79" s="48">
        <f t="shared" si="43"/>
        <v>416.64</v>
      </c>
      <c r="AI79" s="49">
        <f t="shared" si="44"/>
        <v>293.44000000000005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43"/>
        <v>0</v>
      </c>
      <c r="AI80" s="49">
        <f t="shared" si="44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43"/>
        <v>0</v>
      </c>
      <c r="AI81" s="49">
        <f t="shared" si="44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43"/>
        <v>0</v>
      </c>
      <c r="AI82" s="49">
        <f t="shared" si="44"/>
        <v>0</v>
      </c>
      <c r="AK82" s="51"/>
      <c r="AY82" s="82"/>
      <c r="BF82" s="81"/>
      <c r="BG82" s="82">
        <f t="array" ref="BG82:BL105">TRANSPOSE(AZ66:BW71)</f>
        <v>-55</v>
      </c>
      <c r="BH82" s="82">
        <v>0</v>
      </c>
      <c r="BI82" s="82">
        <v>-715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>B80+B81+B82</f>
        <v>0</v>
      </c>
      <c r="C83" s="71">
        <f>C80+C81+C82</f>
        <v>0</v>
      </c>
      <c r="D83" s="71">
        <f>D80+D81+D82</f>
        <v>0</v>
      </c>
      <c r="E83" s="71">
        <f t="shared" ref="E83:AF83" si="52">E80+E81+E82</f>
        <v>0</v>
      </c>
      <c r="F83" s="71">
        <f t="shared" si="52"/>
        <v>0</v>
      </c>
      <c r="G83" s="71">
        <f t="shared" si="52"/>
        <v>0</v>
      </c>
      <c r="H83" s="71">
        <f t="shared" si="52"/>
        <v>0</v>
      </c>
      <c r="I83" s="71">
        <f t="shared" si="52"/>
        <v>0</v>
      </c>
      <c r="J83" s="71">
        <f t="shared" si="52"/>
        <v>0</v>
      </c>
      <c r="K83" s="71">
        <f t="shared" si="52"/>
        <v>0</v>
      </c>
      <c r="L83" s="71">
        <f t="shared" si="52"/>
        <v>0</v>
      </c>
      <c r="M83" s="71">
        <f t="shared" si="52"/>
        <v>0</v>
      </c>
      <c r="N83" s="71">
        <f t="shared" si="52"/>
        <v>0</v>
      </c>
      <c r="O83" s="71">
        <f t="shared" si="52"/>
        <v>0</v>
      </c>
      <c r="P83" s="71">
        <f t="shared" si="52"/>
        <v>0</v>
      </c>
      <c r="Q83" s="71">
        <f t="shared" si="52"/>
        <v>0</v>
      </c>
      <c r="R83" s="71">
        <f t="shared" si="52"/>
        <v>0</v>
      </c>
      <c r="S83" s="71">
        <f t="shared" ref="S83:T83" si="53">S80+S81+S82</f>
        <v>0</v>
      </c>
      <c r="T83" s="71">
        <f t="shared" si="53"/>
        <v>0</v>
      </c>
      <c r="U83" s="71">
        <f t="shared" ref="U83:V83" si="54">U80+U81+U82</f>
        <v>0</v>
      </c>
      <c r="V83" s="71">
        <f t="shared" si="54"/>
        <v>0</v>
      </c>
      <c r="W83" s="71">
        <f t="shared" ref="W83:X83" si="55">W80+W81+W82</f>
        <v>0</v>
      </c>
      <c r="X83" s="71">
        <f t="shared" si="55"/>
        <v>0</v>
      </c>
      <c r="Y83" s="71">
        <f t="shared" ref="Y83:Z83" si="56">Y80+Y81+Y82</f>
        <v>0</v>
      </c>
      <c r="Z83" s="71">
        <f t="shared" si="56"/>
        <v>0</v>
      </c>
      <c r="AA83" s="71">
        <f t="shared" ref="AA83" si="57">AA80+AA81+AA82</f>
        <v>0</v>
      </c>
      <c r="AB83" s="71">
        <f t="shared" si="52"/>
        <v>0</v>
      </c>
      <c r="AC83" s="71">
        <f t="shared" ref="AC83" si="58">AC80+AC81+AC82</f>
        <v>0</v>
      </c>
      <c r="AD83" s="71">
        <f t="shared" si="52"/>
        <v>0</v>
      </c>
      <c r="AE83" s="71">
        <f t="shared" si="52"/>
        <v>0</v>
      </c>
      <c r="AF83" s="71">
        <f t="shared" si="52"/>
        <v>0</v>
      </c>
      <c r="AG83" s="72">
        <f>SUM(AG80:AG82)</f>
        <v>106</v>
      </c>
      <c r="AH83" s="48">
        <f t="shared" si="43"/>
        <v>0</v>
      </c>
      <c r="AI83" s="49">
        <f t="shared" si="44"/>
        <v>0</v>
      </c>
      <c r="AK83" s="51"/>
      <c r="AY83" s="82"/>
      <c r="BF83" s="81"/>
      <c r="BG83" s="82">
        <v>-39.4</v>
      </c>
      <c r="BH83" s="82">
        <v>0</v>
      </c>
      <c r="BI83" s="82">
        <v>-716.5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-49.5</v>
      </c>
      <c r="C84" s="46">
        <v>-54.8</v>
      </c>
      <c r="D84" s="46">
        <v>-39.4</v>
      </c>
      <c r="E84" s="46">
        <v>-58.1</v>
      </c>
      <c r="F84" s="46">
        <v>-60.2</v>
      </c>
      <c r="G84" s="46">
        <v>-56.3</v>
      </c>
      <c r="H84" s="46">
        <v>-64.7</v>
      </c>
      <c r="I84" s="46">
        <v>-69.599999999999994</v>
      </c>
      <c r="J84" s="46">
        <v>-66.900000000000006</v>
      </c>
      <c r="K84" s="46">
        <v>-47.2</v>
      </c>
      <c r="L84" s="46">
        <v>25</v>
      </c>
      <c r="M84" s="46">
        <v>-66</v>
      </c>
      <c r="N84" s="46">
        <v>-57.7</v>
      </c>
      <c r="O84" s="46">
        <v>-62.6</v>
      </c>
      <c r="P84" s="46">
        <v>-61.2</v>
      </c>
      <c r="Q84" s="46">
        <v>-66.599999999999994</v>
      </c>
      <c r="R84" s="46">
        <v>-59.5</v>
      </c>
      <c r="S84" s="46">
        <v>-59</v>
      </c>
      <c r="T84" s="46">
        <v>-61.6</v>
      </c>
      <c r="U84" s="46">
        <v>-62.9</v>
      </c>
      <c r="V84" s="46">
        <v>-64.400000000000006</v>
      </c>
      <c r="W84" s="46">
        <v>-22.2</v>
      </c>
      <c r="X84" s="46">
        <v>-49.2</v>
      </c>
      <c r="Y84" s="46">
        <v>-37.799999999999997</v>
      </c>
      <c r="Z84" s="46">
        <v>-61.3</v>
      </c>
      <c r="AA84" s="46">
        <v>-59.6</v>
      </c>
      <c r="AB84" s="46">
        <v>-55.9</v>
      </c>
      <c r="AC84" s="46">
        <v>-55.1</v>
      </c>
      <c r="AD84" s="46">
        <v>-65</v>
      </c>
      <c r="AE84" s="46">
        <v>-67</v>
      </c>
      <c r="AF84" s="46">
        <v>-69</v>
      </c>
      <c r="AG84" s="61"/>
      <c r="AH84" s="48">
        <f t="shared" si="43"/>
        <v>25</v>
      </c>
      <c r="AI84" s="49">
        <f t="shared" si="44"/>
        <v>-69.599999999999994</v>
      </c>
      <c r="AK84" s="51"/>
      <c r="AY84" s="82"/>
      <c r="BF84" s="81"/>
      <c r="BG84" s="82">
        <v>-58.1</v>
      </c>
      <c r="BH84" s="82">
        <v>0</v>
      </c>
      <c r="BI84" s="82">
        <v>-680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3"/>
        <v>0</v>
      </c>
      <c r="AI85" s="49">
        <f t="shared" si="44"/>
        <v>0</v>
      </c>
      <c r="AK85" s="51"/>
      <c r="AL85" s="91" t="s">
        <v>111</v>
      </c>
      <c r="AM85" s="91"/>
      <c r="AY85" s="82"/>
      <c r="BF85" s="82"/>
      <c r="BG85" s="82">
        <v>-60.2</v>
      </c>
      <c r="BH85" s="82">
        <v>0</v>
      </c>
      <c r="BI85" s="82">
        <v>-667.3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-706.5</v>
      </c>
      <c r="C86" s="76">
        <v>-715.1</v>
      </c>
      <c r="D86" s="76">
        <v>-716.5</v>
      </c>
      <c r="E86" s="76">
        <v>-680</v>
      </c>
      <c r="F86" s="76">
        <v>-667.3</v>
      </c>
      <c r="G86" s="76">
        <v>-736</v>
      </c>
      <c r="H86" s="76">
        <v>-690.9</v>
      </c>
      <c r="I86" s="76">
        <v>-719</v>
      </c>
      <c r="J86" s="76">
        <v>-696.1</v>
      </c>
      <c r="K86" s="76">
        <v>-653</v>
      </c>
      <c r="L86" s="76">
        <v>-721</v>
      </c>
      <c r="M86" s="76">
        <v>-703.8</v>
      </c>
      <c r="N86" s="76">
        <v>-631.20000000000005</v>
      </c>
      <c r="O86" s="76">
        <v>-632.4</v>
      </c>
      <c r="P86" s="76">
        <v>-674.7</v>
      </c>
      <c r="Q86" s="76">
        <v>-691</v>
      </c>
      <c r="R86" s="76">
        <v>-610</v>
      </c>
      <c r="S86" s="76">
        <v>-689.5</v>
      </c>
      <c r="T86" s="76">
        <v>-690.2</v>
      </c>
      <c r="U86" s="76">
        <v>-757.3</v>
      </c>
      <c r="V86" s="76">
        <v>-779.9</v>
      </c>
      <c r="W86" s="76">
        <v>-779.9</v>
      </c>
      <c r="X86" s="76">
        <v>-762.1</v>
      </c>
      <c r="Y86" s="76">
        <v>-741.9</v>
      </c>
      <c r="Z86" s="76">
        <v>-690.5</v>
      </c>
      <c r="AA86" s="76">
        <v>-655</v>
      </c>
      <c r="AB86" s="76">
        <v>-691.7</v>
      </c>
      <c r="AC86" s="76">
        <v>-688.2</v>
      </c>
      <c r="AD86" s="76">
        <v>-655</v>
      </c>
      <c r="AE86" s="76">
        <v>-685</v>
      </c>
      <c r="AF86" s="76">
        <v>-675</v>
      </c>
      <c r="AG86" s="88"/>
      <c r="AH86" s="48">
        <f t="shared" si="43"/>
        <v>-610</v>
      </c>
      <c r="AI86" s="49">
        <f t="shared" si="44"/>
        <v>-779.9</v>
      </c>
      <c r="AK86" s="92"/>
      <c r="AL86" s="93"/>
      <c r="AM86" s="93"/>
      <c r="AN86" s="94"/>
      <c r="AY86" s="82"/>
      <c r="BF86" s="82"/>
      <c r="BG86" s="82">
        <v>-56.3</v>
      </c>
      <c r="BH86" s="82">
        <v>0</v>
      </c>
      <c r="BI86" s="82">
        <v>-736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3"/>
        <v>0</v>
      </c>
      <c r="AI87" s="49">
        <f t="shared" si="44"/>
        <v>0</v>
      </c>
      <c r="AK87" s="95" t="s">
        <v>114</v>
      </c>
      <c r="AL87" s="76"/>
      <c r="AM87" s="89"/>
      <c r="AN87" s="96"/>
      <c r="AY87" s="82"/>
      <c r="BF87" s="82"/>
      <c r="BG87" s="82">
        <v>-69.599999999999994</v>
      </c>
      <c r="BH87" s="82">
        <v>0</v>
      </c>
      <c r="BI87" s="82">
        <v>-719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3"/>
        <v>0</v>
      </c>
      <c r="AI88" s="49">
        <f t="shared" si="44"/>
        <v>0</v>
      </c>
      <c r="AK88" s="95" t="s">
        <v>116</v>
      </c>
      <c r="AL88" s="89"/>
      <c r="AM88" s="89"/>
      <c r="AN88" s="96"/>
      <c r="AY88" s="82"/>
      <c r="BF88" s="82"/>
      <c r="BG88" s="82">
        <v>-47.2</v>
      </c>
      <c r="BH88" s="82">
        <v>0</v>
      </c>
      <c r="BI88" s="82">
        <v>-653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43"/>
        <v>0</v>
      </c>
      <c r="AI89" s="49">
        <f t="shared" si="44"/>
        <v>0</v>
      </c>
      <c r="AK89" s="99"/>
      <c r="AL89" s="46"/>
      <c r="AM89" s="46"/>
      <c r="AN89" s="100"/>
      <c r="AY89" s="82"/>
      <c r="BF89" s="82"/>
      <c r="BG89" s="82">
        <v>-66</v>
      </c>
      <c r="BH89" s="82">
        <v>0</v>
      </c>
      <c r="BI89" s="82">
        <v>-703.8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3"/>
        <v>0</v>
      </c>
      <c r="AI90" s="49">
        <f t="shared" si="44"/>
        <v>0</v>
      </c>
      <c r="AK90" s="99"/>
      <c r="AL90" s="90"/>
      <c r="AM90" s="102"/>
      <c r="AN90" s="204"/>
      <c r="AY90" s="82"/>
      <c r="BF90" s="82"/>
      <c r="BG90" s="82">
        <v>-57.7</v>
      </c>
      <c r="BH90" s="82">
        <v>0</v>
      </c>
      <c r="BI90" s="82">
        <v>-631.20000000000005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3"/>
        <v>0</v>
      </c>
      <c r="AI91" s="49">
        <f t="shared" si="44"/>
        <v>0</v>
      </c>
      <c r="AK91" s="99"/>
      <c r="AL91" s="90"/>
      <c r="AM91" s="90"/>
      <c r="AN91" s="205"/>
      <c r="BF91" s="82"/>
      <c r="BG91" s="82">
        <v>-62.6</v>
      </c>
      <c r="BH91" s="82">
        <v>0</v>
      </c>
      <c r="BI91" s="82">
        <v>-632.4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3"/>
        <v>0</v>
      </c>
      <c r="AI92" s="49">
        <f t="shared" si="44"/>
        <v>0</v>
      </c>
      <c r="AK92" s="104"/>
      <c r="AL92" s="105"/>
      <c r="AM92" s="105"/>
      <c r="AN92" s="106"/>
      <c r="BF92" s="82"/>
      <c r="BG92" s="82">
        <v>-61.2</v>
      </c>
      <c r="BH92" s="82">
        <v>0</v>
      </c>
      <c r="BI92" s="82">
        <v>-674.7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3"/>
        <v>0</v>
      </c>
      <c r="AI93" s="49">
        <f t="shared" si="44"/>
        <v>0</v>
      </c>
      <c r="BF93" s="82"/>
      <c r="BG93" s="82">
        <v>-66.599999999999994</v>
      </c>
      <c r="BH93" s="82">
        <v>0</v>
      </c>
      <c r="BI93" s="82">
        <v>-691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3"/>
        <v>0</v>
      </c>
      <c r="AI94" s="49">
        <f t="shared" si="44"/>
        <v>0</v>
      </c>
      <c r="BF94" s="82"/>
      <c r="BG94" s="82">
        <v>-59.5</v>
      </c>
      <c r="BH94" s="82">
        <v>0</v>
      </c>
      <c r="BI94" s="82">
        <v>-610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>SUMIF(D84:D94,"&gt;0")</f>
        <v>0</v>
      </c>
      <c r="E95" s="71">
        <f t="shared" ref="E95:AF95" si="59">SUMIF(E84:E94,"&gt;0")</f>
        <v>0</v>
      </c>
      <c r="F95" s="71">
        <f t="shared" si="59"/>
        <v>0</v>
      </c>
      <c r="G95" s="71">
        <f t="shared" si="59"/>
        <v>0</v>
      </c>
      <c r="H95" s="71">
        <f t="shared" si="59"/>
        <v>0</v>
      </c>
      <c r="I95" s="71">
        <f t="shared" si="59"/>
        <v>0</v>
      </c>
      <c r="J95" s="71">
        <f t="shared" si="59"/>
        <v>0</v>
      </c>
      <c r="K95" s="71">
        <f t="shared" si="59"/>
        <v>0</v>
      </c>
      <c r="L95" s="71">
        <f t="shared" si="59"/>
        <v>25</v>
      </c>
      <c r="M95" s="71">
        <f t="shared" si="59"/>
        <v>0</v>
      </c>
      <c r="N95" s="71">
        <f t="shared" si="59"/>
        <v>0</v>
      </c>
      <c r="O95" s="71">
        <f t="shared" si="59"/>
        <v>0</v>
      </c>
      <c r="P95" s="71">
        <f t="shared" si="59"/>
        <v>0</v>
      </c>
      <c r="Q95" s="71">
        <f t="shared" si="59"/>
        <v>0</v>
      </c>
      <c r="R95" s="71">
        <f t="shared" si="59"/>
        <v>0</v>
      </c>
      <c r="S95" s="71">
        <f t="shared" ref="S95:T95" si="60">SUMIF(S84:S94,"&gt;0")</f>
        <v>0</v>
      </c>
      <c r="T95" s="71">
        <f t="shared" si="60"/>
        <v>0</v>
      </c>
      <c r="U95" s="71">
        <f t="shared" ref="U95:V95" si="61">SUMIF(U84:U94,"&gt;0")</f>
        <v>0</v>
      </c>
      <c r="V95" s="71">
        <f t="shared" si="61"/>
        <v>0</v>
      </c>
      <c r="W95" s="71">
        <f t="shared" ref="W95:X95" si="62">SUMIF(W84:W94,"&gt;0")</f>
        <v>0</v>
      </c>
      <c r="X95" s="71">
        <f t="shared" si="62"/>
        <v>0</v>
      </c>
      <c r="Y95" s="71">
        <f t="shared" ref="Y95:Z95" si="63">SUMIF(Y84:Y94,"&gt;0")</f>
        <v>0</v>
      </c>
      <c r="Z95" s="71">
        <f t="shared" si="63"/>
        <v>0</v>
      </c>
      <c r="AA95" s="71">
        <f t="shared" ref="AA95" si="64">SUMIF(AA84:AA94,"&gt;0")</f>
        <v>0</v>
      </c>
      <c r="AB95" s="71">
        <f t="shared" si="59"/>
        <v>0</v>
      </c>
      <c r="AC95" s="71">
        <f t="shared" ref="AC95" si="65">SUMIF(AC84:AC94,"&gt;0")</f>
        <v>0</v>
      </c>
      <c r="AD95" s="71">
        <f t="shared" si="59"/>
        <v>0</v>
      </c>
      <c r="AE95" s="71">
        <f t="shared" si="59"/>
        <v>0</v>
      </c>
      <c r="AF95" s="71">
        <f t="shared" si="59"/>
        <v>0</v>
      </c>
      <c r="AG95" s="101">
        <f>SUM(AG84:AG94)</f>
        <v>0</v>
      </c>
      <c r="AH95" s="48">
        <f t="shared" si="43"/>
        <v>25</v>
      </c>
      <c r="AI95" s="49">
        <f t="shared" si="44"/>
        <v>0</v>
      </c>
      <c r="BF95" s="82"/>
      <c r="BG95" s="82">
        <v>-59</v>
      </c>
      <c r="BH95" s="82">
        <v>0</v>
      </c>
      <c r="BI95" s="82">
        <v>-689.5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3"/>
        <v>0</v>
      </c>
      <c r="AI96" s="49">
        <f t="shared" si="44"/>
        <v>0</v>
      </c>
      <c r="BF96" s="82"/>
      <c r="BG96" s="82">
        <v>-61.6</v>
      </c>
      <c r="BH96" s="82">
        <v>0</v>
      </c>
      <c r="BI96" s="82">
        <v>-690.2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3"/>
        <v>0</v>
      </c>
      <c r="AI97" s="49">
        <f t="shared" si="44"/>
        <v>0</v>
      </c>
      <c r="BF97" s="82"/>
      <c r="BG97" s="82">
        <v>-62.9</v>
      </c>
      <c r="BH97" s="82">
        <v>0</v>
      </c>
      <c r="BI97" s="82">
        <v>-757.3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3"/>
        <v>0</v>
      </c>
      <c r="AI98" s="49">
        <f t="shared" si="44"/>
        <v>0</v>
      </c>
      <c r="BF98" s="82"/>
      <c r="BG98" s="82">
        <v>-64.400000000000006</v>
      </c>
      <c r="BH98" s="82">
        <v>0</v>
      </c>
      <c r="BI98" s="82">
        <v>-779.9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3"/>
        <v>0</v>
      </c>
      <c r="AI99" s="49">
        <f t="shared" si="44"/>
        <v>0</v>
      </c>
      <c r="BF99" s="81"/>
      <c r="BG99" s="82">
        <v>-49.2</v>
      </c>
      <c r="BH99" s="82">
        <v>0</v>
      </c>
      <c r="BI99" s="82">
        <v>-762.1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2124.1999999999998</v>
      </c>
      <c r="C100" s="108">
        <f>C61+C65+C83+C79+C95+C99</f>
        <v>2085.4</v>
      </c>
      <c r="D100" s="108">
        <f>D61+D65+D83+D79+D95+D99</f>
        <v>2085.4</v>
      </c>
      <c r="E100" s="108">
        <f t="shared" ref="E100:AG100" si="66">E61+E65+E83+E79+E95+E99</f>
        <v>2067.54</v>
      </c>
      <c r="F100" s="108">
        <f t="shared" si="66"/>
        <v>2040.0399999999997</v>
      </c>
      <c r="G100" s="108">
        <f t="shared" si="66"/>
        <v>2037.04</v>
      </c>
      <c r="H100" s="108">
        <f t="shared" si="66"/>
        <v>1981.34</v>
      </c>
      <c r="I100" s="108">
        <f t="shared" si="66"/>
        <v>2019.8400000000001</v>
      </c>
      <c r="J100" s="108">
        <f t="shared" si="66"/>
        <v>2015.7400000000002</v>
      </c>
      <c r="K100" s="108">
        <f t="shared" si="66"/>
        <v>2003.34</v>
      </c>
      <c r="L100" s="108">
        <f t="shared" si="66"/>
        <v>1973.44</v>
      </c>
      <c r="M100" s="108">
        <f t="shared" si="66"/>
        <v>2008.24</v>
      </c>
      <c r="N100" s="108">
        <f t="shared" si="66"/>
        <v>2099.14</v>
      </c>
      <c r="O100" s="108">
        <f t="shared" si="66"/>
        <v>2106.84</v>
      </c>
      <c r="P100" s="108">
        <f t="shared" si="66"/>
        <v>2064.1999999999998</v>
      </c>
      <c r="Q100" s="108">
        <f t="shared" si="66"/>
        <v>2081.4</v>
      </c>
      <c r="R100" s="108">
        <f t="shared" si="66"/>
        <v>1987.7400000000002</v>
      </c>
      <c r="S100" s="108">
        <f t="shared" ref="S100:T100" si="67">S61+S65+S83+S79+S95+S99</f>
        <v>2065.54</v>
      </c>
      <c r="T100" s="108">
        <f t="shared" si="67"/>
        <v>2065.54</v>
      </c>
      <c r="U100" s="108">
        <f t="shared" ref="U100:V100" si="68">U61+U65+U83+U79+U95+U99</f>
        <v>2083.6400000000003</v>
      </c>
      <c r="V100" s="108">
        <f t="shared" si="68"/>
        <v>2080.6400000000003</v>
      </c>
      <c r="W100" s="108">
        <f t="shared" ref="W100:X100" si="69">W61+W65+W83+W79+W95+W99</f>
        <v>2082.44</v>
      </c>
      <c r="X100" s="108">
        <f t="shared" si="69"/>
        <v>2130.34</v>
      </c>
      <c r="Y100" s="108">
        <f t="shared" ref="Y100:Z100" si="70">Y61+Y65+Y83+Y79+Y95+Y99</f>
        <v>2129.04</v>
      </c>
      <c r="Z100" s="108">
        <f t="shared" si="70"/>
        <v>2126.94</v>
      </c>
      <c r="AA100" s="108">
        <f t="shared" ref="AA100" si="71">AA61+AA65+AA83+AA79+AA95+AA99</f>
        <v>2281.84</v>
      </c>
      <c r="AB100" s="108">
        <f t="shared" si="66"/>
        <v>2318.44</v>
      </c>
      <c r="AC100" s="108">
        <f t="shared" ref="AC100" si="72">AC61+AC65+AC83+AC79+AC95+AC99</f>
        <v>2318.34</v>
      </c>
      <c r="AD100" s="108">
        <f t="shared" si="66"/>
        <v>2296.7400000000002</v>
      </c>
      <c r="AE100" s="108">
        <f t="shared" si="66"/>
        <v>2296.7400000000002</v>
      </c>
      <c r="AF100" s="108">
        <f t="shared" si="66"/>
        <v>2142.04</v>
      </c>
      <c r="AG100" s="72">
        <f t="shared" si="66"/>
        <v>2655.44</v>
      </c>
      <c r="AH100" s="48">
        <f t="shared" si="43"/>
        <v>2318.44</v>
      </c>
      <c r="AI100" s="49">
        <f t="shared" si="44"/>
        <v>1973.44</v>
      </c>
      <c r="BF100" s="81"/>
      <c r="BG100" s="82">
        <v>-61.3</v>
      </c>
      <c r="BH100" s="82">
        <v>0</v>
      </c>
      <c r="BI100" s="82">
        <v>-690.5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3"/>
        <v>0</v>
      </c>
      <c r="AI101" s="49">
        <f t="shared" si="44"/>
        <v>0</v>
      </c>
      <c r="BF101" s="81"/>
      <c r="BG101" s="82">
        <v>-55.9</v>
      </c>
      <c r="BH101" s="82">
        <v>0</v>
      </c>
      <c r="BI101" s="82">
        <v>-691.7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2124.1999999999998</v>
      </c>
      <c r="C102" s="108">
        <f>C100+C101</f>
        <v>2085.4</v>
      </c>
      <c r="D102" s="108">
        <f>D100+D101</f>
        <v>2085.4</v>
      </c>
      <c r="E102" s="108">
        <f t="shared" ref="E102:AF102" si="73">E100+E101</f>
        <v>2067.54</v>
      </c>
      <c r="F102" s="108">
        <f t="shared" si="73"/>
        <v>2040.0399999999997</v>
      </c>
      <c r="G102" s="108">
        <f t="shared" si="73"/>
        <v>2037.04</v>
      </c>
      <c r="H102" s="108">
        <f t="shared" si="73"/>
        <v>1981.34</v>
      </c>
      <c r="I102" s="108">
        <f t="shared" si="73"/>
        <v>2019.8400000000001</v>
      </c>
      <c r="J102" s="108">
        <f t="shared" si="73"/>
        <v>2015.7400000000002</v>
      </c>
      <c r="K102" s="108">
        <f t="shared" si="73"/>
        <v>2003.34</v>
      </c>
      <c r="L102" s="108">
        <f t="shared" si="73"/>
        <v>1973.44</v>
      </c>
      <c r="M102" s="108">
        <f t="shared" si="73"/>
        <v>2008.24</v>
      </c>
      <c r="N102" s="108">
        <f t="shared" si="73"/>
        <v>2099.14</v>
      </c>
      <c r="O102" s="108">
        <f t="shared" si="73"/>
        <v>2106.84</v>
      </c>
      <c r="P102" s="108">
        <f t="shared" si="73"/>
        <v>2064.1999999999998</v>
      </c>
      <c r="Q102" s="108">
        <f t="shared" si="73"/>
        <v>2081.4</v>
      </c>
      <c r="R102" s="108">
        <f t="shared" si="73"/>
        <v>1987.7400000000002</v>
      </c>
      <c r="S102" s="108">
        <f t="shared" ref="S102:T102" si="74">S100+S101</f>
        <v>2065.54</v>
      </c>
      <c r="T102" s="108">
        <f t="shared" si="74"/>
        <v>2065.54</v>
      </c>
      <c r="U102" s="108">
        <f t="shared" ref="U102:V102" si="75">U100+U101</f>
        <v>2083.6400000000003</v>
      </c>
      <c r="V102" s="108">
        <f t="shared" si="75"/>
        <v>2080.6400000000003</v>
      </c>
      <c r="W102" s="108">
        <f t="shared" ref="W102:X102" si="76">W100+W101</f>
        <v>2082.44</v>
      </c>
      <c r="X102" s="108">
        <f t="shared" si="76"/>
        <v>2130.34</v>
      </c>
      <c r="Y102" s="108">
        <f t="shared" ref="Y102:Z102" si="77">Y100+Y101</f>
        <v>2129.04</v>
      </c>
      <c r="Z102" s="108">
        <f t="shared" si="77"/>
        <v>2126.94</v>
      </c>
      <c r="AA102" s="108">
        <f t="shared" ref="AA102" si="78">AA100+AA101</f>
        <v>2281.84</v>
      </c>
      <c r="AB102" s="108">
        <f t="shared" si="73"/>
        <v>2318.44</v>
      </c>
      <c r="AC102" s="108">
        <f t="shared" ref="AC102" si="79">AC100+AC101</f>
        <v>2318.34</v>
      </c>
      <c r="AD102" s="108">
        <f t="shared" si="73"/>
        <v>2296.7400000000002</v>
      </c>
      <c r="AE102" s="108">
        <f t="shared" si="73"/>
        <v>2296.7400000000002</v>
      </c>
      <c r="AF102" s="108">
        <f t="shared" si="73"/>
        <v>2142.04</v>
      </c>
      <c r="AG102" s="101">
        <f>AG99+AG95+AG83+AG79+AG61+AG101</f>
        <v>2117.34</v>
      </c>
      <c r="AH102" s="48">
        <f t="shared" si="43"/>
        <v>2318.44</v>
      </c>
      <c r="AI102" s="49">
        <f t="shared" si="44"/>
        <v>1973.44</v>
      </c>
      <c r="BF102" s="81"/>
      <c r="BG102" s="82">
        <v>-65</v>
      </c>
      <c r="BH102" s="82">
        <v>0</v>
      </c>
      <c r="BI102" s="82">
        <v>-655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1368.1999999999998</v>
      </c>
      <c r="C103" s="108">
        <f>C102-(C110)</f>
        <v>1315.5</v>
      </c>
      <c r="D103" s="108">
        <f>D102-(D110)</f>
        <v>1329.5</v>
      </c>
      <c r="E103" s="108">
        <f t="shared" ref="E103:AF103" si="80">E102-(E110)</f>
        <v>1329.44</v>
      </c>
      <c r="F103" s="108">
        <f t="shared" si="80"/>
        <v>1312.5399999999997</v>
      </c>
      <c r="G103" s="108">
        <f t="shared" si="80"/>
        <v>1244.74</v>
      </c>
      <c r="H103" s="108">
        <f t="shared" si="80"/>
        <v>1225.7399999999998</v>
      </c>
      <c r="I103" s="108">
        <f t="shared" si="80"/>
        <v>1231.2400000000002</v>
      </c>
      <c r="J103" s="108">
        <f t="shared" si="80"/>
        <v>1252.7400000000002</v>
      </c>
      <c r="K103" s="108">
        <f t="shared" si="80"/>
        <v>1303.1399999999999</v>
      </c>
      <c r="L103" s="108">
        <f t="shared" si="80"/>
        <v>1252.44</v>
      </c>
      <c r="M103" s="108">
        <f t="shared" si="80"/>
        <v>1238.44</v>
      </c>
      <c r="N103" s="108">
        <f t="shared" si="80"/>
        <v>1410.2399999999998</v>
      </c>
      <c r="O103" s="108">
        <f t="shared" si="80"/>
        <v>1411.8400000000001</v>
      </c>
      <c r="P103" s="108">
        <f t="shared" si="80"/>
        <v>1328.2999999999997</v>
      </c>
      <c r="Q103" s="108">
        <f t="shared" si="80"/>
        <v>1323.8000000000002</v>
      </c>
      <c r="R103" s="108">
        <f t="shared" si="80"/>
        <v>1318.2400000000002</v>
      </c>
      <c r="S103" s="108">
        <f t="shared" ref="S103:T103" si="81">S102-(S110)</f>
        <v>1317.04</v>
      </c>
      <c r="T103" s="108">
        <f t="shared" si="81"/>
        <v>1313.7399999999998</v>
      </c>
      <c r="U103" s="108">
        <f t="shared" ref="U103:V103" si="82">U102-(U110)</f>
        <v>1263.4400000000005</v>
      </c>
      <c r="V103" s="108">
        <f t="shared" si="82"/>
        <v>1236.3400000000004</v>
      </c>
      <c r="W103" s="108">
        <f t="shared" ref="W103:X103" si="83">W102-(W110)</f>
        <v>1280.3400000000001</v>
      </c>
      <c r="X103" s="108">
        <f t="shared" si="83"/>
        <v>1319.04</v>
      </c>
      <c r="Y103" s="108">
        <f t="shared" ref="Y103:Z103" si="84">Y102-(Y110)</f>
        <v>1349.3400000000001</v>
      </c>
      <c r="Z103" s="108">
        <f t="shared" si="84"/>
        <v>1375.14</v>
      </c>
      <c r="AA103" s="108">
        <f t="shared" ref="AA103" si="85">AA102-(AA110)</f>
        <v>1567.2400000000002</v>
      </c>
      <c r="AB103" s="108">
        <f t="shared" si="80"/>
        <v>1570.8400000000001</v>
      </c>
      <c r="AC103" s="108">
        <f t="shared" ref="AC103" si="86">AC102-(AC110)</f>
        <v>1575.04</v>
      </c>
      <c r="AD103" s="108">
        <f t="shared" si="80"/>
        <v>1576.7400000000002</v>
      </c>
      <c r="AE103" s="108">
        <f t="shared" si="80"/>
        <v>1544.7400000000002</v>
      </c>
      <c r="AF103" s="108">
        <f t="shared" si="80"/>
        <v>1398.04</v>
      </c>
      <c r="AG103" s="101"/>
      <c r="AH103" s="48">
        <f t="shared" si="43"/>
        <v>1576.7400000000002</v>
      </c>
      <c r="AI103" s="49">
        <f t="shared" si="44"/>
        <v>1225.7399999999998</v>
      </c>
      <c r="BF103" s="81"/>
      <c r="BG103" s="82">
        <v>-67</v>
      </c>
      <c r="BH103" s="82">
        <v>0</v>
      </c>
      <c r="BI103" s="82">
        <v>-685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D109" si="87">IF(B84&lt;0,B84*-1,0)</f>
        <v>49.5</v>
      </c>
      <c r="C104" s="89">
        <f t="shared" si="87"/>
        <v>54.8</v>
      </c>
      <c r="D104" s="89">
        <f t="shared" si="87"/>
        <v>39.4</v>
      </c>
      <c r="E104" s="89">
        <f t="shared" ref="E104:AF109" si="88">IF(E84&lt;0,E84*-1,0)</f>
        <v>58.1</v>
      </c>
      <c r="F104" s="89">
        <f t="shared" si="88"/>
        <v>60.2</v>
      </c>
      <c r="G104" s="89">
        <f t="shared" si="88"/>
        <v>56.3</v>
      </c>
      <c r="H104" s="89">
        <f t="shared" si="88"/>
        <v>64.7</v>
      </c>
      <c r="I104" s="89">
        <f t="shared" si="88"/>
        <v>69.599999999999994</v>
      </c>
      <c r="J104" s="89">
        <f t="shared" si="88"/>
        <v>66.900000000000006</v>
      </c>
      <c r="K104" s="89">
        <f t="shared" si="88"/>
        <v>47.2</v>
      </c>
      <c r="L104" s="89">
        <f t="shared" si="88"/>
        <v>0</v>
      </c>
      <c r="M104" s="89">
        <f t="shared" si="88"/>
        <v>66</v>
      </c>
      <c r="N104" s="89">
        <f t="shared" si="88"/>
        <v>57.7</v>
      </c>
      <c r="O104" s="89">
        <f t="shared" si="88"/>
        <v>62.6</v>
      </c>
      <c r="P104" s="89">
        <f t="shared" si="88"/>
        <v>61.2</v>
      </c>
      <c r="Q104" s="89">
        <f t="shared" si="88"/>
        <v>66.599999999999994</v>
      </c>
      <c r="R104" s="89">
        <f t="shared" si="88"/>
        <v>59.5</v>
      </c>
      <c r="S104" s="89">
        <f t="shared" ref="S104:T104" si="89">IF(S84&lt;0,S84*-1,0)</f>
        <v>59</v>
      </c>
      <c r="T104" s="89">
        <f t="shared" si="89"/>
        <v>61.6</v>
      </c>
      <c r="U104" s="89">
        <f t="shared" ref="U104:V104" si="90">IF(U84&lt;0,U84*-1,0)</f>
        <v>62.9</v>
      </c>
      <c r="V104" s="89">
        <f t="shared" si="90"/>
        <v>64.400000000000006</v>
      </c>
      <c r="W104" s="89">
        <f t="shared" ref="W104:X104" si="91">IF(W84&lt;0,W84*-1,0)</f>
        <v>22.2</v>
      </c>
      <c r="X104" s="89">
        <f t="shared" si="91"/>
        <v>49.2</v>
      </c>
      <c r="Y104" s="89">
        <f t="shared" ref="Y104:Z104" si="92">IF(Y84&lt;0,Y84*-1,0)</f>
        <v>37.799999999999997</v>
      </c>
      <c r="Z104" s="89">
        <f t="shared" si="92"/>
        <v>61.3</v>
      </c>
      <c r="AA104" s="89">
        <f t="shared" ref="AA104" si="93">IF(AA84&lt;0,AA84*-1,0)</f>
        <v>59.6</v>
      </c>
      <c r="AB104" s="89">
        <f t="shared" si="88"/>
        <v>55.9</v>
      </c>
      <c r="AC104" s="89">
        <f t="shared" ref="AC104" si="94">IF(AC84&lt;0,AC84*-1,0)</f>
        <v>55.1</v>
      </c>
      <c r="AD104" s="89">
        <f t="shared" si="88"/>
        <v>65</v>
      </c>
      <c r="AE104" s="89">
        <f t="shared" si="88"/>
        <v>67</v>
      </c>
      <c r="AF104" s="89">
        <f t="shared" si="88"/>
        <v>69</v>
      </c>
      <c r="AG104" s="61"/>
      <c r="AH104" s="48">
        <f t="shared" si="43"/>
        <v>69.599999999999994</v>
      </c>
      <c r="AI104" s="49">
        <f t="shared" si="44"/>
        <v>0</v>
      </c>
      <c r="BG104" s="82">
        <v>-69</v>
      </c>
      <c r="BH104" s="82">
        <v>0</v>
      </c>
      <c r="BI104" s="82">
        <v>-675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7"/>
        <v>0</v>
      </c>
      <c r="C105" s="89">
        <f t="shared" si="87"/>
        <v>0</v>
      </c>
      <c r="D105" s="89">
        <f t="shared" si="87"/>
        <v>0</v>
      </c>
      <c r="E105" s="89">
        <f t="shared" si="88"/>
        <v>0</v>
      </c>
      <c r="F105" s="89">
        <f t="shared" si="88"/>
        <v>0</v>
      </c>
      <c r="G105" s="89">
        <f t="shared" si="88"/>
        <v>0</v>
      </c>
      <c r="H105" s="89">
        <f t="shared" si="88"/>
        <v>0</v>
      </c>
      <c r="I105" s="89">
        <f t="shared" si="88"/>
        <v>0</v>
      </c>
      <c r="J105" s="89">
        <f t="shared" si="88"/>
        <v>0</v>
      </c>
      <c r="K105" s="89">
        <f t="shared" si="88"/>
        <v>0</v>
      </c>
      <c r="L105" s="89">
        <f t="shared" si="88"/>
        <v>0</v>
      </c>
      <c r="M105" s="89">
        <f t="shared" si="88"/>
        <v>0</v>
      </c>
      <c r="N105" s="89">
        <f t="shared" si="88"/>
        <v>0</v>
      </c>
      <c r="O105" s="89">
        <f t="shared" si="88"/>
        <v>0</v>
      </c>
      <c r="P105" s="89">
        <f t="shared" si="88"/>
        <v>0</v>
      </c>
      <c r="Q105" s="89">
        <f t="shared" si="88"/>
        <v>0</v>
      </c>
      <c r="R105" s="89">
        <f t="shared" si="88"/>
        <v>0</v>
      </c>
      <c r="S105" s="89">
        <f t="shared" ref="S105:T105" si="95">IF(S85&lt;0,S85*-1,0)</f>
        <v>0</v>
      </c>
      <c r="T105" s="89">
        <f t="shared" si="95"/>
        <v>0</v>
      </c>
      <c r="U105" s="89">
        <f t="shared" ref="U105:V105" si="96">IF(U85&lt;0,U85*-1,0)</f>
        <v>0</v>
      </c>
      <c r="V105" s="89">
        <f t="shared" si="96"/>
        <v>0</v>
      </c>
      <c r="W105" s="89">
        <f t="shared" ref="W105:X105" si="97">IF(W85&lt;0,W85*-1,0)</f>
        <v>0</v>
      </c>
      <c r="X105" s="89">
        <f t="shared" si="97"/>
        <v>0</v>
      </c>
      <c r="Y105" s="89">
        <f t="shared" ref="Y105:Z105" si="98">IF(Y85&lt;0,Y85*-1,0)</f>
        <v>0</v>
      </c>
      <c r="Z105" s="89">
        <f t="shared" si="98"/>
        <v>0</v>
      </c>
      <c r="AA105" s="89">
        <f t="shared" ref="AA105" si="99">IF(AA85&lt;0,AA85*-1,0)</f>
        <v>0</v>
      </c>
      <c r="AB105" s="89">
        <f t="shared" si="88"/>
        <v>0</v>
      </c>
      <c r="AC105" s="89">
        <f t="shared" ref="AC105" si="100">IF(AC85&lt;0,AC85*-1,0)</f>
        <v>0</v>
      </c>
      <c r="AD105" s="89">
        <f t="shared" si="88"/>
        <v>0</v>
      </c>
      <c r="AE105" s="89">
        <f t="shared" si="88"/>
        <v>0</v>
      </c>
      <c r="AF105" s="89">
        <f t="shared" si="88"/>
        <v>0</v>
      </c>
      <c r="AG105" s="66"/>
      <c r="AH105" s="48">
        <f t="shared" si="43"/>
        <v>0</v>
      </c>
      <c r="AI105" s="49">
        <f t="shared" si="44"/>
        <v>0</v>
      </c>
      <c r="AK105" s="51"/>
      <c r="BG105" s="82">
        <v>-49.5</v>
      </c>
      <c r="BH105" s="82">
        <v>0</v>
      </c>
      <c r="BI105" s="82">
        <v>-706.5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7"/>
        <v>706.5</v>
      </c>
      <c r="C106" s="89">
        <f t="shared" si="87"/>
        <v>715.1</v>
      </c>
      <c r="D106" s="89">
        <f t="shared" si="87"/>
        <v>716.5</v>
      </c>
      <c r="E106" s="89">
        <f t="shared" si="88"/>
        <v>680</v>
      </c>
      <c r="F106" s="89">
        <f t="shared" si="88"/>
        <v>667.3</v>
      </c>
      <c r="G106" s="89">
        <f t="shared" si="88"/>
        <v>736</v>
      </c>
      <c r="H106" s="89">
        <f t="shared" si="88"/>
        <v>690.9</v>
      </c>
      <c r="I106" s="89">
        <f t="shared" si="88"/>
        <v>719</v>
      </c>
      <c r="J106" s="89">
        <f t="shared" si="88"/>
        <v>696.1</v>
      </c>
      <c r="K106" s="89">
        <f t="shared" si="88"/>
        <v>653</v>
      </c>
      <c r="L106" s="89">
        <f t="shared" si="88"/>
        <v>721</v>
      </c>
      <c r="M106" s="89">
        <f t="shared" si="88"/>
        <v>703.8</v>
      </c>
      <c r="N106" s="89">
        <f t="shared" si="88"/>
        <v>631.20000000000005</v>
      </c>
      <c r="O106" s="89">
        <f t="shared" si="88"/>
        <v>632.4</v>
      </c>
      <c r="P106" s="89">
        <f t="shared" si="88"/>
        <v>674.7</v>
      </c>
      <c r="Q106" s="89">
        <f t="shared" si="88"/>
        <v>691</v>
      </c>
      <c r="R106" s="89">
        <f t="shared" si="88"/>
        <v>610</v>
      </c>
      <c r="S106" s="89">
        <f t="shared" ref="S106:T106" si="101">IF(S86&lt;0,S86*-1,0)</f>
        <v>689.5</v>
      </c>
      <c r="T106" s="89">
        <f t="shared" si="101"/>
        <v>690.2</v>
      </c>
      <c r="U106" s="89">
        <f t="shared" ref="U106:V106" si="102">IF(U86&lt;0,U86*-1,0)</f>
        <v>757.3</v>
      </c>
      <c r="V106" s="89">
        <f t="shared" si="102"/>
        <v>779.9</v>
      </c>
      <c r="W106" s="89">
        <f t="shared" ref="W106:X106" si="103">IF(W86&lt;0,W86*-1,0)</f>
        <v>779.9</v>
      </c>
      <c r="X106" s="89">
        <f t="shared" si="103"/>
        <v>762.1</v>
      </c>
      <c r="Y106" s="89">
        <f t="shared" ref="Y106:Z106" si="104">IF(Y86&lt;0,Y86*-1,0)</f>
        <v>741.9</v>
      </c>
      <c r="Z106" s="89">
        <f t="shared" si="104"/>
        <v>690.5</v>
      </c>
      <c r="AA106" s="89">
        <f t="shared" ref="AA106" si="105">IF(AA86&lt;0,AA86*-1,0)</f>
        <v>655</v>
      </c>
      <c r="AB106" s="89">
        <f t="shared" si="88"/>
        <v>691.7</v>
      </c>
      <c r="AC106" s="89">
        <f t="shared" ref="AC106" si="106">IF(AC86&lt;0,AC86*-1,0)</f>
        <v>688.2</v>
      </c>
      <c r="AD106" s="89">
        <f t="shared" si="88"/>
        <v>655</v>
      </c>
      <c r="AE106" s="89">
        <f t="shared" si="88"/>
        <v>685</v>
      </c>
      <c r="AF106" s="89">
        <f t="shared" si="88"/>
        <v>675</v>
      </c>
      <c r="AG106" s="111"/>
      <c r="AH106" s="48">
        <f t="shared" si="43"/>
        <v>779.9</v>
      </c>
      <c r="AI106" s="49">
        <f t="shared" si="44"/>
        <v>610</v>
      </c>
    </row>
    <row r="107" spans="1:64" x14ac:dyDescent="0.25">
      <c r="A107" s="97" t="s">
        <v>107</v>
      </c>
      <c r="B107" s="89">
        <f t="shared" si="87"/>
        <v>0</v>
      </c>
      <c r="C107" s="89">
        <f t="shared" si="87"/>
        <v>0</v>
      </c>
      <c r="D107" s="89">
        <f t="shared" si="87"/>
        <v>0</v>
      </c>
      <c r="E107" s="89">
        <f t="shared" si="88"/>
        <v>0</v>
      </c>
      <c r="F107" s="89">
        <f t="shared" si="88"/>
        <v>0</v>
      </c>
      <c r="G107" s="89">
        <f t="shared" si="88"/>
        <v>0</v>
      </c>
      <c r="H107" s="89">
        <f t="shared" si="88"/>
        <v>0</v>
      </c>
      <c r="I107" s="89">
        <f t="shared" si="88"/>
        <v>0</v>
      </c>
      <c r="J107" s="89">
        <f t="shared" si="88"/>
        <v>0</v>
      </c>
      <c r="K107" s="89">
        <f t="shared" si="88"/>
        <v>0</v>
      </c>
      <c r="L107" s="89">
        <f t="shared" si="88"/>
        <v>0</v>
      </c>
      <c r="M107" s="89">
        <f t="shared" si="88"/>
        <v>0</v>
      </c>
      <c r="N107" s="89">
        <f t="shared" si="88"/>
        <v>0</v>
      </c>
      <c r="O107" s="89">
        <f t="shared" si="88"/>
        <v>0</v>
      </c>
      <c r="P107" s="89">
        <f t="shared" si="88"/>
        <v>0</v>
      </c>
      <c r="Q107" s="89">
        <f t="shared" si="88"/>
        <v>0</v>
      </c>
      <c r="R107" s="89">
        <f t="shared" si="88"/>
        <v>0</v>
      </c>
      <c r="S107" s="89">
        <f t="shared" ref="S107:T107" si="107">IF(S87&lt;0,S87*-1,0)</f>
        <v>0</v>
      </c>
      <c r="T107" s="89">
        <f t="shared" si="107"/>
        <v>0</v>
      </c>
      <c r="U107" s="89">
        <f t="shared" ref="U107:V107" si="108">IF(U87&lt;0,U87*-1,0)</f>
        <v>0</v>
      </c>
      <c r="V107" s="89">
        <f t="shared" si="108"/>
        <v>0</v>
      </c>
      <c r="W107" s="89">
        <f t="shared" ref="W107:X107" si="109">IF(W87&lt;0,W87*-1,0)</f>
        <v>0</v>
      </c>
      <c r="X107" s="89">
        <f t="shared" si="109"/>
        <v>0</v>
      </c>
      <c r="Y107" s="89">
        <f t="shared" ref="Y107:Z107" si="110">IF(Y87&lt;0,Y87*-1,0)</f>
        <v>0</v>
      </c>
      <c r="Z107" s="89">
        <f t="shared" si="110"/>
        <v>0</v>
      </c>
      <c r="AA107" s="89">
        <f t="shared" ref="AA107" si="111">IF(AA87&lt;0,AA87*-1,0)</f>
        <v>0</v>
      </c>
      <c r="AB107" s="89">
        <f t="shared" si="88"/>
        <v>0</v>
      </c>
      <c r="AC107" s="89">
        <f t="shared" ref="AC107" si="112">IF(AC87&lt;0,AC87*-1,0)</f>
        <v>0</v>
      </c>
      <c r="AD107" s="89">
        <f t="shared" si="88"/>
        <v>0</v>
      </c>
      <c r="AE107" s="89">
        <f t="shared" si="88"/>
        <v>0</v>
      </c>
      <c r="AF107" s="89">
        <f t="shared" si="88"/>
        <v>0</v>
      </c>
      <c r="AG107" s="111"/>
      <c r="AH107" s="48">
        <f t="shared" ref="AH107:AH133" si="113">MAX(B107:AF107)</f>
        <v>0</v>
      </c>
      <c r="AI107" s="49">
        <f t="shared" ref="AI107:AI133" si="114">MIN(B107:AF107)</f>
        <v>0</v>
      </c>
    </row>
    <row r="108" spans="1:64" x14ac:dyDescent="0.25">
      <c r="A108" s="97" t="s">
        <v>108</v>
      </c>
      <c r="B108" s="89">
        <f t="shared" si="87"/>
        <v>0</v>
      </c>
      <c r="C108" s="89">
        <f t="shared" si="87"/>
        <v>0</v>
      </c>
      <c r="D108" s="89">
        <f t="shared" si="87"/>
        <v>0</v>
      </c>
      <c r="E108" s="89">
        <f t="shared" si="88"/>
        <v>0</v>
      </c>
      <c r="F108" s="89">
        <f t="shared" si="88"/>
        <v>0</v>
      </c>
      <c r="G108" s="89">
        <f t="shared" si="88"/>
        <v>0</v>
      </c>
      <c r="H108" s="89">
        <f t="shared" si="88"/>
        <v>0</v>
      </c>
      <c r="I108" s="89">
        <f t="shared" si="88"/>
        <v>0</v>
      </c>
      <c r="J108" s="89">
        <f t="shared" si="88"/>
        <v>0</v>
      </c>
      <c r="K108" s="89">
        <f t="shared" si="88"/>
        <v>0</v>
      </c>
      <c r="L108" s="89">
        <f t="shared" si="88"/>
        <v>0</v>
      </c>
      <c r="M108" s="89">
        <f t="shared" si="88"/>
        <v>0</v>
      </c>
      <c r="N108" s="89">
        <f t="shared" si="88"/>
        <v>0</v>
      </c>
      <c r="O108" s="89">
        <f t="shared" si="88"/>
        <v>0</v>
      </c>
      <c r="P108" s="89">
        <f t="shared" si="88"/>
        <v>0</v>
      </c>
      <c r="Q108" s="89">
        <f t="shared" si="88"/>
        <v>0</v>
      </c>
      <c r="R108" s="89">
        <f t="shared" si="88"/>
        <v>0</v>
      </c>
      <c r="S108" s="89">
        <f t="shared" ref="S108:T108" si="115">IF(S88&lt;0,S88*-1,0)</f>
        <v>0</v>
      </c>
      <c r="T108" s="89">
        <f t="shared" si="115"/>
        <v>0</v>
      </c>
      <c r="U108" s="89">
        <f t="shared" ref="U108:V108" si="116">IF(U88&lt;0,U88*-1,0)</f>
        <v>0</v>
      </c>
      <c r="V108" s="89">
        <f t="shared" si="116"/>
        <v>0</v>
      </c>
      <c r="W108" s="89">
        <f t="shared" ref="W108:X108" si="117">IF(W88&lt;0,W88*-1,0)</f>
        <v>0</v>
      </c>
      <c r="X108" s="89">
        <f t="shared" si="117"/>
        <v>0</v>
      </c>
      <c r="Y108" s="89">
        <f t="shared" ref="Y108:Z108" si="118">IF(Y88&lt;0,Y88*-1,0)</f>
        <v>0</v>
      </c>
      <c r="Z108" s="89">
        <f t="shared" si="118"/>
        <v>0</v>
      </c>
      <c r="AA108" s="89">
        <f t="shared" ref="AA108" si="119">IF(AA88&lt;0,AA88*-1,0)</f>
        <v>0</v>
      </c>
      <c r="AB108" s="89">
        <f t="shared" si="88"/>
        <v>0</v>
      </c>
      <c r="AC108" s="89">
        <f t="shared" ref="AC108" si="120">IF(AC88&lt;0,AC88*-1,0)</f>
        <v>0</v>
      </c>
      <c r="AD108" s="89">
        <f t="shared" si="88"/>
        <v>0</v>
      </c>
      <c r="AE108" s="89">
        <f t="shared" si="88"/>
        <v>0</v>
      </c>
      <c r="AF108" s="89">
        <f t="shared" si="88"/>
        <v>0</v>
      </c>
      <c r="AG108" s="111"/>
      <c r="AH108" s="48">
        <f t="shared" si="113"/>
        <v>0</v>
      </c>
      <c r="AI108" s="49">
        <f t="shared" si="114"/>
        <v>0</v>
      </c>
    </row>
    <row r="109" spans="1:64" ht="15.75" thickBot="1" x14ac:dyDescent="0.3">
      <c r="A109" s="97" t="s">
        <v>117</v>
      </c>
      <c r="B109" s="89">
        <f t="shared" si="87"/>
        <v>0</v>
      </c>
      <c r="C109" s="89">
        <f t="shared" si="87"/>
        <v>0</v>
      </c>
      <c r="D109" s="89">
        <f t="shared" si="87"/>
        <v>0</v>
      </c>
      <c r="E109" s="89">
        <f t="shared" si="88"/>
        <v>0</v>
      </c>
      <c r="F109" s="89">
        <f t="shared" si="88"/>
        <v>0</v>
      </c>
      <c r="G109" s="89">
        <f t="shared" si="88"/>
        <v>0</v>
      </c>
      <c r="H109" s="89">
        <f t="shared" si="88"/>
        <v>0</v>
      </c>
      <c r="I109" s="89">
        <f t="shared" si="88"/>
        <v>0</v>
      </c>
      <c r="J109" s="89">
        <f t="shared" si="88"/>
        <v>0</v>
      </c>
      <c r="K109" s="89">
        <f t="shared" si="88"/>
        <v>0</v>
      </c>
      <c r="L109" s="89">
        <f t="shared" si="88"/>
        <v>0</v>
      </c>
      <c r="M109" s="89">
        <f t="shared" si="88"/>
        <v>0</v>
      </c>
      <c r="N109" s="89">
        <f t="shared" si="88"/>
        <v>0</v>
      </c>
      <c r="O109" s="89">
        <f t="shared" si="88"/>
        <v>0</v>
      </c>
      <c r="P109" s="89">
        <f t="shared" si="88"/>
        <v>0</v>
      </c>
      <c r="Q109" s="89">
        <f t="shared" si="88"/>
        <v>0</v>
      </c>
      <c r="R109" s="89">
        <f t="shared" si="88"/>
        <v>0</v>
      </c>
      <c r="S109" s="89">
        <f t="shared" ref="S109:T109" si="121">IF(S89&lt;0,S89*-1,0)</f>
        <v>0</v>
      </c>
      <c r="T109" s="89">
        <f t="shared" si="121"/>
        <v>0</v>
      </c>
      <c r="U109" s="89">
        <f t="shared" ref="U109:V109" si="122">IF(U89&lt;0,U89*-1,0)</f>
        <v>0</v>
      </c>
      <c r="V109" s="89">
        <f t="shared" si="122"/>
        <v>0</v>
      </c>
      <c r="W109" s="89">
        <f t="shared" ref="W109:X109" si="123">IF(W89&lt;0,W89*-1,0)</f>
        <v>0</v>
      </c>
      <c r="X109" s="89">
        <f t="shared" si="123"/>
        <v>0</v>
      </c>
      <c r="Y109" s="89">
        <f t="shared" ref="Y109:Z109" si="124">IF(Y89&lt;0,Y89*-1,0)</f>
        <v>0</v>
      </c>
      <c r="Z109" s="89">
        <f t="shared" si="124"/>
        <v>0</v>
      </c>
      <c r="AA109" s="89">
        <f t="shared" ref="AA109" si="125">IF(AA89&lt;0,AA89*-1,0)</f>
        <v>0</v>
      </c>
      <c r="AB109" s="89">
        <f t="shared" si="88"/>
        <v>0</v>
      </c>
      <c r="AC109" s="89">
        <f t="shared" ref="AC109" si="126">IF(AC89&lt;0,AC89*-1,0)</f>
        <v>0</v>
      </c>
      <c r="AD109" s="89">
        <f t="shared" si="88"/>
        <v>0</v>
      </c>
      <c r="AE109" s="89">
        <f t="shared" si="88"/>
        <v>0</v>
      </c>
      <c r="AF109" s="89">
        <f t="shared" si="88"/>
        <v>0</v>
      </c>
      <c r="AG109" s="98"/>
      <c r="AH109" s="48">
        <f t="shared" si="113"/>
        <v>0</v>
      </c>
      <c r="AI109" s="49">
        <f t="shared" si="114"/>
        <v>0</v>
      </c>
    </row>
    <row r="110" spans="1:64" ht="15.75" thickBot="1" x14ac:dyDescent="0.3">
      <c r="A110" s="112" t="s">
        <v>130</v>
      </c>
      <c r="B110" s="71">
        <f>SUM(B104:B109)</f>
        <v>756</v>
      </c>
      <c r="C110" s="71">
        <f>SUM(C104:C109)</f>
        <v>769.9</v>
      </c>
      <c r="D110" s="71">
        <f>SUM(D104:D109)</f>
        <v>755.9</v>
      </c>
      <c r="E110" s="71">
        <f t="shared" ref="E110:AF110" si="127">SUM(E104:E109)</f>
        <v>738.1</v>
      </c>
      <c r="F110" s="71">
        <f t="shared" si="127"/>
        <v>727.5</v>
      </c>
      <c r="G110" s="71">
        <f t="shared" si="127"/>
        <v>792.3</v>
      </c>
      <c r="H110" s="71">
        <f t="shared" si="127"/>
        <v>755.6</v>
      </c>
      <c r="I110" s="71">
        <f t="shared" si="127"/>
        <v>788.6</v>
      </c>
      <c r="J110" s="71">
        <f t="shared" si="127"/>
        <v>763</v>
      </c>
      <c r="K110" s="71">
        <f t="shared" si="127"/>
        <v>700.2</v>
      </c>
      <c r="L110" s="71">
        <f t="shared" si="127"/>
        <v>721</v>
      </c>
      <c r="M110" s="71">
        <f t="shared" si="127"/>
        <v>769.8</v>
      </c>
      <c r="N110" s="71">
        <f t="shared" si="127"/>
        <v>688.90000000000009</v>
      </c>
      <c r="O110" s="71">
        <f t="shared" si="127"/>
        <v>695</v>
      </c>
      <c r="P110" s="71">
        <f t="shared" si="127"/>
        <v>735.90000000000009</v>
      </c>
      <c r="Q110" s="71">
        <f t="shared" si="127"/>
        <v>757.6</v>
      </c>
      <c r="R110" s="71">
        <f t="shared" si="127"/>
        <v>669.5</v>
      </c>
      <c r="S110" s="71">
        <f t="shared" ref="S110:T110" si="128">SUM(S104:S109)</f>
        <v>748.5</v>
      </c>
      <c r="T110" s="71">
        <f t="shared" si="128"/>
        <v>751.80000000000007</v>
      </c>
      <c r="U110" s="71">
        <f t="shared" ref="U110:V110" si="129">SUM(U104:U109)</f>
        <v>820.19999999999993</v>
      </c>
      <c r="V110" s="71">
        <f t="shared" si="129"/>
        <v>844.3</v>
      </c>
      <c r="W110" s="71">
        <f t="shared" ref="W110:X110" si="130">SUM(W104:W109)</f>
        <v>802.1</v>
      </c>
      <c r="X110" s="71">
        <f t="shared" si="130"/>
        <v>811.30000000000007</v>
      </c>
      <c r="Y110" s="71">
        <f t="shared" ref="Y110:Z110" si="131">SUM(Y104:Y109)</f>
        <v>779.69999999999993</v>
      </c>
      <c r="Z110" s="71">
        <f t="shared" si="131"/>
        <v>751.8</v>
      </c>
      <c r="AA110" s="71">
        <f t="shared" ref="AA110" si="132">SUM(AA104:AA109)</f>
        <v>714.6</v>
      </c>
      <c r="AB110" s="71">
        <f t="shared" si="127"/>
        <v>747.6</v>
      </c>
      <c r="AC110" s="71">
        <f t="shared" ref="AC110" si="133">SUM(AC104:AC109)</f>
        <v>743.30000000000007</v>
      </c>
      <c r="AD110" s="71">
        <f t="shared" si="127"/>
        <v>720</v>
      </c>
      <c r="AE110" s="71">
        <f t="shared" si="127"/>
        <v>752</v>
      </c>
      <c r="AF110" s="71">
        <f t="shared" si="127"/>
        <v>744</v>
      </c>
      <c r="AG110" s="101"/>
      <c r="AH110" s="48">
        <f t="shared" si="113"/>
        <v>844.3</v>
      </c>
      <c r="AI110" s="49">
        <f t="shared" si="114"/>
        <v>669.5</v>
      </c>
    </row>
    <row r="111" spans="1:64" ht="15.75" thickBot="1" x14ac:dyDescent="0.3">
      <c r="A111" s="87" t="s">
        <v>131</v>
      </c>
      <c r="B111" s="71">
        <f>B95-B110</f>
        <v>-756</v>
      </c>
      <c r="C111" s="71">
        <f>C95-C110</f>
        <v>-769.9</v>
      </c>
      <c r="D111" s="71">
        <f>D95-D110</f>
        <v>-755.9</v>
      </c>
      <c r="E111" s="71">
        <f t="shared" ref="E111:AF111" si="134">E95-E110</f>
        <v>-738.1</v>
      </c>
      <c r="F111" s="71">
        <f t="shared" si="134"/>
        <v>-727.5</v>
      </c>
      <c r="G111" s="71">
        <f t="shared" si="134"/>
        <v>-792.3</v>
      </c>
      <c r="H111" s="71">
        <f t="shared" si="134"/>
        <v>-755.6</v>
      </c>
      <c r="I111" s="71">
        <f t="shared" si="134"/>
        <v>-788.6</v>
      </c>
      <c r="J111" s="71">
        <f t="shared" si="134"/>
        <v>-763</v>
      </c>
      <c r="K111" s="71">
        <f t="shared" si="134"/>
        <v>-700.2</v>
      </c>
      <c r="L111" s="71">
        <f t="shared" si="134"/>
        <v>-696</v>
      </c>
      <c r="M111" s="71">
        <f t="shared" si="134"/>
        <v>-769.8</v>
      </c>
      <c r="N111" s="71">
        <f t="shared" si="134"/>
        <v>-688.90000000000009</v>
      </c>
      <c r="O111" s="71">
        <f t="shared" si="134"/>
        <v>-695</v>
      </c>
      <c r="P111" s="71">
        <f t="shared" si="134"/>
        <v>-735.90000000000009</v>
      </c>
      <c r="Q111" s="71">
        <f t="shared" si="134"/>
        <v>-757.6</v>
      </c>
      <c r="R111" s="71">
        <f t="shared" si="134"/>
        <v>-669.5</v>
      </c>
      <c r="S111" s="71">
        <f t="shared" ref="S111:T111" si="135">S95-S110</f>
        <v>-748.5</v>
      </c>
      <c r="T111" s="71">
        <f t="shared" si="135"/>
        <v>-751.80000000000007</v>
      </c>
      <c r="U111" s="71">
        <f t="shared" ref="U111:V111" si="136">U95-U110</f>
        <v>-820.19999999999993</v>
      </c>
      <c r="V111" s="71">
        <f t="shared" si="136"/>
        <v>-844.3</v>
      </c>
      <c r="W111" s="71">
        <f t="shared" ref="W111:X111" si="137">W95-W110</f>
        <v>-802.1</v>
      </c>
      <c r="X111" s="71">
        <f t="shared" si="137"/>
        <v>-811.30000000000007</v>
      </c>
      <c r="Y111" s="71">
        <f t="shared" ref="Y111:Z111" si="138">Y95-Y110</f>
        <v>-779.69999999999993</v>
      </c>
      <c r="Z111" s="71">
        <f t="shared" si="138"/>
        <v>-751.8</v>
      </c>
      <c r="AA111" s="71">
        <f t="shared" ref="AA111" si="139">AA95-AA110</f>
        <v>-714.6</v>
      </c>
      <c r="AB111" s="71">
        <f t="shared" si="134"/>
        <v>-747.6</v>
      </c>
      <c r="AC111" s="71">
        <f t="shared" ref="AC111" si="140">AC95-AC110</f>
        <v>-743.30000000000007</v>
      </c>
      <c r="AD111" s="71">
        <f t="shared" si="134"/>
        <v>-720</v>
      </c>
      <c r="AE111" s="71">
        <f t="shared" si="134"/>
        <v>-752</v>
      </c>
      <c r="AF111" s="71">
        <f t="shared" si="134"/>
        <v>-744</v>
      </c>
      <c r="AG111" s="101"/>
      <c r="AH111" s="48">
        <f t="shared" si="113"/>
        <v>-669.5</v>
      </c>
      <c r="AI111" s="49">
        <f t="shared" si="114"/>
        <v>-844.3</v>
      </c>
    </row>
    <row r="112" spans="1:64" x14ac:dyDescent="0.25">
      <c r="A112" s="113" t="s">
        <v>132</v>
      </c>
      <c r="B112" s="114">
        <v>49.97</v>
      </c>
      <c r="C112" s="114">
        <v>50.05</v>
      </c>
      <c r="D112" s="114">
        <v>50.05</v>
      </c>
      <c r="E112" s="114">
        <v>50</v>
      </c>
      <c r="F112" s="114">
        <v>49.996000000000002</v>
      </c>
      <c r="G112" s="114">
        <v>49.938000000000002</v>
      </c>
      <c r="H112" s="114">
        <v>49.917999999999999</v>
      </c>
      <c r="I112" s="114">
        <v>50.018000000000001</v>
      </c>
      <c r="J112" s="114">
        <v>49.942999999999998</v>
      </c>
      <c r="K112" s="114">
        <v>50.037999999999997</v>
      </c>
      <c r="L112" s="114">
        <v>49.948</v>
      </c>
      <c r="M112" s="114">
        <v>49.997999999999998</v>
      </c>
      <c r="N112" s="114">
        <v>49.920999999999999</v>
      </c>
      <c r="O112" s="114">
        <v>50.249000000000002</v>
      </c>
      <c r="P112" s="114">
        <v>50</v>
      </c>
      <c r="Q112" s="114">
        <v>50.024999999999999</v>
      </c>
      <c r="R112" s="114">
        <v>50.067999999999998</v>
      </c>
      <c r="S112" s="114">
        <v>50.01</v>
      </c>
      <c r="T112" s="114">
        <v>49.93</v>
      </c>
      <c r="U112" s="114">
        <v>49.98</v>
      </c>
      <c r="V112" s="114">
        <v>49.84</v>
      </c>
      <c r="W112" s="114">
        <v>49.91</v>
      </c>
      <c r="X112" s="114">
        <v>49.94</v>
      </c>
      <c r="Y112" s="114">
        <v>50.06</v>
      </c>
      <c r="Z112" s="114">
        <v>50.01</v>
      </c>
      <c r="AA112" s="114">
        <v>49.99</v>
      </c>
      <c r="AB112" s="114">
        <v>50.03</v>
      </c>
      <c r="AC112" s="114">
        <v>49.99</v>
      </c>
      <c r="AD112" s="114">
        <v>50.02</v>
      </c>
      <c r="AE112" s="114">
        <v>49.97</v>
      </c>
      <c r="AF112" s="114">
        <v>50</v>
      </c>
      <c r="AG112" s="115"/>
      <c r="AH112" s="48">
        <f t="shared" si="113"/>
        <v>50.249000000000002</v>
      </c>
      <c r="AI112" s="49">
        <f t="shared" si="114"/>
        <v>49.84</v>
      </c>
    </row>
    <row r="113" spans="1:35" x14ac:dyDescent="0.25">
      <c r="A113" s="116" t="s">
        <v>133</v>
      </c>
      <c r="B113" s="76">
        <v>127.6</v>
      </c>
      <c r="C113" s="76">
        <v>126.6</v>
      </c>
      <c r="D113" s="76">
        <v>126.6</v>
      </c>
      <c r="E113" s="76">
        <v>126.3</v>
      </c>
      <c r="F113" s="76">
        <v>127.4</v>
      </c>
      <c r="G113" s="76">
        <v>126.6</v>
      </c>
      <c r="H113" s="76">
        <v>128.9</v>
      </c>
      <c r="I113" s="76">
        <v>127</v>
      </c>
      <c r="J113" s="76">
        <v>126.7</v>
      </c>
      <c r="K113" s="76">
        <v>125.3</v>
      </c>
      <c r="L113" s="76">
        <v>123.9</v>
      </c>
      <c r="M113" s="76">
        <v>123.6</v>
      </c>
      <c r="N113" s="76">
        <v>123.3</v>
      </c>
      <c r="O113" s="76">
        <v>123.2</v>
      </c>
      <c r="P113" s="76">
        <v>121</v>
      </c>
      <c r="Q113" s="76">
        <v>124</v>
      </c>
      <c r="R113" s="76">
        <v>121.1</v>
      </c>
      <c r="S113" s="76">
        <v>120</v>
      </c>
      <c r="T113" s="76">
        <v>122</v>
      </c>
      <c r="U113" s="76">
        <v>122</v>
      </c>
      <c r="V113" s="76">
        <v>123.6</v>
      </c>
      <c r="W113" s="76">
        <v>123.6</v>
      </c>
      <c r="X113" s="76">
        <v>125.8</v>
      </c>
      <c r="Y113" s="76">
        <v>125.1</v>
      </c>
      <c r="Z113" s="76">
        <v>125.3</v>
      </c>
      <c r="AA113" s="76">
        <v>122.9</v>
      </c>
      <c r="AB113" s="76">
        <v>123.7</v>
      </c>
      <c r="AC113" s="76">
        <v>123.9</v>
      </c>
      <c r="AD113" s="76">
        <v>123.5</v>
      </c>
      <c r="AE113" s="76">
        <v>126</v>
      </c>
      <c r="AF113" s="76">
        <v>127.6</v>
      </c>
      <c r="AG113" s="117"/>
      <c r="AH113" s="48">
        <f t="shared" si="113"/>
        <v>128.9</v>
      </c>
      <c r="AI113" s="49">
        <f t="shared" si="114"/>
        <v>120</v>
      </c>
    </row>
    <row r="114" spans="1:35" x14ac:dyDescent="0.25">
      <c r="A114" s="116" t="s">
        <v>134</v>
      </c>
      <c r="B114" s="76">
        <v>131.19999999999999</v>
      </c>
      <c r="C114" s="76">
        <v>130.80000000000001</v>
      </c>
      <c r="D114" s="76">
        <v>130.80000000000001</v>
      </c>
      <c r="E114" s="76">
        <v>130.80000000000001</v>
      </c>
      <c r="F114" s="76">
        <v>131.69999999999999</v>
      </c>
      <c r="G114" s="76">
        <v>130.69999999999999</v>
      </c>
      <c r="H114" s="76">
        <v>132.5</v>
      </c>
      <c r="I114" s="76">
        <v>130.69999999999999</v>
      </c>
      <c r="J114" s="76">
        <v>129.6</v>
      </c>
      <c r="K114" s="76">
        <v>128.5</v>
      </c>
      <c r="L114" s="76">
        <v>127.3</v>
      </c>
      <c r="M114" s="76">
        <v>126.8</v>
      </c>
      <c r="N114" s="76">
        <v>126.3</v>
      </c>
      <c r="O114" s="76">
        <v>126.4</v>
      </c>
      <c r="P114" s="76">
        <v>125.5</v>
      </c>
      <c r="Q114" s="76">
        <v>127</v>
      </c>
      <c r="R114" s="76">
        <v>125.6</v>
      </c>
      <c r="S114" s="76">
        <v>124.9</v>
      </c>
      <c r="T114" s="76">
        <v>125</v>
      </c>
      <c r="U114" s="76">
        <v>125.5</v>
      </c>
      <c r="V114" s="76">
        <v>126</v>
      </c>
      <c r="W114" s="76">
        <v>127.1</v>
      </c>
      <c r="X114" s="76">
        <v>128.9</v>
      </c>
      <c r="Y114" s="76">
        <v>128.19999999999999</v>
      </c>
      <c r="Z114" s="76">
        <v>128</v>
      </c>
      <c r="AA114" s="76">
        <v>126.3</v>
      </c>
      <c r="AB114" s="76">
        <v>127</v>
      </c>
      <c r="AC114" s="76">
        <v>127.1</v>
      </c>
      <c r="AD114" s="76">
        <v>127.5</v>
      </c>
      <c r="AE114" s="76">
        <v>130</v>
      </c>
      <c r="AF114" s="76">
        <v>131.19999999999999</v>
      </c>
      <c r="AG114" s="117"/>
      <c r="AH114" s="48">
        <f t="shared" si="113"/>
        <v>132.5</v>
      </c>
      <c r="AI114" s="49">
        <f t="shared" si="114"/>
        <v>124.9</v>
      </c>
    </row>
    <row r="115" spans="1:35" x14ac:dyDescent="0.25">
      <c r="A115" s="116" t="s">
        <v>135</v>
      </c>
      <c r="B115" s="76">
        <v>128.1</v>
      </c>
      <c r="C115" s="76">
        <v>129.69999999999999</v>
      </c>
      <c r="D115" s="76">
        <v>129.69999999999999</v>
      </c>
      <c r="E115" s="76">
        <v>130.19999999999999</v>
      </c>
      <c r="F115" s="76">
        <v>130.19999999999999</v>
      </c>
      <c r="G115" s="76">
        <v>129.4</v>
      </c>
      <c r="H115" s="76">
        <v>130</v>
      </c>
      <c r="I115" s="76">
        <v>130.6</v>
      </c>
      <c r="J115" s="76">
        <v>129.9</v>
      </c>
      <c r="K115" s="76">
        <v>129.69999999999999</v>
      </c>
      <c r="L115" s="76">
        <v>128.5</v>
      </c>
      <c r="M115" s="76">
        <v>128.5</v>
      </c>
      <c r="N115" s="76">
        <v>130.19999999999999</v>
      </c>
      <c r="O115" s="76">
        <v>129.9</v>
      </c>
      <c r="P115" s="76">
        <v>129</v>
      </c>
      <c r="Q115" s="76">
        <v>130</v>
      </c>
      <c r="R115" s="76">
        <v>130.80000000000001</v>
      </c>
      <c r="S115" s="76">
        <v>130</v>
      </c>
      <c r="T115" s="76">
        <v>129</v>
      </c>
      <c r="U115" s="76">
        <v>130.19999999999999</v>
      </c>
      <c r="V115" s="76">
        <v>130.69999999999999</v>
      </c>
      <c r="W115" s="76">
        <v>130.4</v>
      </c>
      <c r="X115" s="76">
        <v>130</v>
      </c>
      <c r="Y115" s="76">
        <v>130.80000000000001</v>
      </c>
      <c r="Z115" s="76">
        <v>128.19999999999999</v>
      </c>
      <c r="AA115" s="76">
        <v>126.5</v>
      </c>
      <c r="AB115" s="76">
        <v>129.30000000000001</v>
      </c>
      <c r="AC115" s="76">
        <v>129.30000000000001</v>
      </c>
      <c r="AD115" s="76">
        <v>128.5</v>
      </c>
      <c r="AE115" s="76">
        <v>128.19999999999999</v>
      </c>
      <c r="AF115" s="76">
        <v>128.1</v>
      </c>
      <c r="AG115" s="117"/>
      <c r="AH115" s="48">
        <f t="shared" si="113"/>
        <v>130.80000000000001</v>
      </c>
      <c r="AI115" s="49">
        <f t="shared" si="114"/>
        <v>126.5</v>
      </c>
    </row>
    <row r="116" spans="1:35" x14ac:dyDescent="0.25">
      <c r="A116" s="118" t="s">
        <v>136</v>
      </c>
      <c r="B116" s="76">
        <v>131</v>
      </c>
      <c r="C116" s="76">
        <v>133</v>
      </c>
      <c r="D116" s="76">
        <v>133</v>
      </c>
      <c r="E116" s="76">
        <v>133.4</v>
      </c>
      <c r="F116" s="76">
        <v>131.9</v>
      </c>
      <c r="G116" s="76">
        <v>131.4</v>
      </c>
      <c r="H116" s="76">
        <v>131.69999999999999</v>
      </c>
      <c r="I116" s="76">
        <v>132.1</v>
      </c>
      <c r="J116" s="76">
        <v>130.5</v>
      </c>
      <c r="K116" s="76">
        <v>130.9</v>
      </c>
      <c r="L116" s="76">
        <v>129.69999999999999</v>
      </c>
      <c r="M116" s="76">
        <v>128.69999999999999</v>
      </c>
      <c r="N116" s="76">
        <v>133.30000000000001</v>
      </c>
      <c r="O116" s="76">
        <v>132.30000000000001</v>
      </c>
      <c r="P116" s="76">
        <v>132.6</v>
      </c>
      <c r="Q116" s="76">
        <v>132</v>
      </c>
      <c r="R116" s="76">
        <v>134.30000000000001</v>
      </c>
      <c r="S116" s="76">
        <v>132.6</v>
      </c>
      <c r="T116" s="76">
        <v>131.69999999999999</v>
      </c>
      <c r="U116" s="76">
        <v>133.19999999999999</v>
      </c>
      <c r="V116" s="76">
        <v>134</v>
      </c>
      <c r="W116" s="76">
        <v>133.6</v>
      </c>
      <c r="X116" s="76">
        <v>132.30000000000001</v>
      </c>
      <c r="Y116" s="76">
        <v>134.19999999999999</v>
      </c>
      <c r="Z116" s="76">
        <v>128.30000000000001</v>
      </c>
      <c r="AA116" s="76">
        <v>127.3</v>
      </c>
      <c r="AB116" s="76">
        <v>132</v>
      </c>
      <c r="AC116" s="76">
        <v>131.80000000000001</v>
      </c>
      <c r="AD116" s="76">
        <v>132.1</v>
      </c>
      <c r="AE116" s="76">
        <v>130.80000000000001</v>
      </c>
      <c r="AF116" s="76">
        <v>131</v>
      </c>
      <c r="AG116" s="117"/>
      <c r="AH116" s="48">
        <f t="shared" si="113"/>
        <v>134.30000000000001</v>
      </c>
      <c r="AI116" s="49">
        <f t="shared" si="114"/>
        <v>127.3</v>
      </c>
    </row>
    <row r="117" spans="1:35" x14ac:dyDescent="0.25">
      <c r="A117" s="118" t="s">
        <v>137</v>
      </c>
      <c r="B117" s="119">
        <v>133.80000000000001</v>
      </c>
      <c r="C117" s="119">
        <v>135</v>
      </c>
      <c r="D117" s="119">
        <v>135</v>
      </c>
      <c r="E117" s="119">
        <v>132.80000000000001</v>
      </c>
      <c r="F117" s="119">
        <v>136.4</v>
      </c>
      <c r="G117" s="119">
        <v>134.1</v>
      </c>
      <c r="H117" s="119">
        <v>135.80000000000001</v>
      </c>
      <c r="I117" s="119">
        <v>133.6</v>
      </c>
      <c r="J117" s="119">
        <v>130.9</v>
      </c>
      <c r="K117" s="119">
        <v>133.9</v>
      </c>
      <c r="L117" s="119">
        <v>133.6</v>
      </c>
      <c r="M117" s="119">
        <v>135.9</v>
      </c>
      <c r="N117" s="119">
        <v>132.6</v>
      </c>
      <c r="O117" s="119">
        <v>133.9</v>
      </c>
      <c r="P117" s="119">
        <v>133.69999999999999</v>
      </c>
      <c r="Q117" s="119">
        <v>136</v>
      </c>
      <c r="R117" s="119">
        <v>130.30000000000001</v>
      </c>
      <c r="S117" s="119">
        <v>132.1</v>
      </c>
      <c r="T117" s="119">
        <v>132</v>
      </c>
      <c r="U117" s="119">
        <v>132.6</v>
      </c>
      <c r="V117" s="119">
        <v>133.4</v>
      </c>
      <c r="W117" s="119">
        <v>134.30000000000001</v>
      </c>
      <c r="X117" s="119">
        <v>136</v>
      </c>
      <c r="Y117" s="119">
        <v>135.30000000000001</v>
      </c>
      <c r="Z117" s="119">
        <v>134</v>
      </c>
      <c r="AA117" s="119">
        <v>133.9</v>
      </c>
      <c r="AB117" s="119">
        <v>134.1</v>
      </c>
      <c r="AC117" s="119">
        <v>133.6</v>
      </c>
      <c r="AD117" s="119">
        <v>131.9</v>
      </c>
      <c r="AE117" s="119">
        <v>135.30000000000001</v>
      </c>
      <c r="AF117" s="119">
        <v>133.80000000000001</v>
      </c>
      <c r="AG117" s="120"/>
      <c r="AH117" s="48">
        <f t="shared" si="113"/>
        <v>136.4</v>
      </c>
      <c r="AI117" s="49">
        <f t="shared" si="114"/>
        <v>130.30000000000001</v>
      </c>
    </row>
    <row r="118" spans="1:35" x14ac:dyDescent="0.25">
      <c r="A118" s="116" t="s">
        <v>138</v>
      </c>
      <c r="B118" s="76">
        <v>125.1</v>
      </c>
      <c r="C118" s="76">
        <v>128.19999999999999</v>
      </c>
      <c r="D118" s="76">
        <v>128.19999999999999</v>
      </c>
      <c r="E118" s="76">
        <v>130.9</v>
      </c>
      <c r="F118" s="76">
        <v>131.1</v>
      </c>
      <c r="G118" s="76">
        <v>129.5</v>
      </c>
      <c r="H118" s="76">
        <v>135.6</v>
      </c>
      <c r="I118" s="76">
        <v>130.6</v>
      </c>
      <c r="J118" s="76">
        <v>126.2</v>
      </c>
      <c r="K118" s="76">
        <v>133.6</v>
      </c>
      <c r="L118" s="76">
        <v>132</v>
      </c>
      <c r="M118" s="76">
        <v>135.5</v>
      </c>
      <c r="N118" s="76">
        <v>130.4</v>
      </c>
      <c r="O118" s="76">
        <v>130.19999999999999</v>
      </c>
      <c r="P118" s="76">
        <v>134</v>
      </c>
      <c r="Q118" s="76">
        <v>137</v>
      </c>
      <c r="R118" s="76">
        <v>128.9</v>
      </c>
      <c r="S118" s="76">
        <v>134.80000000000001</v>
      </c>
      <c r="T118" s="76">
        <v>128.4</v>
      </c>
      <c r="U118" s="76">
        <v>133.69999999999999</v>
      </c>
      <c r="V118" s="76">
        <v>119.6</v>
      </c>
      <c r="W118" s="76">
        <v>120.6</v>
      </c>
      <c r="X118" s="76">
        <v>125.7</v>
      </c>
      <c r="Y118" s="76">
        <v>123.2</v>
      </c>
      <c r="Z118" s="76">
        <v>125.7</v>
      </c>
      <c r="AA118" s="76">
        <v>123.9</v>
      </c>
      <c r="AB118" s="76">
        <v>125.6</v>
      </c>
      <c r="AC118" s="76">
        <v>123.7</v>
      </c>
      <c r="AD118" s="76">
        <v>121.4</v>
      </c>
      <c r="AE118" s="76">
        <v>129.1</v>
      </c>
      <c r="AF118" s="76">
        <v>125.1</v>
      </c>
      <c r="AG118" s="117"/>
      <c r="AH118" s="48">
        <f t="shared" si="113"/>
        <v>137</v>
      </c>
      <c r="AI118" s="49">
        <f t="shared" si="114"/>
        <v>119.6</v>
      </c>
    </row>
    <row r="119" spans="1:35" ht="15.75" thickBot="1" x14ac:dyDescent="0.3">
      <c r="A119" s="116" t="s">
        <v>139</v>
      </c>
      <c r="B119" s="105">
        <v>66.3</v>
      </c>
      <c r="C119" s="105">
        <v>66</v>
      </c>
      <c r="D119" s="105">
        <v>66</v>
      </c>
      <c r="E119" s="105">
        <v>66</v>
      </c>
      <c r="F119" s="105">
        <v>66.3</v>
      </c>
      <c r="G119" s="105">
        <v>65.8</v>
      </c>
      <c r="H119" s="105">
        <v>66.599999999999994</v>
      </c>
      <c r="I119" s="105">
        <v>65.7</v>
      </c>
      <c r="J119" s="105">
        <v>65.099999999999994</v>
      </c>
      <c r="K119" s="105">
        <v>64.3</v>
      </c>
      <c r="L119" s="105">
        <v>63.7</v>
      </c>
      <c r="M119" s="105">
        <v>63.4</v>
      </c>
      <c r="N119" s="105">
        <v>63.3</v>
      </c>
      <c r="O119" s="105">
        <v>63.5</v>
      </c>
      <c r="P119" s="105">
        <v>62.9</v>
      </c>
      <c r="Q119" s="105">
        <v>64</v>
      </c>
      <c r="R119" s="105">
        <v>63.3</v>
      </c>
      <c r="S119" s="105">
        <v>63.2</v>
      </c>
      <c r="T119" s="105">
        <v>63.3</v>
      </c>
      <c r="U119" s="105">
        <v>63.5</v>
      </c>
      <c r="V119" s="105">
        <v>63.3</v>
      </c>
      <c r="W119" s="105">
        <v>64</v>
      </c>
      <c r="X119" s="105">
        <v>65.099999999999994</v>
      </c>
      <c r="Y119" s="105">
        <v>64.5</v>
      </c>
      <c r="Z119" s="105">
        <v>64.3</v>
      </c>
      <c r="AA119" s="105">
        <v>63.2</v>
      </c>
      <c r="AB119" s="105">
        <v>63.7</v>
      </c>
      <c r="AC119" s="105">
        <v>63.9</v>
      </c>
      <c r="AD119" s="105">
        <v>63.5</v>
      </c>
      <c r="AE119" s="105">
        <v>65.5</v>
      </c>
      <c r="AF119" s="105">
        <v>66.3</v>
      </c>
      <c r="AG119" s="121"/>
      <c r="AH119" s="48">
        <f t="shared" si="113"/>
        <v>66.599999999999994</v>
      </c>
      <c r="AI119" s="49">
        <f t="shared" si="114"/>
        <v>62.9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113"/>
        <v>0</v>
      </c>
      <c r="AI120" s="49">
        <f t="shared" si="114"/>
        <v>0</v>
      </c>
    </row>
    <row r="121" spans="1:35" ht="15.75" thickBot="1" x14ac:dyDescent="0.3">
      <c r="A121" s="123" t="s">
        <v>141</v>
      </c>
      <c r="B121" s="124">
        <f>SUM(B25,B31,B34:B35,B69,B71:B72,B74,B76,B122:B126,B158,B164,B170,B179,B181,B193,B200,B203:B204,B211,B213,B215,B219:B221,B223:B225,B230,B236:B237,B239:B241,B249,B254)</f>
        <v>53.940000000000012</v>
      </c>
      <c r="C121" s="124">
        <f>SUM(C25,C31,C34:C35,C69,C71:C72,C74,C76,C122:C126,C158,C164,C170,C179,C181,C193,C200,C203:C204,C211,C213,C215,C219:C221,C223:C225,C230,C236:C237,C239:C241,C249,C254)</f>
        <v>32.94</v>
      </c>
      <c r="D121" s="124">
        <f>SUM(D25,D31,D34:D35,D69,D71:D72,D74,D76,D122:D126,D158,D164,D170,D179,D181,D193,D200,D203:D204,D211,D213,D215,D219:D221,D223:D225,D230,D236:D237,D239:D241,D249,D254)</f>
        <v>32.94</v>
      </c>
      <c r="E121" s="124">
        <f t="shared" ref="E121:O121" si="141">SUM(E25,E31,E34:E35,E69,E71:E72,E74,E76,E122:E126,E158,E164,E170,E179,E181,E193,E200,E203:E204,E211,E213,E215,E219:E221,E223:E225,E230,E236:E237,E239:E241,E249,E254)</f>
        <v>37.340000000000018</v>
      </c>
      <c r="F121" s="124">
        <f t="shared" si="141"/>
        <v>30.640000000000018</v>
      </c>
      <c r="G121" s="124">
        <f t="shared" si="141"/>
        <v>39.339999999999996</v>
      </c>
      <c r="H121" s="124">
        <f t="shared" si="141"/>
        <v>54.540000000000006</v>
      </c>
      <c r="I121" s="124">
        <f t="shared" si="141"/>
        <v>80.439999999999984</v>
      </c>
      <c r="J121" s="124">
        <f t="shared" si="141"/>
        <v>102.54</v>
      </c>
      <c r="K121" s="124">
        <f t="shared" si="141"/>
        <v>65.140000000000029</v>
      </c>
      <c r="L121" s="124">
        <f t="shared" si="141"/>
        <v>114.84</v>
      </c>
      <c r="M121" s="124">
        <f t="shared" si="141"/>
        <v>175.64000000000001</v>
      </c>
      <c r="N121" s="124">
        <f t="shared" si="141"/>
        <v>184.74</v>
      </c>
      <c r="O121" s="124">
        <f t="shared" si="141"/>
        <v>161.83999999999997</v>
      </c>
      <c r="P121" s="124">
        <v>42</v>
      </c>
      <c r="Q121" s="124">
        <f t="shared" ref="Q121:R121" si="142">SUM(Q25,Q31,Q34:Q35,Q69,Q71:Q72,Q74,Q76,Q122:Q126,Q158,Q164,Q170,Q179,Q181,Q193,Q200,Q203:Q204,Q211,Q213,Q215,Q219:Q221,Q223:Q225,Q230,Q236:Q237,Q239:Q241,Q249,Q254)</f>
        <v>167.2</v>
      </c>
      <c r="R121" s="124">
        <f t="shared" si="142"/>
        <v>171.44</v>
      </c>
      <c r="S121" s="124">
        <f t="shared" ref="S121:T121" si="143">SUM(S25,S31,S34:S35,S69,S71:S72,S74,S76,S122:S126,S158,S164,S170,S179,S181,S193,S200,S203:S204,S211,S213,S215,S219:S221,S223:S225,S230,S236:S237,S239:S241,S249,S254)</f>
        <v>162.14000000000001</v>
      </c>
      <c r="T121" s="124">
        <f t="shared" si="143"/>
        <v>204.34000000000003</v>
      </c>
      <c r="U121" s="124">
        <f t="shared" ref="U121:V121" si="144">SUM(U25,U31,U34:U35,U69,U71:U72,U74,U76,U122:U126,U158,U164,U170,U179,U181,U193,U200,U203:U204,U211,U213,U215,U219:U221,U223:U225,U230,U236:U237,U239:U241,U249,U254)</f>
        <v>180.74000000000004</v>
      </c>
      <c r="V121" s="124">
        <f t="shared" si="144"/>
        <v>162.24</v>
      </c>
      <c r="W121" s="124">
        <f t="shared" ref="W121:X121" si="145">SUM(W25,W31,W34:W35,W69,W71:W72,W74,W76,W122:W126,W158,W164,W170,W179,W181,W193,W200,W203:W204,W211,W213,W215,W219:W221,W223:W225,W230,W236:W237,W239:W241,W249,W254)</f>
        <v>199.13999999999996</v>
      </c>
      <c r="X121" s="124">
        <f t="shared" si="145"/>
        <v>167.14</v>
      </c>
      <c r="Y121" s="124">
        <f t="shared" ref="Y121:Z121" si="146">SUM(Y25,Y31,Y34:Y35,Y69,Y71:Y72,Y74,Y76,Y122:Y126,Y158,Y164,Y170,Y179,Y181,Y193,Y200,Y203:Y204,Y211,Y213,Y215,Y219:Y221,Y223:Y225,Y230,Y236:Y237,Y239:Y241,Y249,Y254)</f>
        <v>172.53999999999996</v>
      </c>
      <c r="Z121" s="124">
        <f t="shared" si="146"/>
        <v>196.23999999999998</v>
      </c>
      <c r="AA121" s="124">
        <f t="shared" ref="AA121" si="147">SUM(AA25,AA31,AA34:AA35,AA69,AA71:AA72,AA74,AA76,AA122:AA126,AA158,AA164,AA170,AA179,AA181,AA193,AA200,AA203:AA204,AA211,AA213,AA215,AA219:AA221,AA223:AA225,AA230,AA236:AA237,AA239:AA241,AA249,AA254)</f>
        <v>244.84</v>
      </c>
      <c r="AB121" s="124">
        <f t="shared" ref="AB121:AF121" si="148">SUM(AB25,AB31,AB34:AB35,AB69,AB71:AB72,AB74,AB76,AB122:AB126,AB158,AB164,AB170,AB179,AB181,AB193,AB200,AB203:AB204,AB211,AB213,AB215,AB219:AB221,AB223:AB225,AB230,AB236:AB237,AB239:AB241,AB249,AB254)</f>
        <v>215.73999999999998</v>
      </c>
      <c r="AC121" s="124">
        <f t="shared" si="148"/>
        <v>213.84000000000003</v>
      </c>
      <c r="AD121" s="124">
        <f t="shared" si="148"/>
        <v>153.54000000000005</v>
      </c>
      <c r="AE121" s="124">
        <f t="shared" si="148"/>
        <v>134.04000000000002</v>
      </c>
      <c r="AF121" s="124">
        <f t="shared" si="148"/>
        <v>78.039999999999992</v>
      </c>
      <c r="AG121" s="125"/>
      <c r="AH121" s="48">
        <f t="shared" si="113"/>
        <v>244.84</v>
      </c>
      <c r="AI121" s="49">
        <f t="shared" si="114"/>
        <v>30.640000000000018</v>
      </c>
    </row>
    <row r="122" spans="1:35" x14ac:dyDescent="0.25">
      <c r="A122" s="126" t="s">
        <v>142</v>
      </c>
      <c r="B122" s="127">
        <v>42</v>
      </c>
      <c r="C122" s="127">
        <v>39.6</v>
      </c>
      <c r="D122" s="127">
        <v>39.6</v>
      </c>
      <c r="E122" s="127">
        <v>31.3</v>
      </c>
      <c r="F122" s="127">
        <v>20.2</v>
      </c>
      <c r="G122" s="127">
        <v>44.5</v>
      </c>
      <c r="H122" s="127">
        <v>11.6</v>
      </c>
      <c r="I122" s="127">
        <v>27.5</v>
      </c>
      <c r="J122" s="127">
        <v>19.100000000000001</v>
      </c>
      <c r="K122" s="127">
        <v>6.4</v>
      </c>
      <c r="L122" s="127">
        <v>41.8</v>
      </c>
      <c r="M122" s="127">
        <v>29.4</v>
      </c>
      <c r="N122" s="127">
        <v>33.799999999999997</v>
      </c>
      <c r="O122" s="127">
        <v>46.8</v>
      </c>
      <c r="P122" s="127">
        <v>49.7</v>
      </c>
      <c r="Q122" s="127">
        <v>46.8</v>
      </c>
      <c r="R122" s="127">
        <v>70.5</v>
      </c>
      <c r="S122" s="127">
        <v>82.9</v>
      </c>
      <c r="T122" s="127">
        <v>80.400000000000006</v>
      </c>
      <c r="U122" s="127">
        <v>87.5</v>
      </c>
      <c r="V122" s="127">
        <v>88.6</v>
      </c>
      <c r="W122" s="127">
        <v>80.599999999999994</v>
      </c>
      <c r="X122" s="127">
        <v>80</v>
      </c>
      <c r="Y122" s="127">
        <v>82.3</v>
      </c>
      <c r="Z122" s="127">
        <v>72.8</v>
      </c>
      <c r="AA122" s="127">
        <v>76.900000000000006</v>
      </c>
      <c r="AB122" s="127">
        <v>76.599999999999994</v>
      </c>
      <c r="AC122" s="127">
        <v>74.599999999999994</v>
      </c>
      <c r="AD122" s="127">
        <v>80.2</v>
      </c>
      <c r="AE122" s="127">
        <v>49.7</v>
      </c>
      <c r="AF122" s="127">
        <v>44.7</v>
      </c>
      <c r="AG122" s="128">
        <v>75</v>
      </c>
      <c r="AH122" s="48">
        <f t="shared" si="113"/>
        <v>88.6</v>
      </c>
      <c r="AI122" s="49">
        <f t="shared" si="114"/>
        <v>6.4</v>
      </c>
    </row>
    <row r="123" spans="1:35" x14ac:dyDescent="0.25">
      <c r="A123" s="129" t="s">
        <v>143</v>
      </c>
      <c r="B123" s="130">
        <v>67.3</v>
      </c>
      <c r="C123" s="130">
        <v>59.9</v>
      </c>
      <c r="D123" s="130">
        <v>59.9</v>
      </c>
      <c r="E123" s="130">
        <v>48.5</v>
      </c>
      <c r="F123" s="130">
        <v>33.6</v>
      </c>
      <c r="G123" s="130">
        <v>65.8</v>
      </c>
      <c r="H123" s="130">
        <v>17.600000000000001</v>
      </c>
      <c r="I123" s="130">
        <v>42.3</v>
      </c>
      <c r="J123" s="130">
        <v>29</v>
      </c>
      <c r="K123" s="130">
        <v>12</v>
      </c>
      <c r="L123" s="130">
        <v>60.9</v>
      </c>
      <c r="M123" s="130">
        <v>41</v>
      </c>
      <c r="N123" s="130">
        <v>45.3</v>
      </c>
      <c r="O123" s="130">
        <v>63.7</v>
      </c>
      <c r="P123" s="130">
        <v>69.3</v>
      </c>
      <c r="Q123" s="130">
        <v>65</v>
      </c>
      <c r="R123" s="130">
        <v>99.7</v>
      </c>
      <c r="S123" s="130">
        <v>113.1</v>
      </c>
      <c r="T123" s="130">
        <v>113.1</v>
      </c>
      <c r="U123" s="130">
        <v>121.9</v>
      </c>
      <c r="V123" s="130">
        <v>127.6</v>
      </c>
      <c r="W123" s="130">
        <v>113.6</v>
      </c>
      <c r="X123" s="130">
        <v>115.3</v>
      </c>
      <c r="Y123" s="130">
        <v>118.2</v>
      </c>
      <c r="Z123" s="130">
        <v>107.2</v>
      </c>
      <c r="AA123" s="130">
        <v>110</v>
      </c>
      <c r="AB123" s="130">
        <v>112.7</v>
      </c>
      <c r="AC123" s="130">
        <v>110.7</v>
      </c>
      <c r="AD123" s="130">
        <v>118.6</v>
      </c>
      <c r="AE123" s="130">
        <v>76</v>
      </c>
      <c r="AF123" s="130">
        <v>68.099999999999994</v>
      </c>
      <c r="AG123" s="128">
        <v>240</v>
      </c>
      <c r="AH123" s="48">
        <f t="shared" si="113"/>
        <v>127.6</v>
      </c>
      <c r="AI123" s="49">
        <f t="shared" si="114"/>
        <v>12</v>
      </c>
    </row>
    <row r="124" spans="1:35" x14ac:dyDescent="0.25">
      <c r="A124" s="129" t="s">
        <v>144</v>
      </c>
      <c r="B124" s="130">
        <v>-138.9</v>
      </c>
      <c r="C124" s="130">
        <v>-134.80000000000001</v>
      </c>
      <c r="D124" s="130">
        <v>-134.80000000000001</v>
      </c>
      <c r="E124" s="130">
        <f>-56-60</f>
        <v>-116</v>
      </c>
      <c r="F124" s="130">
        <f>-49.5-52.1</f>
        <v>-101.6</v>
      </c>
      <c r="G124" s="130">
        <f>-72.1-76</f>
        <v>-148.1</v>
      </c>
      <c r="H124" s="130">
        <f>-34.3-36.7</f>
        <v>-71</v>
      </c>
      <c r="I124" s="130">
        <f>-67.4-71.7</f>
        <v>-139.10000000000002</v>
      </c>
      <c r="J124" s="130">
        <f>-55-59.9</f>
        <v>-114.9</v>
      </c>
      <c r="K124" s="130">
        <f>-46.2-48.5</f>
        <v>-94.7</v>
      </c>
      <c r="L124" s="130">
        <f>-63.8-66.8</f>
        <v>-130.6</v>
      </c>
      <c r="M124" s="130">
        <v>-101</v>
      </c>
      <c r="N124" s="130">
        <v>-108</v>
      </c>
      <c r="O124" s="130">
        <v>-130</v>
      </c>
      <c r="P124" s="130">
        <v>-148</v>
      </c>
      <c r="Q124" s="130">
        <v>-135</v>
      </c>
      <c r="R124" s="130">
        <v>-179</v>
      </c>
      <c r="S124" s="130">
        <v>-178.1</v>
      </c>
      <c r="T124" s="130">
        <v>-153.1</v>
      </c>
      <c r="U124" s="130">
        <v>-169.2</v>
      </c>
      <c r="V124" s="130">
        <v>-179.1</v>
      </c>
      <c r="W124" s="130">
        <v>-124.9</v>
      </c>
      <c r="X124" s="130">
        <v>-163.1</v>
      </c>
      <c r="Y124" s="130">
        <v>-171.1</v>
      </c>
      <c r="Z124" s="130">
        <v>-140.1</v>
      </c>
      <c r="AA124" s="130">
        <v>-129.5</v>
      </c>
      <c r="AB124" s="130">
        <f>-70-74.9</f>
        <v>-144.9</v>
      </c>
      <c r="AC124" s="130">
        <f>-68.1-73.6</f>
        <v>-141.69999999999999</v>
      </c>
      <c r="AD124" s="130">
        <f>-87.6-91</f>
        <v>-178.6</v>
      </c>
      <c r="AE124" s="130">
        <v>-161</v>
      </c>
      <c r="AF124" s="130">
        <v>-136.9</v>
      </c>
      <c r="AG124" s="128">
        <v>240</v>
      </c>
      <c r="AH124" s="48">
        <f t="shared" si="113"/>
        <v>-71</v>
      </c>
      <c r="AI124" s="49">
        <f t="shared" si="114"/>
        <v>-179.1</v>
      </c>
    </row>
    <row r="125" spans="1:35" ht="15.75" thickBot="1" x14ac:dyDescent="0.3">
      <c r="A125" s="129" t="s">
        <v>145</v>
      </c>
      <c r="B125" s="130">
        <v>-10.5</v>
      </c>
      <c r="C125" s="130">
        <v>-10.3</v>
      </c>
      <c r="D125" s="130">
        <v>-10.3</v>
      </c>
      <c r="E125" s="130">
        <v>-9.6999999999999993</v>
      </c>
      <c r="F125" s="130">
        <v>-8.3000000000000007</v>
      </c>
      <c r="G125" s="130">
        <v>-13.8</v>
      </c>
      <c r="H125" s="130">
        <v>-5</v>
      </c>
      <c r="I125" s="130">
        <v>-7.8</v>
      </c>
      <c r="J125" s="130">
        <v>-4</v>
      </c>
      <c r="K125" s="130">
        <v>-11.1</v>
      </c>
      <c r="L125" s="130">
        <v>-12.5</v>
      </c>
      <c r="M125" s="130">
        <v>-7.2</v>
      </c>
      <c r="N125" s="130">
        <v>-1.6</v>
      </c>
      <c r="O125" s="130">
        <v>-2.7</v>
      </c>
      <c r="P125" s="130">
        <v>-5</v>
      </c>
      <c r="Q125" s="130">
        <v>0</v>
      </c>
      <c r="R125" s="130">
        <v>-6.1</v>
      </c>
      <c r="S125" s="130">
        <v>-4.5</v>
      </c>
      <c r="T125" s="130">
        <v>-3.4</v>
      </c>
      <c r="U125" s="130">
        <v>-3.6</v>
      </c>
      <c r="V125" s="130">
        <v>-3.2</v>
      </c>
      <c r="W125" s="130">
        <v>-1.6</v>
      </c>
      <c r="X125" s="130">
        <v>-0.3</v>
      </c>
      <c r="Y125" s="130">
        <v>-0.9</v>
      </c>
      <c r="Z125" s="130">
        <v>4.7</v>
      </c>
      <c r="AA125" s="130">
        <v>7.1</v>
      </c>
      <c r="AB125" s="130">
        <v>4.2</v>
      </c>
      <c r="AC125" s="130">
        <v>4.4000000000000004</v>
      </c>
      <c r="AD125" s="130">
        <v>2</v>
      </c>
      <c r="AE125" s="130">
        <v>-3</v>
      </c>
      <c r="AF125" s="130">
        <v>-8</v>
      </c>
      <c r="AG125" s="128">
        <v>60</v>
      </c>
      <c r="AH125" s="48">
        <f t="shared" si="113"/>
        <v>7.1</v>
      </c>
      <c r="AI125" s="49">
        <f t="shared" si="114"/>
        <v>-13.8</v>
      </c>
    </row>
    <row r="126" spans="1:35" x14ac:dyDescent="0.25">
      <c r="A126" s="126" t="s">
        <v>146</v>
      </c>
      <c r="B126" s="131">
        <v>-58.2</v>
      </c>
      <c r="C126" s="131">
        <v>-65.8</v>
      </c>
      <c r="D126" s="131">
        <v>-65.8</v>
      </c>
      <c r="E126" s="131">
        <v>-61.5</v>
      </c>
      <c r="F126" s="131">
        <v>-58.3</v>
      </c>
      <c r="G126" s="131">
        <v>-53.9</v>
      </c>
      <c r="H126" s="131">
        <v>-43.3</v>
      </c>
      <c r="I126" s="131">
        <v>7.6</v>
      </c>
      <c r="J126" s="131">
        <v>27.7</v>
      </c>
      <c r="K126" s="131"/>
      <c r="L126" s="131"/>
      <c r="M126" s="131">
        <v>53.1</v>
      </c>
      <c r="N126" s="131">
        <v>53.6</v>
      </c>
      <c r="O126" s="131">
        <v>41.2</v>
      </c>
      <c r="P126" s="131">
        <v>28</v>
      </c>
      <c r="Q126" s="131">
        <v>21.5</v>
      </c>
      <c r="R126" s="131">
        <v>18.899999999999999</v>
      </c>
      <c r="S126" s="131">
        <v>-17.3</v>
      </c>
      <c r="T126" s="131">
        <v>1.3</v>
      </c>
      <c r="U126" s="131">
        <v>-20</v>
      </c>
      <c r="V126" s="131">
        <v>-32.799999999999997</v>
      </c>
      <c r="W126" s="131">
        <v>-27.1</v>
      </c>
      <c r="X126" s="131">
        <v>-18.100000000000001</v>
      </c>
      <c r="Y126" s="131">
        <v>-8</v>
      </c>
      <c r="Z126" s="131">
        <v>1.7</v>
      </c>
      <c r="AA126" s="131">
        <v>14.7</v>
      </c>
      <c r="AB126" s="131">
        <v>-4.2</v>
      </c>
      <c r="AC126" s="131">
        <v>-5.4</v>
      </c>
      <c r="AD126" s="131">
        <v>-40</v>
      </c>
      <c r="AE126" s="131">
        <v>1</v>
      </c>
      <c r="AF126" s="131">
        <v>-46.5</v>
      </c>
      <c r="AG126" s="132">
        <v>120</v>
      </c>
      <c r="AH126" s="48">
        <f t="shared" si="113"/>
        <v>53.6</v>
      </c>
      <c r="AI126" s="49">
        <f t="shared" si="114"/>
        <v>-65.8</v>
      </c>
    </row>
    <row r="127" spans="1:35" x14ac:dyDescent="0.25">
      <c r="A127" s="129" t="s">
        <v>147</v>
      </c>
      <c r="B127" s="131">
        <v>10.3</v>
      </c>
      <c r="C127" s="131">
        <v>36.9</v>
      </c>
      <c r="D127" s="131">
        <v>36.9</v>
      </c>
      <c r="E127" s="131">
        <v>35.5</v>
      </c>
      <c r="F127" s="131">
        <v>36.799999999999997</v>
      </c>
      <c r="G127" s="131">
        <v>40.299999999999997</v>
      </c>
      <c r="H127" s="131">
        <v>46.4</v>
      </c>
      <c r="I127" s="131">
        <v>72.5</v>
      </c>
      <c r="J127" s="131">
        <v>81.900000000000006</v>
      </c>
      <c r="K127" s="131">
        <v>101.2</v>
      </c>
      <c r="L127" s="131">
        <v>85.8</v>
      </c>
      <c r="M127" s="131">
        <v>97.5</v>
      </c>
      <c r="N127" s="131">
        <v>95.2</v>
      </c>
      <c r="O127" s="131">
        <v>88.6</v>
      </c>
      <c r="P127" s="131">
        <v>83.2</v>
      </c>
      <c r="Q127" s="131">
        <v>79.900000000000006</v>
      </c>
      <c r="R127" s="131">
        <v>55</v>
      </c>
      <c r="S127" s="131">
        <v>52.9</v>
      </c>
      <c r="T127" s="131">
        <v>65.7</v>
      </c>
      <c r="U127" s="131">
        <v>54.8</v>
      </c>
      <c r="V127" s="131">
        <v>48.8</v>
      </c>
      <c r="W127" s="131">
        <v>51.2</v>
      </c>
      <c r="X127" s="131">
        <v>55.6</v>
      </c>
      <c r="Y127" s="131">
        <v>57.2</v>
      </c>
      <c r="Z127" s="131">
        <v>68.400000000000006</v>
      </c>
      <c r="AA127" s="131">
        <v>76.3</v>
      </c>
      <c r="AB127" s="131">
        <v>75.8</v>
      </c>
      <c r="AC127" s="131">
        <v>75.3</v>
      </c>
      <c r="AD127" s="131">
        <v>54.3</v>
      </c>
      <c r="AE127" s="131">
        <v>68.2</v>
      </c>
      <c r="AF127" s="131">
        <v>46.2</v>
      </c>
      <c r="AG127" s="132"/>
      <c r="AH127" s="48">
        <f t="shared" si="113"/>
        <v>101.2</v>
      </c>
      <c r="AI127" s="49">
        <f t="shared" si="114"/>
        <v>10.3</v>
      </c>
    </row>
    <row r="128" spans="1:35" x14ac:dyDescent="0.25">
      <c r="A128" s="129" t="s">
        <v>148</v>
      </c>
      <c r="B128" s="131">
        <v>-1.3</v>
      </c>
      <c r="C128" s="131">
        <v>-0.6</v>
      </c>
      <c r="D128" s="131">
        <v>-0.6</v>
      </c>
      <c r="E128" s="131">
        <v>0.3</v>
      </c>
      <c r="F128" s="131">
        <v>3.4</v>
      </c>
      <c r="G128" s="131">
        <v>1.2</v>
      </c>
      <c r="H128" s="131">
        <v>2.6</v>
      </c>
      <c r="I128" s="131">
        <v>51.2</v>
      </c>
      <c r="J128" s="131">
        <v>52.3</v>
      </c>
      <c r="K128" s="131">
        <v>72.7</v>
      </c>
      <c r="L128" s="131">
        <v>38.700000000000003</v>
      </c>
      <c r="M128" s="131">
        <v>49.8</v>
      </c>
      <c r="N128" s="131">
        <v>43</v>
      </c>
      <c r="O128" s="131">
        <v>40</v>
      </c>
      <c r="P128" s="131">
        <v>46.3</v>
      </c>
      <c r="Q128" s="131">
        <v>42.9</v>
      </c>
      <c r="R128" s="131">
        <v>35</v>
      </c>
      <c r="S128" s="131">
        <v>-1.3</v>
      </c>
      <c r="T128" s="131">
        <v>30.8</v>
      </c>
      <c r="U128" s="131">
        <v>5.5</v>
      </c>
      <c r="V128" s="131">
        <v>-12.7</v>
      </c>
      <c r="W128" s="131">
        <v>-12.1</v>
      </c>
      <c r="X128" s="131">
        <v>-12.2</v>
      </c>
      <c r="Y128" s="131">
        <v>-14</v>
      </c>
      <c r="Z128" s="131">
        <v>-15.3</v>
      </c>
      <c r="AA128" s="131">
        <v>-17.7</v>
      </c>
      <c r="AB128" s="131">
        <v>-16.2</v>
      </c>
      <c r="AC128" s="131">
        <v>-16</v>
      </c>
      <c r="AD128" s="131">
        <v>-12.1</v>
      </c>
      <c r="AE128" s="131">
        <v>30.7</v>
      </c>
      <c r="AF128" s="131">
        <v>-1.7</v>
      </c>
      <c r="AG128" s="132"/>
      <c r="AH128" s="48">
        <f t="shared" si="113"/>
        <v>72.7</v>
      </c>
      <c r="AI128" s="49">
        <f t="shared" si="114"/>
        <v>-17.7</v>
      </c>
    </row>
    <row r="129" spans="1:37" ht="15.75" thickBot="1" x14ac:dyDescent="0.3">
      <c r="A129" s="129" t="s">
        <v>149</v>
      </c>
      <c r="B129" s="131">
        <v>27.9</v>
      </c>
      <c r="C129" s="131">
        <v>37.799999999999997</v>
      </c>
      <c r="D129" s="131">
        <v>37.799999999999997</v>
      </c>
      <c r="E129" s="131">
        <v>46.7</v>
      </c>
      <c r="F129" s="131">
        <v>56.2</v>
      </c>
      <c r="G129" s="131">
        <v>17.5</v>
      </c>
      <c r="H129" s="131">
        <v>50.1</v>
      </c>
      <c r="I129" s="131">
        <v>20.3</v>
      </c>
      <c r="J129" s="131">
        <v>23.9</v>
      </c>
      <c r="K129" s="131">
        <v>52.1</v>
      </c>
      <c r="L129" s="131">
        <v>32</v>
      </c>
      <c r="M129" s="131">
        <v>43.3</v>
      </c>
      <c r="N129" s="131">
        <v>44</v>
      </c>
      <c r="O129" s="131">
        <v>42.7</v>
      </c>
      <c r="P129" s="131">
        <v>59.8</v>
      </c>
      <c r="Q129" s="131">
        <v>47.4</v>
      </c>
      <c r="R129" s="131">
        <v>35</v>
      </c>
      <c r="S129" s="131">
        <v>0</v>
      </c>
      <c r="T129" s="131">
        <v>0</v>
      </c>
      <c r="U129" s="131">
        <v>0</v>
      </c>
      <c r="V129" s="131">
        <v>-4.2</v>
      </c>
      <c r="W129" s="131">
        <v>1.7</v>
      </c>
      <c r="X129" s="131">
        <v>4.9000000000000004</v>
      </c>
      <c r="Y129" s="131">
        <v>7.2</v>
      </c>
      <c r="Z129" s="131">
        <v>23</v>
      </c>
      <c r="AA129" s="131">
        <v>31.3</v>
      </c>
      <c r="AB129" s="131">
        <v>35</v>
      </c>
      <c r="AC129" s="131">
        <v>26.9</v>
      </c>
      <c r="AD129" s="131">
        <v>20.100000000000001</v>
      </c>
      <c r="AE129" s="131">
        <v>18.899999999999999</v>
      </c>
      <c r="AF129" s="131">
        <v>18.399999999999999</v>
      </c>
      <c r="AG129" s="128"/>
      <c r="AH129" s="48">
        <f t="shared" si="113"/>
        <v>59.8</v>
      </c>
      <c r="AI129" s="49">
        <f t="shared" si="114"/>
        <v>-4.2</v>
      </c>
    </row>
    <row r="130" spans="1:37" x14ac:dyDescent="0.25">
      <c r="A130" s="126" t="s">
        <v>150</v>
      </c>
      <c r="B130" s="131">
        <v>-370.6</v>
      </c>
      <c r="C130" s="131">
        <v>-374.1</v>
      </c>
      <c r="D130" s="131">
        <v>-374.1</v>
      </c>
      <c r="E130" s="131">
        <v>-366.3</v>
      </c>
      <c r="F130" s="131">
        <v>-363.5</v>
      </c>
      <c r="G130" s="131">
        <v>-361.1</v>
      </c>
      <c r="H130" s="131">
        <v>-357</v>
      </c>
      <c r="I130" s="131">
        <v>-331.5</v>
      </c>
      <c r="J130" s="131">
        <v>-335</v>
      </c>
      <c r="K130" s="131">
        <v>-318</v>
      </c>
      <c r="L130" s="131">
        <v>-335.4</v>
      </c>
      <c r="M130" s="131">
        <v>-323.60000000000002</v>
      </c>
      <c r="N130" s="131">
        <v>-342.5</v>
      </c>
      <c r="O130" s="131">
        <v>-332.2</v>
      </c>
      <c r="P130" s="131">
        <v>-339.4</v>
      </c>
      <c r="Q130" s="131">
        <v>-341.9</v>
      </c>
      <c r="R130" s="131">
        <v>-327.10000000000002</v>
      </c>
      <c r="S130" s="131">
        <v>-325.60000000000002</v>
      </c>
      <c r="T130" s="131">
        <v>-322.10000000000002</v>
      </c>
      <c r="U130" s="131">
        <v>-332.5</v>
      </c>
      <c r="V130" s="131">
        <v>-339.3</v>
      </c>
      <c r="W130" s="131">
        <v>-336.2</v>
      </c>
      <c r="X130" s="131">
        <v>-331.8</v>
      </c>
      <c r="Y130" s="131">
        <v>-327.3</v>
      </c>
      <c r="Z130" s="131">
        <v>-326.89999999999998</v>
      </c>
      <c r="AA130" s="131">
        <v>-335.1</v>
      </c>
      <c r="AB130" s="131">
        <v>-347</v>
      </c>
      <c r="AC130" s="131">
        <v>-344.5</v>
      </c>
      <c r="AD130" s="131">
        <v>-345</v>
      </c>
      <c r="AE130" s="131">
        <v>-348.7</v>
      </c>
      <c r="AF130" s="131">
        <v>-345</v>
      </c>
      <c r="AG130" s="128"/>
      <c r="AH130" s="48">
        <f t="shared" si="113"/>
        <v>-318</v>
      </c>
      <c r="AI130" s="49">
        <f t="shared" si="114"/>
        <v>-374.1</v>
      </c>
    </row>
    <row r="131" spans="1:37" x14ac:dyDescent="0.25">
      <c r="A131" s="129" t="s">
        <v>151</v>
      </c>
      <c r="B131" s="119">
        <v>96.6</v>
      </c>
      <c r="C131" s="119">
        <v>100.1</v>
      </c>
      <c r="D131" s="119">
        <v>100.1</v>
      </c>
      <c r="E131" s="119">
        <v>108.2</v>
      </c>
      <c r="F131" s="119">
        <v>112</v>
      </c>
      <c r="G131" s="119">
        <v>113.6</v>
      </c>
      <c r="H131" s="119">
        <v>117.8</v>
      </c>
      <c r="I131" s="119">
        <v>112.8</v>
      </c>
      <c r="J131" s="119">
        <v>90.1</v>
      </c>
      <c r="K131" s="119">
        <v>123.6</v>
      </c>
      <c r="L131" s="119">
        <v>115.1</v>
      </c>
      <c r="M131" s="119">
        <v>112.4</v>
      </c>
      <c r="N131" s="119">
        <v>98.9</v>
      </c>
      <c r="O131" s="119">
        <v>84.2</v>
      </c>
      <c r="P131" s="119">
        <v>78.900000000000006</v>
      </c>
      <c r="Q131" s="119">
        <v>101</v>
      </c>
      <c r="R131" s="119">
        <v>88.9</v>
      </c>
      <c r="S131" s="119">
        <v>90.9</v>
      </c>
      <c r="T131" s="119">
        <v>106.2</v>
      </c>
      <c r="U131" s="119">
        <v>91.6</v>
      </c>
      <c r="V131" s="119">
        <v>93</v>
      </c>
      <c r="W131" s="119">
        <v>98.7</v>
      </c>
      <c r="X131" s="119">
        <v>85.3</v>
      </c>
      <c r="Y131" s="119">
        <v>90.8</v>
      </c>
      <c r="Z131" s="119">
        <v>105.2</v>
      </c>
      <c r="AA131" s="119">
        <v>93</v>
      </c>
      <c r="AB131" s="119">
        <v>94.4</v>
      </c>
      <c r="AC131" s="119">
        <v>94.7</v>
      </c>
      <c r="AD131" s="119">
        <v>102.4</v>
      </c>
      <c r="AE131" s="119">
        <v>96.9</v>
      </c>
      <c r="AF131" s="119">
        <v>111</v>
      </c>
      <c r="AG131" s="128"/>
      <c r="AH131" s="48">
        <f t="shared" si="113"/>
        <v>123.6</v>
      </c>
      <c r="AI131" s="49">
        <f t="shared" si="114"/>
        <v>78.900000000000006</v>
      </c>
    </row>
    <row r="132" spans="1:37" x14ac:dyDescent="0.25">
      <c r="A132" s="129" t="s">
        <v>152</v>
      </c>
      <c r="B132" s="119">
        <v>-21.9</v>
      </c>
      <c r="C132" s="119">
        <v>-23.6</v>
      </c>
      <c r="D132" s="119">
        <v>-23.6</v>
      </c>
      <c r="E132" s="119">
        <v>-25.8</v>
      </c>
      <c r="F132" s="119">
        <v>-28.5</v>
      </c>
      <c r="G132" s="119">
        <v>-28.2</v>
      </c>
      <c r="H132" s="119">
        <v>-30.9</v>
      </c>
      <c r="I132" s="119">
        <v>-30.9</v>
      </c>
      <c r="J132" s="119">
        <v>-29.2</v>
      </c>
      <c r="K132" s="119">
        <v>-37.299999999999997</v>
      </c>
      <c r="L132" s="119">
        <v>-34.1</v>
      </c>
      <c r="M132" s="119">
        <v>-34.4</v>
      </c>
      <c r="N132" s="119">
        <v>-31.1</v>
      </c>
      <c r="O132" s="119">
        <v>-29.7</v>
      </c>
      <c r="P132" s="119">
        <v>-27.8</v>
      </c>
      <c r="Q132" s="119">
        <v>-22.5</v>
      </c>
      <c r="R132" s="119">
        <v>-28</v>
      </c>
      <c r="S132" s="119">
        <v>-11.3</v>
      </c>
      <c r="T132" s="119">
        <v>-22.8</v>
      </c>
      <c r="U132" s="119">
        <v>-25.4</v>
      </c>
      <c r="V132" s="119">
        <v>-25.8</v>
      </c>
      <c r="W132" s="119">
        <v>-29.3</v>
      </c>
      <c r="X132" s="119">
        <v>-27</v>
      </c>
      <c r="Y132" s="119">
        <v>-19.5</v>
      </c>
      <c r="Z132" s="119">
        <v>-18.5</v>
      </c>
      <c r="AA132" s="119">
        <v>-17.899999999999999</v>
      </c>
      <c r="AB132" s="119">
        <v>-26.3</v>
      </c>
      <c r="AC132" s="119">
        <v>-24.9</v>
      </c>
      <c r="AD132" s="119">
        <v>-20</v>
      </c>
      <c r="AE132" s="119">
        <v>-22.1</v>
      </c>
      <c r="AF132" s="119">
        <v>-23.2</v>
      </c>
      <c r="AG132" s="128"/>
      <c r="AH132" s="48">
        <f t="shared" si="113"/>
        <v>-11.3</v>
      </c>
      <c r="AI132" s="49">
        <f t="shared" si="114"/>
        <v>-37.299999999999997</v>
      </c>
    </row>
    <row r="133" spans="1:37" ht="15.75" thickBot="1" x14ac:dyDescent="0.3">
      <c r="A133" s="129" t="s">
        <v>153</v>
      </c>
      <c r="B133" s="119">
        <v>45.1</v>
      </c>
      <c r="C133" s="119">
        <v>42.6</v>
      </c>
      <c r="D133" s="119">
        <v>42.6</v>
      </c>
      <c r="E133" s="119">
        <v>39</v>
      </c>
      <c r="F133" s="119">
        <v>37.4</v>
      </c>
      <c r="G133" s="119">
        <v>39.1</v>
      </c>
      <c r="H133" s="119">
        <v>35.6</v>
      </c>
      <c r="I133" s="119">
        <v>35.799999999999997</v>
      </c>
      <c r="J133" s="119">
        <v>39.700000000000003</v>
      </c>
      <c r="K133" s="119">
        <v>32.200000000000003</v>
      </c>
      <c r="L133" s="119">
        <v>36.1</v>
      </c>
      <c r="M133" s="119">
        <v>35.9</v>
      </c>
      <c r="N133" s="119">
        <v>36.5</v>
      </c>
      <c r="O133" s="119">
        <v>40.4</v>
      </c>
      <c r="P133" s="119">
        <v>41.8</v>
      </c>
      <c r="Q133" s="119">
        <v>38.9</v>
      </c>
      <c r="R133" s="119">
        <v>36</v>
      </c>
      <c r="S133" s="119">
        <v>34.1</v>
      </c>
      <c r="T133" s="119">
        <v>31.3</v>
      </c>
      <c r="U133" s="119">
        <v>31.5</v>
      </c>
      <c r="V133" s="119">
        <v>30</v>
      </c>
      <c r="W133" s="119">
        <v>28.9</v>
      </c>
      <c r="X133" s="119">
        <v>30.7</v>
      </c>
      <c r="Y133" s="119">
        <v>34.4</v>
      </c>
      <c r="Z133" s="119">
        <v>36.299999999999997</v>
      </c>
      <c r="AA133" s="119">
        <v>41.8</v>
      </c>
      <c r="AB133" s="119">
        <v>42.5</v>
      </c>
      <c r="AC133" s="119">
        <v>43.6</v>
      </c>
      <c r="AD133" s="119">
        <v>45.2</v>
      </c>
      <c r="AE133" s="119">
        <v>45.6</v>
      </c>
      <c r="AF133" s="119">
        <v>44.8</v>
      </c>
      <c r="AG133" s="128"/>
      <c r="AH133" s="48">
        <f t="shared" si="113"/>
        <v>45.6</v>
      </c>
      <c r="AI133" s="49">
        <f t="shared" si="114"/>
        <v>28.9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1501.08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>
        <v>1501.71</v>
      </c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2">
        <f>B140-'28'!B140</f>
        <v>3.4399999999998272</v>
      </c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49">SUM(B142:B246)</f>
        <v>0</v>
      </c>
      <c r="C247" s="161">
        <f t="shared" si="149"/>
        <v>0</v>
      </c>
      <c r="D247" s="161">
        <f t="shared" si="149"/>
        <v>0</v>
      </c>
      <c r="E247" s="161">
        <f t="shared" si="149"/>
        <v>0</v>
      </c>
      <c r="F247" s="161">
        <f t="shared" si="149"/>
        <v>0</v>
      </c>
      <c r="G247" s="161">
        <f t="shared" si="149"/>
        <v>0</v>
      </c>
      <c r="H247" s="161">
        <f t="shared" si="149"/>
        <v>0</v>
      </c>
      <c r="I247" s="161">
        <f t="shared" si="149"/>
        <v>0</v>
      </c>
      <c r="J247" s="161">
        <f t="shared" si="149"/>
        <v>0</v>
      </c>
      <c r="K247" s="161">
        <f t="shared" si="149"/>
        <v>0</v>
      </c>
      <c r="L247" s="161">
        <f t="shared" si="149"/>
        <v>0</v>
      </c>
      <c r="M247" s="161">
        <f t="shared" si="149"/>
        <v>0</v>
      </c>
      <c r="N247" s="161">
        <f t="shared" si="149"/>
        <v>0</v>
      </c>
      <c r="O247" s="161">
        <f t="shared" si="149"/>
        <v>0</v>
      </c>
      <c r="P247" s="161">
        <f t="shared" si="149"/>
        <v>0</v>
      </c>
      <c r="Q247" s="161">
        <f t="shared" si="149"/>
        <v>0</v>
      </c>
      <c r="R247" s="161">
        <f t="shared" si="149"/>
        <v>0</v>
      </c>
      <c r="S247" s="161">
        <f t="shared" si="149"/>
        <v>0</v>
      </c>
      <c r="T247" s="161">
        <f t="shared" si="149"/>
        <v>0</v>
      </c>
      <c r="U247" s="161">
        <f t="shared" si="149"/>
        <v>0</v>
      </c>
      <c r="V247" s="161">
        <f t="shared" si="149"/>
        <v>0</v>
      </c>
      <c r="W247" s="161">
        <f t="shared" si="149"/>
        <v>0</v>
      </c>
      <c r="X247" s="161">
        <f t="shared" si="149"/>
        <v>0</v>
      </c>
      <c r="Y247" s="161">
        <f t="shared" si="149"/>
        <v>0</v>
      </c>
      <c r="Z247" s="161">
        <f t="shared" si="149"/>
        <v>0</v>
      </c>
      <c r="AA247" s="161">
        <f t="shared" si="149"/>
        <v>0</v>
      </c>
      <c r="AB247" s="161">
        <f t="shared" si="149"/>
        <v>0</v>
      </c>
      <c r="AC247" s="161">
        <f t="shared" si="149"/>
        <v>0</v>
      </c>
      <c r="AD247" s="161">
        <f t="shared" si="149"/>
        <v>0</v>
      </c>
      <c r="AE247" s="161">
        <f t="shared" si="149"/>
        <v>0</v>
      </c>
      <c r="AF247" s="162">
        <f t="shared" si="149"/>
        <v>0</v>
      </c>
      <c r="AG247" s="163">
        <f t="shared" si="149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50">AF249</f>
        <v>0.3</v>
      </c>
      <c r="C249" s="166">
        <v>0.3</v>
      </c>
      <c r="D249" s="166">
        <f t="shared" ref="D249:S254" si="151">C249</f>
        <v>0.3</v>
      </c>
      <c r="E249" s="166">
        <f t="shared" si="151"/>
        <v>0.3</v>
      </c>
      <c r="F249" s="166">
        <f t="shared" si="151"/>
        <v>0.3</v>
      </c>
      <c r="G249" s="166">
        <f t="shared" si="151"/>
        <v>0.3</v>
      </c>
      <c r="H249" s="166">
        <f t="shared" si="151"/>
        <v>0.3</v>
      </c>
      <c r="I249" s="166">
        <f t="shared" si="151"/>
        <v>0.3</v>
      </c>
      <c r="J249" s="166">
        <f t="shared" si="151"/>
        <v>0.3</v>
      </c>
      <c r="K249" s="166">
        <f t="shared" si="151"/>
        <v>0.3</v>
      </c>
      <c r="L249" s="166">
        <f t="shared" si="151"/>
        <v>0.3</v>
      </c>
      <c r="M249" s="166">
        <f t="shared" si="151"/>
        <v>0.3</v>
      </c>
      <c r="N249" s="166">
        <f t="shared" si="151"/>
        <v>0.3</v>
      </c>
      <c r="O249" s="166">
        <f t="shared" si="151"/>
        <v>0.3</v>
      </c>
      <c r="P249" s="166">
        <f t="shared" si="151"/>
        <v>0.3</v>
      </c>
      <c r="Q249" s="166">
        <f t="shared" si="151"/>
        <v>0.3</v>
      </c>
      <c r="R249" s="166">
        <f t="shared" si="151"/>
        <v>0.3</v>
      </c>
      <c r="S249" s="166">
        <f t="shared" si="151"/>
        <v>0.3</v>
      </c>
      <c r="T249" s="166">
        <f t="shared" ref="T249:AF254" si="152">S249</f>
        <v>0.3</v>
      </c>
      <c r="U249" s="166">
        <f t="shared" si="152"/>
        <v>0.3</v>
      </c>
      <c r="V249" s="166">
        <f t="shared" si="152"/>
        <v>0.3</v>
      </c>
      <c r="W249" s="166">
        <f t="shared" si="152"/>
        <v>0.3</v>
      </c>
      <c r="X249" s="166">
        <f t="shared" si="152"/>
        <v>0.3</v>
      </c>
      <c r="Y249" s="166">
        <f t="shared" si="152"/>
        <v>0.3</v>
      </c>
      <c r="Z249" s="166">
        <f t="shared" si="152"/>
        <v>0.3</v>
      </c>
      <c r="AA249" s="166">
        <f t="shared" si="152"/>
        <v>0.3</v>
      </c>
      <c r="AB249" s="166">
        <f t="shared" si="152"/>
        <v>0.3</v>
      </c>
      <c r="AC249" s="166">
        <f t="shared" si="152"/>
        <v>0.3</v>
      </c>
      <c r="AD249" s="166">
        <f t="shared" si="152"/>
        <v>0.3</v>
      </c>
      <c r="AE249" s="166">
        <f t="shared" si="152"/>
        <v>0.3</v>
      </c>
      <c r="AF249" s="166">
        <f t="shared" si="152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50"/>
        <v>0.4</v>
      </c>
      <c r="C250" s="152">
        <v>0.4</v>
      </c>
      <c r="D250" s="152">
        <f t="shared" si="151"/>
        <v>0.4</v>
      </c>
      <c r="E250" s="152">
        <f t="shared" si="151"/>
        <v>0.4</v>
      </c>
      <c r="F250" s="152">
        <f t="shared" si="151"/>
        <v>0.4</v>
      </c>
      <c r="G250" s="152">
        <f t="shared" si="151"/>
        <v>0.4</v>
      </c>
      <c r="H250" s="152">
        <f t="shared" si="151"/>
        <v>0.4</v>
      </c>
      <c r="I250" s="152">
        <f t="shared" si="151"/>
        <v>0.4</v>
      </c>
      <c r="J250" s="152">
        <f t="shared" si="151"/>
        <v>0.4</v>
      </c>
      <c r="K250" s="152">
        <f t="shared" si="151"/>
        <v>0.4</v>
      </c>
      <c r="L250" s="152">
        <f t="shared" si="151"/>
        <v>0.4</v>
      </c>
      <c r="M250" s="152">
        <f t="shared" si="151"/>
        <v>0.4</v>
      </c>
      <c r="N250" s="152">
        <f t="shared" si="151"/>
        <v>0.4</v>
      </c>
      <c r="O250" s="152">
        <f t="shared" si="151"/>
        <v>0.4</v>
      </c>
      <c r="P250" s="152">
        <f t="shared" si="151"/>
        <v>0.4</v>
      </c>
      <c r="Q250" s="152">
        <f t="shared" si="151"/>
        <v>0.4</v>
      </c>
      <c r="R250" s="152">
        <f t="shared" si="151"/>
        <v>0.4</v>
      </c>
      <c r="S250" s="152">
        <f t="shared" si="151"/>
        <v>0.4</v>
      </c>
      <c r="T250" s="152">
        <f t="shared" si="152"/>
        <v>0.4</v>
      </c>
      <c r="U250" s="152">
        <f t="shared" si="152"/>
        <v>0.4</v>
      </c>
      <c r="V250" s="152">
        <f t="shared" si="152"/>
        <v>0.4</v>
      </c>
      <c r="W250" s="152">
        <f t="shared" si="152"/>
        <v>0.4</v>
      </c>
      <c r="X250" s="152">
        <f t="shared" si="152"/>
        <v>0.4</v>
      </c>
      <c r="Y250" s="152">
        <f t="shared" si="152"/>
        <v>0.4</v>
      </c>
      <c r="Z250" s="152">
        <f t="shared" si="152"/>
        <v>0.4</v>
      </c>
      <c r="AA250" s="152">
        <f t="shared" si="152"/>
        <v>0.4</v>
      </c>
      <c r="AB250" s="152">
        <f t="shared" si="152"/>
        <v>0.4</v>
      </c>
      <c r="AC250" s="152">
        <f t="shared" si="152"/>
        <v>0.4</v>
      </c>
      <c r="AD250" s="152">
        <f t="shared" si="152"/>
        <v>0.4</v>
      </c>
      <c r="AE250" s="152">
        <f t="shared" si="152"/>
        <v>0.4</v>
      </c>
      <c r="AF250" s="152">
        <f t="shared" si="152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50"/>
        <v>1.5</v>
      </c>
      <c r="C251" s="152">
        <v>1.5</v>
      </c>
      <c r="D251" s="152">
        <f t="shared" si="151"/>
        <v>1.5</v>
      </c>
      <c r="E251" s="152">
        <f t="shared" si="151"/>
        <v>1.5</v>
      </c>
      <c r="F251" s="152">
        <f t="shared" si="151"/>
        <v>1.5</v>
      </c>
      <c r="G251" s="152">
        <f t="shared" si="151"/>
        <v>1.5</v>
      </c>
      <c r="H251" s="152">
        <f t="shared" si="151"/>
        <v>1.5</v>
      </c>
      <c r="I251" s="152">
        <f t="shared" si="151"/>
        <v>1.5</v>
      </c>
      <c r="J251" s="152">
        <f t="shared" si="151"/>
        <v>1.5</v>
      </c>
      <c r="K251" s="152">
        <f t="shared" si="151"/>
        <v>1.5</v>
      </c>
      <c r="L251" s="152">
        <f t="shared" si="151"/>
        <v>1.5</v>
      </c>
      <c r="M251" s="152">
        <f t="shared" si="151"/>
        <v>1.5</v>
      </c>
      <c r="N251" s="152">
        <f t="shared" si="151"/>
        <v>1.5</v>
      </c>
      <c r="O251" s="152">
        <f t="shared" si="151"/>
        <v>1.5</v>
      </c>
      <c r="P251" s="152">
        <f t="shared" si="151"/>
        <v>1.5</v>
      </c>
      <c r="Q251" s="152">
        <f t="shared" si="151"/>
        <v>1.5</v>
      </c>
      <c r="R251" s="152">
        <f t="shared" si="151"/>
        <v>1.5</v>
      </c>
      <c r="S251" s="152">
        <f t="shared" si="151"/>
        <v>1.5</v>
      </c>
      <c r="T251" s="152">
        <f t="shared" si="152"/>
        <v>1.5</v>
      </c>
      <c r="U251" s="152">
        <f t="shared" si="152"/>
        <v>1.5</v>
      </c>
      <c r="V251" s="152">
        <f t="shared" si="152"/>
        <v>1.5</v>
      </c>
      <c r="W251" s="152">
        <f t="shared" si="152"/>
        <v>1.5</v>
      </c>
      <c r="X251" s="152">
        <f t="shared" si="152"/>
        <v>1.5</v>
      </c>
      <c r="Y251" s="152">
        <f t="shared" si="152"/>
        <v>1.5</v>
      </c>
      <c r="Z251" s="152">
        <f t="shared" si="152"/>
        <v>1.5</v>
      </c>
      <c r="AA251" s="152">
        <f t="shared" si="152"/>
        <v>1.5</v>
      </c>
      <c r="AB251" s="152">
        <f t="shared" si="152"/>
        <v>1.5</v>
      </c>
      <c r="AC251" s="152">
        <f t="shared" si="152"/>
        <v>1.5</v>
      </c>
      <c r="AD251" s="152">
        <f t="shared" si="152"/>
        <v>1.5</v>
      </c>
      <c r="AE251" s="152">
        <f t="shared" si="152"/>
        <v>1.5</v>
      </c>
      <c r="AF251" s="152">
        <f t="shared" si="152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50"/>
        <v>0.3</v>
      </c>
      <c r="C252" s="152">
        <v>0.3</v>
      </c>
      <c r="D252" s="152">
        <f t="shared" si="151"/>
        <v>0.3</v>
      </c>
      <c r="E252" s="152">
        <f t="shared" si="151"/>
        <v>0.3</v>
      </c>
      <c r="F252" s="152">
        <f t="shared" si="151"/>
        <v>0.3</v>
      </c>
      <c r="G252" s="152">
        <f t="shared" si="151"/>
        <v>0.3</v>
      </c>
      <c r="H252" s="152">
        <f t="shared" si="151"/>
        <v>0.3</v>
      </c>
      <c r="I252" s="152">
        <f t="shared" si="151"/>
        <v>0.3</v>
      </c>
      <c r="J252" s="152">
        <f t="shared" si="151"/>
        <v>0.3</v>
      </c>
      <c r="K252" s="152">
        <f t="shared" si="151"/>
        <v>0.3</v>
      </c>
      <c r="L252" s="152">
        <f t="shared" si="151"/>
        <v>0.3</v>
      </c>
      <c r="M252" s="152">
        <f t="shared" si="151"/>
        <v>0.3</v>
      </c>
      <c r="N252" s="152">
        <f t="shared" si="151"/>
        <v>0.3</v>
      </c>
      <c r="O252" s="152">
        <f t="shared" si="151"/>
        <v>0.3</v>
      </c>
      <c r="P252" s="152">
        <f t="shared" si="151"/>
        <v>0.3</v>
      </c>
      <c r="Q252" s="152">
        <f t="shared" si="151"/>
        <v>0.3</v>
      </c>
      <c r="R252" s="152">
        <f t="shared" si="151"/>
        <v>0.3</v>
      </c>
      <c r="S252" s="152">
        <f t="shared" si="151"/>
        <v>0.3</v>
      </c>
      <c r="T252" s="152">
        <f t="shared" si="152"/>
        <v>0.3</v>
      </c>
      <c r="U252" s="152">
        <f t="shared" si="152"/>
        <v>0.3</v>
      </c>
      <c r="V252" s="152">
        <f t="shared" si="152"/>
        <v>0.3</v>
      </c>
      <c r="W252" s="152">
        <f t="shared" si="152"/>
        <v>0.3</v>
      </c>
      <c r="X252" s="152">
        <f t="shared" si="152"/>
        <v>0.3</v>
      </c>
      <c r="Y252" s="152">
        <f t="shared" si="152"/>
        <v>0.3</v>
      </c>
      <c r="Z252" s="152">
        <f t="shared" si="152"/>
        <v>0.3</v>
      </c>
      <c r="AA252" s="152">
        <f t="shared" si="152"/>
        <v>0.3</v>
      </c>
      <c r="AB252" s="152">
        <f t="shared" si="152"/>
        <v>0.3</v>
      </c>
      <c r="AC252" s="152">
        <f t="shared" si="152"/>
        <v>0.3</v>
      </c>
      <c r="AD252" s="152">
        <f t="shared" si="152"/>
        <v>0.3</v>
      </c>
      <c r="AE252" s="152">
        <f t="shared" si="152"/>
        <v>0.3</v>
      </c>
      <c r="AF252" s="152">
        <f t="shared" si="152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50"/>
        <v>0.4</v>
      </c>
      <c r="C253" s="152">
        <v>0.4</v>
      </c>
      <c r="D253" s="152">
        <f t="shared" si="151"/>
        <v>0.4</v>
      </c>
      <c r="E253" s="152">
        <f t="shared" si="151"/>
        <v>0.4</v>
      </c>
      <c r="F253" s="152">
        <f t="shared" si="151"/>
        <v>0.4</v>
      </c>
      <c r="G253" s="152">
        <f t="shared" si="151"/>
        <v>0.4</v>
      </c>
      <c r="H253" s="152">
        <f t="shared" si="151"/>
        <v>0.4</v>
      </c>
      <c r="I253" s="152">
        <f t="shared" si="151"/>
        <v>0.4</v>
      </c>
      <c r="J253" s="152">
        <f t="shared" si="151"/>
        <v>0.4</v>
      </c>
      <c r="K253" s="152">
        <f t="shared" si="151"/>
        <v>0.4</v>
      </c>
      <c r="L253" s="152">
        <f t="shared" si="151"/>
        <v>0.4</v>
      </c>
      <c r="M253" s="152">
        <f t="shared" si="151"/>
        <v>0.4</v>
      </c>
      <c r="N253" s="152">
        <f t="shared" si="151"/>
        <v>0.4</v>
      </c>
      <c r="O253" s="152">
        <f t="shared" si="151"/>
        <v>0.4</v>
      </c>
      <c r="P253" s="152">
        <f t="shared" si="151"/>
        <v>0.4</v>
      </c>
      <c r="Q253" s="152">
        <f t="shared" si="151"/>
        <v>0.4</v>
      </c>
      <c r="R253" s="152">
        <f t="shared" si="151"/>
        <v>0.4</v>
      </c>
      <c r="S253" s="152">
        <f t="shared" si="151"/>
        <v>0.4</v>
      </c>
      <c r="T253" s="152">
        <f t="shared" si="152"/>
        <v>0.4</v>
      </c>
      <c r="U253" s="152">
        <f t="shared" si="152"/>
        <v>0.4</v>
      </c>
      <c r="V253" s="152">
        <f t="shared" si="152"/>
        <v>0.4</v>
      </c>
      <c r="W253" s="152">
        <f t="shared" si="152"/>
        <v>0.4</v>
      </c>
      <c r="X253" s="152">
        <f t="shared" si="152"/>
        <v>0.4</v>
      </c>
      <c r="Y253" s="152">
        <f t="shared" si="152"/>
        <v>0.4</v>
      </c>
      <c r="Z253" s="152">
        <f t="shared" si="152"/>
        <v>0.4</v>
      </c>
      <c r="AA253" s="152">
        <f t="shared" si="152"/>
        <v>0.4</v>
      </c>
      <c r="AB253" s="152">
        <f t="shared" si="152"/>
        <v>0.4</v>
      </c>
      <c r="AC253" s="152">
        <f t="shared" si="152"/>
        <v>0.4</v>
      </c>
      <c r="AD253" s="152">
        <f t="shared" si="152"/>
        <v>0.4</v>
      </c>
      <c r="AE253" s="152">
        <f t="shared" si="152"/>
        <v>0.4</v>
      </c>
      <c r="AF253" s="152">
        <f t="shared" si="152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50"/>
        <v>0.64</v>
      </c>
      <c r="C254" s="157">
        <v>0.64</v>
      </c>
      <c r="D254" s="157">
        <f t="shared" si="151"/>
        <v>0.64</v>
      </c>
      <c r="E254" s="157">
        <f t="shared" si="151"/>
        <v>0.64</v>
      </c>
      <c r="F254" s="157">
        <f t="shared" si="151"/>
        <v>0.64</v>
      </c>
      <c r="G254" s="157">
        <f t="shared" si="151"/>
        <v>0.64</v>
      </c>
      <c r="H254" s="157">
        <f t="shared" si="151"/>
        <v>0.64</v>
      </c>
      <c r="I254" s="157">
        <f t="shared" si="151"/>
        <v>0.64</v>
      </c>
      <c r="J254" s="157">
        <f t="shared" si="151"/>
        <v>0.64</v>
      </c>
      <c r="K254" s="157">
        <f t="shared" si="151"/>
        <v>0.64</v>
      </c>
      <c r="L254" s="157">
        <f t="shared" si="151"/>
        <v>0.64</v>
      </c>
      <c r="M254" s="157">
        <f t="shared" si="151"/>
        <v>0.64</v>
      </c>
      <c r="N254" s="157">
        <f t="shared" si="151"/>
        <v>0.64</v>
      </c>
      <c r="O254" s="157">
        <f t="shared" si="151"/>
        <v>0.64</v>
      </c>
      <c r="P254" s="157">
        <f t="shared" si="151"/>
        <v>0.64</v>
      </c>
      <c r="Q254" s="157">
        <f t="shared" si="151"/>
        <v>0.64</v>
      </c>
      <c r="R254" s="157">
        <f t="shared" si="151"/>
        <v>0.64</v>
      </c>
      <c r="S254" s="157">
        <f t="shared" si="151"/>
        <v>0.64</v>
      </c>
      <c r="T254" s="157">
        <f t="shared" si="152"/>
        <v>0.64</v>
      </c>
      <c r="U254" s="157">
        <f t="shared" si="152"/>
        <v>0.64</v>
      </c>
      <c r="V254" s="157">
        <f t="shared" si="152"/>
        <v>0.64</v>
      </c>
      <c r="W254" s="157">
        <f t="shared" si="152"/>
        <v>0.64</v>
      </c>
      <c r="X254" s="157">
        <f t="shared" si="152"/>
        <v>0.64</v>
      </c>
      <c r="Y254" s="157">
        <f t="shared" si="152"/>
        <v>0.64</v>
      </c>
      <c r="Z254" s="157">
        <f t="shared" si="152"/>
        <v>0.64</v>
      </c>
      <c r="AA254" s="157">
        <f t="shared" si="152"/>
        <v>0.64</v>
      </c>
      <c r="AB254" s="157">
        <f t="shared" si="152"/>
        <v>0.64</v>
      </c>
      <c r="AC254" s="157">
        <f t="shared" si="152"/>
        <v>0.64</v>
      </c>
      <c r="AD254" s="157">
        <f t="shared" si="152"/>
        <v>0.64</v>
      </c>
      <c r="AE254" s="157">
        <f t="shared" si="152"/>
        <v>0.64</v>
      </c>
      <c r="AF254" s="157">
        <f t="shared" si="152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53">SUM(B249:B254)</f>
        <v>3.54</v>
      </c>
      <c r="C255" s="161">
        <f t="shared" si="153"/>
        <v>3.54</v>
      </c>
      <c r="D255" s="161">
        <f t="shared" si="153"/>
        <v>3.54</v>
      </c>
      <c r="E255" s="161">
        <f t="shared" si="153"/>
        <v>3.54</v>
      </c>
      <c r="F255" s="161">
        <f t="shared" si="153"/>
        <v>3.54</v>
      </c>
      <c r="G255" s="161">
        <f t="shared" si="153"/>
        <v>3.54</v>
      </c>
      <c r="H255" s="161">
        <f t="shared" si="153"/>
        <v>3.54</v>
      </c>
      <c r="I255" s="161">
        <f t="shared" si="153"/>
        <v>3.54</v>
      </c>
      <c r="J255" s="161">
        <f t="shared" si="153"/>
        <v>3.54</v>
      </c>
      <c r="K255" s="161">
        <f t="shared" si="153"/>
        <v>3.54</v>
      </c>
      <c r="L255" s="161">
        <f t="shared" si="153"/>
        <v>3.54</v>
      </c>
      <c r="M255" s="161">
        <f t="shared" si="153"/>
        <v>3.54</v>
      </c>
      <c r="N255" s="161">
        <f t="shared" si="153"/>
        <v>3.54</v>
      </c>
      <c r="O255" s="161">
        <f t="shared" si="153"/>
        <v>3.54</v>
      </c>
      <c r="P255" s="161">
        <f t="shared" si="153"/>
        <v>3.54</v>
      </c>
      <c r="Q255" s="161">
        <f t="shared" si="153"/>
        <v>3.54</v>
      </c>
      <c r="R255" s="161">
        <f t="shared" si="153"/>
        <v>3.54</v>
      </c>
      <c r="S255" s="161">
        <f t="shared" si="153"/>
        <v>3.54</v>
      </c>
      <c r="T255" s="161">
        <f t="shared" si="153"/>
        <v>3.54</v>
      </c>
      <c r="U255" s="161">
        <f t="shared" si="153"/>
        <v>3.54</v>
      </c>
      <c r="V255" s="161">
        <f t="shared" si="153"/>
        <v>3.54</v>
      </c>
      <c r="W255" s="161">
        <f t="shared" si="153"/>
        <v>3.54</v>
      </c>
      <c r="X255" s="161">
        <f t="shared" si="153"/>
        <v>3.54</v>
      </c>
      <c r="Y255" s="161">
        <f t="shared" si="153"/>
        <v>3.54</v>
      </c>
      <c r="Z255" s="161">
        <f t="shared" si="153"/>
        <v>3.54</v>
      </c>
      <c r="AA255" s="161">
        <f t="shared" si="153"/>
        <v>3.54</v>
      </c>
      <c r="AB255" s="161">
        <f t="shared" si="153"/>
        <v>3.54</v>
      </c>
      <c r="AC255" s="161">
        <f t="shared" si="153"/>
        <v>3.54</v>
      </c>
      <c r="AD255" s="161">
        <f t="shared" si="153"/>
        <v>3.54</v>
      </c>
      <c r="AE255" s="161">
        <f t="shared" si="153"/>
        <v>3.54</v>
      </c>
      <c r="AF255" s="161">
        <f t="shared" si="153"/>
        <v>3.54</v>
      </c>
      <c r="AG255" s="171">
        <f t="shared" si="153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2099.14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2080/10/29)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N90:AN91"/>
    <mergeCell ref="AB9:AB10"/>
    <mergeCell ref="AC9:AC10"/>
    <mergeCell ref="AD9:AD10"/>
    <mergeCell ref="AE9:AE10"/>
    <mergeCell ref="AF9:AF10"/>
    <mergeCell ref="AG9:AG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766" priority="84">
      <formula>$AH11=0</formula>
    </cfRule>
  </conditionalFormatting>
  <conditionalFormatting sqref="A89">
    <cfRule type="expression" dxfId="765" priority="142">
      <formula>$AH94=0</formula>
    </cfRule>
  </conditionalFormatting>
  <conditionalFormatting sqref="A90:A94">
    <cfRule type="expression" dxfId="764" priority="85">
      <formula>$AH89=0</formula>
    </cfRule>
  </conditionalFormatting>
  <conditionalFormatting sqref="B8">
    <cfRule type="expression" dxfId="763" priority="138">
      <formula>AND(C$9&gt;=14/24,C$9&lt;20/24)</formula>
    </cfRule>
    <cfRule type="expression" dxfId="762" priority="139">
      <formula>AND(C$9&gt;=8/24,C$9&lt;14/24)</formula>
    </cfRule>
    <cfRule type="expression" dxfId="761" priority="140">
      <formula>C$9&lt;8/24</formula>
    </cfRule>
    <cfRule type="expression" dxfId="760" priority="141">
      <formula>C$9&gt;=20/24</formula>
    </cfRule>
  </conditionalFormatting>
  <conditionalFormatting sqref="B141">
    <cfRule type="expression" dxfId="759" priority="1">
      <formula>B$9&gt;=20/24</formula>
    </cfRule>
    <cfRule type="expression" dxfId="758" priority="2">
      <formula>AND(B$9&gt;=14/24,B$9&lt;20/24)</formula>
    </cfRule>
    <cfRule type="expression" dxfId="757" priority="3">
      <formula>AND(B$9&gt;=8/24,B$9&lt;14/24)</formula>
    </cfRule>
    <cfRule type="expression" dxfId="756" priority="4">
      <formula>B$9&lt;8/24</formula>
    </cfRule>
  </conditionalFormatting>
  <conditionalFormatting sqref="B11:O57 P15:AF57 B62:D77 E71:E77 E72:AF77 B80:AF102 B9:AF10 B104:AF120 B122:AF140 B247:AF247 B249:B255">
    <cfRule type="expression" dxfId="755" priority="45">
      <formula>B$9&gt;=20/24</formula>
    </cfRule>
  </conditionalFormatting>
  <conditionalFormatting sqref="B9:AF10 B11:O57 P15:AF57 B62:D77 E71:E77 E72:AF77 B80:AF102 B104:AF120 B122:AF140 B247:AF247 B249:B255">
    <cfRule type="expression" dxfId="754" priority="46">
      <formula>AND(B$9&gt;=14/24,B$9&lt;20/24)</formula>
    </cfRule>
    <cfRule type="expression" dxfId="753" priority="47">
      <formula>AND(B$9&gt;=8/24,B$9&lt;14/24)</formula>
    </cfRule>
    <cfRule type="expression" dxfId="752" priority="48">
      <formula>B$9&lt;8/24</formula>
    </cfRule>
  </conditionalFormatting>
  <conditionalFormatting sqref="B58:AF60">
    <cfRule type="expression" dxfId="751" priority="41">
      <formula>B$9&gt;=20/24</formula>
    </cfRule>
    <cfRule type="expression" dxfId="750" priority="42">
      <formula>AND(B$9&gt;=14/24,B$9&lt;20/24)</formula>
    </cfRule>
    <cfRule type="expression" dxfId="749" priority="43">
      <formula>AND(B$9&gt;=8/24,B$9&lt;14/24)</formula>
    </cfRule>
    <cfRule type="expression" dxfId="748" priority="53">
      <formula>B$9&lt;8/24</formula>
    </cfRule>
  </conditionalFormatting>
  <conditionalFormatting sqref="D249:AF255">
    <cfRule type="expression" dxfId="747" priority="123">
      <formula>D$9&gt;=20/24</formula>
    </cfRule>
    <cfRule type="expression" dxfId="746" priority="124">
      <formula>AND(D$9&gt;=14/24,D$9&lt;20/24)</formula>
    </cfRule>
    <cfRule type="expression" dxfId="745" priority="125">
      <formula>AND(D$9&gt;=8/24,D$9&lt;14/24)</formula>
    </cfRule>
    <cfRule type="expression" dxfId="744" priority="126">
      <formula>D$9&lt;8/24</formula>
    </cfRule>
  </conditionalFormatting>
  <conditionalFormatting sqref="E66:I70 J67:J70 K70">
    <cfRule type="expression" dxfId="743" priority="54">
      <formula>E$9&gt;=20/24</formula>
    </cfRule>
    <cfRule type="expression" dxfId="742" priority="55">
      <formula>AND(E$9&gt;=14/24,E$9&lt;20/24)</formula>
    </cfRule>
    <cfRule type="expression" dxfId="741" priority="56">
      <formula>AND(E$9&gt;=8/24,E$9&lt;14/24)</formula>
    </cfRule>
    <cfRule type="expression" dxfId="740" priority="57">
      <formula>E$9&lt;8/24</formula>
    </cfRule>
  </conditionalFormatting>
  <conditionalFormatting sqref="E11:O60 B11:D83 P15:R60 S15:AF83 AG61 E61:R83 AG65 AG83">
    <cfRule type="expression" dxfId="739" priority="44">
      <formula>B11&gt;$AG11</formula>
    </cfRule>
  </conditionalFormatting>
  <conditionalFormatting sqref="E62:AF65">
    <cfRule type="expression" dxfId="738" priority="64">
      <formula>E$9&gt;=20/24</formula>
    </cfRule>
    <cfRule type="expression" dxfId="737" priority="65">
      <formula>AND(E$9&gt;=14/24,E$9&lt;20/24)</formula>
    </cfRule>
    <cfRule type="expression" dxfId="736" priority="66">
      <formula>AND(E$9&gt;=8/24,E$9&lt;14/24)</formula>
    </cfRule>
    <cfRule type="expression" dxfId="735" priority="67">
      <formula>E$9&lt;8/24</formula>
    </cfRule>
  </conditionalFormatting>
  <conditionalFormatting sqref="E71:AF71">
    <cfRule type="expression" dxfId="734" priority="49">
      <formula>E$9&gt;=20/24</formula>
    </cfRule>
    <cfRule type="expression" dxfId="733" priority="50">
      <formula>AND(E$9&gt;=14/24,E$9&lt;20/24)</formula>
    </cfRule>
    <cfRule type="expression" dxfId="732" priority="51">
      <formula>AND(E$9&gt;=8/24,E$9&lt;14/24)</formula>
    </cfRule>
    <cfRule type="expression" dxfId="731" priority="52">
      <formula>E$9&lt;8/24</formula>
    </cfRule>
  </conditionalFormatting>
  <conditionalFormatting sqref="F66:M68">
    <cfRule type="expression" dxfId="730" priority="76">
      <formula>F$9&gt;=20/24</formula>
    </cfRule>
    <cfRule type="expression" dxfId="729" priority="77">
      <formula>AND(F$9&gt;=14/24,F$9&lt;20/24)</formula>
    </cfRule>
    <cfRule type="expression" dxfId="728" priority="78">
      <formula>AND(F$9&gt;=8/24,F$9&lt;14/24)</formula>
    </cfRule>
    <cfRule type="expression" dxfId="727" priority="79">
      <formula>F$9&lt;8/24</formula>
    </cfRule>
  </conditionalFormatting>
  <conditionalFormatting sqref="L71:AF71">
    <cfRule type="expression" dxfId="726" priority="72">
      <formula>L$9&gt;=20/24</formula>
    </cfRule>
    <cfRule type="expression" dxfId="725" priority="73">
      <formula>AND(L$9&gt;=14/24,L$9&lt;20/24)</formula>
    </cfRule>
    <cfRule type="expression" dxfId="724" priority="74">
      <formula>AND(L$9&gt;=8/24,L$9&lt;14/24)</formula>
    </cfRule>
    <cfRule type="expression" dxfId="723" priority="75">
      <formula>L$9&lt;8/24</formula>
    </cfRule>
  </conditionalFormatting>
  <conditionalFormatting sqref="M8 S8 AB8">
    <cfRule type="expression" dxfId="722" priority="130">
      <formula>AND(N$9&gt;=14/24,N$9&lt;20/24)</formula>
    </cfRule>
    <cfRule type="expression" dxfId="721" priority="131">
      <formula>AND(N$9&gt;=8/24,N$9&lt;14/24)</formula>
    </cfRule>
    <cfRule type="expression" dxfId="720" priority="132">
      <formula>N$9&lt;8/24</formula>
    </cfRule>
  </conditionalFormatting>
  <conditionalFormatting sqref="M66:AF70">
    <cfRule type="expression" dxfId="719" priority="80">
      <formula>M$9&gt;=20/24</formula>
    </cfRule>
    <cfRule type="expression" dxfId="718" priority="81">
      <formula>AND(M$9&gt;=14/24,M$9&lt;20/24)</formula>
    </cfRule>
    <cfRule type="expression" dxfId="717" priority="82">
      <formula>AND(M$9&gt;=8/24,M$9&lt;14/24)</formula>
    </cfRule>
    <cfRule type="expression" dxfId="716" priority="83">
      <formula>M$9&lt;8/24</formula>
    </cfRule>
  </conditionalFormatting>
  <conditionalFormatting sqref="O3:P3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P11:AF14">
    <cfRule type="expression" dxfId="715" priority="58">
      <formula>P11&gt;$AG11</formula>
    </cfRule>
    <cfRule type="expression" dxfId="714" priority="59">
      <formula>P$9&gt;=20/24</formula>
    </cfRule>
    <cfRule type="expression" dxfId="713" priority="60">
      <formula>AND(P$9&gt;=14/24,P$9&lt;20/24)</formula>
    </cfRule>
    <cfRule type="expression" dxfId="712" priority="61">
      <formula>AND(P$9&gt;=8/24,P$9&lt;14/24)</formula>
    </cfRule>
    <cfRule type="expression" dxfId="711" priority="62">
      <formula>P$9&lt;8/24</formula>
    </cfRule>
  </conditionalFormatting>
  <conditionalFormatting sqref="S8 AB8 M8">
    <cfRule type="expression" dxfId="710" priority="129">
      <formula>N$9&gt;=20/24</formula>
    </cfRule>
  </conditionalFormatting>
  <conditionalFormatting sqref="S8">
    <cfRule type="expression" dxfId="709" priority="116">
      <formula>U$9&gt;=20/24</formula>
    </cfRule>
    <cfRule type="expression" dxfId="708" priority="117">
      <formula>AND(U$9&gt;=14/24,U$9&lt;20/24)</formula>
    </cfRule>
    <cfRule type="expression" dxfId="707" priority="118">
      <formula>AND(U$9&gt;=8/24,U$9&lt;14/24)</formula>
    </cfRule>
    <cfRule type="expression" dxfId="706" priority="119">
      <formula>U$9&lt;8/24</formula>
    </cfRule>
  </conditionalFormatting>
  <conditionalFormatting sqref="V3 AB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705" priority="112">
      <formula>AD$9&gt;=20/24</formula>
    </cfRule>
    <cfRule type="expression" dxfId="704" priority="113">
      <formula>AND(AD$9&gt;=14/24,AD$9&lt;20/24)</formula>
    </cfRule>
    <cfRule type="expression" dxfId="703" priority="114">
      <formula>AND(AD$9&gt;=8/24,AD$9&lt;14/24)</formula>
    </cfRule>
    <cfRule type="expression" dxfId="702" priority="115">
      <formula>AD$9&lt;8/24</formula>
    </cfRule>
  </conditionalFormatting>
  <conditionalFormatting sqref="AG65">
    <cfRule type="expression" dxfId="701" priority="91">
      <formula>AG$9&gt;=20/24</formula>
    </cfRule>
    <cfRule type="expression" dxfId="700" priority="92">
      <formula>AND(AG$9&gt;=14/24,AG$9&lt;20/24)</formula>
    </cfRule>
    <cfRule type="expression" dxfId="699" priority="93">
      <formula>AND(AG$9&gt;=8/24,AG$9&lt;14/24)</formula>
    </cfRule>
    <cfRule type="expression" dxfId="698" priority="94">
      <formula>AG$9&lt;8/24</formula>
    </cfRule>
  </conditionalFormatting>
  <conditionalFormatting sqref="AG78:AG79">
    <cfRule type="expression" dxfId="697" priority="86">
      <formula>AG78&gt;$AG78</formula>
    </cfRule>
  </conditionalFormatting>
  <conditionalFormatting sqref="AG83">
    <cfRule type="expression" dxfId="696" priority="87">
      <formula>AG$9&gt;=20/24</formula>
    </cfRule>
    <cfRule type="expression" dxfId="695" priority="88">
      <formula>AND(AG$9&gt;=14/24,AG$9&lt;20/24)</formula>
    </cfRule>
    <cfRule type="expression" dxfId="694" priority="89">
      <formula>AND(AG$9&gt;=8/24,AG$9&lt;14/24)</formula>
    </cfRule>
    <cfRule type="expression" dxfId="693" priority="90">
      <formula>AG$9&lt;8/24</formula>
    </cfRule>
  </conditionalFormatting>
  <conditionalFormatting sqref="AG100">
    <cfRule type="expression" dxfId="692" priority="108">
      <formula>AG$9&gt;=20/24</formula>
    </cfRule>
    <cfRule type="expression" dxfId="691" priority="109">
      <formula>AND(AG$9&gt;=14/24,AG$9&lt;20/24)</formula>
    </cfRule>
    <cfRule type="expression" dxfId="690" priority="110">
      <formula>AND(AG$9&gt;=8/24,AG$9&lt;14/24)</formula>
    </cfRule>
    <cfRule type="expression" dxfId="689" priority="111">
      <formula>AG$9&lt;8/24</formula>
    </cfRule>
  </conditionalFormatting>
  <conditionalFormatting sqref="AL4:AL6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688" priority="133">
      <formula>AJ$9&gt;=20/24</formula>
    </cfRule>
    <cfRule type="expression" dxfId="687" priority="134">
      <formula>AND(AJ$9&gt;=14/24,AJ$9&lt;20/24)</formula>
    </cfRule>
    <cfRule type="expression" dxfId="686" priority="135">
      <formula>AND(AJ$9&gt;=8/24,AJ$9&lt;14/24)</formula>
    </cfRule>
    <cfRule type="expression" dxfId="685" priority="136">
      <formula>AJ$9&lt;8/24</formula>
    </cfRule>
  </conditionalFormatting>
  <conditionalFormatting sqref="AL86:AN86 AL92:AN92">
    <cfRule type="expression" dxfId="684" priority="101">
      <formula>AL$9&gt;=20/24</formula>
    </cfRule>
    <cfRule type="expression" dxfId="683" priority="102">
      <formula>AND(AL$9&gt;=14/24,AL$9&lt;20/24)</formula>
    </cfRule>
    <cfRule type="expression" dxfId="682" priority="103">
      <formula>AND(AL$9&gt;=8/24,AL$9&lt;14/24)</formula>
    </cfRule>
    <cfRule type="expression" dxfId="681" priority="104">
      <formula>AL$9&lt;8/24</formula>
    </cfRule>
  </conditionalFormatting>
  <conditionalFormatting sqref="AM15:AM21 AN16:AR21">
    <cfRule type="expression" dxfId="680" priority="17">
      <formula>AX$9&gt;=20/24</formula>
    </cfRule>
    <cfRule type="expression" dxfId="679" priority="18">
      <formula>AND(AX$9&gt;=14/24,AX$9&lt;20/24)</formula>
    </cfRule>
    <cfRule type="expression" dxfId="678" priority="19">
      <formula>AND(AX$9&gt;=8/24,AX$9&lt;14/24)</formula>
    </cfRule>
    <cfRule type="expression" dxfId="677" priority="20">
      <formula>AX$9&lt;8/24</formula>
    </cfRule>
  </conditionalFormatting>
  <conditionalFormatting sqref="AN87:AN90">
    <cfRule type="expression" dxfId="676" priority="97">
      <formula>AN$9&gt;=20/24</formula>
    </cfRule>
    <cfRule type="expression" dxfId="675" priority="98">
      <formula>AND(AN$9&gt;=14/24,AN$9&lt;20/24)</formula>
    </cfRule>
    <cfRule type="expression" dxfId="674" priority="99">
      <formula>AND(AN$9&gt;=8/24,AN$9&lt;14/24)</formula>
    </cfRule>
    <cfRule type="expression" dxfId="673" priority="100">
      <formula>AN$9&lt;8/24</formula>
    </cfRule>
  </conditionalFormatting>
  <conditionalFormatting sqref="AN15:AR15">
    <cfRule type="expression" dxfId="672" priority="5">
      <formula>U$9&gt;=20/24</formula>
    </cfRule>
    <cfRule type="expression" dxfId="671" priority="6">
      <formula>AND(U$9&gt;=14/24,U$9&lt;20/24)</formula>
    </cfRule>
    <cfRule type="expression" dxfId="670" priority="7">
      <formula>AND(U$9&gt;=8/24,U$9&lt;14/24)</formula>
    </cfRule>
    <cfRule type="expression" dxfId="669" priority="8">
      <formula>U$9&lt;8/24</formula>
    </cfRule>
  </conditionalFormatting>
  <conditionalFormatting sqref="AS15">
    <cfRule type="expression" dxfId="668" priority="13">
      <formula>AA$9&gt;=20/24</formula>
    </cfRule>
    <cfRule type="expression" dxfId="667" priority="14">
      <formula>AND(AA$9&gt;=14/24,AA$9&lt;20/24)</formula>
    </cfRule>
    <cfRule type="expression" dxfId="666" priority="15">
      <formula>AND(AA$9&gt;=8/24,AA$9&lt;14/24)</formula>
    </cfRule>
    <cfRule type="expression" dxfId="665" priority="16">
      <formula>AA$9&lt;8/24</formula>
    </cfRule>
  </conditionalFormatting>
  <conditionalFormatting sqref="AS16:AS21">
    <cfRule type="expression" dxfId="664" priority="21">
      <formula>BE$9&gt;=20/24</formula>
    </cfRule>
    <cfRule type="expression" dxfId="663" priority="22">
      <formula>AND(BE$9&gt;=14/24,BE$9&lt;20/24)</formula>
    </cfRule>
    <cfRule type="expression" dxfId="662" priority="23">
      <formula>AND(BE$9&gt;=8/24,BE$9&lt;14/24)</formula>
    </cfRule>
    <cfRule type="expression" dxfId="661" priority="24">
      <formula>BE$9&lt;8/24</formula>
    </cfRule>
  </conditionalFormatting>
  <conditionalFormatting sqref="AT15 AX15:BJ15">
    <cfRule type="expression" dxfId="660" priority="25">
      <formula>AC$9&gt;=20/24</formula>
    </cfRule>
    <cfRule type="expression" dxfId="659" priority="26">
      <formula>AND(AC$9&gt;=14/24,AC$9&lt;20/24)</formula>
    </cfRule>
    <cfRule type="expression" dxfId="658" priority="27">
      <formula>AND(AC$9&gt;=8/24,AC$9&lt;14/24)</formula>
    </cfRule>
    <cfRule type="expression" dxfId="657" priority="28">
      <formula>AC$9&lt;8/24</formula>
    </cfRule>
  </conditionalFormatting>
  <conditionalFormatting sqref="AT16:AT21">
    <cfRule type="expression" dxfId="656" priority="29">
      <formula>BG$9&gt;=20/24</formula>
    </cfRule>
    <cfRule type="expression" dxfId="655" priority="30">
      <formula>AND(BG$9&gt;=14/24,BG$9&lt;20/24)</formula>
    </cfRule>
    <cfRule type="expression" dxfId="654" priority="31">
      <formula>AND(BG$9&gt;=8/24,BG$9&lt;14/24)</formula>
    </cfRule>
    <cfRule type="expression" dxfId="653" priority="32">
      <formula>BG$9&lt;8/24</formula>
    </cfRule>
  </conditionalFormatting>
  <conditionalFormatting sqref="AU15:AV15">
    <cfRule type="expression" dxfId="652" priority="33">
      <formula>AE$9&gt;=20/24</formula>
    </cfRule>
    <cfRule type="expression" dxfId="651" priority="34">
      <formula>AND(AE$9&gt;=14/24,AE$9&lt;20/24)</formula>
    </cfRule>
    <cfRule type="expression" dxfId="650" priority="35">
      <formula>AND(AE$9&gt;=8/24,AE$9&lt;14/24)</formula>
    </cfRule>
    <cfRule type="expression" dxfId="649" priority="36">
      <formula>AE$9&lt;8/24</formula>
    </cfRule>
  </conditionalFormatting>
  <conditionalFormatting sqref="AU16:BJ21">
    <cfRule type="expression" dxfId="648" priority="37">
      <formula>BI$9&gt;=20/24</formula>
    </cfRule>
    <cfRule type="expression" dxfId="647" priority="38">
      <formula>AND(BI$9&gt;=14/24,BI$9&lt;20/24)</formula>
    </cfRule>
    <cfRule type="expression" dxfId="646" priority="39">
      <formula>AND(BI$9&gt;=8/24,BI$9&lt;14/24)</formula>
    </cfRule>
    <cfRule type="expression" dxfId="645" priority="40">
      <formula>BI$9&lt;8/24</formula>
    </cfRule>
  </conditionalFormatting>
  <conditionalFormatting sqref="AW15">
    <cfRule type="expression" dxfId="644" priority="9">
      <formula>B$9&gt;=20/24</formula>
    </cfRule>
    <cfRule type="expression" dxfId="643" priority="10">
      <formula>AND(B$9&gt;=14/24,B$9&lt;20/24)</formula>
    </cfRule>
    <cfRule type="expression" dxfId="642" priority="11">
      <formula>AND(B$9&gt;=8/24,B$9&lt;14/24)</formula>
    </cfRule>
    <cfRule type="expression" dxfId="641" priority="12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735B-D469-42A6-B5C5-9CA2C4910A22}">
  <dimension ref="A1:CJ297"/>
  <sheetViews>
    <sheetView zoomScale="106" workbookViewId="0">
      <pane xSplit="1" ySplit="10" topLeftCell="B43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F29" sqref="AF2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27" width="7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2080/10/30</v>
      </c>
      <c r="C4" s="189"/>
      <c r="D4" s="189"/>
      <c r="E4" s="190" t="str">
        <f ca="1">"2080/"&amp;"10/"&amp;INT(MID(CELL("filename",G6),FIND("]",CELL("filename",G6))+1,200))</f>
        <v>2080/10/30</v>
      </c>
      <c r="F4" s="190"/>
      <c r="G4" s="190"/>
      <c r="H4" s="190" t="str">
        <f ca="1">TEXT(E4,"dddd")</f>
        <v>Wednesday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2175MW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Load=304</v>
      </c>
      <c r="B7" s="35">
        <f t="shared" ref="B7:AF7" si="1">B103</f>
        <v>1437.4399999999996</v>
      </c>
      <c r="C7" s="35">
        <f t="shared" si="1"/>
        <v>1386.04</v>
      </c>
      <c r="D7" s="35">
        <f t="shared" si="1"/>
        <v>1361.8399999999997</v>
      </c>
      <c r="E7" s="35">
        <f t="shared" si="1"/>
        <v>1318.3399999999997</v>
      </c>
      <c r="F7" s="35">
        <f t="shared" si="1"/>
        <v>1289.54</v>
      </c>
      <c r="G7" s="35">
        <f t="shared" si="1"/>
        <v>1306.54</v>
      </c>
      <c r="H7" s="35">
        <f t="shared" si="1"/>
        <v>1244.3399999999999</v>
      </c>
      <c r="I7" s="35">
        <f t="shared" si="1"/>
        <v>1292.9399999999998</v>
      </c>
      <c r="J7" s="35">
        <f t="shared" si="1"/>
        <v>1338.5399999999997</v>
      </c>
      <c r="K7" s="35">
        <f t="shared" si="1"/>
        <v>1422.8399999999997</v>
      </c>
      <c r="L7" s="35">
        <f t="shared" si="1"/>
        <v>1417.9399999999996</v>
      </c>
      <c r="M7" s="35">
        <f t="shared" si="1"/>
        <v>1466.2399999999998</v>
      </c>
      <c r="N7" s="35">
        <f t="shared" si="1"/>
        <v>1448.6399999999999</v>
      </c>
      <c r="O7" s="35">
        <f t="shared" si="1"/>
        <v>1564.7400000000002</v>
      </c>
      <c r="P7" s="35">
        <f t="shared" si="1"/>
        <v>1654.3400000000001</v>
      </c>
      <c r="Q7" s="35">
        <f t="shared" si="1"/>
        <v>1645.3400000000001</v>
      </c>
      <c r="R7" s="35">
        <f t="shared" si="1"/>
        <v>1646.7400000000002</v>
      </c>
      <c r="S7" s="35">
        <f t="shared" si="1"/>
        <v>1647.5400000000004</v>
      </c>
      <c r="T7" s="35">
        <f t="shared" si="1"/>
        <v>1738.94</v>
      </c>
      <c r="U7" s="35">
        <f t="shared" si="1"/>
        <v>1657.2400000000002</v>
      </c>
      <c r="V7" s="35">
        <f t="shared" si="1"/>
        <v>1504.14</v>
      </c>
      <c r="W7" s="35">
        <f t="shared" si="1"/>
        <v>1502.2400000000002</v>
      </c>
      <c r="X7" s="35">
        <f t="shared" si="1"/>
        <v>1525.0400000000004</v>
      </c>
      <c r="Y7" s="35">
        <f t="shared" si="1"/>
        <v>1523.04</v>
      </c>
      <c r="Z7" s="35">
        <f t="shared" si="1"/>
        <v>1544.9099999999999</v>
      </c>
      <c r="AA7" s="35">
        <f t="shared" si="1"/>
        <v>1720.3399999999997</v>
      </c>
      <c r="AB7" s="35">
        <f t="shared" si="1"/>
        <v>1743.8400000000001</v>
      </c>
      <c r="AC7" s="35">
        <f t="shared" si="1"/>
        <v>1743.94</v>
      </c>
      <c r="AD7" s="35">
        <f t="shared" si="1"/>
        <v>303.54000000000002</v>
      </c>
      <c r="AE7" s="35">
        <f t="shared" si="1"/>
        <v>1704.94</v>
      </c>
      <c r="AF7" s="35">
        <f t="shared" si="1"/>
        <v>1704.94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2455.94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1743.84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70</v>
      </c>
      <c r="C11" s="46">
        <v>70</v>
      </c>
      <c r="D11" s="46">
        <v>70</v>
      </c>
      <c r="E11" s="46">
        <v>70</v>
      </c>
      <c r="F11" s="46">
        <v>71.599999999999994</v>
      </c>
      <c r="G11" s="46">
        <v>71.599999999999994</v>
      </c>
      <c r="H11" s="46">
        <v>71.599999999999994</v>
      </c>
      <c r="I11" s="46">
        <v>71.599999999999994</v>
      </c>
      <c r="J11" s="46">
        <v>71.599999999999994</v>
      </c>
      <c r="K11" s="46">
        <v>71.599999999999994</v>
      </c>
      <c r="L11" s="46">
        <v>71.599999999999994</v>
      </c>
      <c r="M11" s="46">
        <v>71.599999999999994</v>
      </c>
      <c r="N11" s="46">
        <v>82.5</v>
      </c>
      <c r="O11" s="46">
        <v>90</v>
      </c>
      <c r="P11" s="46">
        <v>90</v>
      </c>
      <c r="Q11" s="46">
        <v>90</v>
      </c>
      <c r="R11" s="46">
        <v>90</v>
      </c>
      <c r="S11" s="46">
        <v>87.1</v>
      </c>
      <c r="T11" s="46">
        <v>87.1</v>
      </c>
      <c r="U11" s="46">
        <v>90.2</v>
      </c>
      <c r="V11" s="46">
        <v>87</v>
      </c>
      <c r="W11" s="46">
        <v>87</v>
      </c>
      <c r="X11" s="46">
        <v>87</v>
      </c>
      <c r="Y11" s="46">
        <v>87</v>
      </c>
      <c r="Z11" s="46">
        <v>87</v>
      </c>
      <c r="AA11" s="46">
        <v>87</v>
      </c>
      <c r="AB11" s="46">
        <v>87</v>
      </c>
      <c r="AC11" s="46">
        <v>87</v>
      </c>
      <c r="AD11" s="46"/>
      <c r="AE11" s="46">
        <v>87</v>
      </c>
      <c r="AF11" s="46">
        <v>87</v>
      </c>
      <c r="AG11" s="47">
        <v>86</v>
      </c>
      <c r="AH11" s="48">
        <f t="shared" ref="AH11:AH74" si="2">MAX(B11:AF11)</f>
        <v>90.2</v>
      </c>
      <c r="AI11" s="49">
        <f t="shared" ref="AI11:AI74" si="3">MIN(B11:AF11)</f>
        <v>70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50</v>
      </c>
      <c r="C12" s="46">
        <v>50</v>
      </c>
      <c r="D12" s="46">
        <v>50</v>
      </c>
      <c r="E12" s="46">
        <v>50</v>
      </c>
      <c r="F12" s="46">
        <v>51</v>
      </c>
      <c r="G12" s="46">
        <v>51</v>
      </c>
      <c r="H12" s="46">
        <v>41</v>
      </c>
      <c r="I12" s="46">
        <v>41</v>
      </c>
      <c r="J12" s="46">
        <v>41</v>
      </c>
      <c r="K12" s="46">
        <v>56</v>
      </c>
      <c r="L12" s="46">
        <v>56</v>
      </c>
      <c r="M12" s="46">
        <v>56</v>
      </c>
      <c r="N12" s="46">
        <v>56</v>
      </c>
      <c r="O12" s="46">
        <v>75.900000000000006</v>
      </c>
      <c r="P12" s="46">
        <v>75.900000000000006</v>
      </c>
      <c r="Q12" s="46">
        <v>75.900000000000006</v>
      </c>
      <c r="R12" s="46">
        <v>75.900000000000006</v>
      </c>
      <c r="S12" s="46">
        <v>83.6</v>
      </c>
      <c r="T12" s="46">
        <v>83.6</v>
      </c>
      <c r="U12" s="46">
        <v>83.6</v>
      </c>
      <c r="V12" s="46">
        <v>61.7</v>
      </c>
      <c r="W12" s="46">
        <v>61.7</v>
      </c>
      <c r="X12" s="46">
        <v>61.7</v>
      </c>
      <c r="Y12" s="46">
        <v>61.7</v>
      </c>
      <c r="Z12" s="46">
        <v>61.7</v>
      </c>
      <c r="AA12" s="46">
        <v>80.2</v>
      </c>
      <c r="AB12" s="46">
        <v>83</v>
      </c>
      <c r="AC12" s="46">
        <v>83</v>
      </c>
      <c r="AD12" s="46"/>
      <c r="AE12" s="46">
        <v>83</v>
      </c>
      <c r="AF12" s="46">
        <v>83</v>
      </c>
      <c r="AG12" s="50">
        <v>77</v>
      </c>
      <c r="AH12" s="48">
        <f t="shared" si="2"/>
        <v>83.6</v>
      </c>
      <c r="AI12" s="49">
        <f t="shared" si="3"/>
        <v>41</v>
      </c>
      <c r="AK12" s="51"/>
      <c r="AL12" s="52" t="str">
        <f ca="1">MID(CELL("filename",C7),FIND("]",CELL("filename",C7))+1,600)</f>
        <v>30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30</v>
      </c>
      <c r="C13" s="46">
        <v>30</v>
      </c>
      <c r="D13" s="46">
        <v>30</v>
      </c>
      <c r="E13" s="46">
        <v>18</v>
      </c>
      <c r="F13" s="46">
        <v>18</v>
      </c>
      <c r="G13" s="46">
        <v>18</v>
      </c>
      <c r="H13" s="46">
        <v>18</v>
      </c>
      <c r="I13" s="46">
        <v>18</v>
      </c>
      <c r="J13" s="46">
        <v>18</v>
      </c>
      <c r="K13" s="46">
        <v>18</v>
      </c>
      <c r="L13" s="46">
        <v>18</v>
      </c>
      <c r="M13" s="46">
        <v>18</v>
      </c>
      <c r="N13" s="46">
        <v>18</v>
      </c>
      <c r="O13" s="46">
        <v>70</v>
      </c>
      <c r="P13" s="46">
        <v>70</v>
      </c>
      <c r="Q13" s="46">
        <v>70</v>
      </c>
      <c r="R13" s="46">
        <v>70</v>
      </c>
      <c r="S13" s="46">
        <v>73</v>
      </c>
      <c r="T13" s="46">
        <v>73</v>
      </c>
      <c r="U13" s="46">
        <v>73</v>
      </c>
      <c r="V13" s="46">
        <v>50</v>
      </c>
      <c r="W13" s="46">
        <v>50</v>
      </c>
      <c r="X13" s="46">
        <v>30</v>
      </c>
      <c r="Y13" s="46">
        <v>30</v>
      </c>
      <c r="Z13" s="46">
        <v>30</v>
      </c>
      <c r="AA13" s="46">
        <v>71</v>
      </c>
      <c r="AB13" s="46">
        <v>71</v>
      </c>
      <c r="AC13" s="46">
        <v>71</v>
      </c>
      <c r="AD13" s="46"/>
      <c r="AE13" s="46">
        <v>71</v>
      </c>
      <c r="AF13" s="46">
        <v>71</v>
      </c>
      <c r="AG13" s="50">
        <v>73</v>
      </c>
      <c r="AH13" s="48">
        <f t="shared" si="2"/>
        <v>73</v>
      </c>
      <c r="AI13" s="49">
        <f t="shared" si="3"/>
        <v>18</v>
      </c>
      <c r="AK13" s="51"/>
      <c r="AL13" s="52" t="str">
        <f ca="1">"Daily Load Curve(Excluding of Export) of Nepal ("&amp;A4&amp;" "&amp;B4&amp;")"</f>
        <v>Daily Load Curve(Excluding of Export) of Nepal (Nepali Date: 2080/10/30)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30</v>
      </c>
      <c r="C14" s="46">
        <v>30</v>
      </c>
      <c r="D14" s="46">
        <v>30</v>
      </c>
      <c r="E14" s="46">
        <v>26</v>
      </c>
      <c r="F14" s="46">
        <v>26</v>
      </c>
      <c r="G14" s="46">
        <v>26</v>
      </c>
      <c r="H14" s="46">
        <v>26</v>
      </c>
      <c r="I14" s="46">
        <v>26</v>
      </c>
      <c r="J14" s="46">
        <v>26</v>
      </c>
      <c r="K14" s="46">
        <v>28</v>
      </c>
      <c r="L14" s="46">
        <v>28</v>
      </c>
      <c r="M14" s="46">
        <v>28</v>
      </c>
      <c r="N14" s="46">
        <v>28</v>
      </c>
      <c r="O14" s="46">
        <v>27.8</v>
      </c>
      <c r="P14" s="46">
        <v>27.8</v>
      </c>
      <c r="Q14" s="46">
        <v>27.8</v>
      </c>
      <c r="R14" s="46">
        <v>27.8</v>
      </c>
      <c r="S14" s="46">
        <v>27.6</v>
      </c>
      <c r="T14" s="46">
        <v>27.6</v>
      </c>
      <c r="U14" s="46">
        <v>27.6</v>
      </c>
      <c r="V14" s="46">
        <v>29.6</v>
      </c>
      <c r="W14" s="46">
        <v>29.6</v>
      </c>
      <c r="X14" s="46">
        <v>29.6</v>
      </c>
      <c r="Y14" s="46">
        <v>29.6</v>
      </c>
      <c r="Z14" s="46">
        <v>29.6</v>
      </c>
      <c r="AA14" s="46">
        <v>33.1</v>
      </c>
      <c r="AB14" s="46">
        <v>33.1</v>
      </c>
      <c r="AC14" s="46">
        <v>33.1</v>
      </c>
      <c r="AD14" s="46"/>
      <c r="AE14" s="46">
        <v>33.1</v>
      </c>
      <c r="AF14" s="46">
        <v>33.1</v>
      </c>
      <c r="AG14" s="50">
        <v>71</v>
      </c>
      <c r="AH14" s="48">
        <f t="shared" si="2"/>
        <v>33.1</v>
      </c>
      <c r="AI14" s="49">
        <f t="shared" si="3"/>
        <v>26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30</v>
      </c>
      <c r="C15" s="46">
        <v>30</v>
      </c>
      <c r="D15" s="46">
        <v>30</v>
      </c>
      <c r="E15" s="46">
        <v>30</v>
      </c>
      <c r="F15" s="46">
        <v>30</v>
      </c>
      <c r="G15" s="46">
        <v>30</v>
      </c>
      <c r="H15" s="46">
        <v>26.2</v>
      </c>
      <c r="I15" s="46">
        <v>26.2</v>
      </c>
      <c r="J15" s="46">
        <v>26.2</v>
      </c>
      <c r="K15" s="46">
        <v>35</v>
      </c>
      <c r="L15" s="46">
        <v>35</v>
      </c>
      <c r="M15" s="46">
        <v>35</v>
      </c>
      <c r="N15" s="46">
        <v>35</v>
      </c>
      <c r="O15" s="46">
        <v>47</v>
      </c>
      <c r="P15" s="46">
        <v>47</v>
      </c>
      <c r="Q15" s="46">
        <v>47</v>
      </c>
      <c r="R15" s="46">
        <v>47</v>
      </c>
      <c r="S15" s="46">
        <v>58.9</v>
      </c>
      <c r="T15" s="46">
        <v>58.9</v>
      </c>
      <c r="U15" s="46">
        <v>58.9</v>
      </c>
      <c r="V15" s="46">
        <v>47</v>
      </c>
      <c r="W15" s="46">
        <v>47</v>
      </c>
      <c r="X15" s="46">
        <v>47</v>
      </c>
      <c r="Y15" s="46">
        <v>47</v>
      </c>
      <c r="Z15" s="46">
        <v>47</v>
      </c>
      <c r="AA15" s="46">
        <v>54.8</v>
      </c>
      <c r="AB15" s="46">
        <v>54.8</v>
      </c>
      <c r="AC15" s="46">
        <v>54.8</v>
      </c>
      <c r="AD15" s="46"/>
      <c r="AE15" s="46">
        <v>54.8</v>
      </c>
      <c r="AF15" s="46">
        <v>54.8</v>
      </c>
      <c r="AG15" s="50">
        <v>54</v>
      </c>
      <c r="AH15" s="48">
        <f t="shared" si="2"/>
        <v>58.9</v>
      </c>
      <c r="AI15" s="49">
        <f t="shared" si="3"/>
        <v>26.2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/>
      <c r="AE16" s="46">
        <v>0</v>
      </c>
      <c r="AF16" s="46">
        <v>0</v>
      </c>
      <c r="AG16" s="50">
        <v>54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B61</f>
        <v>1251.5999999999999</v>
      </c>
      <c r="AN16" s="59">
        <f t="shared" si="4"/>
        <v>1239.3</v>
      </c>
      <c r="AO16" s="59">
        <f t="shared" si="4"/>
        <v>1217.3</v>
      </c>
      <c r="AP16" s="59">
        <f t="shared" si="4"/>
        <v>1192.5</v>
      </c>
      <c r="AQ16" s="59">
        <f t="shared" si="4"/>
        <v>1173.0999999999999</v>
      </c>
      <c r="AR16" s="59">
        <f t="shared" si="4"/>
        <v>1173.0999999999999</v>
      </c>
      <c r="AS16" s="59">
        <f>I61</f>
        <v>1159.3</v>
      </c>
      <c r="AT16" s="59">
        <f>K61</f>
        <v>1247.7999999999997</v>
      </c>
      <c r="AU16" s="59">
        <f t="shared" ref="AU16:BD16" si="5">M61</f>
        <v>1253.6999999999998</v>
      </c>
      <c r="AV16" s="59">
        <f t="shared" si="5"/>
        <v>1289.5999999999999</v>
      </c>
      <c r="AW16" s="59">
        <f t="shared" si="5"/>
        <v>1430.5</v>
      </c>
      <c r="AX16" s="59">
        <f t="shared" si="5"/>
        <v>1430.5</v>
      </c>
      <c r="AY16" s="59">
        <f t="shared" si="5"/>
        <v>1430.5</v>
      </c>
      <c r="AZ16" s="59">
        <f t="shared" si="5"/>
        <v>1430.5</v>
      </c>
      <c r="BA16" s="59">
        <f t="shared" si="5"/>
        <v>1428.0000000000002</v>
      </c>
      <c r="BB16" s="59">
        <f t="shared" si="5"/>
        <v>1428.0000000000002</v>
      </c>
      <c r="BC16" s="59">
        <f t="shared" si="5"/>
        <v>1431.1000000000001</v>
      </c>
      <c r="BD16" s="59">
        <f t="shared" si="5"/>
        <v>1330.4</v>
      </c>
      <c r="BE16" s="60">
        <f>X61</f>
        <v>1316.4</v>
      </c>
      <c r="BF16" s="60">
        <f>Z61</f>
        <v>1322.9</v>
      </c>
      <c r="BG16" s="60">
        <f>AB61</f>
        <v>1452.6999999999998</v>
      </c>
      <c r="BH16" s="60">
        <f>AD61</f>
        <v>300</v>
      </c>
      <c r="BI16" s="60">
        <f>AE61</f>
        <v>1413.6999999999998</v>
      </c>
      <c r="BJ16" s="60">
        <f>AF61</f>
        <v>1413.6999999999998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55.6</v>
      </c>
      <c r="C17" s="46">
        <v>55.6</v>
      </c>
      <c r="D17" s="46">
        <v>55.6</v>
      </c>
      <c r="E17" s="46">
        <v>55.6</v>
      </c>
      <c r="F17" s="46">
        <v>55.6</v>
      </c>
      <c r="G17" s="46">
        <v>55.6</v>
      </c>
      <c r="H17" s="46">
        <v>55.6</v>
      </c>
      <c r="I17" s="46">
        <v>55.6</v>
      </c>
      <c r="J17" s="46">
        <v>55.6</v>
      </c>
      <c r="K17" s="46">
        <v>52.9</v>
      </c>
      <c r="L17" s="46">
        <v>52.9</v>
      </c>
      <c r="M17" s="46">
        <v>52.9</v>
      </c>
      <c r="N17" s="46">
        <v>52.9</v>
      </c>
      <c r="O17" s="46">
        <v>55.7</v>
      </c>
      <c r="P17" s="46">
        <v>55.7</v>
      </c>
      <c r="Q17" s="46">
        <v>55.7</v>
      </c>
      <c r="R17" s="46">
        <v>55.7</v>
      </c>
      <c r="S17" s="46">
        <v>55.8</v>
      </c>
      <c r="T17" s="46">
        <v>55.8</v>
      </c>
      <c r="U17" s="46">
        <v>55.8</v>
      </c>
      <c r="V17" s="46">
        <v>55.5</v>
      </c>
      <c r="W17" s="46">
        <v>55.5</v>
      </c>
      <c r="X17" s="46">
        <v>55.5</v>
      </c>
      <c r="Y17" s="46">
        <v>55.5</v>
      </c>
      <c r="Z17" s="46">
        <v>55.5</v>
      </c>
      <c r="AA17" s="46">
        <v>55.5</v>
      </c>
      <c r="AB17" s="46">
        <v>55.5</v>
      </c>
      <c r="AC17" s="46">
        <v>55.5</v>
      </c>
      <c r="AD17" s="46"/>
      <c r="AE17" s="46">
        <v>55.5</v>
      </c>
      <c r="AF17" s="46">
        <v>55.5</v>
      </c>
      <c r="AG17" s="47">
        <v>52.4</v>
      </c>
      <c r="AH17" s="48">
        <f t="shared" si="2"/>
        <v>55.8</v>
      </c>
      <c r="AI17" s="49">
        <f t="shared" si="3"/>
        <v>52.9</v>
      </c>
      <c r="AK17" s="51"/>
      <c r="AL17" s="54" t="s">
        <v>27</v>
      </c>
      <c r="AM17" s="59">
        <f t="shared" ref="AM17:AR17" si="6">B65</f>
        <v>465.3</v>
      </c>
      <c r="AN17" s="59">
        <f t="shared" si="6"/>
        <v>465.3</v>
      </c>
      <c r="AO17" s="59">
        <f t="shared" si="6"/>
        <v>465.3</v>
      </c>
      <c r="AP17" s="59">
        <f t="shared" si="6"/>
        <v>465.3</v>
      </c>
      <c r="AQ17" s="59">
        <f t="shared" si="6"/>
        <v>465.3</v>
      </c>
      <c r="AR17" s="59">
        <f t="shared" si="6"/>
        <v>465.3</v>
      </c>
      <c r="AS17" s="59">
        <f>I65</f>
        <v>465.3</v>
      </c>
      <c r="AT17" s="59">
        <f>K65</f>
        <v>465.3</v>
      </c>
      <c r="AU17" s="59">
        <f t="shared" ref="AU17:BD17" si="7">M65</f>
        <v>465.3</v>
      </c>
      <c r="AV17" s="59">
        <f t="shared" si="7"/>
        <v>465.3</v>
      </c>
      <c r="AW17" s="59">
        <f t="shared" si="7"/>
        <v>465.4</v>
      </c>
      <c r="AX17" s="59">
        <f t="shared" si="7"/>
        <v>465.4</v>
      </c>
      <c r="AY17" s="59">
        <f t="shared" si="7"/>
        <v>465.4</v>
      </c>
      <c r="AZ17" s="59">
        <f t="shared" si="7"/>
        <v>465.4</v>
      </c>
      <c r="BA17" s="59">
        <f t="shared" si="7"/>
        <v>528</v>
      </c>
      <c r="BB17" s="59">
        <f t="shared" si="7"/>
        <v>528</v>
      </c>
      <c r="BC17" s="59">
        <f t="shared" si="7"/>
        <v>528</v>
      </c>
      <c r="BD17" s="59">
        <f t="shared" si="7"/>
        <v>528</v>
      </c>
      <c r="BE17" s="60">
        <f>X65</f>
        <v>528</v>
      </c>
      <c r="BF17" s="60">
        <f>Z65</f>
        <v>539</v>
      </c>
      <c r="BG17" s="60">
        <f>AB65</f>
        <v>539.4</v>
      </c>
      <c r="BH17" s="60">
        <f>AD65</f>
        <v>0</v>
      </c>
      <c r="BI17" s="60">
        <f>AE65</f>
        <v>539.4</v>
      </c>
      <c r="BJ17" s="60">
        <f>AF65</f>
        <v>539.4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50.5</v>
      </c>
      <c r="P18" s="46">
        <v>50.5</v>
      </c>
      <c r="Q18" s="46">
        <v>50.5</v>
      </c>
      <c r="R18" s="46">
        <v>50.5</v>
      </c>
      <c r="S18" s="46">
        <v>50.6</v>
      </c>
      <c r="T18" s="46">
        <v>50.6</v>
      </c>
      <c r="U18" s="46">
        <v>50.6</v>
      </c>
      <c r="V18" s="46">
        <v>50.6</v>
      </c>
      <c r="W18" s="46">
        <v>50.6</v>
      </c>
      <c r="X18" s="46">
        <v>50.6</v>
      </c>
      <c r="Y18" s="46">
        <v>50.6</v>
      </c>
      <c r="Z18" s="46">
        <v>50.6</v>
      </c>
      <c r="AA18" s="46">
        <v>50.4</v>
      </c>
      <c r="AB18" s="46">
        <v>50.4</v>
      </c>
      <c r="AC18" s="46">
        <v>50.4</v>
      </c>
      <c r="AD18" s="53"/>
      <c r="AE18" s="53">
        <v>50.4</v>
      </c>
      <c r="AF18" s="53">
        <v>50.4</v>
      </c>
      <c r="AG18" s="50">
        <v>50</v>
      </c>
      <c r="AH18" s="48">
        <f t="shared" si="2"/>
        <v>50.6</v>
      </c>
      <c r="AI18" s="49">
        <f t="shared" si="3"/>
        <v>50.4</v>
      </c>
      <c r="AK18" s="51"/>
      <c r="AL18" s="54" t="s">
        <v>29</v>
      </c>
      <c r="AM18" s="59">
        <f t="shared" ref="AM18:AR18" si="8">B79</f>
        <v>415.43999999999994</v>
      </c>
      <c r="AN18" s="59">
        <f t="shared" si="8"/>
        <v>415.43999999999994</v>
      </c>
      <c r="AO18" s="59">
        <f t="shared" si="8"/>
        <v>414.53999999999991</v>
      </c>
      <c r="AP18" s="59">
        <f t="shared" si="8"/>
        <v>414.53999999999991</v>
      </c>
      <c r="AQ18" s="59">
        <f t="shared" si="8"/>
        <v>393.73999999999995</v>
      </c>
      <c r="AR18" s="59">
        <f t="shared" si="8"/>
        <v>393.73999999999995</v>
      </c>
      <c r="AS18" s="59">
        <f>I79</f>
        <v>391.34</v>
      </c>
      <c r="AT18" s="59">
        <f>K79</f>
        <v>408.73999999999995</v>
      </c>
      <c r="AU18" s="59">
        <f t="shared" ref="AU18:BD18" si="9">M79</f>
        <v>419.73999999999995</v>
      </c>
      <c r="AV18" s="59">
        <f t="shared" si="9"/>
        <v>419.73999999999995</v>
      </c>
      <c r="AW18" s="59">
        <f t="shared" si="9"/>
        <v>424.44</v>
      </c>
      <c r="AX18" s="59">
        <f t="shared" si="9"/>
        <v>424.44</v>
      </c>
      <c r="AY18" s="59">
        <f t="shared" si="9"/>
        <v>424.44</v>
      </c>
      <c r="AZ18" s="59">
        <f t="shared" si="9"/>
        <v>424.44</v>
      </c>
      <c r="BA18" s="59">
        <f t="shared" si="9"/>
        <v>427.54</v>
      </c>
      <c r="BB18" s="59">
        <f t="shared" si="9"/>
        <v>423.34000000000003</v>
      </c>
      <c r="BC18" s="59">
        <f t="shared" si="9"/>
        <v>424.64000000000004</v>
      </c>
      <c r="BD18" s="59">
        <f t="shared" si="9"/>
        <v>418.04</v>
      </c>
      <c r="BE18" s="60">
        <f>X79</f>
        <v>416.84000000000003</v>
      </c>
      <c r="BF18" s="60">
        <f>Z79</f>
        <v>416.6</v>
      </c>
      <c r="BG18" s="60">
        <f>AB79</f>
        <v>414.64000000000004</v>
      </c>
      <c r="BH18" s="60">
        <f>AD79</f>
        <v>3.54</v>
      </c>
      <c r="BI18" s="60">
        <f>AE79</f>
        <v>414.64000000000004</v>
      </c>
      <c r="BJ18" s="60">
        <f>AF79</f>
        <v>414.64000000000004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44</v>
      </c>
      <c r="C19" s="46">
        <v>44</v>
      </c>
      <c r="D19" s="46">
        <v>44</v>
      </c>
      <c r="E19" s="46">
        <v>44</v>
      </c>
      <c r="F19" s="46">
        <v>44</v>
      </c>
      <c r="G19" s="46">
        <v>44</v>
      </c>
      <c r="H19" s="46">
        <v>44</v>
      </c>
      <c r="I19" s="46">
        <v>44</v>
      </c>
      <c r="J19" s="46">
        <v>44</v>
      </c>
      <c r="K19" s="46">
        <v>44</v>
      </c>
      <c r="L19" s="46">
        <v>44</v>
      </c>
      <c r="M19" s="46">
        <v>44</v>
      </c>
      <c r="N19" s="46">
        <v>44</v>
      </c>
      <c r="O19" s="46">
        <v>44</v>
      </c>
      <c r="P19" s="46">
        <v>44</v>
      </c>
      <c r="Q19" s="46">
        <v>44</v>
      </c>
      <c r="R19" s="46">
        <v>44</v>
      </c>
      <c r="S19" s="46">
        <v>44</v>
      </c>
      <c r="T19" s="46">
        <v>44</v>
      </c>
      <c r="U19" s="46">
        <v>44</v>
      </c>
      <c r="V19" s="46">
        <v>44</v>
      </c>
      <c r="W19" s="46">
        <v>44</v>
      </c>
      <c r="X19" s="46">
        <v>44</v>
      </c>
      <c r="Y19" s="46">
        <v>44</v>
      </c>
      <c r="Z19" s="46">
        <v>44</v>
      </c>
      <c r="AA19" s="46">
        <v>44</v>
      </c>
      <c r="AB19" s="46">
        <v>44</v>
      </c>
      <c r="AC19" s="46">
        <v>44</v>
      </c>
      <c r="AD19" s="46"/>
      <c r="AE19" s="46">
        <v>44</v>
      </c>
      <c r="AF19" s="46">
        <v>0</v>
      </c>
      <c r="AG19" s="50">
        <v>45</v>
      </c>
      <c r="AH19" s="48">
        <f t="shared" si="2"/>
        <v>44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f>0.8*44</f>
        <v>35.200000000000003</v>
      </c>
      <c r="F20" s="46">
        <v>35</v>
      </c>
      <c r="G20" s="46">
        <v>35</v>
      </c>
      <c r="H20" s="46">
        <v>35</v>
      </c>
      <c r="I20" s="46">
        <v>35</v>
      </c>
      <c r="J20" s="46">
        <v>35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/>
      <c r="AE20" s="46">
        <v>44</v>
      </c>
      <c r="AF20" s="46">
        <v>32</v>
      </c>
      <c r="AG20" s="50">
        <v>44</v>
      </c>
      <c r="AH20" s="48">
        <f t="shared" si="2"/>
        <v>44</v>
      </c>
      <c r="AI20" s="49">
        <f t="shared" si="3"/>
        <v>32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49.2</v>
      </c>
      <c r="BH20" s="60">
        <f>AD83</f>
        <v>0</v>
      </c>
      <c r="BI20" s="60">
        <f>AE83</f>
        <v>49.2</v>
      </c>
      <c r="BJ20" s="60">
        <f>AF83</f>
        <v>49.2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/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26</v>
      </c>
      <c r="C22" s="46">
        <v>26</v>
      </c>
      <c r="D22" s="46">
        <v>26</v>
      </c>
      <c r="E22" s="46">
        <v>26</v>
      </c>
      <c r="F22" s="46">
        <v>26</v>
      </c>
      <c r="G22" s="46">
        <v>26</v>
      </c>
      <c r="H22" s="46">
        <v>26</v>
      </c>
      <c r="I22" s="46">
        <v>26</v>
      </c>
      <c r="J22" s="46">
        <v>26</v>
      </c>
      <c r="K22" s="46">
        <v>26</v>
      </c>
      <c r="L22" s="46">
        <v>26</v>
      </c>
      <c r="M22" s="46">
        <v>26</v>
      </c>
      <c r="N22" s="46">
        <v>26</v>
      </c>
      <c r="O22" s="46">
        <v>28</v>
      </c>
      <c r="P22" s="46">
        <v>28</v>
      </c>
      <c r="Q22" s="46">
        <v>28</v>
      </c>
      <c r="R22" s="46">
        <v>28</v>
      </c>
      <c r="S22" s="46">
        <v>27.7</v>
      </c>
      <c r="T22" s="46">
        <v>27.7</v>
      </c>
      <c r="U22" s="46">
        <v>27.7</v>
      </c>
      <c r="V22" s="46">
        <v>28</v>
      </c>
      <c r="W22" s="46">
        <v>28</v>
      </c>
      <c r="X22" s="46">
        <v>28</v>
      </c>
      <c r="Y22" s="46">
        <v>28</v>
      </c>
      <c r="Z22" s="46">
        <v>28</v>
      </c>
      <c r="AA22" s="46">
        <v>27.9</v>
      </c>
      <c r="AB22" s="46">
        <v>27.9</v>
      </c>
      <c r="AC22" s="46">
        <v>27.9</v>
      </c>
      <c r="AD22" s="46"/>
      <c r="AE22" s="46">
        <v>27.9</v>
      </c>
      <c r="AF22" s="46">
        <v>27.9</v>
      </c>
      <c r="AG22" s="50">
        <v>38.46</v>
      </c>
      <c r="AH22" s="48">
        <f t="shared" si="2"/>
        <v>28</v>
      </c>
      <c r="AI22" s="49">
        <f t="shared" si="3"/>
        <v>26</v>
      </c>
      <c r="AK22" s="51"/>
      <c r="AL22" s="62" t="s">
        <v>37</v>
      </c>
      <c r="AM22" s="63">
        <f t="shared" ref="AM22:BJ22" si="16">SUM(AM16:AM21)</f>
        <v>2132.3399999999997</v>
      </c>
      <c r="AN22" s="63">
        <f t="shared" si="16"/>
        <v>2120.04</v>
      </c>
      <c r="AO22" s="63">
        <f t="shared" si="16"/>
        <v>2097.14</v>
      </c>
      <c r="AP22" s="63">
        <f t="shared" si="16"/>
        <v>2072.3399999999997</v>
      </c>
      <c r="AQ22" s="63">
        <f t="shared" si="16"/>
        <v>2032.1399999999999</v>
      </c>
      <c r="AR22" s="63">
        <f t="shared" si="16"/>
        <v>2032.1399999999999</v>
      </c>
      <c r="AS22" s="63">
        <f t="shared" si="16"/>
        <v>2015.9399999999998</v>
      </c>
      <c r="AT22" s="63">
        <f t="shared" si="16"/>
        <v>2121.8399999999997</v>
      </c>
      <c r="AU22" s="63">
        <f t="shared" si="16"/>
        <v>2138.7399999999998</v>
      </c>
      <c r="AV22" s="63">
        <f t="shared" si="16"/>
        <v>2174.64</v>
      </c>
      <c r="AW22" s="63">
        <f t="shared" si="16"/>
        <v>2320.34</v>
      </c>
      <c r="AX22" s="63">
        <f t="shared" si="16"/>
        <v>2320.34</v>
      </c>
      <c r="AY22" s="63">
        <f t="shared" si="16"/>
        <v>2320.34</v>
      </c>
      <c r="AZ22" s="63">
        <f t="shared" si="16"/>
        <v>2320.34</v>
      </c>
      <c r="BA22" s="63">
        <f t="shared" si="16"/>
        <v>2383.5400000000004</v>
      </c>
      <c r="BB22" s="63">
        <f t="shared" si="16"/>
        <v>2379.34</v>
      </c>
      <c r="BC22" s="63">
        <f t="shared" si="16"/>
        <v>2383.7400000000002</v>
      </c>
      <c r="BD22" s="63">
        <f t="shared" si="16"/>
        <v>2276.44</v>
      </c>
      <c r="BE22" s="63">
        <f t="shared" si="16"/>
        <v>2261.2400000000002</v>
      </c>
      <c r="BF22" s="63">
        <f t="shared" si="16"/>
        <v>2278.5</v>
      </c>
      <c r="BG22" s="63">
        <f t="shared" si="16"/>
        <v>2455.9399999999996</v>
      </c>
      <c r="BH22" s="63">
        <f t="shared" si="16"/>
        <v>303.54000000000002</v>
      </c>
      <c r="BI22" s="63">
        <f t="shared" si="16"/>
        <v>2416.9399999999996</v>
      </c>
      <c r="BJ22" s="63">
        <f t="shared" si="16"/>
        <v>2416.9399999999996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34.700000000000003</v>
      </c>
      <c r="C23" s="46">
        <v>34.700000000000003</v>
      </c>
      <c r="D23" s="46">
        <v>34.700000000000003</v>
      </c>
      <c r="E23" s="46">
        <v>34.700000000000003</v>
      </c>
      <c r="F23" s="46">
        <v>34.700000000000003</v>
      </c>
      <c r="G23" s="46">
        <v>34.700000000000003</v>
      </c>
      <c r="H23" s="46">
        <v>34.700000000000003</v>
      </c>
      <c r="I23" s="46">
        <v>34.700000000000003</v>
      </c>
      <c r="J23" s="46">
        <v>34.700000000000003</v>
      </c>
      <c r="K23" s="46">
        <v>34.700000000000003</v>
      </c>
      <c r="L23" s="46">
        <v>34.700000000000003</v>
      </c>
      <c r="M23" s="46">
        <v>34.700000000000003</v>
      </c>
      <c r="N23" s="46">
        <v>34.700000000000003</v>
      </c>
      <c r="O23" s="46">
        <v>38</v>
      </c>
      <c r="P23" s="46">
        <v>38</v>
      </c>
      <c r="Q23" s="46">
        <v>38</v>
      </c>
      <c r="R23" s="46">
        <v>38</v>
      </c>
      <c r="S23" s="46">
        <v>40.6</v>
      </c>
      <c r="T23" s="46">
        <v>40.6</v>
      </c>
      <c r="U23" s="46">
        <v>40.6</v>
      </c>
      <c r="V23" s="46">
        <v>40.6</v>
      </c>
      <c r="W23" s="46">
        <v>40.6</v>
      </c>
      <c r="X23" s="46">
        <v>40.6</v>
      </c>
      <c r="Y23" s="46">
        <v>40.6</v>
      </c>
      <c r="Z23" s="46">
        <v>40.6</v>
      </c>
      <c r="AA23" s="46">
        <v>39.5</v>
      </c>
      <c r="AB23" s="46">
        <v>39.5</v>
      </c>
      <c r="AC23" s="46">
        <v>39.5</v>
      </c>
      <c r="AD23" s="46"/>
      <c r="AE23" s="46">
        <v>39.5</v>
      </c>
      <c r="AF23" s="46">
        <v>39.5</v>
      </c>
      <c r="AG23" s="50">
        <v>38.46</v>
      </c>
      <c r="AH23" s="48">
        <f t="shared" si="2"/>
        <v>40.6</v>
      </c>
      <c r="AI23" s="49">
        <f t="shared" si="3"/>
        <v>34.700000000000003</v>
      </c>
      <c r="AK23" s="51"/>
      <c r="AL23" s="62" t="s">
        <v>39</v>
      </c>
      <c r="AM23" s="63">
        <f t="shared" ref="AM23:AR23" si="17">B110*-1</f>
        <v>-694.9</v>
      </c>
      <c r="AN23" s="63">
        <f t="shared" si="17"/>
        <v>-734</v>
      </c>
      <c r="AO23" s="63">
        <f t="shared" si="17"/>
        <v>-735.30000000000007</v>
      </c>
      <c r="AP23" s="63">
        <f t="shared" si="17"/>
        <v>-754</v>
      </c>
      <c r="AQ23" s="63">
        <f t="shared" si="17"/>
        <v>-742.6</v>
      </c>
      <c r="AR23" s="63">
        <f t="shared" si="17"/>
        <v>-725.6</v>
      </c>
      <c r="AS23" s="63">
        <f>I110*-1</f>
        <v>-723</v>
      </c>
      <c r="AT23" s="63">
        <f>K110*-1</f>
        <v>-699</v>
      </c>
      <c r="AU23" s="63">
        <f t="shared" ref="AU23:BD23" si="18">M110*-1</f>
        <v>-672.5</v>
      </c>
      <c r="AV23" s="63">
        <f t="shared" si="18"/>
        <v>-726</v>
      </c>
      <c r="AW23" s="63">
        <f t="shared" si="18"/>
        <v>-755.6</v>
      </c>
      <c r="AX23" s="63">
        <f t="shared" si="18"/>
        <v>-666</v>
      </c>
      <c r="AY23" s="63">
        <f t="shared" si="18"/>
        <v>-675</v>
      </c>
      <c r="AZ23" s="63">
        <f t="shared" si="18"/>
        <v>-673.6</v>
      </c>
      <c r="BA23" s="63">
        <f t="shared" si="18"/>
        <v>-736</v>
      </c>
      <c r="BB23" s="63">
        <f t="shared" si="18"/>
        <v>-640.4</v>
      </c>
      <c r="BC23" s="63">
        <f t="shared" si="18"/>
        <v>-726.5</v>
      </c>
      <c r="BD23" s="63">
        <f t="shared" si="18"/>
        <v>-772.3</v>
      </c>
      <c r="BE23" s="63">
        <f>X110*-1</f>
        <v>-736.19999999999993</v>
      </c>
      <c r="BF23" s="63">
        <f>Z110*-1</f>
        <v>-733.59</v>
      </c>
      <c r="BG23" s="63">
        <f>AB110*-1</f>
        <v>-712.1</v>
      </c>
      <c r="BH23" s="63">
        <f>AD110*-1</f>
        <v>0</v>
      </c>
      <c r="BI23" s="63">
        <f>AE110*-1</f>
        <v>-712</v>
      </c>
      <c r="BJ23" s="63">
        <f>AF110*-1</f>
        <v>-712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36</v>
      </c>
      <c r="C24" s="46">
        <v>36</v>
      </c>
      <c r="D24" s="46">
        <v>36</v>
      </c>
      <c r="E24" s="46">
        <v>36</v>
      </c>
      <c r="F24" s="46">
        <v>36</v>
      </c>
      <c r="G24" s="46">
        <v>36</v>
      </c>
      <c r="H24" s="46">
        <v>36</v>
      </c>
      <c r="I24" s="46">
        <v>36</v>
      </c>
      <c r="J24" s="46">
        <v>36</v>
      </c>
      <c r="K24" s="46">
        <v>36</v>
      </c>
      <c r="L24" s="46">
        <v>36</v>
      </c>
      <c r="M24" s="46">
        <v>36</v>
      </c>
      <c r="N24" s="46">
        <v>36</v>
      </c>
      <c r="O24" s="46">
        <v>36</v>
      </c>
      <c r="P24" s="46">
        <v>36</v>
      </c>
      <c r="Q24" s="46">
        <v>36</v>
      </c>
      <c r="R24" s="46">
        <v>36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36</v>
      </c>
      <c r="Y24" s="46">
        <v>36</v>
      </c>
      <c r="Z24" s="46">
        <v>36</v>
      </c>
      <c r="AA24" s="46">
        <v>36</v>
      </c>
      <c r="AB24" s="46">
        <v>36</v>
      </c>
      <c r="AC24" s="46">
        <v>36</v>
      </c>
      <c r="AD24" s="46"/>
      <c r="AE24" s="46">
        <v>36</v>
      </c>
      <c r="AF24" s="46">
        <v>36</v>
      </c>
      <c r="AG24" s="50">
        <v>36</v>
      </c>
      <c r="AH24" s="48">
        <f t="shared" si="2"/>
        <v>36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1437.4399999999996</v>
      </c>
      <c r="AN24" s="63">
        <f t="shared" si="19"/>
        <v>1386.04</v>
      </c>
      <c r="AO24" s="63">
        <f t="shared" si="19"/>
        <v>1361.8399999999997</v>
      </c>
      <c r="AP24" s="63">
        <f t="shared" si="19"/>
        <v>1318.3399999999997</v>
      </c>
      <c r="AQ24" s="63">
        <f t="shared" si="19"/>
        <v>1289.54</v>
      </c>
      <c r="AR24" s="63">
        <f t="shared" si="19"/>
        <v>1306.54</v>
      </c>
      <c r="AS24" s="63">
        <f t="shared" si="19"/>
        <v>1292.9399999999998</v>
      </c>
      <c r="AT24" s="63">
        <f t="shared" si="19"/>
        <v>1422.8399999999997</v>
      </c>
      <c r="AU24" s="63">
        <f t="shared" si="19"/>
        <v>1466.2399999999998</v>
      </c>
      <c r="AV24" s="63">
        <f t="shared" si="19"/>
        <v>1448.6399999999999</v>
      </c>
      <c r="AW24" s="63">
        <f t="shared" si="19"/>
        <v>1564.7400000000002</v>
      </c>
      <c r="AX24" s="63">
        <f t="shared" si="19"/>
        <v>1654.3400000000001</v>
      </c>
      <c r="AY24" s="63">
        <f t="shared" si="19"/>
        <v>1645.3400000000001</v>
      </c>
      <c r="AZ24" s="63">
        <f t="shared" si="19"/>
        <v>1646.7400000000002</v>
      </c>
      <c r="BA24" s="63">
        <f t="shared" si="19"/>
        <v>1647.5400000000004</v>
      </c>
      <c r="BB24" s="63">
        <f t="shared" si="19"/>
        <v>1738.94</v>
      </c>
      <c r="BC24" s="63">
        <f t="shared" si="19"/>
        <v>1657.2400000000002</v>
      </c>
      <c r="BD24" s="63">
        <f t="shared" si="19"/>
        <v>1504.14</v>
      </c>
      <c r="BE24" s="63">
        <f t="shared" si="19"/>
        <v>1525.0400000000004</v>
      </c>
      <c r="BF24" s="63">
        <f t="shared" si="19"/>
        <v>1544.9099999999999</v>
      </c>
      <c r="BG24" s="63">
        <f t="shared" si="19"/>
        <v>1743.8399999999997</v>
      </c>
      <c r="BH24" s="63">
        <f t="shared" si="19"/>
        <v>303.54000000000002</v>
      </c>
      <c r="BI24" s="63">
        <f t="shared" si="19"/>
        <v>1704.9399999999996</v>
      </c>
      <c r="BJ24" s="63">
        <f t="shared" si="19"/>
        <v>1704.9399999999996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15</v>
      </c>
      <c r="D25" s="46">
        <v>15</v>
      </c>
      <c r="E25" s="46">
        <v>15</v>
      </c>
      <c r="F25" s="46">
        <v>10</v>
      </c>
      <c r="G25" s="46">
        <v>10</v>
      </c>
      <c r="H25" s="46">
        <v>10</v>
      </c>
      <c r="I25" s="46">
        <v>10</v>
      </c>
      <c r="J25" s="46">
        <v>10</v>
      </c>
      <c r="K25" s="46">
        <v>30</v>
      </c>
      <c r="L25" s="46">
        <v>30</v>
      </c>
      <c r="M25" s="46">
        <v>30</v>
      </c>
      <c r="N25" s="46">
        <v>30</v>
      </c>
      <c r="O25" s="46">
        <v>30</v>
      </c>
      <c r="P25" s="46">
        <v>30</v>
      </c>
      <c r="Q25" s="46">
        <v>30</v>
      </c>
      <c r="R25" s="46">
        <v>30</v>
      </c>
      <c r="S25" s="46">
        <v>30.4</v>
      </c>
      <c r="T25" s="46">
        <v>30.4</v>
      </c>
      <c r="U25" s="46">
        <v>30.4</v>
      </c>
      <c r="V25" s="46">
        <v>20</v>
      </c>
      <c r="W25" s="46">
        <v>10</v>
      </c>
      <c r="X25" s="46">
        <v>10</v>
      </c>
      <c r="Y25" s="46">
        <v>10</v>
      </c>
      <c r="Z25" s="46">
        <v>10</v>
      </c>
      <c r="AA25" s="46">
        <v>30.2</v>
      </c>
      <c r="AB25" s="46">
        <v>30.2</v>
      </c>
      <c r="AC25" s="46">
        <v>30.2</v>
      </c>
      <c r="AD25" s="46"/>
      <c r="AE25" s="46">
        <v>30.2</v>
      </c>
      <c r="AF25" s="46">
        <v>30.2</v>
      </c>
      <c r="AG25" s="61">
        <v>30</v>
      </c>
      <c r="AH25" s="48">
        <f t="shared" si="2"/>
        <v>30.4</v>
      </c>
      <c r="AI25" s="49">
        <f t="shared" si="3"/>
        <v>10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20</v>
      </c>
      <c r="C26" s="46">
        <v>20</v>
      </c>
      <c r="D26" s="46">
        <v>20</v>
      </c>
      <c r="E26" s="46">
        <v>20</v>
      </c>
      <c r="F26" s="46">
        <v>20</v>
      </c>
      <c r="G26" s="46">
        <v>20</v>
      </c>
      <c r="H26" s="46">
        <v>20</v>
      </c>
      <c r="I26" s="46">
        <v>20</v>
      </c>
      <c r="J26" s="46">
        <v>20</v>
      </c>
      <c r="K26" s="46">
        <v>20</v>
      </c>
      <c r="L26" s="46">
        <v>20</v>
      </c>
      <c r="M26" s="46">
        <v>20</v>
      </c>
      <c r="N26" s="46">
        <v>20</v>
      </c>
      <c r="O26" s="46">
        <v>33</v>
      </c>
      <c r="P26" s="46">
        <v>33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25.7</v>
      </c>
      <c r="W26" s="46">
        <v>25.7</v>
      </c>
      <c r="X26" s="46">
        <v>25.7</v>
      </c>
      <c r="Y26" s="46">
        <v>25.7</v>
      </c>
      <c r="Z26" s="46">
        <v>25.7</v>
      </c>
      <c r="AA26" s="46">
        <v>33</v>
      </c>
      <c r="AB26" s="46">
        <v>33</v>
      </c>
      <c r="AC26" s="46">
        <v>33</v>
      </c>
      <c r="AD26" s="46"/>
      <c r="AE26" s="46">
        <v>0</v>
      </c>
      <c r="AF26" s="46">
        <v>33</v>
      </c>
      <c r="AG26" s="50">
        <v>24.2</v>
      </c>
      <c r="AH26" s="48">
        <f t="shared" si="2"/>
        <v>33</v>
      </c>
      <c r="AI26" s="49">
        <f t="shared" si="3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28.5</v>
      </c>
      <c r="C27" s="46">
        <v>28.5</v>
      </c>
      <c r="D27" s="46">
        <v>28.5</v>
      </c>
      <c r="E27" s="46">
        <v>28.5</v>
      </c>
      <c r="F27" s="46">
        <v>28.5</v>
      </c>
      <c r="G27" s="46">
        <v>28.5</v>
      </c>
      <c r="H27" s="46">
        <v>28.5</v>
      </c>
      <c r="I27" s="46">
        <v>28.5</v>
      </c>
      <c r="J27" s="46">
        <v>28.5</v>
      </c>
      <c r="K27" s="46">
        <v>28.5</v>
      </c>
      <c r="L27" s="46">
        <v>28.5</v>
      </c>
      <c r="M27" s="46">
        <v>28.5</v>
      </c>
      <c r="N27" s="46">
        <v>28.5</v>
      </c>
      <c r="O27" s="46">
        <v>28.6</v>
      </c>
      <c r="P27" s="46">
        <v>28.6</v>
      </c>
      <c r="Q27" s="46">
        <v>28.6</v>
      </c>
      <c r="R27" s="46">
        <v>28.6</v>
      </c>
      <c r="S27" s="46">
        <v>28.6</v>
      </c>
      <c r="T27" s="46">
        <v>28.6</v>
      </c>
      <c r="U27" s="46">
        <v>28.6</v>
      </c>
      <c r="V27" s="46">
        <v>28.7</v>
      </c>
      <c r="W27" s="46">
        <v>28.7</v>
      </c>
      <c r="X27" s="46">
        <v>28.7</v>
      </c>
      <c r="Y27" s="46">
        <v>28.7</v>
      </c>
      <c r="Z27" s="46">
        <v>28.7</v>
      </c>
      <c r="AA27" s="46">
        <v>27.3</v>
      </c>
      <c r="AB27" s="46">
        <v>27.3</v>
      </c>
      <c r="AC27" s="46">
        <v>27.3</v>
      </c>
      <c r="AD27" s="46"/>
      <c r="AE27" s="46">
        <v>27.3</v>
      </c>
      <c r="AF27" s="46">
        <v>27.3</v>
      </c>
      <c r="AG27" s="50">
        <v>28</v>
      </c>
      <c r="AH27" s="48">
        <f t="shared" si="2"/>
        <v>28.7</v>
      </c>
      <c r="AI27" s="49">
        <f t="shared" si="3"/>
        <v>27.3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13.5</v>
      </c>
      <c r="C28" s="46">
        <v>13.5</v>
      </c>
      <c r="D28" s="46">
        <v>13.5</v>
      </c>
      <c r="E28" s="46">
        <v>13.5</v>
      </c>
      <c r="F28" s="46">
        <f>0.3*27</f>
        <v>8.1</v>
      </c>
      <c r="G28" s="46">
        <f t="shared" ref="G28:I28" si="20">0.3*27</f>
        <v>8.1</v>
      </c>
      <c r="H28" s="46">
        <f t="shared" si="20"/>
        <v>8.1</v>
      </c>
      <c r="I28" s="46">
        <f t="shared" si="20"/>
        <v>8.1</v>
      </c>
      <c r="J28" s="46">
        <v>13.5</v>
      </c>
      <c r="K28" s="46">
        <v>18</v>
      </c>
      <c r="L28" s="46">
        <v>18</v>
      </c>
      <c r="M28" s="46">
        <v>18</v>
      </c>
      <c r="N28" s="46">
        <v>18</v>
      </c>
      <c r="O28" s="46">
        <v>26.3</v>
      </c>
      <c r="P28" s="46">
        <v>26.3</v>
      </c>
      <c r="Q28" s="46">
        <v>26.3</v>
      </c>
      <c r="R28" s="46">
        <v>26.3</v>
      </c>
      <c r="S28" s="46">
        <v>27.2</v>
      </c>
      <c r="T28" s="46">
        <v>27.2</v>
      </c>
      <c r="U28" s="46">
        <v>27.2</v>
      </c>
      <c r="V28" s="46">
        <v>19</v>
      </c>
      <c r="W28" s="46">
        <v>10</v>
      </c>
      <c r="X28" s="46">
        <v>10</v>
      </c>
      <c r="Y28" s="46">
        <v>10</v>
      </c>
      <c r="Z28" s="46">
        <v>10</v>
      </c>
      <c r="AA28" s="46">
        <v>27.4</v>
      </c>
      <c r="AB28" s="46">
        <v>27.4</v>
      </c>
      <c r="AC28" s="46">
        <v>27.4</v>
      </c>
      <c r="AD28" s="46"/>
      <c r="AE28" s="46">
        <v>27.4</v>
      </c>
      <c r="AF28" s="46">
        <v>0</v>
      </c>
      <c r="AG28" s="61">
        <v>30</v>
      </c>
      <c r="AH28" s="48">
        <f t="shared" si="2"/>
        <v>27.4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20</v>
      </c>
      <c r="C29" s="46">
        <v>20</v>
      </c>
      <c r="D29" s="46">
        <v>20</v>
      </c>
      <c r="E29" s="46">
        <v>20</v>
      </c>
      <c r="F29" s="46">
        <v>20</v>
      </c>
      <c r="G29" s="46">
        <v>20</v>
      </c>
      <c r="H29" s="46">
        <v>20</v>
      </c>
      <c r="I29" s="46">
        <v>20</v>
      </c>
      <c r="J29" s="46">
        <v>20</v>
      </c>
      <c r="K29" s="46">
        <v>25</v>
      </c>
      <c r="L29" s="46">
        <v>25.9</v>
      </c>
      <c r="M29" s="46">
        <v>25.9</v>
      </c>
      <c r="N29" s="46">
        <v>25.9</v>
      </c>
      <c r="O29" s="46">
        <v>25.9</v>
      </c>
      <c r="P29" s="46">
        <v>25.9</v>
      </c>
      <c r="Q29" s="46">
        <v>25.9</v>
      </c>
      <c r="R29" s="46">
        <v>25.9</v>
      </c>
      <c r="S29" s="46">
        <v>25.9</v>
      </c>
      <c r="T29" s="46">
        <v>25.9</v>
      </c>
      <c r="U29" s="46">
        <v>25.9</v>
      </c>
      <c r="V29" s="46">
        <v>25.9</v>
      </c>
      <c r="W29" s="46">
        <v>25.9</v>
      </c>
      <c r="X29" s="46">
        <v>25.9</v>
      </c>
      <c r="Y29" s="46">
        <v>25.9</v>
      </c>
      <c r="Z29" s="46">
        <v>25.9</v>
      </c>
      <c r="AA29" s="46">
        <v>24.3</v>
      </c>
      <c r="AB29" s="46">
        <v>24.3</v>
      </c>
      <c r="AC29" s="46">
        <v>24.3</v>
      </c>
      <c r="AD29" s="46"/>
      <c r="AE29" s="46">
        <v>24.3</v>
      </c>
      <c r="AF29" s="46">
        <v>24.3</v>
      </c>
      <c r="AG29" s="50">
        <v>25</v>
      </c>
      <c r="AH29" s="48">
        <f t="shared" si="2"/>
        <v>25.9</v>
      </c>
      <c r="AI29" s="49">
        <f t="shared" si="3"/>
        <v>20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22</v>
      </c>
      <c r="C30" s="46">
        <v>22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25</v>
      </c>
      <c r="O30" s="46">
        <v>25</v>
      </c>
      <c r="P30" s="46">
        <v>25</v>
      </c>
      <c r="Q30" s="46">
        <v>25</v>
      </c>
      <c r="R30" s="46">
        <v>25</v>
      </c>
      <c r="S30" s="46">
        <v>25</v>
      </c>
      <c r="T30" s="46">
        <v>25</v>
      </c>
      <c r="U30" s="46">
        <v>25</v>
      </c>
      <c r="V30" s="46">
        <v>25</v>
      </c>
      <c r="W30" s="46">
        <v>25</v>
      </c>
      <c r="X30" s="46">
        <v>25</v>
      </c>
      <c r="Y30" s="46">
        <v>25</v>
      </c>
      <c r="Z30" s="46">
        <v>25</v>
      </c>
      <c r="AA30" s="46">
        <v>25</v>
      </c>
      <c r="AB30" s="46">
        <v>25</v>
      </c>
      <c r="AC30" s="46">
        <v>25</v>
      </c>
      <c r="AD30" s="46"/>
      <c r="AE30" s="46">
        <v>25</v>
      </c>
      <c r="AF30" s="46">
        <v>25</v>
      </c>
      <c r="AG30" s="50">
        <v>25</v>
      </c>
      <c r="AH30" s="48">
        <f t="shared" si="2"/>
        <v>25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24</v>
      </c>
      <c r="C31" s="46">
        <v>24</v>
      </c>
      <c r="D31" s="46">
        <v>24</v>
      </c>
      <c r="E31" s="46">
        <v>24</v>
      </c>
      <c r="F31" s="46">
        <v>24</v>
      </c>
      <c r="G31" s="46">
        <v>24</v>
      </c>
      <c r="H31" s="46">
        <f>0.8*25</f>
        <v>20</v>
      </c>
      <c r="I31" s="46">
        <f t="shared" ref="I31:L31" si="21">0.8*25</f>
        <v>20</v>
      </c>
      <c r="J31" s="46">
        <f t="shared" si="21"/>
        <v>20</v>
      </c>
      <c r="K31" s="46">
        <f t="shared" si="21"/>
        <v>20</v>
      </c>
      <c r="L31" s="46">
        <f t="shared" si="21"/>
        <v>20</v>
      </c>
      <c r="M31" s="46">
        <v>25</v>
      </c>
      <c r="N31" s="46">
        <v>25</v>
      </c>
      <c r="O31" s="46">
        <v>25</v>
      </c>
      <c r="P31" s="46">
        <v>25</v>
      </c>
      <c r="Q31" s="46">
        <v>25</v>
      </c>
      <c r="R31" s="46">
        <v>25</v>
      </c>
      <c r="S31" s="46">
        <v>25</v>
      </c>
      <c r="T31" s="46">
        <v>25</v>
      </c>
      <c r="U31" s="46">
        <v>25</v>
      </c>
      <c r="V31" s="46">
        <v>25</v>
      </c>
      <c r="W31" s="46">
        <v>25</v>
      </c>
      <c r="X31" s="46">
        <v>25</v>
      </c>
      <c r="Y31" s="46">
        <v>25</v>
      </c>
      <c r="Z31" s="46">
        <v>25</v>
      </c>
      <c r="AA31" s="46">
        <v>25</v>
      </c>
      <c r="AB31" s="46">
        <v>25</v>
      </c>
      <c r="AC31" s="46">
        <v>25</v>
      </c>
      <c r="AD31" s="46"/>
      <c r="AE31" s="46">
        <v>25</v>
      </c>
      <c r="AF31" s="46">
        <v>25</v>
      </c>
      <c r="AG31" s="50">
        <v>25</v>
      </c>
      <c r="AH31" s="48">
        <f t="shared" si="2"/>
        <v>25</v>
      </c>
      <c r="AI31" s="49">
        <f t="shared" si="3"/>
        <v>20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20.8</v>
      </c>
      <c r="C32" s="46">
        <v>12.5</v>
      </c>
      <c r="D32" s="46">
        <v>12.5</v>
      </c>
      <c r="E32" s="46">
        <v>12.5</v>
      </c>
      <c r="F32" s="46">
        <f>0.3*25</f>
        <v>7.5</v>
      </c>
      <c r="G32" s="46">
        <f t="shared" ref="G32:J32" si="22">0.3*25</f>
        <v>7.5</v>
      </c>
      <c r="H32" s="46">
        <f t="shared" si="22"/>
        <v>7.5</v>
      </c>
      <c r="I32" s="46">
        <f t="shared" si="22"/>
        <v>7.5</v>
      </c>
      <c r="J32" s="46">
        <f t="shared" si="22"/>
        <v>7.5</v>
      </c>
      <c r="K32" s="46">
        <v>25</v>
      </c>
      <c r="L32" s="46">
        <v>25</v>
      </c>
      <c r="M32" s="46">
        <v>25</v>
      </c>
      <c r="N32" s="46">
        <v>25</v>
      </c>
      <c r="O32" s="46">
        <v>25</v>
      </c>
      <c r="P32" s="46">
        <v>25</v>
      </c>
      <c r="Q32" s="46">
        <v>25</v>
      </c>
      <c r="R32" s="46">
        <v>25</v>
      </c>
      <c r="S32" s="46">
        <v>25</v>
      </c>
      <c r="T32" s="46">
        <v>25</v>
      </c>
      <c r="U32" s="46">
        <v>25</v>
      </c>
      <c r="V32" s="46">
        <v>19</v>
      </c>
      <c r="W32" s="46">
        <v>10</v>
      </c>
      <c r="X32" s="46">
        <v>10</v>
      </c>
      <c r="Y32" s="46">
        <v>10</v>
      </c>
      <c r="Z32" s="46">
        <v>10</v>
      </c>
      <c r="AA32" s="46">
        <v>25.7</v>
      </c>
      <c r="AB32" s="46">
        <v>25.7</v>
      </c>
      <c r="AC32" s="46">
        <v>25.7</v>
      </c>
      <c r="AD32" s="46"/>
      <c r="AE32" s="46">
        <v>0</v>
      </c>
      <c r="AF32" s="46">
        <v>25</v>
      </c>
      <c r="AG32" s="50">
        <v>25</v>
      </c>
      <c r="AH32" s="48">
        <f t="shared" si="2"/>
        <v>25.7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23.5</v>
      </c>
      <c r="C33" s="46">
        <v>19.5</v>
      </c>
      <c r="D33" s="46">
        <v>19.5</v>
      </c>
      <c r="E33" s="46">
        <v>19.5</v>
      </c>
      <c r="F33" s="46">
        <v>19.5</v>
      </c>
      <c r="G33" s="46">
        <v>19.5</v>
      </c>
      <c r="H33" s="46">
        <v>19.5</v>
      </c>
      <c r="I33" s="46">
        <v>19.5</v>
      </c>
      <c r="J33" s="46">
        <v>19.5</v>
      </c>
      <c r="K33" s="46">
        <v>19.5</v>
      </c>
      <c r="L33" s="46">
        <v>19.5</v>
      </c>
      <c r="M33" s="46">
        <v>19.5</v>
      </c>
      <c r="N33" s="46">
        <v>19.5</v>
      </c>
      <c r="O33" s="46">
        <v>24.2</v>
      </c>
      <c r="P33" s="46">
        <v>24.2</v>
      </c>
      <c r="Q33" s="46">
        <v>24.2</v>
      </c>
      <c r="R33" s="46">
        <v>24.2</v>
      </c>
      <c r="S33" s="46">
        <v>24.7</v>
      </c>
      <c r="T33" s="46">
        <v>24.7</v>
      </c>
      <c r="U33" s="46">
        <v>24.7</v>
      </c>
      <c r="V33" s="46">
        <v>17.8</v>
      </c>
      <c r="W33" s="46">
        <v>17.8</v>
      </c>
      <c r="X33" s="46">
        <v>17.8</v>
      </c>
      <c r="Y33" s="46">
        <v>17.8</v>
      </c>
      <c r="Z33" s="46">
        <v>24.3</v>
      </c>
      <c r="AA33" s="46">
        <v>24.3</v>
      </c>
      <c r="AB33" s="46">
        <v>24.3</v>
      </c>
      <c r="AC33" s="46">
        <v>24.3</v>
      </c>
      <c r="AD33" s="46"/>
      <c r="AE33" s="46">
        <v>24.3</v>
      </c>
      <c r="AF33" s="46">
        <v>24.3</v>
      </c>
      <c r="AG33" s="50">
        <v>23.5</v>
      </c>
      <c r="AH33" s="48">
        <f t="shared" si="2"/>
        <v>24.7</v>
      </c>
      <c r="AI33" s="49">
        <f t="shared" si="3"/>
        <v>17.8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0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/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/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/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18</v>
      </c>
      <c r="C37" s="46">
        <v>18</v>
      </c>
      <c r="D37" s="46">
        <v>18</v>
      </c>
      <c r="E37" s="46">
        <v>18</v>
      </c>
      <c r="F37" s="46">
        <v>18</v>
      </c>
      <c r="G37" s="46">
        <v>18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>
        <v>22</v>
      </c>
      <c r="O37" s="46">
        <v>22</v>
      </c>
      <c r="P37" s="46">
        <v>22</v>
      </c>
      <c r="Q37" s="46">
        <v>22</v>
      </c>
      <c r="R37" s="46">
        <v>22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/>
      <c r="AE37" s="46">
        <v>22</v>
      </c>
      <c r="AF37" s="46">
        <v>22</v>
      </c>
      <c r="AG37" s="50">
        <v>22</v>
      </c>
      <c r="AH37" s="48">
        <f t="shared" si="2"/>
        <v>22</v>
      </c>
      <c r="AI37" s="49">
        <f t="shared" si="3"/>
        <v>18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11.3</v>
      </c>
      <c r="C38" s="46">
        <v>11.3</v>
      </c>
      <c r="D38" s="46">
        <v>11.3</v>
      </c>
      <c r="E38" s="46">
        <v>11.3</v>
      </c>
      <c r="F38" s="46">
        <v>11.3</v>
      </c>
      <c r="G38" s="46">
        <v>11.3</v>
      </c>
      <c r="H38" s="46">
        <v>11.3</v>
      </c>
      <c r="I38" s="46">
        <v>11.3</v>
      </c>
      <c r="J38" s="46">
        <v>11.3</v>
      </c>
      <c r="K38" s="46">
        <v>11.3</v>
      </c>
      <c r="L38" s="46">
        <v>11.3</v>
      </c>
      <c r="M38" s="46">
        <v>11.3</v>
      </c>
      <c r="N38" s="46">
        <v>11.3</v>
      </c>
      <c r="O38" s="46">
        <v>11.3</v>
      </c>
      <c r="P38" s="46">
        <v>11.3</v>
      </c>
      <c r="Q38" s="46">
        <v>11.3</v>
      </c>
      <c r="R38" s="46">
        <v>11.3</v>
      </c>
      <c r="S38" s="46">
        <v>11.3</v>
      </c>
      <c r="T38" s="46">
        <v>11.3</v>
      </c>
      <c r="U38" s="46">
        <v>11.3</v>
      </c>
      <c r="V38" s="46">
        <v>11.3</v>
      </c>
      <c r="W38" s="46">
        <v>11.3</v>
      </c>
      <c r="X38" s="46">
        <v>11.3</v>
      </c>
      <c r="Y38" s="46">
        <v>11.3</v>
      </c>
      <c r="Z38" s="46">
        <v>11.3</v>
      </c>
      <c r="AA38" s="46">
        <v>11.3</v>
      </c>
      <c r="AB38" s="46">
        <v>11.3</v>
      </c>
      <c r="AC38" s="46">
        <v>11.3</v>
      </c>
      <c r="AD38" s="46"/>
      <c r="AE38" s="46">
        <v>11.3</v>
      </c>
      <c r="AF38" s="46">
        <v>11.3</v>
      </c>
      <c r="AG38" s="50">
        <v>20</v>
      </c>
      <c r="AH38" s="48">
        <f t="shared" si="2"/>
        <v>11.3</v>
      </c>
      <c r="AI38" s="49">
        <f t="shared" si="3"/>
        <v>11.3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18.3</v>
      </c>
      <c r="C39" s="46">
        <v>18.3</v>
      </c>
      <c r="D39" s="46">
        <v>18.3</v>
      </c>
      <c r="E39" s="46">
        <v>18.3</v>
      </c>
      <c r="F39" s="46">
        <v>18.3</v>
      </c>
      <c r="G39" s="46">
        <v>18.3</v>
      </c>
      <c r="H39" s="46">
        <v>18.3</v>
      </c>
      <c r="I39" s="46">
        <v>18.3</v>
      </c>
      <c r="J39" s="46">
        <v>18.3</v>
      </c>
      <c r="K39" s="46">
        <v>18.3</v>
      </c>
      <c r="L39" s="46">
        <v>18.3</v>
      </c>
      <c r="M39" s="46">
        <v>18.3</v>
      </c>
      <c r="N39" s="46">
        <v>18.3</v>
      </c>
      <c r="O39" s="46">
        <v>18.3</v>
      </c>
      <c r="P39" s="46">
        <v>18.3</v>
      </c>
      <c r="Q39" s="46">
        <v>18.3</v>
      </c>
      <c r="R39" s="46">
        <v>18.3</v>
      </c>
      <c r="S39" s="46">
        <v>18.3</v>
      </c>
      <c r="T39" s="46">
        <v>18.3</v>
      </c>
      <c r="U39" s="46">
        <v>18.3</v>
      </c>
      <c r="V39" s="46">
        <v>18.3</v>
      </c>
      <c r="W39" s="46">
        <v>18.3</v>
      </c>
      <c r="X39" s="46">
        <v>18.3</v>
      </c>
      <c r="Y39" s="46">
        <v>18.3</v>
      </c>
      <c r="Z39" s="46">
        <v>18.3</v>
      </c>
      <c r="AA39" s="46">
        <v>18.3</v>
      </c>
      <c r="AB39" s="46">
        <v>18.3</v>
      </c>
      <c r="AC39" s="46">
        <v>18.3</v>
      </c>
      <c r="AD39" s="46"/>
      <c r="AE39" s="46">
        <v>18.3</v>
      </c>
      <c r="AF39" s="46">
        <v>18.3</v>
      </c>
      <c r="AG39" s="50">
        <v>20</v>
      </c>
      <c r="AH39" s="48">
        <f t="shared" si="2"/>
        <v>18.3</v>
      </c>
      <c r="AI39" s="49">
        <f t="shared" si="3"/>
        <v>18.3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14.5</v>
      </c>
      <c r="C40" s="46">
        <v>14.5</v>
      </c>
      <c r="D40" s="46">
        <v>14.5</v>
      </c>
      <c r="E40" s="46">
        <v>14.5</v>
      </c>
      <c r="F40" s="46">
        <v>14.5</v>
      </c>
      <c r="G40" s="46">
        <v>14.5</v>
      </c>
      <c r="H40" s="46">
        <v>14.5</v>
      </c>
      <c r="I40" s="46">
        <v>14.5</v>
      </c>
      <c r="J40" s="46">
        <v>14.5</v>
      </c>
      <c r="K40" s="46">
        <v>14.5</v>
      </c>
      <c r="L40" s="46">
        <v>14.5</v>
      </c>
      <c r="M40" s="46">
        <v>14.5</v>
      </c>
      <c r="N40" s="46">
        <v>14.5</v>
      </c>
      <c r="O40" s="46">
        <v>14.5</v>
      </c>
      <c r="P40" s="46">
        <v>14.5</v>
      </c>
      <c r="Q40" s="46">
        <v>14.5</v>
      </c>
      <c r="R40" s="46">
        <v>14.5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/>
      <c r="AE40" s="46">
        <v>0</v>
      </c>
      <c r="AF40" s="46">
        <v>6.3</v>
      </c>
      <c r="AG40" s="50">
        <v>18</v>
      </c>
      <c r="AH40" s="48">
        <f t="shared" si="2"/>
        <v>14.5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16</v>
      </c>
      <c r="C41" s="46">
        <v>16</v>
      </c>
      <c r="D41" s="46">
        <v>16</v>
      </c>
      <c r="E41" s="46">
        <v>16</v>
      </c>
      <c r="F41" s="46">
        <v>16</v>
      </c>
      <c r="G41" s="46">
        <v>16</v>
      </c>
      <c r="H41" s="46">
        <v>16</v>
      </c>
      <c r="I41" s="46">
        <v>16</v>
      </c>
      <c r="J41" s="46">
        <v>16</v>
      </c>
      <c r="K41" s="46">
        <v>16</v>
      </c>
      <c r="L41" s="46">
        <v>16</v>
      </c>
      <c r="M41" s="46">
        <v>16</v>
      </c>
      <c r="N41" s="46">
        <v>16</v>
      </c>
      <c r="O41" s="46">
        <v>16</v>
      </c>
      <c r="P41" s="46">
        <v>16</v>
      </c>
      <c r="Q41" s="46">
        <v>16</v>
      </c>
      <c r="R41" s="46">
        <v>16</v>
      </c>
      <c r="S41" s="46">
        <v>16</v>
      </c>
      <c r="T41" s="46">
        <v>16</v>
      </c>
      <c r="U41" s="46">
        <v>16</v>
      </c>
      <c r="V41" s="46">
        <v>16</v>
      </c>
      <c r="W41" s="46">
        <v>16</v>
      </c>
      <c r="X41" s="46">
        <v>16</v>
      </c>
      <c r="Y41" s="46">
        <v>16</v>
      </c>
      <c r="Z41" s="46">
        <v>16</v>
      </c>
      <c r="AA41" s="46">
        <v>16</v>
      </c>
      <c r="AB41" s="46">
        <v>16</v>
      </c>
      <c r="AC41" s="46">
        <v>16</v>
      </c>
      <c r="AD41" s="46"/>
      <c r="AE41" s="46">
        <v>16</v>
      </c>
      <c r="AF41" s="46">
        <v>16</v>
      </c>
      <c r="AG41" s="50">
        <v>15.33</v>
      </c>
      <c r="AH41" s="48">
        <f t="shared" si="2"/>
        <v>16</v>
      </c>
      <c r="AI41" s="49">
        <f t="shared" si="3"/>
        <v>16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/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/>
      <c r="AE43" s="46">
        <v>14</v>
      </c>
      <c r="AF43" s="46">
        <v>14</v>
      </c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12</v>
      </c>
      <c r="C44" s="46">
        <v>12</v>
      </c>
      <c r="D44" s="46">
        <v>12</v>
      </c>
      <c r="E44" s="46">
        <v>12</v>
      </c>
      <c r="F44" s="46">
        <v>12</v>
      </c>
      <c r="G44" s="46">
        <v>12</v>
      </c>
      <c r="H44" s="46">
        <v>12</v>
      </c>
      <c r="I44" s="46">
        <v>12</v>
      </c>
      <c r="J44" s="46">
        <v>12</v>
      </c>
      <c r="K44" s="46">
        <v>12</v>
      </c>
      <c r="L44" s="46">
        <v>12</v>
      </c>
      <c r="M44" s="46">
        <v>12</v>
      </c>
      <c r="N44" s="46">
        <v>12</v>
      </c>
      <c r="O44" s="46">
        <v>12</v>
      </c>
      <c r="P44" s="46">
        <v>12</v>
      </c>
      <c r="Q44" s="46">
        <v>12</v>
      </c>
      <c r="R44" s="46">
        <v>12</v>
      </c>
      <c r="S44" s="46">
        <v>12</v>
      </c>
      <c r="T44" s="46">
        <v>12</v>
      </c>
      <c r="U44" s="46">
        <v>12</v>
      </c>
      <c r="V44" s="46">
        <v>12</v>
      </c>
      <c r="W44" s="46">
        <v>12</v>
      </c>
      <c r="X44" s="46">
        <v>12</v>
      </c>
      <c r="Y44" s="46">
        <v>12</v>
      </c>
      <c r="Z44" s="46">
        <v>12</v>
      </c>
      <c r="AA44" s="46">
        <v>12</v>
      </c>
      <c r="AB44" s="46">
        <v>12</v>
      </c>
      <c r="AC44" s="46">
        <v>12</v>
      </c>
      <c r="AD44" s="46"/>
      <c r="AE44" s="46">
        <v>12</v>
      </c>
      <c r="AF44" s="46">
        <v>12</v>
      </c>
      <c r="AG44" s="50">
        <v>14.8</v>
      </c>
      <c r="AH44" s="48">
        <f t="shared" si="2"/>
        <v>12</v>
      </c>
      <c r="AI44" s="49">
        <f t="shared" si="3"/>
        <v>12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/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</v>
      </c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>
        <v>7</v>
      </c>
      <c r="O46" s="46">
        <v>7</v>
      </c>
      <c r="P46" s="46">
        <v>7</v>
      </c>
      <c r="Q46" s="46">
        <v>7</v>
      </c>
      <c r="R46" s="46">
        <v>7</v>
      </c>
      <c r="S46" s="46">
        <v>7</v>
      </c>
      <c r="T46" s="46">
        <v>7</v>
      </c>
      <c r="U46" s="46">
        <v>7</v>
      </c>
      <c r="V46" s="46">
        <v>7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7</v>
      </c>
      <c r="AC46" s="46">
        <v>7</v>
      </c>
      <c r="AD46" s="46"/>
      <c r="AE46" s="46">
        <v>7</v>
      </c>
      <c r="AF46" s="46">
        <v>7</v>
      </c>
      <c r="AG46" s="50">
        <v>14</v>
      </c>
      <c r="AH46" s="48">
        <f t="shared" si="2"/>
        <v>7</v>
      </c>
      <c r="AI46" s="49">
        <f t="shared" si="3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/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/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10</v>
      </c>
      <c r="C49" s="46">
        <v>10</v>
      </c>
      <c r="D49" s="46">
        <v>10</v>
      </c>
      <c r="E49" s="46">
        <v>10</v>
      </c>
      <c r="F49" s="46">
        <v>3.6</v>
      </c>
      <c r="G49" s="46">
        <v>3.6</v>
      </c>
      <c r="H49" s="46">
        <v>3.6</v>
      </c>
      <c r="I49" s="46">
        <v>3.6</v>
      </c>
      <c r="J49" s="46">
        <v>3.6</v>
      </c>
      <c r="K49" s="46">
        <v>3.6</v>
      </c>
      <c r="L49" s="46">
        <v>3.6</v>
      </c>
      <c r="M49" s="46">
        <v>3.6</v>
      </c>
      <c r="N49" s="46">
        <v>3.6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8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/>
      <c r="AE49" s="46">
        <v>6</v>
      </c>
      <c r="AF49" s="46">
        <v>0</v>
      </c>
      <c r="AG49" s="50">
        <v>12</v>
      </c>
      <c r="AH49" s="48">
        <f t="shared" si="2"/>
        <v>12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/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0</v>
      </c>
      <c r="C51" s="46">
        <v>0</v>
      </c>
      <c r="D51" s="46">
        <v>0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/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/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11</v>
      </c>
      <c r="C53" s="46">
        <v>11</v>
      </c>
      <c r="D53" s="46">
        <v>11</v>
      </c>
      <c r="E53" s="46">
        <v>11</v>
      </c>
      <c r="F53" s="46">
        <v>11</v>
      </c>
      <c r="G53" s="46">
        <v>11</v>
      </c>
      <c r="H53" s="46">
        <v>11</v>
      </c>
      <c r="I53" s="46">
        <v>11</v>
      </c>
      <c r="J53" s="46">
        <v>11</v>
      </c>
      <c r="K53" s="46">
        <v>11</v>
      </c>
      <c r="L53" s="46">
        <v>11</v>
      </c>
      <c r="M53" s="46">
        <v>11</v>
      </c>
      <c r="N53" s="46">
        <v>11</v>
      </c>
      <c r="O53" s="46">
        <v>11</v>
      </c>
      <c r="P53" s="46">
        <v>11</v>
      </c>
      <c r="Q53" s="46">
        <v>11</v>
      </c>
      <c r="R53" s="46">
        <v>11</v>
      </c>
      <c r="S53" s="46">
        <v>11</v>
      </c>
      <c r="T53" s="46">
        <v>11</v>
      </c>
      <c r="U53" s="46">
        <v>11</v>
      </c>
      <c r="V53" s="46">
        <v>11</v>
      </c>
      <c r="W53" s="46">
        <v>11</v>
      </c>
      <c r="X53" s="46">
        <v>11</v>
      </c>
      <c r="Y53" s="46">
        <v>11</v>
      </c>
      <c r="Z53" s="46">
        <v>11</v>
      </c>
      <c r="AA53" s="46">
        <v>11</v>
      </c>
      <c r="AB53" s="46">
        <v>11</v>
      </c>
      <c r="AC53" s="46">
        <v>11</v>
      </c>
      <c r="AD53" s="46"/>
      <c r="AE53" s="46">
        <v>11</v>
      </c>
      <c r="AF53" s="46">
        <v>11</v>
      </c>
      <c r="AG53" s="61">
        <v>11.88</v>
      </c>
      <c r="AH53" s="48">
        <f t="shared" si="2"/>
        <v>11</v>
      </c>
      <c r="AI53" s="49">
        <f t="shared" si="3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/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11.5</v>
      </c>
      <c r="C55" s="46">
        <v>11.5</v>
      </c>
      <c r="D55" s="46">
        <v>11.5</v>
      </c>
      <c r="E55" s="46">
        <v>11.5</v>
      </c>
      <c r="F55" s="46">
        <v>11.5</v>
      </c>
      <c r="G55" s="46">
        <v>11.5</v>
      </c>
      <c r="H55" s="46">
        <v>11.5</v>
      </c>
      <c r="I55" s="46">
        <v>11.5</v>
      </c>
      <c r="J55" s="46">
        <v>11.5</v>
      </c>
      <c r="K55" s="46">
        <v>11.5</v>
      </c>
      <c r="L55" s="46">
        <v>11.5</v>
      </c>
      <c r="M55" s="46">
        <v>11.5</v>
      </c>
      <c r="N55" s="46">
        <v>11.5</v>
      </c>
      <c r="O55" s="46">
        <v>11.5</v>
      </c>
      <c r="P55" s="46">
        <v>11.5</v>
      </c>
      <c r="Q55" s="46">
        <v>11.5</v>
      </c>
      <c r="R55" s="46">
        <v>11.5</v>
      </c>
      <c r="S55" s="46">
        <v>11.7</v>
      </c>
      <c r="T55" s="46">
        <v>11.7</v>
      </c>
      <c r="U55" s="46">
        <v>11.7</v>
      </c>
      <c r="V55" s="46">
        <v>11.7</v>
      </c>
      <c r="W55" s="46">
        <v>11.7</v>
      </c>
      <c r="X55" s="46">
        <v>11.7</v>
      </c>
      <c r="Y55" s="46">
        <v>11.7</v>
      </c>
      <c r="Z55" s="46">
        <v>11.7</v>
      </c>
      <c r="AA55" s="46">
        <v>11.7</v>
      </c>
      <c r="AB55" s="46">
        <v>11.7</v>
      </c>
      <c r="AC55" s="46">
        <v>11.7</v>
      </c>
      <c r="AD55" s="46"/>
      <c r="AE55" s="46">
        <v>11.7</v>
      </c>
      <c r="AF55" s="46">
        <v>11.7</v>
      </c>
      <c r="AG55" s="66">
        <v>11</v>
      </c>
      <c r="AH55" s="48">
        <f t="shared" si="2"/>
        <v>11.7</v>
      </c>
      <c r="AI55" s="49">
        <f t="shared" si="3"/>
        <v>11.5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/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/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10</v>
      </c>
      <c r="C58" s="46">
        <v>10</v>
      </c>
      <c r="D58" s="46">
        <v>10</v>
      </c>
      <c r="E58" s="46">
        <v>10</v>
      </c>
      <c r="F58" s="46">
        <v>10</v>
      </c>
      <c r="G58" s="46">
        <v>10</v>
      </c>
      <c r="H58" s="46">
        <v>10</v>
      </c>
      <c r="I58" s="46">
        <v>10</v>
      </c>
      <c r="J58" s="46">
        <v>10</v>
      </c>
      <c r="K58" s="46">
        <v>10</v>
      </c>
      <c r="L58" s="46">
        <v>10</v>
      </c>
      <c r="M58" s="46">
        <v>10</v>
      </c>
      <c r="N58" s="46">
        <v>10</v>
      </c>
      <c r="O58" s="46">
        <v>10</v>
      </c>
      <c r="P58" s="46">
        <v>10</v>
      </c>
      <c r="Q58" s="46">
        <v>10</v>
      </c>
      <c r="R58" s="46">
        <v>10</v>
      </c>
      <c r="S58" s="46">
        <v>10</v>
      </c>
      <c r="T58" s="46">
        <v>10</v>
      </c>
      <c r="U58" s="46">
        <v>10</v>
      </c>
      <c r="V58" s="46">
        <v>10</v>
      </c>
      <c r="W58" s="46">
        <v>10</v>
      </c>
      <c r="X58" s="46">
        <v>10</v>
      </c>
      <c r="Y58" s="46">
        <v>10</v>
      </c>
      <c r="Z58" s="46">
        <v>10</v>
      </c>
      <c r="AA58" s="46">
        <v>10</v>
      </c>
      <c r="AB58" s="46">
        <v>10</v>
      </c>
      <c r="AC58" s="46">
        <v>10</v>
      </c>
      <c r="AD58" s="46"/>
      <c r="AE58" s="46">
        <v>10</v>
      </c>
      <c r="AF58" s="46">
        <v>10</v>
      </c>
      <c r="AG58" s="66">
        <v>10</v>
      </c>
      <c r="AH58" s="48">
        <f t="shared" si="2"/>
        <v>10</v>
      </c>
      <c r="AI58" s="49">
        <f t="shared" si="3"/>
        <v>10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53">
        <f>78.2+109.6</f>
        <v>187.8</v>
      </c>
      <c r="C60" s="53">
        <f>78.3+109.6</f>
        <v>187.89999999999998</v>
      </c>
      <c r="D60" s="53">
        <f>45.6+108.6</f>
        <v>154.19999999999999</v>
      </c>
      <c r="E60" s="53">
        <f>45.6+108.6</f>
        <v>154.19999999999999</v>
      </c>
      <c r="F60" s="53">
        <f>45.6+108.6</f>
        <v>154.19999999999999</v>
      </c>
      <c r="G60" s="53">
        <v>150</v>
      </c>
      <c r="H60" s="68">
        <f>106.3+45.4</f>
        <v>151.69999999999999</v>
      </c>
      <c r="I60" s="68">
        <f>103.8+44.6</f>
        <v>148.4</v>
      </c>
      <c r="J60" s="68">
        <v>149</v>
      </c>
      <c r="K60" s="68">
        <v>149</v>
      </c>
      <c r="L60" s="53">
        <f>98.8+68.3</f>
        <v>167.1</v>
      </c>
      <c r="M60" s="53">
        <f>98.8+68.3</f>
        <v>167.1</v>
      </c>
      <c r="N60" s="53">
        <f>98.8+68.3</f>
        <v>167.1</v>
      </c>
      <c r="O60" s="53">
        <v>175</v>
      </c>
      <c r="P60" s="53">
        <v>175</v>
      </c>
      <c r="Q60" s="53">
        <v>175</v>
      </c>
      <c r="R60" s="53">
        <v>175</v>
      </c>
      <c r="S60" s="53">
        <v>177</v>
      </c>
      <c r="T60" s="53">
        <v>177</v>
      </c>
      <c r="U60" s="53">
        <v>177</v>
      </c>
      <c r="V60" s="53">
        <v>177</v>
      </c>
      <c r="W60" s="53">
        <v>177</v>
      </c>
      <c r="X60" s="53">
        <v>181</v>
      </c>
      <c r="Y60" s="53">
        <v>181</v>
      </c>
      <c r="Z60" s="53">
        <v>181</v>
      </c>
      <c r="AA60" s="53">
        <v>181</v>
      </c>
      <c r="AB60" s="53">
        <v>181</v>
      </c>
      <c r="AC60" s="53">
        <v>181</v>
      </c>
      <c r="AD60" s="68"/>
      <c r="AE60" s="68">
        <v>181</v>
      </c>
      <c r="AF60" s="68">
        <v>167</v>
      </c>
      <c r="AG60" s="66">
        <v>240</v>
      </c>
      <c r="AH60" s="48">
        <f t="shared" si="2"/>
        <v>187.89999999999998</v>
      </c>
      <c r="AI60" s="49">
        <f t="shared" si="3"/>
        <v>148.4</v>
      </c>
      <c r="AK60" s="51"/>
    </row>
    <row r="61" spans="1:88" ht="15.75" thickBot="1" x14ac:dyDescent="0.3">
      <c r="A61" s="70" t="s">
        <v>75</v>
      </c>
      <c r="B61" s="71">
        <f t="shared" ref="B61:C61" si="23">SUM(B11:B59)</f>
        <v>1251.5999999999999</v>
      </c>
      <c r="C61" s="71">
        <f t="shared" si="23"/>
        <v>1239.3</v>
      </c>
      <c r="D61" s="71">
        <f t="shared" ref="D61:E61" si="24">SUM(D11:D59)</f>
        <v>1217.3</v>
      </c>
      <c r="E61" s="71">
        <f t="shared" si="24"/>
        <v>1192.5</v>
      </c>
      <c r="F61" s="71">
        <f t="shared" ref="F61:H61" si="25">SUM(F11:F59)</f>
        <v>1173.0999999999999</v>
      </c>
      <c r="G61" s="71">
        <f t="shared" si="25"/>
        <v>1173.0999999999999</v>
      </c>
      <c r="H61" s="71">
        <f t="shared" si="25"/>
        <v>1159.3</v>
      </c>
      <c r="I61" s="71">
        <f t="shared" ref="I61:AG61" si="26">SUM(I11:I59)</f>
        <v>1159.3</v>
      </c>
      <c r="J61" s="71">
        <f t="shared" si="26"/>
        <v>1168.6999999999998</v>
      </c>
      <c r="K61" s="71">
        <f t="shared" ref="K61" si="27">SUM(K11:K59)</f>
        <v>1247.7999999999997</v>
      </c>
      <c r="L61" s="71">
        <f t="shared" si="26"/>
        <v>1248.6999999999998</v>
      </c>
      <c r="M61" s="71">
        <f t="shared" si="26"/>
        <v>1253.6999999999998</v>
      </c>
      <c r="N61" s="71">
        <f t="shared" si="26"/>
        <v>1289.5999999999999</v>
      </c>
      <c r="O61" s="71">
        <f t="shared" si="26"/>
        <v>1430.5</v>
      </c>
      <c r="P61" s="71">
        <f t="shared" si="26"/>
        <v>1430.5</v>
      </c>
      <c r="Q61" s="71">
        <f t="shared" si="26"/>
        <v>1430.5</v>
      </c>
      <c r="R61" s="71">
        <f t="shared" si="26"/>
        <v>1430.5</v>
      </c>
      <c r="S61" s="71">
        <f>SUM(S11:S59)</f>
        <v>1428.0000000000002</v>
      </c>
      <c r="T61" s="71">
        <f t="shared" si="26"/>
        <v>1428.0000000000002</v>
      </c>
      <c r="U61" s="71">
        <f t="shared" ref="U61" si="28">SUM(U11:U59)</f>
        <v>1431.1000000000001</v>
      </c>
      <c r="V61" s="71">
        <f t="shared" si="26"/>
        <v>1330.4</v>
      </c>
      <c r="W61" s="71">
        <f t="shared" si="26"/>
        <v>1300.4000000000001</v>
      </c>
      <c r="X61" s="71">
        <f t="shared" si="26"/>
        <v>1316.4</v>
      </c>
      <c r="Y61" s="71">
        <f>SUM(Y11:Y59)</f>
        <v>1316.4</v>
      </c>
      <c r="Z61" s="71">
        <f>SUM(Z11:Z59)</f>
        <v>1322.9</v>
      </c>
      <c r="AA61" s="71">
        <f t="shared" si="26"/>
        <v>1449.8999999999999</v>
      </c>
      <c r="AB61" s="71">
        <f t="shared" ref="AB61:AC61" si="29">SUM(AB11:AB59)</f>
        <v>1452.6999999999998</v>
      </c>
      <c r="AC61" s="71">
        <f t="shared" si="29"/>
        <v>1452.6999999999998</v>
      </c>
      <c r="AD61" s="71">
        <f t="shared" si="26"/>
        <v>300</v>
      </c>
      <c r="AE61" s="71">
        <v>1413.6999999999998</v>
      </c>
      <c r="AF61" s="71">
        <v>1413.6999999999998</v>
      </c>
      <c r="AG61" s="71">
        <f t="shared" si="26"/>
        <v>1466.0300000000002</v>
      </c>
      <c r="AH61" s="48">
        <f t="shared" si="2"/>
        <v>1452.6999999999998</v>
      </c>
      <c r="AI61" s="49">
        <f t="shared" si="3"/>
        <v>300</v>
      </c>
      <c r="AK61" s="51"/>
    </row>
    <row r="62" spans="1:88" x14ac:dyDescent="0.25">
      <c r="A62" s="73" t="s">
        <v>76</v>
      </c>
      <c r="B62" s="74">
        <v>382.8</v>
      </c>
      <c r="C62" s="74">
        <v>382.8</v>
      </c>
      <c r="D62" s="74">
        <v>382.8</v>
      </c>
      <c r="E62" s="74">
        <v>382.8</v>
      </c>
      <c r="F62" s="74">
        <v>382.8</v>
      </c>
      <c r="G62" s="74">
        <v>382.8</v>
      </c>
      <c r="H62" s="74">
        <v>382.8</v>
      </c>
      <c r="I62" s="74">
        <v>382.8</v>
      </c>
      <c r="J62" s="74">
        <v>382.8</v>
      </c>
      <c r="K62" s="74">
        <v>382.8</v>
      </c>
      <c r="L62" s="74">
        <v>382.8</v>
      </c>
      <c r="M62" s="74">
        <v>382.8</v>
      </c>
      <c r="N62" s="74">
        <v>382.8</v>
      </c>
      <c r="O62" s="74">
        <v>382.9</v>
      </c>
      <c r="P62" s="74">
        <v>382.9</v>
      </c>
      <c r="Q62" s="74">
        <v>382.9</v>
      </c>
      <c r="R62" s="74">
        <v>382.9</v>
      </c>
      <c r="S62" s="74">
        <v>457</v>
      </c>
      <c r="T62" s="74">
        <v>457</v>
      </c>
      <c r="U62" s="74">
        <v>457</v>
      </c>
      <c r="V62" s="74">
        <v>457</v>
      </c>
      <c r="W62" s="74">
        <v>457</v>
      </c>
      <c r="X62" s="74">
        <v>457</v>
      </c>
      <c r="Y62" s="74">
        <v>457</v>
      </c>
      <c r="Z62" s="74">
        <v>457</v>
      </c>
      <c r="AA62" s="74">
        <v>457</v>
      </c>
      <c r="AB62" s="74">
        <v>457</v>
      </c>
      <c r="AC62" s="74">
        <v>457</v>
      </c>
      <c r="AD62" s="46"/>
      <c r="AE62" s="46">
        <v>457</v>
      </c>
      <c r="AF62" s="46">
        <v>382</v>
      </c>
      <c r="AG62" s="61">
        <v>456</v>
      </c>
      <c r="AH62" s="48">
        <f t="shared" si="2"/>
        <v>457</v>
      </c>
      <c r="AI62" s="49">
        <f t="shared" si="3"/>
        <v>382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/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11</v>
      </c>
      <c r="T64" s="78">
        <v>11</v>
      </c>
      <c r="U64" s="78">
        <v>11</v>
      </c>
      <c r="V64" s="78">
        <v>11</v>
      </c>
      <c r="W64" s="78">
        <v>11</v>
      </c>
      <c r="X64" s="78">
        <v>11</v>
      </c>
      <c r="Y64" s="78">
        <v>22</v>
      </c>
      <c r="Z64" s="78">
        <v>22</v>
      </c>
      <c r="AA64" s="78">
        <v>22.4</v>
      </c>
      <c r="AB64" s="78">
        <v>22.4</v>
      </c>
      <c r="AC64" s="78">
        <v>22.4</v>
      </c>
      <c r="AD64" s="78"/>
      <c r="AE64" s="78">
        <v>22.4</v>
      </c>
      <c r="AF64" s="78">
        <v>0</v>
      </c>
      <c r="AG64" s="79">
        <v>22.1</v>
      </c>
      <c r="AH64" s="48">
        <f t="shared" si="2"/>
        <v>22.5</v>
      </c>
      <c r="AI64" s="49">
        <f t="shared" si="3"/>
        <v>0</v>
      </c>
      <c r="AK64" s="51"/>
    </row>
    <row r="65" spans="1:75" ht="15.75" thickBot="1" x14ac:dyDescent="0.3">
      <c r="A65" s="80" t="s">
        <v>79</v>
      </c>
      <c r="B65" s="71">
        <f t="shared" ref="B65:C65" si="30">SUM(B62:B64)</f>
        <v>465.3</v>
      </c>
      <c r="C65" s="71">
        <f t="shared" si="30"/>
        <v>465.3</v>
      </c>
      <c r="D65" s="71">
        <f t="shared" ref="D65:E65" si="31">SUM(D62:D64)</f>
        <v>465.3</v>
      </c>
      <c r="E65" s="71">
        <f t="shared" si="31"/>
        <v>465.3</v>
      </c>
      <c r="F65" s="71">
        <f t="shared" ref="F65:H65" si="32">SUM(F62:F64)</f>
        <v>465.3</v>
      </c>
      <c r="G65" s="71">
        <f t="shared" si="32"/>
        <v>465.3</v>
      </c>
      <c r="H65" s="71">
        <f t="shared" si="32"/>
        <v>465.3</v>
      </c>
      <c r="I65" s="71">
        <f t="shared" ref="I65:J65" si="33">SUM(I62:I64)</f>
        <v>465.3</v>
      </c>
      <c r="J65" s="71">
        <f t="shared" si="33"/>
        <v>465.3</v>
      </c>
      <c r="K65" s="71">
        <f t="shared" ref="K65:M65" si="34">SUM(K62:K64)</f>
        <v>465.3</v>
      </c>
      <c r="L65" s="71">
        <f t="shared" si="34"/>
        <v>465.3</v>
      </c>
      <c r="M65" s="71">
        <f t="shared" si="34"/>
        <v>465.3</v>
      </c>
      <c r="N65" s="71">
        <f t="shared" ref="N65:AG65" si="35">SUM(N62:N64)</f>
        <v>465.3</v>
      </c>
      <c r="O65" s="71">
        <f t="shared" si="35"/>
        <v>465.4</v>
      </c>
      <c r="P65" s="71">
        <f t="shared" si="35"/>
        <v>465.4</v>
      </c>
      <c r="Q65" s="71">
        <f t="shared" si="35"/>
        <v>465.4</v>
      </c>
      <c r="R65" s="71">
        <f t="shared" si="35"/>
        <v>465.4</v>
      </c>
      <c r="S65" s="71">
        <f t="shared" si="35"/>
        <v>528</v>
      </c>
      <c r="T65" s="71">
        <f t="shared" si="35"/>
        <v>528</v>
      </c>
      <c r="U65" s="71">
        <f t="shared" ref="U65" si="36">SUM(U62:U64)</f>
        <v>528</v>
      </c>
      <c r="V65" s="71">
        <f t="shared" si="35"/>
        <v>528</v>
      </c>
      <c r="W65" s="71">
        <f t="shared" si="35"/>
        <v>528</v>
      </c>
      <c r="X65" s="71">
        <f t="shared" si="35"/>
        <v>528</v>
      </c>
      <c r="Y65" s="71">
        <f t="shared" ref="Y65:Z65" si="37">SUM(Y62:Y64)</f>
        <v>539</v>
      </c>
      <c r="Z65" s="71">
        <f t="shared" si="37"/>
        <v>539</v>
      </c>
      <c r="AA65" s="71">
        <f t="shared" si="35"/>
        <v>539.4</v>
      </c>
      <c r="AB65" s="71">
        <f t="shared" ref="AB65:AC65" si="38">SUM(AB62:AB64)</f>
        <v>539.4</v>
      </c>
      <c r="AC65" s="71">
        <f t="shared" si="38"/>
        <v>539.4</v>
      </c>
      <c r="AD65" s="71">
        <f t="shared" si="35"/>
        <v>0</v>
      </c>
      <c r="AE65" s="71">
        <v>539.4</v>
      </c>
      <c r="AF65" s="71">
        <v>539.4</v>
      </c>
      <c r="AG65" s="72">
        <f t="shared" si="35"/>
        <v>538.1</v>
      </c>
      <c r="AH65" s="48">
        <f t="shared" si="2"/>
        <v>539.4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133.5</v>
      </c>
      <c r="C66" s="46">
        <v>133.5</v>
      </c>
      <c r="D66" s="46">
        <v>132.69999999999999</v>
      </c>
      <c r="E66" s="46">
        <v>132.69999999999999</v>
      </c>
      <c r="F66" s="46">
        <v>111.9</v>
      </c>
      <c r="G66" s="46">
        <v>111.9</v>
      </c>
      <c r="H66" s="46">
        <v>111.9</v>
      </c>
      <c r="I66" s="46">
        <v>111.9</v>
      </c>
      <c r="J66" s="46">
        <v>111.9</v>
      </c>
      <c r="K66" s="46">
        <v>136.6</v>
      </c>
      <c r="L66" s="46">
        <v>136.6</v>
      </c>
      <c r="M66" s="46">
        <v>135.30000000000001</v>
      </c>
      <c r="N66" s="46">
        <v>135.30000000000001</v>
      </c>
      <c r="O66" s="46">
        <v>131.30000000000001</v>
      </c>
      <c r="P66" s="46">
        <v>131.30000000000001</v>
      </c>
      <c r="Q66" s="46">
        <v>131.30000000000001</v>
      </c>
      <c r="R66" s="46">
        <v>131.30000000000001</v>
      </c>
      <c r="S66" s="46">
        <v>132.4</v>
      </c>
      <c r="T66" s="46">
        <v>132.4</v>
      </c>
      <c r="U66" s="46">
        <v>132.4</v>
      </c>
      <c r="V66" s="46">
        <v>132.4</v>
      </c>
      <c r="W66" s="46">
        <v>132.4</v>
      </c>
      <c r="X66" s="46">
        <v>132.4</v>
      </c>
      <c r="Y66" s="46">
        <v>132.4</v>
      </c>
      <c r="Z66" s="46">
        <v>132.4</v>
      </c>
      <c r="AA66" s="46">
        <v>132.4</v>
      </c>
      <c r="AB66" s="46">
        <v>132.4</v>
      </c>
      <c r="AC66" s="46">
        <v>132.4</v>
      </c>
      <c r="AD66" s="46"/>
      <c r="AE66" s="46">
        <v>132.4</v>
      </c>
      <c r="AF66" s="46">
        <v>132.4</v>
      </c>
      <c r="AG66" s="61">
        <v>144</v>
      </c>
      <c r="AH66" s="48">
        <f t="shared" si="2"/>
        <v>136.6</v>
      </c>
      <c r="AI66" s="49">
        <f t="shared" si="3"/>
        <v>111.9</v>
      </c>
      <c r="AK66" s="51"/>
      <c r="AY66" s="1" t="s">
        <v>86</v>
      </c>
      <c r="AZ66" s="82">
        <f>ROUND(C84,0)</f>
        <v>-60</v>
      </c>
      <c r="BA66" s="81">
        <f t="shared" ref="BA66:BD70" si="39">D84</f>
        <v>-62.1</v>
      </c>
      <c r="BB66" s="81">
        <f t="shared" si="39"/>
        <v>-64</v>
      </c>
      <c r="BC66" s="81">
        <f t="shared" si="39"/>
        <v>-66.599999999999994</v>
      </c>
      <c r="BD66" s="81">
        <f t="shared" si="39"/>
        <v>-66.599999999999994</v>
      </c>
      <c r="BE66" s="82">
        <f>I84</f>
        <v>-68</v>
      </c>
      <c r="BF66" s="82">
        <f>K84</f>
        <v>-54</v>
      </c>
      <c r="BG66" s="82">
        <f t="shared" ref="BG66:BP70" si="40">M84</f>
        <v>-63.5</v>
      </c>
      <c r="BH66" s="82">
        <f t="shared" si="40"/>
        <v>-58</v>
      </c>
      <c r="BI66" s="82">
        <f t="shared" si="40"/>
        <v>-59.6</v>
      </c>
      <c r="BJ66" s="82">
        <f t="shared" si="40"/>
        <v>-53</v>
      </c>
      <c r="BK66" s="82">
        <f t="shared" si="40"/>
        <v>-55</v>
      </c>
      <c r="BL66" s="82">
        <f t="shared" si="40"/>
        <v>-59.6</v>
      </c>
      <c r="BM66" s="82">
        <f t="shared" si="40"/>
        <v>-58</v>
      </c>
      <c r="BN66" s="82">
        <f t="shared" si="40"/>
        <v>-48.4</v>
      </c>
      <c r="BO66" s="82">
        <f t="shared" si="40"/>
        <v>-64.5</v>
      </c>
      <c r="BP66" s="82">
        <f t="shared" si="40"/>
        <v>-63.3</v>
      </c>
      <c r="BQ66" s="82">
        <f>X84</f>
        <v>-63.9</v>
      </c>
      <c r="BR66" s="82">
        <f>Z84</f>
        <v>-59.9</v>
      </c>
      <c r="BS66" s="81">
        <f>AB84</f>
        <v>-56.1</v>
      </c>
      <c r="BT66" s="81">
        <f t="shared" ref="BT66:BV70" si="41">AD84</f>
        <v>0</v>
      </c>
      <c r="BU66" s="81">
        <f t="shared" si="41"/>
        <v>-31</v>
      </c>
      <c r="BV66" s="81">
        <f t="shared" si="41"/>
        <v>-37</v>
      </c>
      <c r="BW66" s="81">
        <f>B84</f>
        <v>-59.9</v>
      </c>
    </row>
    <row r="67" spans="1:75" x14ac:dyDescent="0.25">
      <c r="A67" s="65" t="s">
        <v>81</v>
      </c>
      <c r="B67" s="76">
        <v>70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69</v>
      </c>
      <c r="N67" s="76">
        <v>69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76">
        <v>70</v>
      </c>
      <c r="AC67" s="76">
        <v>70</v>
      </c>
      <c r="AD67" s="46"/>
      <c r="AE67" s="46">
        <v>70</v>
      </c>
      <c r="AF67" s="46">
        <v>70</v>
      </c>
      <c r="AG67" s="66">
        <v>70</v>
      </c>
      <c r="AH67" s="48">
        <f t="shared" si="2"/>
        <v>70</v>
      </c>
      <c r="AI67" s="49">
        <f t="shared" si="3"/>
        <v>69</v>
      </c>
      <c r="AK67" s="51"/>
      <c r="AY67" s="1" t="s">
        <v>88</v>
      </c>
      <c r="AZ67" s="82">
        <f>ROUND(C85,0)</f>
        <v>0</v>
      </c>
      <c r="BA67" s="81">
        <f t="shared" si="39"/>
        <v>0</v>
      </c>
      <c r="BB67" s="81">
        <f t="shared" si="39"/>
        <v>0</v>
      </c>
      <c r="BC67" s="81">
        <f t="shared" si="39"/>
        <v>0</v>
      </c>
      <c r="BD67" s="81">
        <f t="shared" si="39"/>
        <v>0</v>
      </c>
      <c r="BE67" s="82">
        <f>I85</f>
        <v>0</v>
      </c>
      <c r="BF67" s="82">
        <f>K85</f>
        <v>0</v>
      </c>
      <c r="BG67" s="82">
        <f t="shared" si="40"/>
        <v>0</v>
      </c>
      <c r="BH67" s="82">
        <f t="shared" si="40"/>
        <v>0</v>
      </c>
      <c r="BI67" s="82">
        <f t="shared" si="40"/>
        <v>0</v>
      </c>
      <c r="BJ67" s="82">
        <f t="shared" si="40"/>
        <v>0</v>
      </c>
      <c r="BK67" s="82">
        <f t="shared" si="40"/>
        <v>0</v>
      </c>
      <c r="BL67" s="82">
        <f t="shared" si="40"/>
        <v>0</v>
      </c>
      <c r="BM67" s="82">
        <f t="shared" si="40"/>
        <v>0</v>
      </c>
      <c r="BN67" s="82">
        <f t="shared" si="40"/>
        <v>0</v>
      </c>
      <c r="BO67" s="82">
        <f t="shared" si="40"/>
        <v>0</v>
      </c>
      <c r="BP67" s="82">
        <f t="shared" si="40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1"/>
        <v>0</v>
      </c>
      <c r="BU67" s="81">
        <f t="shared" si="41"/>
        <v>0</v>
      </c>
      <c r="BV67" s="81">
        <f t="shared" si="41"/>
        <v>0</v>
      </c>
      <c r="BW67" s="81">
        <f>B85</f>
        <v>0</v>
      </c>
    </row>
    <row r="68" spans="1:75" x14ac:dyDescent="0.25">
      <c r="A68" s="65" t="s">
        <v>82</v>
      </c>
      <c r="B68" s="76">
        <v>63.9</v>
      </c>
      <c r="C68" s="76">
        <v>63.9</v>
      </c>
      <c r="D68" s="76">
        <v>62.9</v>
      </c>
      <c r="E68" s="76">
        <v>62.9</v>
      </c>
      <c r="F68" s="76">
        <v>62.9</v>
      </c>
      <c r="G68" s="76">
        <v>62.9</v>
      </c>
      <c r="H68" s="76">
        <v>62.9</v>
      </c>
      <c r="I68" s="76">
        <v>62.9</v>
      </c>
      <c r="J68" s="76">
        <v>62.9</v>
      </c>
      <c r="K68" s="76">
        <v>62.9</v>
      </c>
      <c r="L68" s="76">
        <v>62.9</v>
      </c>
      <c r="M68" s="76">
        <v>63</v>
      </c>
      <c r="N68" s="76">
        <v>63</v>
      </c>
      <c r="O68" s="76">
        <v>64</v>
      </c>
      <c r="P68" s="76">
        <v>64</v>
      </c>
      <c r="Q68" s="76">
        <v>64</v>
      </c>
      <c r="R68" s="76">
        <v>64</v>
      </c>
      <c r="S68" s="76">
        <v>63.3</v>
      </c>
      <c r="T68" s="76">
        <v>63.3</v>
      </c>
      <c r="U68" s="76">
        <v>63.3</v>
      </c>
      <c r="V68" s="76">
        <v>63.3</v>
      </c>
      <c r="W68" s="76">
        <v>63.3</v>
      </c>
      <c r="X68" s="76">
        <v>63.3</v>
      </c>
      <c r="Y68" s="76">
        <v>63.3</v>
      </c>
      <c r="Z68" s="76">
        <v>63.3</v>
      </c>
      <c r="AA68" s="76">
        <v>63.3</v>
      </c>
      <c r="AB68" s="76">
        <v>63.3</v>
      </c>
      <c r="AC68" s="76">
        <v>63.3</v>
      </c>
      <c r="AD68" s="46"/>
      <c r="AE68" s="46">
        <v>63.3</v>
      </c>
      <c r="AF68" s="46">
        <v>63.3</v>
      </c>
      <c r="AG68" s="66">
        <v>69</v>
      </c>
      <c r="AH68" s="48">
        <f t="shared" si="2"/>
        <v>64</v>
      </c>
      <c r="AI68" s="49">
        <f t="shared" si="3"/>
        <v>62.9</v>
      </c>
      <c r="AK68" s="51"/>
      <c r="AL68" s="83"/>
      <c r="AO68" s="83"/>
      <c r="AY68" s="1" t="s">
        <v>90</v>
      </c>
      <c r="AZ68" s="82">
        <f>ROUND(C86,0)</f>
        <v>-674</v>
      </c>
      <c r="BA68" s="81">
        <f t="shared" si="39"/>
        <v>-673.2</v>
      </c>
      <c r="BB68" s="81">
        <f t="shared" si="39"/>
        <v>-690</v>
      </c>
      <c r="BC68" s="81">
        <f t="shared" si="39"/>
        <v>-676</v>
      </c>
      <c r="BD68" s="81">
        <f t="shared" si="39"/>
        <v>-659</v>
      </c>
      <c r="BE68" s="82">
        <f>I86</f>
        <v>-655</v>
      </c>
      <c r="BF68" s="82">
        <f>K86</f>
        <v>-645</v>
      </c>
      <c r="BG68" s="82">
        <f t="shared" si="40"/>
        <v>-609</v>
      </c>
      <c r="BH68" s="82">
        <f t="shared" si="40"/>
        <v>-668</v>
      </c>
      <c r="BI68" s="82">
        <f t="shared" si="40"/>
        <v>-696</v>
      </c>
      <c r="BJ68" s="82">
        <f t="shared" si="40"/>
        <v>-613</v>
      </c>
      <c r="BK68" s="82">
        <f t="shared" si="40"/>
        <v>-620</v>
      </c>
      <c r="BL68" s="82">
        <f t="shared" si="40"/>
        <v>-614</v>
      </c>
      <c r="BM68" s="82">
        <f t="shared" si="40"/>
        <v>-678</v>
      </c>
      <c r="BN68" s="82">
        <f t="shared" si="40"/>
        <v>-592</v>
      </c>
      <c r="BO68" s="82">
        <f t="shared" si="40"/>
        <v>-662</v>
      </c>
      <c r="BP68" s="82">
        <f t="shared" si="40"/>
        <v>-709</v>
      </c>
      <c r="BQ68" s="82">
        <f>X86</f>
        <v>-672.3</v>
      </c>
      <c r="BR68" s="82">
        <f>Z86</f>
        <v>-673.69</v>
      </c>
      <c r="BS68" s="81">
        <f>AB86</f>
        <v>-656</v>
      </c>
      <c r="BT68" s="81">
        <f t="shared" si="41"/>
        <v>0</v>
      </c>
      <c r="BU68" s="81">
        <f t="shared" si="41"/>
        <v>-614</v>
      </c>
      <c r="BV68" s="81">
        <f t="shared" si="41"/>
        <v>-578</v>
      </c>
      <c r="BW68" s="81">
        <f>B86</f>
        <v>-635</v>
      </c>
    </row>
    <row r="69" spans="1:75" s="83" customFormat="1" x14ac:dyDescent="0.25">
      <c r="A69" s="65" t="s">
        <v>83</v>
      </c>
      <c r="B69" s="76">
        <v>61.4</v>
      </c>
      <c r="C69" s="76">
        <v>61.4</v>
      </c>
      <c r="D69" s="76">
        <v>61.4</v>
      </c>
      <c r="E69" s="76">
        <v>61.4</v>
      </c>
      <c r="F69" s="76">
        <v>61.4</v>
      </c>
      <c r="G69" s="76">
        <v>61.4</v>
      </c>
      <c r="H69" s="76">
        <v>61.4</v>
      </c>
      <c r="I69" s="76">
        <v>61.4</v>
      </c>
      <c r="J69" s="76">
        <v>61.4</v>
      </c>
      <c r="K69" s="76">
        <v>61.4</v>
      </c>
      <c r="L69" s="76">
        <v>61.4</v>
      </c>
      <c r="M69" s="76">
        <v>61.4</v>
      </c>
      <c r="N69" s="76">
        <v>61.4</v>
      </c>
      <c r="O69" s="76">
        <v>61.2</v>
      </c>
      <c r="P69" s="76">
        <v>61.2</v>
      </c>
      <c r="Q69" s="76">
        <v>61.2</v>
      </c>
      <c r="R69" s="76">
        <v>61.2</v>
      </c>
      <c r="S69" s="76">
        <v>61.2</v>
      </c>
      <c r="T69" s="76">
        <v>61.2</v>
      </c>
      <c r="U69" s="76">
        <v>61.2</v>
      </c>
      <c r="V69" s="76">
        <v>61.2</v>
      </c>
      <c r="W69" s="76">
        <v>61.2</v>
      </c>
      <c r="X69" s="76">
        <v>61.2</v>
      </c>
      <c r="Y69" s="76">
        <v>61.2</v>
      </c>
      <c r="Z69" s="76">
        <v>61.2</v>
      </c>
      <c r="AA69" s="76">
        <v>61.2</v>
      </c>
      <c r="AB69" s="76">
        <v>61.2</v>
      </c>
      <c r="AC69" s="76">
        <v>61.2</v>
      </c>
      <c r="AD69" s="46"/>
      <c r="AE69" s="46">
        <v>61.2</v>
      </c>
      <c r="AF69" s="46">
        <v>61.2</v>
      </c>
      <c r="AG69" s="66">
        <v>60</v>
      </c>
      <c r="AH69" s="48">
        <f t="shared" si="2"/>
        <v>61.4</v>
      </c>
      <c r="AI69" s="49">
        <f t="shared" si="3"/>
        <v>61.2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9"/>
        <v>0</v>
      </c>
      <c r="BB69" s="81">
        <f t="shared" si="39"/>
        <v>0</v>
      </c>
      <c r="BC69" s="81">
        <f t="shared" si="39"/>
        <v>0</v>
      </c>
      <c r="BD69" s="81">
        <f t="shared" si="39"/>
        <v>0</v>
      </c>
      <c r="BE69" s="82">
        <f>I87</f>
        <v>0</v>
      </c>
      <c r="BF69" s="82">
        <f>K87</f>
        <v>0</v>
      </c>
      <c r="BG69" s="82">
        <f t="shared" si="40"/>
        <v>0</v>
      </c>
      <c r="BH69" s="82">
        <f t="shared" si="40"/>
        <v>0</v>
      </c>
      <c r="BI69" s="82">
        <f t="shared" si="40"/>
        <v>0</v>
      </c>
      <c r="BJ69" s="82">
        <f t="shared" si="40"/>
        <v>0</v>
      </c>
      <c r="BK69" s="82">
        <f t="shared" si="40"/>
        <v>0</v>
      </c>
      <c r="BL69" s="82">
        <f t="shared" si="40"/>
        <v>0</v>
      </c>
      <c r="BM69" s="82">
        <f t="shared" si="40"/>
        <v>0</v>
      </c>
      <c r="BN69" s="82">
        <f t="shared" si="40"/>
        <v>0</v>
      </c>
      <c r="BO69" s="82">
        <f t="shared" si="40"/>
        <v>0</v>
      </c>
      <c r="BP69" s="82">
        <f t="shared" si="40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41"/>
        <v>0</v>
      </c>
      <c r="BU69" s="81">
        <f t="shared" si="41"/>
        <v>0</v>
      </c>
      <c r="BV69" s="81">
        <f t="shared" si="41"/>
        <v>0</v>
      </c>
      <c r="BW69" s="81">
        <f>B87</f>
        <v>0</v>
      </c>
    </row>
    <row r="70" spans="1:75" x14ac:dyDescent="0.25">
      <c r="A70" s="65" t="s">
        <v>84</v>
      </c>
      <c r="B70" s="68">
        <v>27.4</v>
      </c>
      <c r="C70" s="68">
        <v>27.4</v>
      </c>
      <c r="D70" s="68">
        <v>27.4</v>
      </c>
      <c r="E70" s="68">
        <v>27.4</v>
      </c>
      <c r="F70" s="68">
        <v>27.4</v>
      </c>
      <c r="G70" s="68">
        <v>27.4</v>
      </c>
      <c r="H70" s="68">
        <v>27.4</v>
      </c>
      <c r="I70" s="68">
        <v>25</v>
      </c>
      <c r="J70" s="68">
        <v>27.4</v>
      </c>
      <c r="K70" s="68">
        <v>14.4</v>
      </c>
      <c r="L70" s="68">
        <v>27.4</v>
      </c>
      <c r="M70" s="68">
        <v>27.4</v>
      </c>
      <c r="N70" s="68">
        <v>27.4</v>
      </c>
      <c r="O70" s="76">
        <v>27.5</v>
      </c>
      <c r="P70" s="76">
        <v>27.5</v>
      </c>
      <c r="Q70" s="76">
        <v>27.5</v>
      </c>
      <c r="R70" s="76">
        <v>27.5</v>
      </c>
      <c r="S70" s="76">
        <v>27.5</v>
      </c>
      <c r="T70" s="76">
        <v>27.5</v>
      </c>
      <c r="U70" s="76">
        <v>27.5</v>
      </c>
      <c r="V70" s="76">
        <v>27.5</v>
      </c>
      <c r="W70" s="76">
        <v>27.5</v>
      </c>
      <c r="X70" s="76">
        <v>27.5</v>
      </c>
      <c r="Y70" s="76">
        <v>27.5</v>
      </c>
      <c r="Z70" s="76">
        <v>27.5</v>
      </c>
      <c r="AA70" s="76">
        <v>27.5</v>
      </c>
      <c r="AB70" s="76">
        <v>27.5</v>
      </c>
      <c r="AC70" s="76">
        <v>27.5</v>
      </c>
      <c r="AD70" s="46"/>
      <c r="AE70" s="46">
        <v>27.5</v>
      </c>
      <c r="AF70" s="46">
        <v>27.5</v>
      </c>
      <c r="AG70" s="66">
        <v>30</v>
      </c>
      <c r="AH70" s="48">
        <f t="shared" si="2"/>
        <v>27.5</v>
      </c>
      <c r="AI70" s="49">
        <f t="shared" si="3"/>
        <v>14.4</v>
      </c>
      <c r="AK70" s="51"/>
      <c r="AY70" s="1" t="s">
        <v>94</v>
      </c>
      <c r="AZ70" s="82">
        <f>ROUND(C88,0)</f>
        <v>0</v>
      </c>
      <c r="BA70" s="81">
        <f t="shared" si="39"/>
        <v>0</v>
      </c>
      <c r="BB70" s="81">
        <f t="shared" si="39"/>
        <v>0</v>
      </c>
      <c r="BC70" s="81">
        <f t="shared" si="39"/>
        <v>0</v>
      </c>
      <c r="BD70" s="81">
        <f t="shared" si="39"/>
        <v>0</v>
      </c>
      <c r="BE70" s="82">
        <f>I88</f>
        <v>0</v>
      </c>
      <c r="BF70" s="82">
        <f>K88</f>
        <v>0</v>
      </c>
      <c r="BG70" s="82">
        <f t="shared" si="40"/>
        <v>0</v>
      </c>
      <c r="BH70" s="82">
        <f t="shared" si="40"/>
        <v>0</v>
      </c>
      <c r="BI70" s="82">
        <f t="shared" si="40"/>
        <v>0</v>
      </c>
      <c r="BJ70" s="82">
        <f t="shared" si="40"/>
        <v>0</v>
      </c>
      <c r="BK70" s="82">
        <f t="shared" si="40"/>
        <v>0</v>
      </c>
      <c r="BL70" s="82">
        <f t="shared" si="40"/>
        <v>0</v>
      </c>
      <c r="BM70" s="82">
        <f t="shared" si="40"/>
        <v>0</v>
      </c>
      <c r="BN70" s="82">
        <f t="shared" si="40"/>
        <v>0</v>
      </c>
      <c r="BO70" s="82">
        <f t="shared" si="40"/>
        <v>0</v>
      </c>
      <c r="BP70" s="82">
        <f t="shared" si="40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41"/>
        <v>0</v>
      </c>
      <c r="BU70" s="81">
        <f t="shared" si="41"/>
        <v>0</v>
      </c>
      <c r="BV70" s="81">
        <f t="shared" si="41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0.8</v>
      </c>
      <c r="K71" s="46">
        <v>3.3</v>
      </c>
      <c r="L71" s="46">
        <v>3.5</v>
      </c>
      <c r="M71" s="46">
        <v>3.5</v>
      </c>
      <c r="N71" s="46">
        <v>3.5</v>
      </c>
      <c r="O71" s="76">
        <v>16.2</v>
      </c>
      <c r="P71" s="76">
        <v>16.2</v>
      </c>
      <c r="Q71" s="76">
        <v>16.2</v>
      </c>
      <c r="R71" s="76">
        <v>16.2</v>
      </c>
      <c r="S71" s="76">
        <v>16.2</v>
      </c>
      <c r="T71" s="76">
        <v>12</v>
      </c>
      <c r="U71" s="76">
        <v>10</v>
      </c>
      <c r="V71" s="76">
        <v>3.4</v>
      </c>
      <c r="W71" s="76">
        <v>2.2000000000000002</v>
      </c>
      <c r="X71" s="76">
        <v>2.2000000000000002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46"/>
      <c r="AE71" s="46">
        <v>0</v>
      </c>
      <c r="AF71" s="46">
        <v>0</v>
      </c>
      <c r="AG71" s="66">
        <v>25</v>
      </c>
      <c r="AH71" s="48">
        <f t="shared" si="2"/>
        <v>16.2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2">M94</f>
        <v>0</v>
      </c>
      <c r="BH71" s="82">
        <f t="shared" si="42"/>
        <v>0</v>
      </c>
      <c r="BI71" s="82">
        <f t="shared" si="42"/>
        <v>0</v>
      </c>
      <c r="BJ71" s="82">
        <f t="shared" si="42"/>
        <v>0</v>
      </c>
      <c r="BK71" s="82">
        <f t="shared" si="42"/>
        <v>0</v>
      </c>
      <c r="BL71" s="82">
        <f t="shared" si="42"/>
        <v>0</v>
      </c>
      <c r="BM71" s="82">
        <f t="shared" si="42"/>
        <v>0</v>
      </c>
      <c r="BN71" s="82">
        <f t="shared" si="42"/>
        <v>0</v>
      </c>
      <c r="BO71" s="82">
        <f t="shared" si="42"/>
        <v>0</v>
      </c>
      <c r="BP71" s="82">
        <f t="shared" si="42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15.3</v>
      </c>
      <c r="C72" s="76">
        <v>15.3</v>
      </c>
      <c r="D72" s="76">
        <v>15.3</v>
      </c>
      <c r="E72" s="76">
        <v>15.3</v>
      </c>
      <c r="F72" s="76">
        <v>15.3</v>
      </c>
      <c r="G72" s="76">
        <v>15.3</v>
      </c>
      <c r="H72" s="76">
        <v>15.3</v>
      </c>
      <c r="I72" s="76">
        <v>15.3</v>
      </c>
      <c r="J72" s="76">
        <v>15.3</v>
      </c>
      <c r="K72" s="76">
        <v>15.3</v>
      </c>
      <c r="L72" s="76">
        <v>15.3</v>
      </c>
      <c r="M72" s="76">
        <v>15.3</v>
      </c>
      <c r="N72" s="76">
        <v>15.3</v>
      </c>
      <c r="O72" s="76">
        <v>11.3</v>
      </c>
      <c r="P72" s="76">
        <v>11.3</v>
      </c>
      <c r="Q72" s="76">
        <v>11.3</v>
      </c>
      <c r="R72" s="76">
        <v>11.3</v>
      </c>
      <c r="S72" s="76">
        <v>15.8</v>
      </c>
      <c r="T72" s="76">
        <v>15.8</v>
      </c>
      <c r="U72" s="76">
        <v>15.8</v>
      </c>
      <c r="V72" s="76">
        <v>15.8</v>
      </c>
      <c r="W72" s="76">
        <v>15.8</v>
      </c>
      <c r="X72" s="76">
        <v>15.8</v>
      </c>
      <c r="Y72" s="76">
        <v>15.8</v>
      </c>
      <c r="Z72" s="76">
        <v>15.8</v>
      </c>
      <c r="AA72" s="76">
        <v>15.8</v>
      </c>
      <c r="AB72" s="76">
        <v>15.8</v>
      </c>
      <c r="AC72" s="76">
        <v>15.8</v>
      </c>
      <c r="AD72" s="76"/>
      <c r="AE72" s="76">
        <v>15.8</v>
      </c>
      <c r="AF72" s="76">
        <v>15.8</v>
      </c>
      <c r="AG72" s="66">
        <v>24</v>
      </c>
      <c r="AH72" s="48">
        <f t="shared" si="2"/>
        <v>15.8</v>
      </c>
      <c r="AI72" s="49">
        <f t="shared" si="3"/>
        <v>11.3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3.3</v>
      </c>
      <c r="V73" s="76">
        <v>3.3</v>
      </c>
      <c r="W73" s="76">
        <v>3.3</v>
      </c>
      <c r="X73" s="76">
        <v>3.3</v>
      </c>
      <c r="Y73" s="76">
        <v>3.3</v>
      </c>
      <c r="Z73" s="76">
        <v>3.3</v>
      </c>
      <c r="AA73" s="76">
        <v>3.3</v>
      </c>
      <c r="AB73" s="76">
        <v>3.3</v>
      </c>
      <c r="AC73" s="76">
        <v>3.3</v>
      </c>
      <c r="AD73" s="76"/>
      <c r="AE73" s="76">
        <v>3.3</v>
      </c>
      <c r="AF73" s="76">
        <v>3.3</v>
      </c>
      <c r="AG73" s="66">
        <v>15</v>
      </c>
      <c r="AH73" s="48">
        <f t="shared" si="2"/>
        <v>3.3</v>
      </c>
      <c r="AI73" s="49">
        <f t="shared" si="3"/>
        <v>0</v>
      </c>
      <c r="AK73" s="51"/>
      <c r="AZ73" s="82">
        <f t="shared" ref="AZ73:BW78" si="43">VALUE(AZ66)</f>
        <v>-60</v>
      </c>
      <c r="BA73" s="82">
        <f t="shared" si="43"/>
        <v>-62.1</v>
      </c>
      <c r="BB73" s="82">
        <f t="shared" si="43"/>
        <v>-64</v>
      </c>
      <c r="BC73" s="82">
        <f t="shared" si="43"/>
        <v>-66.599999999999994</v>
      </c>
      <c r="BD73" s="82">
        <f t="shared" si="43"/>
        <v>-66.599999999999994</v>
      </c>
      <c r="BE73" s="82">
        <f t="shared" si="43"/>
        <v>-68</v>
      </c>
      <c r="BF73" s="82">
        <f t="shared" si="43"/>
        <v>-54</v>
      </c>
      <c r="BG73" s="82">
        <f t="shared" si="43"/>
        <v>-63.5</v>
      </c>
      <c r="BH73" s="82">
        <f t="shared" si="43"/>
        <v>-58</v>
      </c>
      <c r="BI73" s="82">
        <f t="shared" si="43"/>
        <v>-59.6</v>
      </c>
      <c r="BJ73" s="82">
        <f t="shared" si="43"/>
        <v>-53</v>
      </c>
      <c r="BK73" s="82">
        <f t="shared" si="43"/>
        <v>-55</v>
      </c>
      <c r="BL73" s="82">
        <f t="shared" si="43"/>
        <v>-59.6</v>
      </c>
      <c r="BM73" s="82">
        <f t="shared" si="43"/>
        <v>-58</v>
      </c>
      <c r="BN73" s="82">
        <f t="shared" si="43"/>
        <v>-48.4</v>
      </c>
      <c r="BO73" s="82">
        <f t="shared" si="43"/>
        <v>-64.5</v>
      </c>
      <c r="BP73" s="82">
        <f t="shared" si="43"/>
        <v>-63.3</v>
      </c>
      <c r="BQ73" s="82">
        <f t="shared" si="43"/>
        <v>-63.9</v>
      </c>
      <c r="BR73" s="82">
        <f t="shared" si="43"/>
        <v>-59.9</v>
      </c>
      <c r="BS73" s="82">
        <f t="shared" si="43"/>
        <v>-56.1</v>
      </c>
      <c r="BT73" s="82">
        <f t="shared" si="43"/>
        <v>0</v>
      </c>
      <c r="BU73" s="82">
        <f t="shared" si="43"/>
        <v>-31</v>
      </c>
      <c r="BV73" s="82">
        <f t="shared" si="43"/>
        <v>-37</v>
      </c>
      <c r="BW73" s="82">
        <f t="shared" si="43"/>
        <v>-59.9</v>
      </c>
    </row>
    <row r="74" spans="1:75" x14ac:dyDescent="0.25">
      <c r="A74" s="65" t="s">
        <v>91</v>
      </c>
      <c r="B74" s="76">
        <v>12</v>
      </c>
      <c r="C74" s="76">
        <v>12</v>
      </c>
      <c r="D74" s="76">
        <v>12.9</v>
      </c>
      <c r="E74" s="76">
        <v>12.9</v>
      </c>
      <c r="F74" s="76">
        <v>12.9</v>
      </c>
      <c r="G74" s="76">
        <v>12.9</v>
      </c>
      <c r="H74" s="76">
        <v>12.9</v>
      </c>
      <c r="I74" s="76">
        <v>12.9</v>
      </c>
      <c r="J74" s="76">
        <v>12.9</v>
      </c>
      <c r="K74" s="76">
        <v>12.9</v>
      </c>
      <c r="L74" s="76">
        <v>12.9</v>
      </c>
      <c r="M74" s="76">
        <v>12.9</v>
      </c>
      <c r="N74" s="76">
        <v>12.9</v>
      </c>
      <c r="O74" s="76">
        <v>9.4</v>
      </c>
      <c r="P74" s="76">
        <v>9.4</v>
      </c>
      <c r="Q74" s="76">
        <v>9.4</v>
      </c>
      <c r="R74" s="76">
        <v>9.4</v>
      </c>
      <c r="S74" s="76">
        <v>7.6</v>
      </c>
      <c r="T74" s="76">
        <v>7.6</v>
      </c>
      <c r="U74" s="76">
        <v>7.6</v>
      </c>
      <c r="V74" s="76">
        <v>7.6</v>
      </c>
      <c r="W74" s="76">
        <v>7.6</v>
      </c>
      <c r="X74" s="76">
        <v>7.6</v>
      </c>
      <c r="Y74" s="76">
        <v>7.6</v>
      </c>
      <c r="Z74" s="76">
        <v>7.6</v>
      </c>
      <c r="AA74" s="76">
        <v>7.6</v>
      </c>
      <c r="AB74" s="76">
        <v>7.6</v>
      </c>
      <c r="AC74" s="76">
        <v>7.6</v>
      </c>
      <c r="AD74" s="76"/>
      <c r="AE74" s="76">
        <v>7.6</v>
      </c>
      <c r="AF74" s="76">
        <v>7.6</v>
      </c>
      <c r="AG74" s="66">
        <v>14.1</v>
      </c>
      <c r="AH74" s="48">
        <f t="shared" si="2"/>
        <v>12.9</v>
      </c>
      <c r="AI74" s="49">
        <f t="shared" si="3"/>
        <v>7.6</v>
      </c>
      <c r="AK74" s="51"/>
      <c r="AZ74" s="82">
        <f t="shared" si="43"/>
        <v>0</v>
      </c>
      <c r="BA74" s="82">
        <f t="shared" si="43"/>
        <v>0</v>
      </c>
      <c r="BB74" s="82">
        <f t="shared" si="43"/>
        <v>0</v>
      </c>
      <c r="BC74" s="82">
        <f t="shared" si="43"/>
        <v>0</v>
      </c>
      <c r="BD74" s="82">
        <f t="shared" si="43"/>
        <v>0</v>
      </c>
      <c r="BE74" s="82">
        <f t="shared" si="43"/>
        <v>0</v>
      </c>
      <c r="BF74" s="82">
        <f t="shared" si="43"/>
        <v>0</v>
      </c>
      <c r="BG74" s="82">
        <f t="shared" si="43"/>
        <v>0</v>
      </c>
      <c r="BH74" s="82">
        <f t="shared" si="43"/>
        <v>0</v>
      </c>
      <c r="BI74" s="82">
        <f t="shared" si="43"/>
        <v>0</v>
      </c>
      <c r="BJ74" s="82">
        <f t="shared" si="43"/>
        <v>0</v>
      </c>
      <c r="BK74" s="82">
        <f t="shared" si="43"/>
        <v>0</v>
      </c>
      <c r="BL74" s="82">
        <f t="shared" si="43"/>
        <v>0</v>
      </c>
      <c r="BM74" s="82">
        <f t="shared" si="43"/>
        <v>0</v>
      </c>
      <c r="BN74" s="82">
        <f t="shared" si="43"/>
        <v>0</v>
      </c>
      <c r="BO74" s="82">
        <f t="shared" si="43"/>
        <v>0</v>
      </c>
      <c r="BP74" s="82">
        <f t="shared" si="43"/>
        <v>0</v>
      </c>
      <c r="BQ74" s="82">
        <f t="shared" si="43"/>
        <v>0</v>
      </c>
      <c r="BR74" s="82">
        <f t="shared" si="43"/>
        <v>0</v>
      </c>
      <c r="BS74" s="82">
        <f t="shared" si="43"/>
        <v>0</v>
      </c>
      <c r="BT74" s="82">
        <f t="shared" si="43"/>
        <v>0</v>
      </c>
      <c r="BU74" s="82">
        <f t="shared" si="43"/>
        <v>0</v>
      </c>
      <c r="BV74" s="82">
        <f t="shared" si="43"/>
        <v>0</v>
      </c>
      <c r="BW74" s="82">
        <f t="shared" si="43"/>
        <v>0</v>
      </c>
    </row>
    <row r="75" spans="1:75" x14ac:dyDescent="0.25">
      <c r="A75" s="84" t="s">
        <v>93</v>
      </c>
      <c r="B75" s="76">
        <v>12.4</v>
      </c>
      <c r="C75" s="76">
        <v>12.4</v>
      </c>
      <c r="D75" s="76">
        <v>12.4</v>
      </c>
      <c r="E75" s="76">
        <v>12.4</v>
      </c>
      <c r="F75" s="76">
        <v>12.4</v>
      </c>
      <c r="G75" s="76">
        <v>12.4</v>
      </c>
      <c r="H75" s="76">
        <v>12.4</v>
      </c>
      <c r="I75" s="76">
        <v>12.4</v>
      </c>
      <c r="J75" s="76">
        <v>12.4</v>
      </c>
      <c r="K75" s="76">
        <v>12.4</v>
      </c>
      <c r="L75" s="76">
        <v>12.4</v>
      </c>
      <c r="M75" s="76">
        <v>12.4</v>
      </c>
      <c r="N75" s="76">
        <v>12.4</v>
      </c>
      <c r="O75" s="76">
        <v>14</v>
      </c>
      <c r="P75" s="76">
        <v>14</v>
      </c>
      <c r="Q75" s="76">
        <v>14</v>
      </c>
      <c r="R75" s="76">
        <v>14</v>
      </c>
      <c r="S75" s="76">
        <v>14</v>
      </c>
      <c r="T75" s="76">
        <v>14</v>
      </c>
      <c r="U75" s="76">
        <v>14</v>
      </c>
      <c r="V75" s="76">
        <v>14</v>
      </c>
      <c r="W75" s="76">
        <v>14</v>
      </c>
      <c r="X75" s="76">
        <v>14</v>
      </c>
      <c r="Y75" s="76">
        <v>14</v>
      </c>
      <c r="Z75" s="76">
        <v>14</v>
      </c>
      <c r="AA75" s="76">
        <v>14</v>
      </c>
      <c r="AB75" s="76">
        <v>14</v>
      </c>
      <c r="AC75" s="76">
        <v>14</v>
      </c>
      <c r="AD75" s="76"/>
      <c r="AE75" s="76">
        <v>14</v>
      </c>
      <c r="AF75" s="76">
        <v>14</v>
      </c>
      <c r="AG75" s="66">
        <v>14</v>
      </c>
      <c r="AH75" s="48">
        <f t="shared" ref="AH75:AH128" si="44">MAX(B75:AF75)</f>
        <v>14</v>
      </c>
      <c r="AI75" s="49">
        <f t="shared" ref="AI75:AI128" si="45">MIN(B75:AF75)</f>
        <v>12.4</v>
      </c>
      <c r="AK75" s="51"/>
      <c r="AZ75" s="82">
        <f t="shared" si="43"/>
        <v>-674</v>
      </c>
      <c r="BA75" s="82">
        <f t="shared" si="43"/>
        <v>-673.2</v>
      </c>
      <c r="BB75" s="82">
        <f t="shared" si="43"/>
        <v>-690</v>
      </c>
      <c r="BC75" s="82">
        <f t="shared" si="43"/>
        <v>-676</v>
      </c>
      <c r="BD75" s="82">
        <f t="shared" si="43"/>
        <v>-659</v>
      </c>
      <c r="BE75" s="82">
        <f t="shared" si="43"/>
        <v>-655</v>
      </c>
      <c r="BF75" s="82">
        <f t="shared" si="43"/>
        <v>-645</v>
      </c>
      <c r="BG75" s="82">
        <f t="shared" si="43"/>
        <v>-609</v>
      </c>
      <c r="BH75" s="82">
        <f t="shared" si="43"/>
        <v>-668</v>
      </c>
      <c r="BI75" s="82">
        <f t="shared" si="43"/>
        <v>-696</v>
      </c>
      <c r="BJ75" s="82">
        <f t="shared" si="43"/>
        <v>-613</v>
      </c>
      <c r="BK75" s="82">
        <f t="shared" si="43"/>
        <v>-620</v>
      </c>
      <c r="BL75" s="82">
        <f t="shared" si="43"/>
        <v>-614</v>
      </c>
      <c r="BM75" s="82">
        <f t="shared" si="43"/>
        <v>-678</v>
      </c>
      <c r="BN75" s="82">
        <f t="shared" si="43"/>
        <v>-592</v>
      </c>
      <c r="BO75" s="82">
        <f t="shared" si="43"/>
        <v>-662</v>
      </c>
      <c r="BP75" s="82">
        <f t="shared" si="43"/>
        <v>-709</v>
      </c>
      <c r="BQ75" s="82">
        <f t="shared" si="43"/>
        <v>-672.3</v>
      </c>
      <c r="BR75" s="82">
        <f t="shared" si="43"/>
        <v>-673.69</v>
      </c>
      <c r="BS75" s="82">
        <f t="shared" si="43"/>
        <v>-656</v>
      </c>
      <c r="BT75" s="82">
        <f t="shared" si="43"/>
        <v>0</v>
      </c>
      <c r="BU75" s="82">
        <f t="shared" si="43"/>
        <v>-614</v>
      </c>
      <c r="BV75" s="82">
        <f t="shared" si="43"/>
        <v>-578</v>
      </c>
      <c r="BW75" s="82">
        <f t="shared" si="43"/>
        <v>-635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/>
      <c r="AE76" s="76">
        <v>10</v>
      </c>
      <c r="AF76" s="76">
        <v>10</v>
      </c>
      <c r="AG76" s="66">
        <v>10.050000000000001</v>
      </c>
      <c r="AH76" s="48">
        <f t="shared" si="44"/>
        <v>10</v>
      </c>
      <c r="AI76" s="49">
        <f t="shared" si="45"/>
        <v>10</v>
      </c>
      <c r="AK76" s="51"/>
      <c r="AZ76" s="82">
        <f t="shared" si="43"/>
        <v>0</v>
      </c>
      <c r="BA76" s="82">
        <f t="shared" si="43"/>
        <v>0</v>
      </c>
      <c r="BB76" s="82">
        <f t="shared" si="43"/>
        <v>0</v>
      </c>
      <c r="BC76" s="82">
        <f t="shared" si="43"/>
        <v>0</v>
      </c>
      <c r="BD76" s="82">
        <f t="shared" si="43"/>
        <v>0</v>
      </c>
      <c r="BE76" s="82">
        <f t="shared" si="43"/>
        <v>0</v>
      </c>
      <c r="BF76" s="82">
        <f t="shared" si="43"/>
        <v>0</v>
      </c>
      <c r="BG76" s="82">
        <f t="shared" si="43"/>
        <v>0</v>
      </c>
      <c r="BH76" s="82">
        <f t="shared" si="43"/>
        <v>0</v>
      </c>
      <c r="BI76" s="82">
        <f t="shared" si="43"/>
        <v>0</v>
      </c>
      <c r="BJ76" s="82">
        <f t="shared" si="43"/>
        <v>0</v>
      </c>
      <c r="BK76" s="82">
        <f t="shared" si="43"/>
        <v>0</v>
      </c>
      <c r="BL76" s="82">
        <f t="shared" si="43"/>
        <v>0</v>
      </c>
      <c r="BM76" s="82">
        <f t="shared" si="43"/>
        <v>0</v>
      </c>
      <c r="BN76" s="82">
        <f t="shared" si="43"/>
        <v>0</v>
      </c>
      <c r="BO76" s="82">
        <f t="shared" si="43"/>
        <v>0</v>
      </c>
      <c r="BP76" s="82">
        <f t="shared" si="43"/>
        <v>0</v>
      </c>
      <c r="BQ76" s="82">
        <f t="shared" si="43"/>
        <v>0</v>
      </c>
      <c r="BR76" s="82">
        <f t="shared" si="43"/>
        <v>0</v>
      </c>
      <c r="BS76" s="82">
        <f t="shared" si="43"/>
        <v>0</v>
      </c>
      <c r="BT76" s="82">
        <f t="shared" si="43"/>
        <v>0</v>
      </c>
      <c r="BU76" s="82">
        <f t="shared" si="43"/>
        <v>0</v>
      </c>
      <c r="BV76" s="82">
        <f t="shared" si="43"/>
        <v>0</v>
      </c>
      <c r="BW76" s="82">
        <f t="shared" si="43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/>
      <c r="AE77" s="76">
        <v>6</v>
      </c>
      <c r="AF77" s="76">
        <v>6</v>
      </c>
      <c r="AG77" s="66">
        <v>6.2</v>
      </c>
      <c r="AH77" s="48">
        <f t="shared" si="44"/>
        <v>6</v>
      </c>
      <c r="AI77" s="49">
        <f t="shared" si="45"/>
        <v>6</v>
      </c>
      <c r="AK77" s="51"/>
      <c r="AZ77" s="82">
        <f t="shared" si="43"/>
        <v>0</v>
      </c>
      <c r="BA77" s="82">
        <f t="shared" si="43"/>
        <v>0</v>
      </c>
      <c r="BB77" s="82">
        <f t="shared" si="43"/>
        <v>0</v>
      </c>
      <c r="BC77" s="82">
        <f t="shared" si="43"/>
        <v>0</v>
      </c>
      <c r="BD77" s="82">
        <f t="shared" si="43"/>
        <v>0</v>
      </c>
      <c r="BE77" s="82">
        <f t="shared" si="43"/>
        <v>0</v>
      </c>
      <c r="BF77" s="82">
        <f t="shared" si="43"/>
        <v>0</v>
      </c>
      <c r="BG77" s="82">
        <f t="shared" si="43"/>
        <v>0</v>
      </c>
      <c r="BH77" s="82">
        <f t="shared" si="43"/>
        <v>0</v>
      </c>
      <c r="BI77" s="82">
        <f t="shared" si="43"/>
        <v>0</v>
      </c>
      <c r="BJ77" s="82">
        <f t="shared" si="43"/>
        <v>0</v>
      </c>
      <c r="BK77" s="82">
        <f t="shared" si="43"/>
        <v>0</v>
      </c>
      <c r="BL77" s="82">
        <f t="shared" si="43"/>
        <v>0</v>
      </c>
      <c r="BM77" s="82">
        <f t="shared" si="43"/>
        <v>0</v>
      </c>
      <c r="BN77" s="82">
        <f t="shared" si="43"/>
        <v>0</v>
      </c>
      <c r="BO77" s="82">
        <f t="shared" si="43"/>
        <v>0</v>
      </c>
      <c r="BP77" s="82">
        <f t="shared" si="43"/>
        <v>0</v>
      </c>
      <c r="BQ77" s="82">
        <f t="shared" si="43"/>
        <v>0</v>
      </c>
      <c r="BR77" s="82">
        <f t="shared" si="43"/>
        <v>0</v>
      </c>
      <c r="BS77" s="82">
        <f t="shared" si="43"/>
        <v>0</v>
      </c>
      <c r="BT77" s="82">
        <f t="shared" si="43"/>
        <v>0</v>
      </c>
      <c r="BU77" s="82">
        <f t="shared" si="43"/>
        <v>0</v>
      </c>
      <c r="BV77" s="82">
        <f t="shared" si="43"/>
        <v>0</v>
      </c>
      <c r="BW77" s="82">
        <f t="shared" si="43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4"/>
        <v>5.5</v>
      </c>
      <c r="AI78" s="49">
        <f t="shared" si="45"/>
        <v>3.54</v>
      </c>
      <c r="AK78" s="51"/>
      <c r="AZ78" s="82">
        <f t="shared" si="43"/>
        <v>0</v>
      </c>
      <c r="BA78" s="82">
        <f t="shared" si="43"/>
        <v>0</v>
      </c>
      <c r="BB78" s="82">
        <f t="shared" si="43"/>
        <v>0</v>
      </c>
      <c r="BC78" s="82">
        <f t="shared" si="43"/>
        <v>0</v>
      </c>
      <c r="BD78" s="82">
        <f t="shared" si="43"/>
        <v>0</v>
      </c>
      <c r="BE78" s="82">
        <f t="shared" si="43"/>
        <v>0</v>
      </c>
      <c r="BF78" s="82">
        <f t="shared" si="43"/>
        <v>0</v>
      </c>
      <c r="BG78" s="82">
        <f t="shared" si="43"/>
        <v>0</v>
      </c>
      <c r="BH78" s="82">
        <f t="shared" si="43"/>
        <v>0</v>
      </c>
      <c r="BI78" s="82">
        <f t="shared" si="43"/>
        <v>0</v>
      </c>
      <c r="BJ78" s="82">
        <f t="shared" si="43"/>
        <v>0</v>
      </c>
      <c r="BK78" s="82">
        <f t="shared" si="43"/>
        <v>0</v>
      </c>
      <c r="BL78" s="82">
        <f t="shared" si="43"/>
        <v>0</v>
      </c>
      <c r="BM78" s="82">
        <f t="shared" si="43"/>
        <v>0</v>
      </c>
      <c r="BN78" s="82">
        <f t="shared" si="43"/>
        <v>0</v>
      </c>
      <c r="BO78" s="82">
        <f t="shared" si="43"/>
        <v>0</v>
      </c>
      <c r="BP78" s="82">
        <f t="shared" si="43"/>
        <v>0</v>
      </c>
      <c r="BQ78" s="82">
        <f t="shared" si="43"/>
        <v>0</v>
      </c>
      <c r="BR78" s="82">
        <f t="shared" si="43"/>
        <v>0</v>
      </c>
      <c r="BS78" s="82">
        <f t="shared" si="43"/>
        <v>0</v>
      </c>
      <c r="BT78" s="82">
        <f t="shared" si="43"/>
        <v>0</v>
      </c>
      <c r="BU78" s="82">
        <f t="shared" si="43"/>
        <v>0</v>
      </c>
      <c r="BV78" s="82">
        <f t="shared" si="43"/>
        <v>0</v>
      </c>
      <c r="BW78" s="82">
        <f t="shared" si="43"/>
        <v>0</v>
      </c>
    </row>
    <row r="79" spans="1:75" ht="15.75" thickBot="1" x14ac:dyDescent="0.3">
      <c r="A79" s="87" t="s">
        <v>99</v>
      </c>
      <c r="B79" s="71">
        <f t="shared" ref="B79:C79" si="46">SUM(B66:B78)</f>
        <v>415.43999999999994</v>
      </c>
      <c r="C79" s="71">
        <f t="shared" si="46"/>
        <v>415.43999999999994</v>
      </c>
      <c r="D79" s="71">
        <f t="shared" ref="D79" si="47">SUM(D66:D78)</f>
        <v>414.53999999999991</v>
      </c>
      <c r="E79" s="71">
        <f t="shared" ref="E79:AG79" si="48">SUM(E66:E78)</f>
        <v>414.53999999999991</v>
      </c>
      <c r="F79" s="71">
        <f t="shared" si="48"/>
        <v>393.73999999999995</v>
      </c>
      <c r="G79" s="71">
        <f t="shared" si="48"/>
        <v>393.73999999999995</v>
      </c>
      <c r="H79" s="71">
        <f t="shared" si="48"/>
        <v>393.73999999999995</v>
      </c>
      <c r="I79" s="71">
        <f t="shared" si="48"/>
        <v>391.34</v>
      </c>
      <c r="J79" s="71">
        <f t="shared" si="48"/>
        <v>394.53999999999996</v>
      </c>
      <c r="K79" s="71">
        <f t="shared" si="48"/>
        <v>408.73999999999995</v>
      </c>
      <c r="L79" s="71">
        <f t="shared" si="48"/>
        <v>421.93999999999994</v>
      </c>
      <c r="M79" s="71">
        <f t="shared" si="48"/>
        <v>419.73999999999995</v>
      </c>
      <c r="N79" s="71">
        <f t="shared" si="48"/>
        <v>419.73999999999995</v>
      </c>
      <c r="O79" s="71">
        <f t="shared" si="48"/>
        <v>424.44</v>
      </c>
      <c r="P79" s="71">
        <f t="shared" si="48"/>
        <v>424.44</v>
      </c>
      <c r="Q79" s="71">
        <f t="shared" si="48"/>
        <v>424.44</v>
      </c>
      <c r="R79" s="71">
        <f t="shared" si="48"/>
        <v>424.44</v>
      </c>
      <c r="S79" s="71">
        <f t="shared" si="48"/>
        <v>427.54</v>
      </c>
      <c r="T79" s="71">
        <f t="shared" si="48"/>
        <v>423.34000000000003</v>
      </c>
      <c r="U79" s="71">
        <f t="shared" si="48"/>
        <v>424.64000000000004</v>
      </c>
      <c r="V79" s="71">
        <f t="shared" si="48"/>
        <v>418.04</v>
      </c>
      <c r="W79" s="71">
        <f t="shared" si="48"/>
        <v>416.84000000000003</v>
      </c>
      <c r="X79" s="71">
        <f t="shared" si="48"/>
        <v>416.84000000000003</v>
      </c>
      <c r="Y79" s="71">
        <f t="shared" ref="Y79" si="49">SUM(Y66:Y78)</f>
        <v>414.64000000000004</v>
      </c>
      <c r="Z79" s="71">
        <f t="shared" si="48"/>
        <v>416.6</v>
      </c>
      <c r="AA79" s="71">
        <f t="shared" si="48"/>
        <v>414.64000000000004</v>
      </c>
      <c r="AB79" s="71">
        <f t="shared" ref="AB79:AC79" si="50">SUM(AB66:AB78)</f>
        <v>414.64000000000004</v>
      </c>
      <c r="AC79" s="71">
        <f t="shared" si="50"/>
        <v>414.64000000000004</v>
      </c>
      <c r="AD79" s="71">
        <f t="shared" si="48"/>
        <v>3.54</v>
      </c>
      <c r="AE79" s="71">
        <v>414.64000000000004</v>
      </c>
      <c r="AF79" s="71">
        <v>414.64000000000004</v>
      </c>
      <c r="AG79" s="72">
        <f t="shared" si="48"/>
        <v>489.91</v>
      </c>
      <c r="AH79" s="48">
        <f t="shared" si="44"/>
        <v>427.54</v>
      </c>
      <c r="AI79" s="49">
        <f t="shared" si="45"/>
        <v>3.54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>
        <v>30</v>
      </c>
      <c r="AC80" s="46">
        <v>30</v>
      </c>
      <c r="AD80" s="46"/>
      <c r="AE80" s="46">
        <v>0</v>
      </c>
      <c r="AF80" s="46">
        <v>30</v>
      </c>
      <c r="AG80" s="61">
        <v>60</v>
      </c>
      <c r="AH80" s="48">
        <f t="shared" si="44"/>
        <v>30</v>
      </c>
      <c r="AI80" s="49">
        <f t="shared" si="45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>
        <v>14</v>
      </c>
      <c r="AC81" s="76">
        <v>14</v>
      </c>
      <c r="AD81" s="76"/>
      <c r="AE81" s="76">
        <v>0</v>
      </c>
      <c r="AF81" s="76">
        <v>5</v>
      </c>
      <c r="AG81" s="66">
        <v>32</v>
      </c>
      <c r="AH81" s="48">
        <f t="shared" si="44"/>
        <v>14</v>
      </c>
      <c r="AI81" s="49">
        <f t="shared" si="45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>
        <v>5.2</v>
      </c>
      <c r="AC82" s="78">
        <v>5.2</v>
      </c>
      <c r="AD82" s="78"/>
      <c r="AE82" s="78">
        <v>0</v>
      </c>
      <c r="AF82" s="78">
        <v>2</v>
      </c>
      <c r="AG82" s="79">
        <v>14</v>
      </c>
      <c r="AH82" s="48">
        <f t="shared" si="44"/>
        <v>5.2</v>
      </c>
      <c r="AI82" s="49">
        <f t="shared" si="45"/>
        <v>0</v>
      </c>
      <c r="AK82" s="51"/>
      <c r="AY82" s="82"/>
      <c r="BF82" s="81"/>
      <c r="BG82" s="82">
        <f t="array" ref="BG82:BL105">TRANSPOSE(AZ66:BW71)</f>
        <v>-60</v>
      </c>
      <c r="BH82" s="82">
        <v>0</v>
      </c>
      <c r="BI82" s="82">
        <v>-674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51">B80+B81+B82</f>
        <v>0</v>
      </c>
      <c r="C83" s="71">
        <f t="shared" si="51"/>
        <v>0</v>
      </c>
      <c r="D83" s="71">
        <f t="shared" ref="D83" si="52">D80+D81+D82</f>
        <v>0</v>
      </c>
      <c r="E83" s="71">
        <f t="shared" ref="E83:AD83" si="53">E80+E81+E82</f>
        <v>0</v>
      </c>
      <c r="F83" s="71">
        <f t="shared" si="53"/>
        <v>0</v>
      </c>
      <c r="G83" s="71">
        <f t="shared" si="53"/>
        <v>0</v>
      </c>
      <c r="H83" s="71">
        <f t="shared" si="53"/>
        <v>0</v>
      </c>
      <c r="I83" s="71">
        <f t="shared" si="53"/>
        <v>0</v>
      </c>
      <c r="J83" s="71">
        <f t="shared" si="53"/>
        <v>0</v>
      </c>
      <c r="K83" s="71">
        <f t="shared" si="53"/>
        <v>0</v>
      </c>
      <c r="L83" s="71">
        <f t="shared" si="53"/>
        <v>0</v>
      </c>
      <c r="M83" s="71">
        <f t="shared" si="53"/>
        <v>0</v>
      </c>
      <c r="N83" s="71">
        <f t="shared" si="53"/>
        <v>0</v>
      </c>
      <c r="O83" s="71">
        <f t="shared" si="53"/>
        <v>0</v>
      </c>
      <c r="P83" s="71">
        <f t="shared" si="53"/>
        <v>0</v>
      </c>
      <c r="Q83" s="71">
        <f t="shared" si="53"/>
        <v>0</v>
      </c>
      <c r="R83" s="71">
        <f t="shared" si="53"/>
        <v>0</v>
      </c>
      <c r="S83" s="71">
        <f t="shared" si="53"/>
        <v>0</v>
      </c>
      <c r="T83" s="71">
        <f t="shared" si="53"/>
        <v>0</v>
      </c>
      <c r="U83" s="71">
        <f t="shared" si="53"/>
        <v>0</v>
      </c>
      <c r="V83" s="71">
        <f t="shared" si="53"/>
        <v>0</v>
      </c>
      <c r="W83" s="71">
        <f t="shared" si="53"/>
        <v>0</v>
      </c>
      <c r="X83" s="71">
        <f t="shared" si="53"/>
        <v>0</v>
      </c>
      <c r="Y83" s="71">
        <f t="shared" ref="Y83" si="54">Y80+Y81+Y82</f>
        <v>0</v>
      </c>
      <c r="Z83" s="71">
        <f t="shared" si="53"/>
        <v>0</v>
      </c>
      <c r="AA83" s="71">
        <f t="shared" si="53"/>
        <v>0</v>
      </c>
      <c r="AB83" s="71">
        <f t="shared" ref="AB83:AC83" si="55">AB80+AB81+AB82</f>
        <v>49.2</v>
      </c>
      <c r="AC83" s="71">
        <f t="shared" si="55"/>
        <v>49.2</v>
      </c>
      <c r="AD83" s="71">
        <f t="shared" si="53"/>
        <v>0</v>
      </c>
      <c r="AE83" s="71">
        <v>49.2</v>
      </c>
      <c r="AF83" s="71">
        <v>49.2</v>
      </c>
      <c r="AG83" s="72">
        <f>SUM(AG80:AG82)</f>
        <v>106</v>
      </c>
      <c r="AH83" s="48">
        <f t="shared" si="44"/>
        <v>49.2</v>
      </c>
      <c r="AI83" s="49">
        <f t="shared" si="45"/>
        <v>0</v>
      </c>
      <c r="AK83" s="51"/>
      <c r="AY83" s="82"/>
      <c r="BF83" s="81"/>
      <c r="BG83" s="82">
        <v>-62.1</v>
      </c>
      <c r="BH83" s="82">
        <v>0</v>
      </c>
      <c r="BI83" s="82">
        <v>-673.2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-59.9</v>
      </c>
      <c r="C84" s="46">
        <v>-60</v>
      </c>
      <c r="D84" s="46">
        <v>-62.1</v>
      </c>
      <c r="E84" s="46">
        <v>-64</v>
      </c>
      <c r="F84" s="46">
        <v>-66.599999999999994</v>
      </c>
      <c r="G84" s="46">
        <v>-66.599999999999994</v>
      </c>
      <c r="H84" s="46">
        <v>-69</v>
      </c>
      <c r="I84" s="46">
        <v>-68</v>
      </c>
      <c r="J84" s="46">
        <v>-60</v>
      </c>
      <c r="K84" s="46">
        <v>-54</v>
      </c>
      <c r="L84" s="46">
        <v>-63</v>
      </c>
      <c r="M84" s="46">
        <v>-63.5</v>
      </c>
      <c r="N84" s="46">
        <v>-58</v>
      </c>
      <c r="O84" s="46">
        <v>-59.6</v>
      </c>
      <c r="P84" s="46">
        <v>-53</v>
      </c>
      <c r="Q84" s="46">
        <v>-55</v>
      </c>
      <c r="R84" s="46">
        <v>-59.6</v>
      </c>
      <c r="S84" s="46">
        <v>-58</v>
      </c>
      <c r="T84" s="46">
        <v>-48.4</v>
      </c>
      <c r="U84" s="46">
        <v>-64.5</v>
      </c>
      <c r="V84" s="46">
        <v>-63.3</v>
      </c>
      <c r="W84" s="46">
        <v>-63</v>
      </c>
      <c r="X84" s="46">
        <v>-63.9</v>
      </c>
      <c r="Y84" s="46">
        <v>-69</v>
      </c>
      <c r="Z84" s="46">
        <v>-59.9</v>
      </c>
      <c r="AA84" s="46">
        <v>-54.6</v>
      </c>
      <c r="AB84" s="46">
        <v>-56.1</v>
      </c>
      <c r="AC84" s="46">
        <v>-50</v>
      </c>
      <c r="AD84" s="46"/>
      <c r="AE84" s="46">
        <v>-31</v>
      </c>
      <c r="AF84" s="46">
        <v>-37</v>
      </c>
      <c r="AG84" s="61"/>
      <c r="AH84" s="48">
        <f t="shared" si="44"/>
        <v>-31</v>
      </c>
      <c r="AI84" s="49">
        <f t="shared" si="45"/>
        <v>-69</v>
      </c>
      <c r="AK84" s="51"/>
      <c r="AY84" s="82"/>
      <c r="BF84" s="81"/>
      <c r="BG84" s="82">
        <v>-64</v>
      </c>
      <c r="BH84" s="82">
        <v>0</v>
      </c>
      <c r="BI84" s="82">
        <v>-690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4"/>
        <v>0</v>
      </c>
      <c r="AI85" s="49">
        <f t="shared" si="45"/>
        <v>0</v>
      </c>
      <c r="AK85" s="51"/>
      <c r="AL85" s="91" t="s">
        <v>111</v>
      </c>
      <c r="AM85" s="91"/>
      <c r="AY85" s="82"/>
      <c r="BF85" s="82"/>
      <c r="BG85" s="82">
        <v>-66.599999999999994</v>
      </c>
      <c r="BH85" s="82">
        <v>0</v>
      </c>
      <c r="BI85" s="82">
        <v>-676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-635</v>
      </c>
      <c r="C86" s="76">
        <v>-674</v>
      </c>
      <c r="D86" s="76">
        <v>-673.2</v>
      </c>
      <c r="E86" s="76">
        <v>-690</v>
      </c>
      <c r="F86" s="76">
        <v>-676</v>
      </c>
      <c r="G86" s="76">
        <v>-659</v>
      </c>
      <c r="H86" s="76">
        <v>-705</v>
      </c>
      <c r="I86" s="76">
        <v>-655</v>
      </c>
      <c r="J86" s="76">
        <v>-630</v>
      </c>
      <c r="K86" s="76">
        <v>-645</v>
      </c>
      <c r="L86" s="76">
        <v>-655</v>
      </c>
      <c r="M86" s="76">
        <v>-609</v>
      </c>
      <c r="N86" s="76">
        <v>-668</v>
      </c>
      <c r="O86" s="76">
        <v>-696</v>
      </c>
      <c r="P86" s="76">
        <v>-613</v>
      </c>
      <c r="Q86" s="76">
        <v>-620</v>
      </c>
      <c r="R86" s="76">
        <v>-614</v>
      </c>
      <c r="S86" s="76">
        <v>-678</v>
      </c>
      <c r="T86" s="76">
        <v>-592</v>
      </c>
      <c r="U86" s="76">
        <v>-662</v>
      </c>
      <c r="V86" s="76">
        <v>-709</v>
      </c>
      <c r="W86" s="76">
        <v>-680</v>
      </c>
      <c r="X86" s="76">
        <v>-672.3</v>
      </c>
      <c r="Y86" s="76">
        <v>-678</v>
      </c>
      <c r="Z86" s="76">
        <v>-673.69</v>
      </c>
      <c r="AA86" s="76">
        <v>-629</v>
      </c>
      <c r="AB86" s="76">
        <v>-656</v>
      </c>
      <c r="AC86" s="76">
        <v>-662</v>
      </c>
      <c r="AD86" s="76"/>
      <c r="AE86" s="76">
        <v>-614</v>
      </c>
      <c r="AF86" s="76">
        <v>-578</v>
      </c>
      <c r="AG86" s="88"/>
      <c r="AH86" s="48">
        <f t="shared" si="44"/>
        <v>-578</v>
      </c>
      <c r="AI86" s="49">
        <f t="shared" si="45"/>
        <v>-709</v>
      </c>
      <c r="AK86" s="92"/>
      <c r="AL86" s="93"/>
      <c r="AM86" s="93"/>
      <c r="AN86" s="94"/>
      <c r="AY86" s="82"/>
      <c r="BF86" s="82"/>
      <c r="BG86" s="82">
        <v>-66.599999999999994</v>
      </c>
      <c r="BH86" s="82">
        <v>0</v>
      </c>
      <c r="BI86" s="82">
        <v>-659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4"/>
        <v>0</v>
      </c>
      <c r="AI87" s="49">
        <f t="shared" si="45"/>
        <v>0</v>
      </c>
      <c r="AK87" s="95" t="s">
        <v>114</v>
      </c>
      <c r="AL87" s="76"/>
      <c r="AM87" s="89"/>
      <c r="AN87" s="96"/>
      <c r="AY87" s="82"/>
      <c r="BF87" s="82"/>
      <c r="BG87" s="82">
        <v>-68</v>
      </c>
      <c r="BH87" s="82">
        <v>0</v>
      </c>
      <c r="BI87" s="82">
        <v>-655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4"/>
        <v>0</v>
      </c>
      <c r="AI88" s="49">
        <f t="shared" si="45"/>
        <v>0</v>
      </c>
      <c r="AK88" s="95" t="s">
        <v>116</v>
      </c>
      <c r="AL88" s="89"/>
      <c r="AM88" s="89"/>
      <c r="AN88" s="96"/>
      <c r="AY88" s="82"/>
      <c r="BF88" s="82"/>
      <c r="BG88" s="82">
        <v>-54</v>
      </c>
      <c r="BH88" s="82">
        <v>0</v>
      </c>
      <c r="BI88" s="82">
        <v>-645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5"/>
        <v>0</v>
      </c>
      <c r="AK89" s="99"/>
      <c r="AL89" s="46"/>
      <c r="AM89" s="46"/>
      <c r="AN89" s="100"/>
      <c r="AY89" s="82"/>
      <c r="BF89" s="82"/>
      <c r="BG89" s="82">
        <v>-63.5</v>
      </c>
      <c r="BH89" s="82">
        <v>0</v>
      </c>
      <c r="BI89" s="82">
        <v>-609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4"/>
        <v>0</v>
      </c>
      <c r="AI90" s="49">
        <f t="shared" si="45"/>
        <v>0</v>
      </c>
      <c r="AK90" s="99"/>
      <c r="AL90" s="90"/>
      <c r="AM90" s="102"/>
      <c r="AN90" s="204"/>
      <c r="AY90" s="82"/>
      <c r="BF90" s="82"/>
      <c r="BG90" s="82">
        <v>-58</v>
      </c>
      <c r="BH90" s="82">
        <v>0</v>
      </c>
      <c r="BI90" s="82">
        <v>-668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4"/>
        <v>0</v>
      </c>
      <c r="AI91" s="49">
        <f t="shared" si="45"/>
        <v>0</v>
      </c>
      <c r="AK91" s="99"/>
      <c r="AL91" s="90"/>
      <c r="AM91" s="90"/>
      <c r="AN91" s="205"/>
      <c r="BF91" s="82"/>
      <c r="BG91" s="82">
        <v>-59.6</v>
      </c>
      <c r="BH91" s="82">
        <v>0</v>
      </c>
      <c r="BI91" s="82">
        <v>-696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4"/>
        <v>0</v>
      </c>
      <c r="AI92" s="49">
        <f t="shared" si="45"/>
        <v>0</v>
      </c>
      <c r="AK92" s="104"/>
      <c r="AL92" s="105"/>
      <c r="AM92" s="105"/>
      <c r="AN92" s="106"/>
      <c r="BF92" s="82"/>
      <c r="BG92" s="82">
        <v>-53</v>
      </c>
      <c r="BH92" s="82">
        <v>0</v>
      </c>
      <c r="BI92" s="82">
        <v>-613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4"/>
        <v>0</v>
      </c>
      <c r="AI93" s="49">
        <f t="shared" si="45"/>
        <v>0</v>
      </c>
      <c r="BF93" s="82"/>
      <c r="BG93" s="82">
        <v>-55</v>
      </c>
      <c r="BH93" s="82">
        <v>0</v>
      </c>
      <c r="BI93" s="82">
        <v>-620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4"/>
        <v>0</v>
      </c>
      <c r="AI94" s="49">
        <f t="shared" si="45"/>
        <v>0</v>
      </c>
      <c r="BF94" s="82"/>
      <c r="BG94" s="82">
        <v>-59.6</v>
      </c>
      <c r="BH94" s="82">
        <v>0</v>
      </c>
      <c r="BI94" s="82">
        <v>-614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 t="shared" ref="B95" si="56">SUMIF(B84:B94,"&gt;0")</f>
        <v>0</v>
      </c>
      <c r="C95" s="71">
        <f>SUMIF(C84:C94,"&gt;0")</f>
        <v>0</v>
      </c>
      <c r="D95" s="71">
        <f>SUMIF(D84:D94,"&gt;0")</f>
        <v>0</v>
      </c>
      <c r="E95" s="71">
        <f t="shared" ref="E95:AD95" si="57">SUMIF(E84:E94,"&gt;0")</f>
        <v>0</v>
      </c>
      <c r="F95" s="71">
        <f t="shared" si="57"/>
        <v>0</v>
      </c>
      <c r="G95" s="71">
        <f t="shared" si="57"/>
        <v>0</v>
      </c>
      <c r="H95" s="71">
        <f t="shared" si="57"/>
        <v>0</v>
      </c>
      <c r="I95" s="71">
        <f t="shared" si="57"/>
        <v>0</v>
      </c>
      <c r="J95" s="71">
        <f t="shared" si="57"/>
        <v>0</v>
      </c>
      <c r="K95" s="71">
        <f t="shared" si="57"/>
        <v>0</v>
      </c>
      <c r="L95" s="71">
        <f t="shared" si="57"/>
        <v>0</v>
      </c>
      <c r="M95" s="71">
        <f t="shared" si="57"/>
        <v>0</v>
      </c>
      <c r="N95" s="71">
        <f t="shared" si="57"/>
        <v>0</v>
      </c>
      <c r="O95" s="71">
        <f t="shared" si="57"/>
        <v>0</v>
      </c>
      <c r="P95" s="71">
        <f t="shared" si="57"/>
        <v>0</v>
      </c>
      <c r="Q95" s="71">
        <f t="shared" si="57"/>
        <v>0</v>
      </c>
      <c r="R95" s="71">
        <f t="shared" si="57"/>
        <v>0</v>
      </c>
      <c r="S95" s="71">
        <f t="shared" si="57"/>
        <v>0</v>
      </c>
      <c r="T95" s="71">
        <f t="shared" si="57"/>
        <v>0</v>
      </c>
      <c r="U95" s="71">
        <f>SUMIF(U84:U94,"&gt;0")</f>
        <v>0</v>
      </c>
      <c r="V95" s="71">
        <f t="shared" si="57"/>
        <v>0</v>
      </c>
      <c r="W95" s="71">
        <f t="shared" si="57"/>
        <v>0</v>
      </c>
      <c r="X95" s="71">
        <f t="shared" si="57"/>
        <v>0</v>
      </c>
      <c r="Y95" s="71">
        <f t="shared" si="57"/>
        <v>0</v>
      </c>
      <c r="Z95" s="71">
        <f t="shared" si="57"/>
        <v>0</v>
      </c>
      <c r="AA95" s="71">
        <f t="shared" si="57"/>
        <v>0</v>
      </c>
      <c r="AB95" s="71">
        <f t="shared" si="57"/>
        <v>0</v>
      </c>
      <c r="AC95" s="71">
        <f t="shared" ref="AC95" si="58">SUMIF(AC84:AC94,"&gt;0")</f>
        <v>0</v>
      </c>
      <c r="AD95" s="71">
        <f t="shared" si="57"/>
        <v>0</v>
      </c>
      <c r="AE95" s="71">
        <v>0</v>
      </c>
      <c r="AF95" s="71">
        <v>0</v>
      </c>
      <c r="AG95" s="101">
        <f>SUM(AG84:AG94)</f>
        <v>0</v>
      </c>
      <c r="AH95" s="48">
        <f t="shared" si="44"/>
        <v>0</v>
      </c>
      <c r="AI95" s="49">
        <f t="shared" si="45"/>
        <v>0</v>
      </c>
      <c r="BF95" s="82"/>
      <c r="BG95" s="82">
        <v>-58</v>
      </c>
      <c r="BH95" s="82">
        <v>0</v>
      </c>
      <c r="BI95" s="82">
        <v>-678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4"/>
        <v>0</v>
      </c>
      <c r="AI96" s="49">
        <f t="shared" si="45"/>
        <v>0</v>
      </c>
      <c r="BF96" s="82"/>
      <c r="BG96" s="82">
        <v>-48.4</v>
      </c>
      <c r="BH96" s="82">
        <v>0</v>
      </c>
      <c r="BI96" s="82">
        <v>-592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4"/>
        <v>0</v>
      </c>
      <c r="AI97" s="49">
        <f t="shared" si="45"/>
        <v>0</v>
      </c>
      <c r="BF97" s="82"/>
      <c r="BG97" s="82">
        <v>-64.5</v>
      </c>
      <c r="BH97" s="82">
        <v>0</v>
      </c>
      <c r="BI97" s="82">
        <v>-662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4"/>
        <v>0</v>
      </c>
      <c r="AI98" s="49">
        <f t="shared" si="45"/>
        <v>0</v>
      </c>
      <c r="BF98" s="82"/>
      <c r="BG98" s="82">
        <v>-63.3</v>
      </c>
      <c r="BH98" s="82">
        <v>0</v>
      </c>
      <c r="BI98" s="82">
        <v>-709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4"/>
        <v>0</v>
      </c>
      <c r="AI99" s="49">
        <f t="shared" si="45"/>
        <v>0</v>
      </c>
      <c r="BF99" s="81"/>
      <c r="BG99" s="82">
        <v>-63.9</v>
      </c>
      <c r="BH99" s="82">
        <v>0</v>
      </c>
      <c r="BI99" s="82">
        <v>-672.3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" si="59">B61+B65+B83+B79+B95+B99</f>
        <v>2132.3399999999997</v>
      </c>
      <c r="C100" s="108">
        <f t="shared" ref="C100:AG100" si="60">C61+C65+C83+C79+C95+C99</f>
        <v>2120.04</v>
      </c>
      <c r="D100" s="108">
        <f t="shared" ref="D100" si="61">D61+D65+D83+D79+D95+D99</f>
        <v>2097.14</v>
      </c>
      <c r="E100" s="108">
        <f t="shared" si="60"/>
        <v>2072.3399999999997</v>
      </c>
      <c r="F100" s="108">
        <f t="shared" si="60"/>
        <v>2032.1399999999999</v>
      </c>
      <c r="G100" s="108">
        <f t="shared" si="60"/>
        <v>2032.1399999999999</v>
      </c>
      <c r="H100" s="108">
        <f t="shared" si="60"/>
        <v>2018.34</v>
      </c>
      <c r="I100" s="108">
        <f t="shared" si="60"/>
        <v>2015.9399999999998</v>
      </c>
      <c r="J100" s="108">
        <f t="shared" si="60"/>
        <v>2028.5399999999997</v>
      </c>
      <c r="K100" s="108">
        <f t="shared" si="60"/>
        <v>2121.8399999999997</v>
      </c>
      <c r="L100" s="108">
        <f t="shared" si="60"/>
        <v>2135.9399999999996</v>
      </c>
      <c r="M100" s="108">
        <f t="shared" si="60"/>
        <v>2138.7399999999998</v>
      </c>
      <c r="N100" s="108">
        <f t="shared" si="60"/>
        <v>2174.64</v>
      </c>
      <c r="O100" s="108">
        <f t="shared" si="60"/>
        <v>2320.34</v>
      </c>
      <c r="P100" s="108">
        <f t="shared" si="60"/>
        <v>2320.34</v>
      </c>
      <c r="Q100" s="108">
        <f t="shared" si="60"/>
        <v>2320.34</v>
      </c>
      <c r="R100" s="108">
        <f t="shared" si="60"/>
        <v>2320.34</v>
      </c>
      <c r="S100" s="108">
        <f t="shared" si="60"/>
        <v>2383.5400000000004</v>
      </c>
      <c r="T100" s="108">
        <f t="shared" si="60"/>
        <v>2379.34</v>
      </c>
      <c r="U100" s="108">
        <f t="shared" si="60"/>
        <v>2383.7400000000002</v>
      </c>
      <c r="V100" s="108">
        <f t="shared" si="60"/>
        <v>2276.44</v>
      </c>
      <c r="W100" s="108">
        <f t="shared" si="60"/>
        <v>2245.2400000000002</v>
      </c>
      <c r="X100" s="108">
        <f t="shared" si="60"/>
        <v>2261.2400000000002</v>
      </c>
      <c r="Y100" s="108">
        <f t="shared" si="60"/>
        <v>2270.04</v>
      </c>
      <c r="Z100" s="108">
        <f t="shared" si="60"/>
        <v>2278.5</v>
      </c>
      <c r="AA100" s="108">
        <f t="shared" si="60"/>
        <v>2403.9399999999996</v>
      </c>
      <c r="AB100" s="108">
        <f t="shared" si="60"/>
        <v>2455.94</v>
      </c>
      <c r="AC100" s="108">
        <f t="shared" ref="AC100" si="62">AC61+AC65+AC83+AC79+AC95+AC99</f>
        <v>2455.94</v>
      </c>
      <c r="AD100" s="108">
        <f t="shared" si="60"/>
        <v>303.54000000000002</v>
      </c>
      <c r="AE100" s="108">
        <v>2416.94</v>
      </c>
      <c r="AF100" s="108">
        <v>2416.94</v>
      </c>
      <c r="AG100" s="72">
        <f t="shared" si="60"/>
        <v>2655.44</v>
      </c>
      <c r="AH100" s="48">
        <f t="shared" si="44"/>
        <v>2455.94</v>
      </c>
      <c r="AI100" s="49">
        <f t="shared" si="45"/>
        <v>303.54000000000002</v>
      </c>
      <c r="BF100" s="81"/>
      <c r="BG100" s="82">
        <v>-59.9</v>
      </c>
      <c r="BH100" s="82">
        <v>0</v>
      </c>
      <c r="BI100" s="82">
        <v>-673.69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44"/>
        <v>0</v>
      </c>
      <c r="AI101" s="49">
        <f t="shared" si="45"/>
        <v>0</v>
      </c>
      <c r="BF101" s="81"/>
      <c r="BG101" s="82">
        <v>-56.1</v>
      </c>
      <c r="BH101" s="82">
        <v>0</v>
      </c>
      <c r="BI101" s="82">
        <v>-656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" si="63">B100+B101</f>
        <v>2132.3399999999997</v>
      </c>
      <c r="C102" s="108">
        <f t="shared" ref="C102:AD102" si="64">C100+C101</f>
        <v>2120.04</v>
      </c>
      <c r="D102" s="108">
        <f t="shared" ref="D102" si="65">D100+D101</f>
        <v>2097.14</v>
      </c>
      <c r="E102" s="108">
        <f t="shared" si="64"/>
        <v>2072.3399999999997</v>
      </c>
      <c r="F102" s="108">
        <f t="shared" si="64"/>
        <v>2032.1399999999999</v>
      </c>
      <c r="G102" s="108">
        <f t="shared" si="64"/>
        <v>2032.1399999999999</v>
      </c>
      <c r="H102" s="108">
        <f t="shared" si="64"/>
        <v>2018.34</v>
      </c>
      <c r="I102" s="108">
        <f t="shared" si="64"/>
        <v>2015.9399999999998</v>
      </c>
      <c r="J102" s="108">
        <f t="shared" si="64"/>
        <v>2028.5399999999997</v>
      </c>
      <c r="K102" s="108">
        <f t="shared" si="64"/>
        <v>2121.8399999999997</v>
      </c>
      <c r="L102" s="108">
        <f t="shared" si="64"/>
        <v>2135.9399999999996</v>
      </c>
      <c r="M102" s="108">
        <f t="shared" si="64"/>
        <v>2138.7399999999998</v>
      </c>
      <c r="N102" s="108">
        <f t="shared" si="64"/>
        <v>2174.64</v>
      </c>
      <c r="O102" s="108">
        <f t="shared" si="64"/>
        <v>2320.34</v>
      </c>
      <c r="P102" s="108">
        <f t="shared" si="64"/>
        <v>2320.34</v>
      </c>
      <c r="Q102" s="108">
        <f t="shared" si="64"/>
        <v>2320.34</v>
      </c>
      <c r="R102" s="108">
        <f t="shared" si="64"/>
        <v>2320.34</v>
      </c>
      <c r="S102" s="108">
        <f t="shared" si="64"/>
        <v>2383.5400000000004</v>
      </c>
      <c r="T102" s="108">
        <f t="shared" si="64"/>
        <v>2379.34</v>
      </c>
      <c r="U102" s="108">
        <f t="shared" si="64"/>
        <v>2383.7400000000002</v>
      </c>
      <c r="V102" s="108">
        <f t="shared" si="64"/>
        <v>2276.44</v>
      </c>
      <c r="W102" s="108">
        <f t="shared" si="64"/>
        <v>2245.2400000000002</v>
      </c>
      <c r="X102" s="108">
        <f t="shared" si="64"/>
        <v>2261.2400000000002</v>
      </c>
      <c r="Y102" s="108">
        <f t="shared" si="64"/>
        <v>2270.04</v>
      </c>
      <c r="Z102" s="108">
        <f t="shared" si="64"/>
        <v>2278.5</v>
      </c>
      <c r="AA102" s="108">
        <f t="shared" si="64"/>
        <v>2403.9399999999996</v>
      </c>
      <c r="AB102" s="108">
        <f t="shared" si="64"/>
        <v>2455.94</v>
      </c>
      <c r="AC102" s="108">
        <f t="shared" ref="AC102" si="66">AC100+AC101</f>
        <v>2455.94</v>
      </c>
      <c r="AD102" s="108">
        <f t="shared" si="64"/>
        <v>303.54000000000002</v>
      </c>
      <c r="AE102" s="108">
        <v>2416.94</v>
      </c>
      <c r="AF102" s="108">
        <v>2416.94</v>
      </c>
      <c r="AG102" s="101">
        <f>AG99+AG95+AG83+AG79+AG61+AG101</f>
        <v>2117.34</v>
      </c>
      <c r="AH102" s="48">
        <f t="shared" si="44"/>
        <v>2455.94</v>
      </c>
      <c r="AI102" s="49">
        <f t="shared" si="45"/>
        <v>303.54000000000002</v>
      </c>
      <c r="BF102" s="81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" si="67">B102-(B110)</f>
        <v>1437.4399999999996</v>
      </c>
      <c r="C103" s="108">
        <f t="shared" ref="C103:AD103" si="68">C102-(C110)</f>
        <v>1386.04</v>
      </c>
      <c r="D103" s="108">
        <f t="shared" ref="D103" si="69">D102-(D110)</f>
        <v>1361.8399999999997</v>
      </c>
      <c r="E103" s="108">
        <f t="shared" si="68"/>
        <v>1318.3399999999997</v>
      </c>
      <c r="F103" s="108">
        <f t="shared" si="68"/>
        <v>1289.54</v>
      </c>
      <c r="G103" s="108">
        <f t="shared" si="68"/>
        <v>1306.54</v>
      </c>
      <c r="H103" s="108">
        <f t="shared" si="68"/>
        <v>1244.3399999999999</v>
      </c>
      <c r="I103" s="108">
        <f t="shared" si="68"/>
        <v>1292.9399999999998</v>
      </c>
      <c r="J103" s="108">
        <f t="shared" si="68"/>
        <v>1338.5399999999997</v>
      </c>
      <c r="K103" s="108">
        <f t="shared" si="68"/>
        <v>1422.8399999999997</v>
      </c>
      <c r="L103" s="108">
        <f t="shared" si="68"/>
        <v>1417.9399999999996</v>
      </c>
      <c r="M103" s="108">
        <f t="shared" si="68"/>
        <v>1466.2399999999998</v>
      </c>
      <c r="N103" s="108">
        <f t="shared" si="68"/>
        <v>1448.6399999999999</v>
      </c>
      <c r="O103" s="108">
        <f t="shared" si="68"/>
        <v>1564.7400000000002</v>
      </c>
      <c r="P103" s="108">
        <f t="shared" si="68"/>
        <v>1654.3400000000001</v>
      </c>
      <c r="Q103" s="108">
        <f t="shared" si="68"/>
        <v>1645.3400000000001</v>
      </c>
      <c r="R103" s="108">
        <f t="shared" si="68"/>
        <v>1646.7400000000002</v>
      </c>
      <c r="S103" s="108">
        <f t="shared" si="68"/>
        <v>1647.5400000000004</v>
      </c>
      <c r="T103" s="108">
        <f t="shared" si="68"/>
        <v>1738.94</v>
      </c>
      <c r="U103" s="108">
        <f t="shared" si="68"/>
        <v>1657.2400000000002</v>
      </c>
      <c r="V103" s="108">
        <f t="shared" si="68"/>
        <v>1504.14</v>
      </c>
      <c r="W103" s="108">
        <f t="shared" si="68"/>
        <v>1502.2400000000002</v>
      </c>
      <c r="X103" s="108">
        <f t="shared" si="68"/>
        <v>1525.0400000000004</v>
      </c>
      <c r="Y103" s="108">
        <f t="shared" si="68"/>
        <v>1523.04</v>
      </c>
      <c r="Z103" s="108">
        <f t="shared" si="68"/>
        <v>1544.9099999999999</v>
      </c>
      <c r="AA103" s="108">
        <f t="shared" si="68"/>
        <v>1720.3399999999997</v>
      </c>
      <c r="AB103" s="108">
        <f t="shared" si="68"/>
        <v>1743.8400000000001</v>
      </c>
      <c r="AC103" s="108">
        <f t="shared" ref="AC103" si="70">AC102-(AC110)</f>
        <v>1743.94</v>
      </c>
      <c r="AD103" s="108">
        <f t="shared" si="68"/>
        <v>303.54000000000002</v>
      </c>
      <c r="AE103" s="108">
        <v>1704.94</v>
      </c>
      <c r="AF103" s="108">
        <v>1704.94</v>
      </c>
      <c r="AG103" s="101"/>
      <c r="AH103" s="48">
        <f t="shared" si="44"/>
        <v>1743.94</v>
      </c>
      <c r="AI103" s="49">
        <f t="shared" si="45"/>
        <v>303.54000000000002</v>
      </c>
      <c r="BF103" s="81"/>
      <c r="BG103" s="82">
        <v>-31</v>
      </c>
      <c r="BH103" s="82">
        <v>0</v>
      </c>
      <c r="BI103" s="82">
        <v>-614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" si="71">IF(B84&lt;0,B84*-1,0)</f>
        <v>59.9</v>
      </c>
      <c r="C104" s="89">
        <f t="shared" ref="C104:AD109" si="72">IF(C84&lt;0,C84*-1,0)</f>
        <v>60</v>
      </c>
      <c r="D104" s="89">
        <f t="shared" ref="D104" si="73">IF(D84&lt;0,D84*-1,0)</f>
        <v>62.1</v>
      </c>
      <c r="E104" s="89">
        <f t="shared" si="72"/>
        <v>64</v>
      </c>
      <c r="F104" s="89">
        <f t="shared" si="72"/>
        <v>66.599999999999994</v>
      </c>
      <c r="G104" s="89">
        <f t="shared" si="72"/>
        <v>66.599999999999994</v>
      </c>
      <c r="H104" s="89">
        <f t="shared" si="72"/>
        <v>69</v>
      </c>
      <c r="I104" s="89">
        <f t="shared" si="72"/>
        <v>68</v>
      </c>
      <c r="J104" s="89">
        <f t="shared" si="72"/>
        <v>60</v>
      </c>
      <c r="K104" s="89">
        <f t="shared" si="72"/>
        <v>54</v>
      </c>
      <c r="L104" s="89">
        <f t="shared" si="72"/>
        <v>63</v>
      </c>
      <c r="M104" s="89">
        <f t="shared" si="72"/>
        <v>63.5</v>
      </c>
      <c r="N104" s="89">
        <f t="shared" si="72"/>
        <v>58</v>
      </c>
      <c r="O104" s="89">
        <f t="shared" si="72"/>
        <v>59.6</v>
      </c>
      <c r="P104" s="89">
        <f t="shared" si="72"/>
        <v>53</v>
      </c>
      <c r="Q104" s="89">
        <f t="shared" si="72"/>
        <v>55</v>
      </c>
      <c r="R104" s="89">
        <f t="shared" si="72"/>
        <v>59.6</v>
      </c>
      <c r="S104" s="89">
        <f t="shared" si="72"/>
        <v>58</v>
      </c>
      <c r="T104" s="89">
        <f t="shared" si="72"/>
        <v>48.4</v>
      </c>
      <c r="U104" s="89">
        <f t="shared" si="72"/>
        <v>64.5</v>
      </c>
      <c r="V104" s="89">
        <f t="shared" si="72"/>
        <v>63.3</v>
      </c>
      <c r="W104" s="89">
        <f t="shared" si="72"/>
        <v>63</v>
      </c>
      <c r="X104" s="89">
        <f t="shared" si="72"/>
        <v>63.9</v>
      </c>
      <c r="Y104" s="89">
        <f t="shared" si="72"/>
        <v>69</v>
      </c>
      <c r="Z104" s="89">
        <f t="shared" si="72"/>
        <v>59.9</v>
      </c>
      <c r="AA104" s="89">
        <f t="shared" si="72"/>
        <v>54.6</v>
      </c>
      <c r="AB104" s="89">
        <f t="shared" si="72"/>
        <v>56.1</v>
      </c>
      <c r="AC104" s="89">
        <f t="shared" ref="AC104" si="74">IF(AC84&lt;0,AC84*-1,0)</f>
        <v>50</v>
      </c>
      <c r="AD104" s="89">
        <f t="shared" si="72"/>
        <v>0</v>
      </c>
      <c r="AE104" s="89">
        <v>50</v>
      </c>
      <c r="AF104" s="89">
        <v>49.89</v>
      </c>
      <c r="AG104" s="61"/>
      <c r="AH104" s="48">
        <f t="shared" si="44"/>
        <v>69</v>
      </c>
      <c r="AI104" s="49">
        <f t="shared" si="45"/>
        <v>0</v>
      </c>
      <c r="BG104" s="82">
        <v>-37</v>
      </c>
      <c r="BH104" s="82">
        <v>0</v>
      </c>
      <c r="BI104" s="82">
        <v>-578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" si="75">IF(B85&lt;0,B85*-1,0)</f>
        <v>0</v>
      </c>
      <c r="C105" s="89">
        <f t="shared" si="72"/>
        <v>0</v>
      </c>
      <c r="D105" s="89">
        <f t="shared" ref="D105" si="76">IF(D85&lt;0,D85*-1,0)</f>
        <v>0</v>
      </c>
      <c r="E105" s="89">
        <f t="shared" si="72"/>
        <v>0</v>
      </c>
      <c r="F105" s="89">
        <f t="shared" si="72"/>
        <v>0</v>
      </c>
      <c r="G105" s="89">
        <f t="shared" si="72"/>
        <v>0</v>
      </c>
      <c r="H105" s="89">
        <f t="shared" si="72"/>
        <v>0</v>
      </c>
      <c r="I105" s="89">
        <f t="shared" si="72"/>
        <v>0</v>
      </c>
      <c r="J105" s="89">
        <f t="shared" si="72"/>
        <v>0</v>
      </c>
      <c r="K105" s="89">
        <f t="shared" si="72"/>
        <v>0</v>
      </c>
      <c r="L105" s="89">
        <f t="shared" si="72"/>
        <v>0</v>
      </c>
      <c r="M105" s="89">
        <f t="shared" si="72"/>
        <v>0</v>
      </c>
      <c r="N105" s="89">
        <f t="shared" si="72"/>
        <v>0</v>
      </c>
      <c r="O105" s="89">
        <f t="shared" si="72"/>
        <v>0</v>
      </c>
      <c r="P105" s="89">
        <f t="shared" si="72"/>
        <v>0</v>
      </c>
      <c r="Q105" s="89">
        <f t="shared" si="72"/>
        <v>0</v>
      </c>
      <c r="R105" s="89">
        <f t="shared" si="72"/>
        <v>0</v>
      </c>
      <c r="S105" s="89">
        <f t="shared" si="72"/>
        <v>0</v>
      </c>
      <c r="T105" s="89">
        <f t="shared" si="72"/>
        <v>0</v>
      </c>
      <c r="U105" s="89">
        <f t="shared" si="72"/>
        <v>0</v>
      </c>
      <c r="V105" s="89">
        <f t="shared" si="72"/>
        <v>0</v>
      </c>
      <c r="W105" s="89">
        <f t="shared" si="72"/>
        <v>0</v>
      </c>
      <c r="X105" s="89">
        <f t="shared" si="72"/>
        <v>0</v>
      </c>
      <c r="Y105" s="89">
        <f t="shared" si="72"/>
        <v>0</v>
      </c>
      <c r="Z105" s="89">
        <f t="shared" si="72"/>
        <v>0</v>
      </c>
      <c r="AA105" s="89">
        <f t="shared" si="72"/>
        <v>0</v>
      </c>
      <c r="AB105" s="89">
        <f t="shared" si="72"/>
        <v>0</v>
      </c>
      <c r="AC105" s="89">
        <f t="shared" ref="AC105" si="77">IF(AC85&lt;0,AC85*-1,0)</f>
        <v>0</v>
      </c>
      <c r="AD105" s="89">
        <f t="shared" si="72"/>
        <v>0</v>
      </c>
      <c r="AE105" s="89">
        <v>0</v>
      </c>
      <c r="AF105" s="89">
        <v>0</v>
      </c>
      <c r="AG105" s="66"/>
      <c r="AH105" s="48">
        <f t="shared" si="44"/>
        <v>0</v>
      </c>
      <c r="AI105" s="49">
        <f t="shared" si="45"/>
        <v>0</v>
      </c>
      <c r="AK105" s="51"/>
      <c r="BG105" s="82">
        <v>-59.9</v>
      </c>
      <c r="BH105" s="82">
        <v>0</v>
      </c>
      <c r="BI105" s="82">
        <v>-635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ref="B106" si="78">IF(B86&lt;0,B86*-1,0)</f>
        <v>635</v>
      </c>
      <c r="C106" s="89">
        <f t="shared" si="72"/>
        <v>674</v>
      </c>
      <c r="D106" s="89">
        <f t="shared" ref="D106" si="79">IF(D86&lt;0,D86*-1,0)</f>
        <v>673.2</v>
      </c>
      <c r="E106" s="89">
        <f t="shared" si="72"/>
        <v>690</v>
      </c>
      <c r="F106" s="89">
        <f t="shared" si="72"/>
        <v>676</v>
      </c>
      <c r="G106" s="89">
        <f t="shared" si="72"/>
        <v>659</v>
      </c>
      <c r="H106" s="89">
        <f t="shared" si="72"/>
        <v>705</v>
      </c>
      <c r="I106" s="89">
        <f t="shared" si="72"/>
        <v>655</v>
      </c>
      <c r="J106" s="89">
        <f t="shared" si="72"/>
        <v>630</v>
      </c>
      <c r="K106" s="89">
        <f t="shared" si="72"/>
        <v>645</v>
      </c>
      <c r="L106" s="89">
        <f t="shared" si="72"/>
        <v>655</v>
      </c>
      <c r="M106" s="89">
        <f t="shared" si="72"/>
        <v>609</v>
      </c>
      <c r="N106" s="89">
        <f t="shared" si="72"/>
        <v>668</v>
      </c>
      <c r="O106" s="89">
        <f t="shared" si="72"/>
        <v>696</v>
      </c>
      <c r="P106" s="89">
        <f t="shared" si="72"/>
        <v>613</v>
      </c>
      <c r="Q106" s="89">
        <f t="shared" si="72"/>
        <v>620</v>
      </c>
      <c r="R106" s="89">
        <f t="shared" si="72"/>
        <v>614</v>
      </c>
      <c r="S106" s="89">
        <f t="shared" si="72"/>
        <v>678</v>
      </c>
      <c r="T106" s="89">
        <f t="shared" si="72"/>
        <v>592</v>
      </c>
      <c r="U106" s="89">
        <f t="shared" si="72"/>
        <v>662</v>
      </c>
      <c r="V106" s="89">
        <f t="shared" si="72"/>
        <v>709</v>
      </c>
      <c r="W106" s="89">
        <f t="shared" si="72"/>
        <v>680</v>
      </c>
      <c r="X106" s="89">
        <f t="shared" si="72"/>
        <v>672.3</v>
      </c>
      <c r="Y106" s="89">
        <f t="shared" si="72"/>
        <v>678</v>
      </c>
      <c r="Z106" s="89">
        <f t="shared" si="72"/>
        <v>673.69</v>
      </c>
      <c r="AA106" s="89">
        <f t="shared" si="72"/>
        <v>629</v>
      </c>
      <c r="AB106" s="89">
        <f t="shared" si="72"/>
        <v>656</v>
      </c>
      <c r="AC106" s="89">
        <f t="shared" ref="AC106" si="80">IF(AC86&lt;0,AC86*-1,0)</f>
        <v>662</v>
      </c>
      <c r="AD106" s="89">
        <f t="shared" si="72"/>
        <v>0</v>
      </c>
      <c r="AE106" s="89">
        <v>662</v>
      </c>
      <c r="AF106" s="89">
        <v>662</v>
      </c>
      <c r="AG106" s="111"/>
      <c r="AH106" s="48">
        <f t="shared" si="44"/>
        <v>709</v>
      </c>
      <c r="AI106" s="49">
        <f t="shared" si="45"/>
        <v>0</v>
      </c>
    </row>
    <row r="107" spans="1:64" x14ac:dyDescent="0.25">
      <c r="A107" s="97" t="s">
        <v>107</v>
      </c>
      <c r="B107" s="89">
        <f t="shared" ref="B107" si="81">IF(B87&lt;0,B87*-1,0)</f>
        <v>0</v>
      </c>
      <c r="C107" s="89">
        <f t="shared" si="72"/>
        <v>0</v>
      </c>
      <c r="D107" s="89">
        <f t="shared" ref="D107" si="82">IF(D87&lt;0,D87*-1,0)</f>
        <v>0</v>
      </c>
      <c r="E107" s="89">
        <f t="shared" si="72"/>
        <v>0</v>
      </c>
      <c r="F107" s="89">
        <f t="shared" si="72"/>
        <v>0</v>
      </c>
      <c r="G107" s="89">
        <f t="shared" si="72"/>
        <v>0</v>
      </c>
      <c r="H107" s="89">
        <f t="shared" si="72"/>
        <v>0</v>
      </c>
      <c r="I107" s="89">
        <f t="shared" si="72"/>
        <v>0</v>
      </c>
      <c r="J107" s="89">
        <f t="shared" si="72"/>
        <v>0</v>
      </c>
      <c r="K107" s="89">
        <f t="shared" si="72"/>
        <v>0</v>
      </c>
      <c r="L107" s="89">
        <f t="shared" si="72"/>
        <v>0</v>
      </c>
      <c r="M107" s="89">
        <f t="shared" si="72"/>
        <v>0</v>
      </c>
      <c r="N107" s="89">
        <f t="shared" si="72"/>
        <v>0</v>
      </c>
      <c r="O107" s="89">
        <f t="shared" si="72"/>
        <v>0</v>
      </c>
      <c r="P107" s="89">
        <f t="shared" si="72"/>
        <v>0</v>
      </c>
      <c r="Q107" s="89">
        <f t="shared" si="72"/>
        <v>0</v>
      </c>
      <c r="R107" s="89">
        <f t="shared" si="72"/>
        <v>0</v>
      </c>
      <c r="S107" s="89">
        <f t="shared" si="72"/>
        <v>0</v>
      </c>
      <c r="T107" s="89">
        <f t="shared" si="72"/>
        <v>0</v>
      </c>
      <c r="U107" s="89">
        <f t="shared" si="72"/>
        <v>0</v>
      </c>
      <c r="V107" s="89">
        <f t="shared" si="72"/>
        <v>0</v>
      </c>
      <c r="W107" s="89">
        <f t="shared" si="72"/>
        <v>0</v>
      </c>
      <c r="X107" s="89">
        <f t="shared" si="72"/>
        <v>0</v>
      </c>
      <c r="Y107" s="89">
        <f t="shared" si="72"/>
        <v>0</v>
      </c>
      <c r="Z107" s="89">
        <f t="shared" si="72"/>
        <v>0</v>
      </c>
      <c r="AA107" s="89">
        <f t="shared" si="72"/>
        <v>0</v>
      </c>
      <c r="AB107" s="89">
        <f t="shared" si="72"/>
        <v>0</v>
      </c>
      <c r="AC107" s="89">
        <f t="shared" ref="AC107" si="83">IF(AC87&lt;0,AC87*-1,0)</f>
        <v>0</v>
      </c>
      <c r="AD107" s="89">
        <f t="shared" si="72"/>
        <v>0</v>
      </c>
      <c r="AE107" s="89">
        <v>0</v>
      </c>
      <c r="AF107" s="89">
        <v>0</v>
      </c>
      <c r="AG107" s="111"/>
      <c r="AH107" s="48">
        <f t="shared" si="44"/>
        <v>0</v>
      </c>
      <c r="AI107" s="49">
        <f t="shared" si="45"/>
        <v>0</v>
      </c>
    </row>
    <row r="108" spans="1:64" x14ac:dyDescent="0.25">
      <c r="A108" s="97" t="s">
        <v>108</v>
      </c>
      <c r="B108" s="89">
        <f t="shared" ref="B108" si="84">IF(B88&lt;0,B88*-1,0)</f>
        <v>0</v>
      </c>
      <c r="C108" s="89">
        <f t="shared" si="72"/>
        <v>0</v>
      </c>
      <c r="D108" s="89">
        <f t="shared" ref="D108" si="85">IF(D88&lt;0,D88*-1,0)</f>
        <v>0</v>
      </c>
      <c r="E108" s="89">
        <f t="shared" si="72"/>
        <v>0</v>
      </c>
      <c r="F108" s="89">
        <f t="shared" si="72"/>
        <v>0</v>
      </c>
      <c r="G108" s="89">
        <f t="shared" si="72"/>
        <v>0</v>
      </c>
      <c r="H108" s="89">
        <f t="shared" si="72"/>
        <v>0</v>
      </c>
      <c r="I108" s="89">
        <f t="shared" si="72"/>
        <v>0</v>
      </c>
      <c r="J108" s="89">
        <f t="shared" si="72"/>
        <v>0</v>
      </c>
      <c r="K108" s="89">
        <f t="shared" si="72"/>
        <v>0</v>
      </c>
      <c r="L108" s="89">
        <f t="shared" si="72"/>
        <v>0</v>
      </c>
      <c r="M108" s="89">
        <f t="shared" si="72"/>
        <v>0</v>
      </c>
      <c r="N108" s="89">
        <f t="shared" si="72"/>
        <v>0</v>
      </c>
      <c r="O108" s="89">
        <f t="shared" si="72"/>
        <v>0</v>
      </c>
      <c r="P108" s="89">
        <f t="shared" si="72"/>
        <v>0</v>
      </c>
      <c r="Q108" s="89">
        <f t="shared" si="72"/>
        <v>0</v>
      </c>
      <c r="R108" s="89">
        <f t="shared" si="72"/>
        <v>0</v>
      </c>
      <c r="S108" s="89">
        <f t="shared" si="72"/>
        <v>0</v>
      </c>
      <c r="T108" s="89">
        <f t="shared" si="72"/>
        <v>0</v>
      </c>
      <c r="U108" s="89">
        <f t="shared" si="72"/>
        <v>0</v>
      </c>
      <c r="V108" s="89">
        <f t="shared" si="72"/>
        <v>0</v>
      </c>
      <c r="W108" s="89">
        <f t="shared" si="72"/>
        <v>0</v>
      </c>
      <c r="X108" s="89">
        <f t="shared" si="72"/>
        <v>0</v>
      </c>
      <c r="Y108" s="89">
        <f t="shared" si="72"/>
        <v>0</v>
      </c>
      <c r="Z108" s="89">
        <f t="shared" si="72"/>
        <v>0</v>
      </c>
      <c r="AA108" s="89">
        <f t="shared" si="72"/>
        <v>0</v>
      </c>
      <c r="AB108" s="89">
        <f t="shared" si="72"/>
        <v>0</v>
      </c>
      <c r="AC108" s="89">
        <f t="shared" ref="AC108" si="86">IF(AC88&lt;0,AC88*-1,0)</f>
        <v>0</v>
      </c>
      <c r="AD108" s="89">
        <f t="shared" si="72"/>
        <v>0</v>
      </c>
      <c r="AE108" s="89">
        <v>0</v>
      </c>
      <c r="AF108" s="89">
        <v>0</v>
      </c>
      <c r="AG108" s="111"/>
      <c r="AH108" s="48">
        <f t="shared" si="44"/>
        <v>0</v>
      </c>
      <c r="AI108" s="49">
        <f t="shared" si="45"/>
        <v>0</v>
      </c>
    </row>
    <row r="109" spans="1:64" ht="15.75" thickBot="1" x14ac:dyDescent="0.3">
      <c r="A109" s="97" t="s">
        <v>117</v>
      </c>
      <c r="B109" s="89">
        <f t="shared" ref="B109" si="87">IF(B89&lt;0,B89*-1,0)</f>
        <v>0</v>
      </c>
      <c r="C109" s="89">
        <f t="shared" si="72"/>
        <v>0</v>
      </c>
      <c r="D109" s="89">
        <f t="shared" ref="D109" si="88">IF(D89&lt;0,D89*-1,0)</f>
        <v>0</v>
      </c>
      <c r="E109" s="89">
        <f t="shared" si="72"/>
        <v>0</v>
      </c>
      <c r="F109" s="89">
        <f t="shared" si="72"/>
        <v>0</v>
      </c>
      <c r="G109" s="89">
        <f t="shared" si="72"/>
        <v>0</v>
      </c>
      <c r="H109" s="89">
        <f t="shared" si="72"/>
        <v>0</v>
      </c>
      <c r="I109" s="89">
        <f t="shared" si="72"/>
        <v>0</v>
      </c>
      <c r="J109" s="89">
        <f t="shared" si="72"/>
        <v>0</v>
      </c>
      <c r="K109" s="89">
        <f t="shared" si="72"/>
        <v>0</v>
      </c>
      <c r="L109" s="89">
        <f t="shared" si="72"/>
        <v>0</v>
      </c>
      <c r="M109" s="89">
        <f t="shared" si="72"/>
        <v>0</v>
      </c>
      <c r="N109" s="89">
        <f t="shared" si="72"/>
        <v>0</v>
      </c>
      <c r="O109" s="89">
        <f t="shared" si="72"/>
        <v>0</v>
      </c>
      <c r="P109" s="89">
        <f t="shared" si="72"/>
        <v>0</v>
      </c>
      <c r="Q109" s="89">
        <f t="shared" si="72"/>
        <v>0</v>
      </c>
      <c r="R109" s="89">
        <f t="shared" si="72"/>
        <v>0</v>
      </c>
      <c r="S109" s="89">
        <f t="shared" si="72"/>
        <v>0</v>
      </c>
      <c r="T109" s="89">
        <f t="shared" si="72"/>
        <v>0</v>
      </c>
      <c r="U109" s="89">
        <f t="shared" si="72"/>
        <v>0</v>
      </c>
      <c r="V109" s="89">
        <f t="shared" si="72"/>
        <v>0</v>
      </c>
      <c r="W109" s="89">
        <f t="shared" si="72"/>
        <v>0</v>
      </c>
      <c r="X109" s="89">
        <f t="shared" si="72"/>
        <v>0</v>
      </c>
      <c r="Y109" s="89">
        <f t="shared" si="72"/>
        <v>0</v>
      </c>
      <c r="Z109" s="89">
        <f t="shared" si="72"/>
        <v>0</v>
      </c>
      <c r="AA109" s="89">
        <f t="shared" si="72"/>
        <v>0</v>
      </c>
      <c r="AB109" s="89">
        <f t="shared" si="72"/>
        <v>0</v>
      </c>
      <c r="AC109" s="89">
        <f t="shared" ref="AC109" si="89">IF(AC89&lt;0,AC89*-1,0)</f>
        <v>0</v>
      </c>
      <c r="AD109" s="89">
        <f t="shared" si="72"/>
        <v>0</v>
      </c>
      <c r="AE109" s="89">
        <v>0</v>
      </c>
      <c r="AF109" s="89">
        <v>0</v>
      </c>
      <c r="AG109" s="98"/>
      <c r="AH109" s="48">
        <f t="shared" si="44"/>
        <v>0</v>
      </c>
      <c r="AI109" s="49">
        <f t="shared" si="45"/>
        <v>0</v>
      </c>
    </row>
    <row r="110" spans="1:64" ht="15.75" thickBot="1" x14ac:dyDescent="0.3">
      <c r="A110" s="112" t="s">
        <v>130</v>
      </c>
      <c r="B110" s="71">
        <f t="shared" ref="B110" si="90">SUM(B104:B109)</f>
        <v>694.9</v>
      </c>
      <c r="C110" s="71">
        <f t="shared" ref="C110:AD110" si="91">SUM(C104:C109)</f>
        <v>734</v>
      </c>
      <c r="D110" s="71">
        <f t="shared" ref="D110" si="92">SUM(D104:D109)</f>
        <v>735.30000000000007</v>
      </c>
      <c r="E110" s="71">
        <f t="shared" si="91"/>
        <v>754</v>
      </c>
      <c r="F110" s="71">
        <f t="shared" si="91"/>
        <v>742.6</v>
      </c>
      <c r="G110" s="71">
        <f t="shared" si="91"/>
        <v>725.6</v>
      </c>
      <c r="H110" s="71">
        <f t="shared" si="91"/>
        <v>774</v>
      </c>
      <c r="I110" s="71">
        <f t="shared" si="91"/>
        <v>723</v>
      </c>
      <c r="J110" s="71">
        <f t="shared" si="91"/>
        <v>690</v>
      </c>
      <c r="K110" s="71">
        <f t="shared" si="91"/>
        <v>699</v>
      </c>
      <c r="L110" s="71">
        <f t="shared" si="91"/>
        <v>718</v>
      </c>
      <c r="M110" s="71">
        <f t="shared" si="91"/>
        <v>672.5</v>
      </c>
      <c r="N110" s="71">
        <f t="shared" si="91"/>
        <v>726</v>
      </c>
      <c r="O110" s="71">
        <f t="shared" si="91"/>
        <v>755.6</v>
      </c>
      <c r="P110" s="71">
        <f t="shared" si="91"/>
        <v>666</v>
      </c>
      <c r="Q110" s="71">
        <f t="shared" si="91"/>
        <v>675</v>
      </c>
      <c r="R110" s="71">
        <f t="shared" si="91"/>
        <v>673.6</v>
      </c>
      <c r="S110" s="71">
        <f t="shared" si="91"/>
        <v>736</v>
      </c>
      <c r="T110" s="71">
        <f t="shared" si="91"/>
        <v>640.4</v>
      </c>
      <c r="U110" s="71">
        <f t="shared" si="91"/>
        <v>726.5</v>
      </c>
      <c r="V110" s="71">
        <f t="shared" si="91"/>
        <v>772.3</v>
      </c>
      <c r="W110" s="71">
        <f t="shared" si="91"/>
        <v>743</v>
      </c>
      <c r="X110" s="71">
        <f t="shared" si="91"/>
        <v>736.19999999999993</v>
      </c>
      <c r="Y110" s="71">
        <f t="shared" si="91"/>
        <v>747</v>
      </c>
      <c r="Z110" s="71">
        <f t="shared" si="91"/>
        <v>733.59</v>
      </c>
      <c r="AA110" s="71">
        <f t="shared" si="91"/>
        <v>683.6</v>
      </c>
      <c r="AB110" s="71">
        <f t="shared" si="91"/>
        <v>712.1</v>
      </c>
      <c r="AC110" s="71">
        <f t="shared" ref="AC110" si="93">SUM(AC104:AC109)</f>
        <v>712</v>
      </c>
      <c r="AD110" s="71">
        <f t="shared" si="91"/>
        <v>0</v>
      </c>
      <c r="AE110" s="71">
        <v>712</v>
      </c>
      <c r="AF110" s="71">
        <v>712</v>
      </c>
      <c r="AG110" s="101"/>
      <c r="AH110" s="48">
        <f t="shared" si="44"/>
        <v>774</v>
      </c>
      <c r="AI110" s="49">
        <f t="shared" si="45"/>
        <v>0</v>
      </c>
    </row>
    <row r="111" spans="1:64" ht="15.75" thickBot="1" x14ac:dyDescent="0.3">
      <c r="A111" s="87" t="s">
        <v>131</v>
      </c>
      <c r="B111" s="71">
        <f t="shared" ref="B111" si="94">B95-B110</f>
        <v>-694.9</v>
      </c>
      <c r="C111" s="71">
        <f t="shared" ref="C111:AD111" si="95">C95-C110</f>
        <v>-734</v>
      </c>
      <c r="D111" s="71">
        <f t="shared" ref="D111" si="96">D95-D110</f>
        <v>-735.30000000000007</v>
      </c>
      <c r="E111" s="71">
        <f t="shared" si="95"/>
        <v>-754</v>
      </c>
      <c r="F111" s="71">
        <f t="shared" si="95"/>
        <v>-742.6</v>
      </c>
      <c r="G111" s="71">
        <f t="shared" si="95"/>
        <v>-725.6</v>
      </c>
      <c r="H111" s="71">
        <f t="shared" si="95"/>
        <v>-774</v>
      </c>
      <c r="I111" s="71">
        <f t="shared" si="95"/>
        <v>-723</v>
      </c>
      <c r="J111" s="71">
        <f t="shared" si="95"/>
        <v>-690</v>
      </c>
      <c r="K111" s="71">
        <f t="shared" si="95"/>
        <v>-699</v>
      </c>
      <c r="L111" s="71">
        <f t="shared" si="95"/>
        <v>-718</v>
      </c>
      <c r="M111" s="71">
        <f t="shared" si="95"/>
        <v>-672.5</v>
      </c>
      <c r="N111" s="71">
        <f t="shared" si="95"/>
        <v>-726</v>
      </c>
      <c r="O111" s="71">
        <f t="shared" si="95"/>
        <v>-755.6</v>
      </c>
      <c r="P111" s="71">
        <f t="shared" si="95"/>
        <v>-666</v>
      </c>
      <c r="Q111" s="71">
        <f t="shared" si="95"/>
        <v>-675</v>
      </c>
      <c r="R111" s="71">
        <f t="shared" si="95"/>
        <v>-673.6</v>
      </c>
      <c r="S111" s="71">
        <f t="shared" si="95"/>
        <v>-736</v>
      </c>
      <c r="T111" s="71">
        <f t="shared" si="95"/>
        <v>-640.4</v>
      </c>
      <c r="U111" s="71">
        <f t="shared" si="95"/>
        <v>-726.5</v>
      </c>
      <c r="V111" s="71">
        <f t="shared" si="95"/>
        <v>-772.3</v>
      </c>
      <c r="W111" s="71">
        <f t="shared" si="95"/>
        <v>-743</v>
      </c>
      <c r="X111" s="71">
        <f t="shared" si="95"/>
        <v>-736.19999999999993</v>
      </c>
      <c r="Y111" s="71">
        <f t="shared" si="95"/>
        <v>-747</v>
      </c>
      <c r="Z111" s="71">
        <f t="shared" si="95"/>
        <v>-733.59</v>
      </c>
      <c r="AA111" s="71">
        <f t="shared" si="95"/>
        <v>-683.6</v>
      </c>
      <c r="AB111" s="71">
        <f t="shared" si="95"/>
        <v>-712.1</v>
      </c>
      <c r="AC111" s="71">
        <f t="shared" ref="AC111" si="97">AC95-AC110</f>
        <v>-712</v>
      </c>
      <c r="AD111" s="71">
        <f t="shared" si="95"/>
        <v>0</v>
      </c>
      <c r="AE111" s="71">
        <v>-712</v>
      </c>
      <c r="AF111" s="71">
        <v>-712</v>
      </c>
      <c r="AG111" s="101"/>
      <c r="AH111" s="48">
        <f t="shared" si="44"/>
        <v>0</v>
      </c>
      <c r="AI111" s="49">
        <f t="shared" si="45"/>
        <v>-774</v>
      </c>
    </row>
    <row r="112" spans="1:64" x14ac:dyDescent="0.25">
      <c r="A112" s="113" t="s">
        <v>132</v>
      </c>
      <c r="B112" s="114">
        <v>50</v>
      </c>
      <c r="C112" s="114">
        <v>49.99</v>
      </c>
      <c r="D112" s="114">
        <v>49.93</v>
      </c>
      <c r="E112" s="114">
        <v>49.92</v>
      </c>
      <c r="F112" s="114">
        <v>50.011000000000003</v>
      </c>
      <c r="G112" s="114">
        <v>49.95</v>
      </c>
      <c r="H112" s="114">
        <v>50.02</v>
      </c>
      <c r="I112" s="114"/>
      <c r="J112" s="114">
        <v>49.962000000000003</v>
      </c>
      <c r="K112" s="114">
        <v>49.95</v>
      </c>
      <c r="L112" s="114">
        <v>49.978999999999999</v>
      </c>
      <c r="M112" s="114">
        <v>49.970999999999997</v>
      </c>
      <c r="N112" s="114">
        <v>50.002000000000002</v>
      </c>
      <c r="O112" s="114">
        <v>49.99</v>
      </c>
      <c r="P112" s="114">
        <v>49.99</v>
      </c>
      <c r="Q112" s="114">
        <v>50.02</v>
      </c>
      <c r="R112" s="114">
        <v>49.95</v>
      </c>
      <c r="S112" s="114">
        <v>49.973999999999997</v>
      </c>
      <c r="T112" s="114">
        <v>49.941000000000003</v>
      </c>
      <c r="U112" s="114">
        <v>49.98</v>
      </c>
      <c r="V112" s="114">
        <v>49.99</v>
      </c>
      <c r="W112" s="114">
        <v>49.963999999999999</v>
      </c>
      <c r="X112" s="114">
        <v>50.101999999999997</v>
      </c>
      <c r="Y112" s="114">
        <v>50.106000000000002</v>
      </c>
      <c r="Z112" s="114">
        <v>49.978999999999999</v>
      </c>
      <c r="AA112" s="114">
        <v>50.026000000000003</v>
      </c>
      <c r="AB112" s="114">
        <v>49.957000000000001</v>
      </c>
      <c r="AC112" s="114">
        <v>49.93</v>
      </c>
      <c r="AD112" s="114"/>
      <c r="AE112" s="114">
        <v>49.93</v>
      </c>
      <c r="AF112" s="114">
        <v>49.93</v>
      </c>
      <c r="AG112" s="115"/>
      <c r="AH112" s="48">
        <f t="shared" si="44"/>
        <v>50.106000000000002</v>
      </c>
      <c r="AI112" s="49">
        <f t="shared" si="45"/>
        <v>49.92</v>
      </c>
    </row>
    <row r="113" spans="1:35" x14ac:dyDescent="0.25">
      <c r="A113" s="116" t="s">
        <v>133</v>
      </c>
      <c r="B113" s="76">
        <v>124.1</v>
      </c>
      <c r="C113" s="76">
        <v>125.8</v>
      </c>
      <c r="D113" s="76">
        <v>126.2</v>
      </c>
      <c r="E113" s="76">
        <v>125.8</v>
      </c>
      <c r="F113" s="76">
        <v>128.4</v>
      </c>
      <c r="G113" s="76">
        <v>127.7</v>
      </c>
      <c r="H113" s="76">
        <v>127</v>
      </c>
      <c r="I113" s="76"/>
      <c r="J113" s="76">
        <v>126.5</v>
      </c>
      <c r="K113" s="76">
        <v>126.5</v>
      </c>
      <c r="L113" s="76">
        <v>122.3</v>
      </c>
      <c r="M113" s="76">
        <v>123.6</v>
      </c>
      <c r="N113" s="76">
        <v>121.2</v>
      </c>
      <c r="O113" s="76">
        <v>120.9</v>
      </c>
      <c r="P113" s="76">
        <v>120.9</v>
      </c>
      <c r="Q113" s="76">
        <v>127</v>
      </c>
      <c r="R113" s="76">
        <v>127.7</v>
      </c>
      <c r="S113" s="76">
        <v>122.5</v>
      </c>
      <c r="T113" s="76">
        <v>122.6</v>
      </c>
      <c r="U113" s="76">
        <v>123.6</v>
      </c>
      <c r="V113" s="76">
        <v>122.9</v>
      </c>
      <c r="W113" s="76">
        <v>126.5</v>
      </c>
      <c r="X113" s="76">
        <v>124.6</v>
      </c>
      <c r="Y113" s="76">
        <v>125.3</v>
      </c>
      <c r="Z113" s="76">
        <v>122.9</v>
      </c>
      <c r="AA113" s="76">
        <v>122.6</v>
      </c>
      <c r="AB113" s="76">
        <v>123.9</v>
      </c>
      <c r="AC113" s="76">
        <v>125</v>
      </c>
      <c r="AD113" s="76"/>
      <c r="AE113" s="76">
        <v>125</v>
      </c>
      <c r="AF113" s="76">
        <v>125</v>
      </c>
      <c r="AG113" s="117"/>
      <c r="AH113" s="48">
        <f t="shared" si="44"/>
        <v>128.4</v>
      </c>
      <c r="AI113" s="49">
        <f t="shared" si="45"/>
        <v>120.9</v>
      </c>
    </row>
    <row r="114" spans="1:35" x14ac:dyDescent="0.25">
      <c r="A114" s="116" t="s">
        <v>134</v>
      </c>
      <c r="B114" s="76">
        <v>128</v>
      </c>
      <c r="C114" s="76">
        <v>130</v>
      </c>
      <c r="D114" s="76">
        <v>130.6</v>
      </c>
      <c r="E114" s="76">
        <v>130.30000000000001</v>
      </c>
      <c r="F114" s="76">
        <v>132.1</v>
      </c>
      <c r="G114" s="76">
        <v>132.1</v>
      </c>
      <c r="H114" s="76">
        <v>131.5</v>
      </c>
      <c r="I114" s="76"/>
      <c r="J114" s="76">
        <v>129.5</v>
      </c>
      <c r="K114" s="76">
        <v>129.5</v>
      </c>
      <c r="L114" s="76">
        <v>126.1</v>
      </c>
      <c r="M114" s="76">
        <v>126.4</v>
      </c>
      <c r="N114" s="76">
        <v>124.9</v>
      </c>
      <c r="O114" s="76">
        <v>124.3</v>
      </c>
      <c r="P114" s="76">
        <v>124.3</v>
      </c>
      <c r="Q114" s="76">
        <v>131.5</v>
      </c>
      <c r="R114" s="76">
        <v>132.1</v>
      </c>
      <c r="S114" s="76">
        <v>125.1</v>
      </c>
      <c r="T114" s="76">
        <v>125.3</v>
      </c>
      <c r="U114" s="76">
        <v>126.1</v>
      </c>
      <c r="V114" s="76">
        <v>126.2</v>
      </c>
      <c r="W114" s="76">
        <v>128.69999999999999</v>
      </c>
      <c r="X114" s="76">
        <v>127.8</v>
      </c>
      <c r="Y114" s="76">
        <v>127.7</v>
      </c>
      <c r="Z114" s="76">
        <v>125.7</v>
      </c>
      <c r="AA114" s="76">
        <v>125.3</v>
      </c>
      <c r="AB114" s="76">
        <v>127.2</v>
      </c>
      <c r="AC114" s="76">
        <v>128</v>
      </c>
      <c r="AD114" s="76"/>
      <c r="AE114" s="76">
        <v>128</v>
      </c>
      <c r="AF114" s="76">
        <v>128</v>
      </c>
      <c r="AG114" s="117"/>
      <c r="AH114" s="48">
        <f t="shared" si="44"/>
        <v>132.1</v>
      </c>
      <c r="AI114" s="49">
        <f t="shared" si="45"/>
        <v>124.3</v>
      </c>
    </row>
    <row r="115" spans="1:35" x14ac:dyDescent="0.25">
      <c r="A115" s="116" t="s">
        <v>135</v>
      </c>
      <c r="B115" s="76">
        <v>128.69999999999999</v>
      </c>
      <c r="C115" s="76">
        <v>128.80000000000001</v>
      </c>
      <c r="D115" s="76">
        <v>130.80000000000001</v>
      </c>
      <c r="E115" s="76">
        <v>131.6</v>
      </c>
      <c r="F115" s="76">
        <v>133.1</v>
      </c>
      <c r="G115" s="76">
        <v>133.1</v>
      </c>
      <c r="H115" s="76">
        <v>131.9</v>
      </c>
      <c r="I115" s="76"/>
      <c r="J115" s="76">
        <v>130.80000000000001</v>
      </c>
      <c r="K115" s="76">
        <v>130.80000000000001</v>
      </c>
      <c r="L115" s="76">
        <v>129.9</v>
      </c>
      <c r="M115" s="76">
        <v>131.1</v>
      </c>
      <c r="N115" s="76">
        <v>129.30000000000001</v>
      </c>
      <c r="O115" s="76">
        <v>128.80000000000001</v>
      </c>
      <c r="P115" s="76">
        <v>128.80000000000001</v>
      </c>
      <c r="Q115" s="76">
        <v>131.9</v>
      </c>
      <c r="R115" s="76">
        <v>133.1</v>
      </c>
      <c r="S115" s="76">
        <v>128.6</v>
      </c>
      <c r="T115" s="76">
        <v>129.5</v>
      </c>
      <c r="U115" s="76">
        <v>128.69999999999999</v>
      </c>
      <c r="V115" s="76">
        <v>130.6</v>
      </c>
      <c r="W115" s="76">
        <v>130.69999999999999</v>
      </c>
      <c r="X115" s="76">
        <v>130.5</v>
      </c>
      <c r="Y115" s="76">
        <v>129.4</v>
      </c>
      <c r="Z115" s="76">
        <v>128.6</v>
      </c>
      <c r="AA115" s="76">
        <v>128.69999999999999</v>
      </c>
      <c r="AB115" s="76">
        <v>128.1</v>
      </c>
      <c r="AC115" s="76">
        <v>128</v>
      </c>
      <c r="AD115" s="76"/>
      <c r="AE115" s="76">
        <v>128</v>
      </c>
      <c r="AF115" s="76">
        <v>128</v>
      </c>
      <c r="AG115" s="117"/>
      <c r="AH115" s="48">
        <f t="shared" si="44"/>
        <v>133.1</v>
      </c>
      <c r="AI115" s="49">
        <f t="shared" si="45"/>
        <v>128</v>
      </c>
    </row>
    <row r="116" spans="1:35" x14ac:dyDescent="0.25">
      <c r="A116" s="118" t="s">
        <v>136</v>
      </c>
      <c r="B116" s="76">
        <v>128.9</v>
      </c>
      <c r="C116" s="76">
        <v>129.19999999999999</v>
      </c>
      <c r="D116" s="76">
        <v>131.1</v>
      </c>
      <c r="E116" s="76">
        <v>131.9</v>
      </c>
      <c r="F116" s="76">
        <v>133.4</v>
      </c>
      <c r="G116" s="76">
        <v>133.4</v>
      </c>
      <c r="H116" s="76">
        <v>132</v>
      </c>
      <c r="I116" s="76"/>
      <c r="J116" s="76">
        <v>130.69999999999999</v>
      </c>
      <c r="K116" s="76">
        <v>130.69999999999999</v>
      </c>
      <c r="L116" s="76">
        <v>129.69999999999999</v>
      </c>
      <c r="M116" s="76">
        <v>131.30000000000001</v>
      </c>
      <c r="N116" s="76">
        <v>131.4</v>
      </c>
      <c r="O116" s="76">
        <v>131.69999999999999</v>
      </c>
      <c r="P116" s="76">
        <v>131.69999999999999</v>
      </c>
      <c r="Q116" s="76">
        <v>132</v>
      </c>
      <c r="R116" s="76">
        <v>133.4</v>
      </c>
      <c r="S116" s="76">
        <v>130.30000000000001</v>
      </c>
      <c r="T116" s="76">
        <v>131</v>
      </c>
      <c r="U116" s="76">
        <v>129.9</v>
      </c>
      <c r="V116" s="76">
        <v>131.69999999999999</v>
      </c>
      <c r="W116" s="76">
        <v>132.30000000000001</v>
      </c>
      <c r="X116" s="76">
        <v>131.6</v>
      </c>
      <c r="Y116" s="76">
        <v>131.4</v>
      </c>
      <c r="Z116" s="76">
        <v>130.30000000000001</v>
      </c>
      <c r="AA116" s="76">
        <v>129</v>
      </c>
      <c r="AB116" s="76">
        <v>129.30000000000001</v>
      </c>
      <c r="AC116" s="76">
        <v>130</v>
      </c>
      <c r="AD116" s="76"/>
      <c r="AE116" s="76">
        <v>130</v>
      </c>
      <c r="AF116" s="76">
        <v>130</v>
      </c>
      <c r="AG116" s="117"/>
      <c r="AH116" s="48">
        <f t="shared" si="44"/>
        <v>133.4</v>
      </c>
      <c r="AI116" s="49">
        <f t="shared" si="45"/>
        <v>128.9</v>
      </c>
    </row>
    <row r="117" spans="1:35" x14ac:dyDescent="0.25">
      <c r="A117" s="118" t="s">
        <v>137</v>
      </c>
      <c r="B117" s="119">
        <v>133</v>
      </c>
      <c r="C117" s="119">
        <v>134.6</v>
      </c>
      <c r="D117" s="119">
        <v>133.80000000000001</v>
      </c>
      <c r="E117" s="119">
        <v>133.5</v>
      </c>
      <c r="F117" s="119">
        <v>133.30000000000001</v>
      </c>
      <c r="G117" s="119">
        <v>133</v>
      </c>
      <c r="H117" s="119">
        <v>133.9</v>
      </c>
      <c r="I117" s="119"/>
      <c r="J117" s="119">
        <v>133.30000000000001</v>
      </c>
      <c r="K117" s="119">
        <v>133.30000000000001</v>
      </c>
      <c r="L117" s="119">
        <v>133.30000000000001</v>
      </c>
      <c r="M117" s="119">
        <v>130</v>
      </c>
      <c r="N117" s="119">
        <v>131.4</v>
      </c>
      <c r="O117" s="119">
        <v>130.5</v>
      </c>
      <c r="P117" s="119">
        <v>130.5</v>
      </c>
      <c r="Q117" s="119">
        <v>133.9</v>
      </c>
      <c r="R117" s="119">
        <v>133</v>
      </c>
      <c r="S117" s="119">
        <v>131.4</v>
      </c>
      <c r="T117" s="119">
        <v>131.9</v>
      </c>
      <c r="U117" s="119">
        <v>132.9</v>
      </c>
      <c r="V117" s="119">
        <v>134.1</v>
      </c>
      <c r="W117" s="119">
        <v>134.6</v>
      </c>
      <c r="X117" s="119">
        <v>132.5</v>
      </c>
      <c r="Y117" s="119">
        <v>133.80000000000001</v>
      </c>
      <c r="Z117" s="119">
        <v>134.69999999999999</v>
      </c>
      <c r="AA117" s="119">
        <v>131.4</v>
      </c>
      <c r="AB117" s="119">
        <v>133.69999999999999</v>
      </c>
      <c r="AC117" s="119">
        <v>135</v>
      </c>
      <c r="AD117" s="119"/>
      <c r="AE117" s="119">
        <v>135</v>
      </c>
      <c r="AF117" s="119">
        <v>135</v>
      </c>
      <c r="AG117" s="120"/>
      <c r="AH117" s="48">
        <f t="shared" si="44"/>
        <v>135</v>
      </c>
      <c r="AI117" s="49">
        <f t="shared" si="45"/>
        <v>130</v>
      </c>
    </row>
    <row r="118" spans="1:35" x14ac:dyDescent="0.25">
      <c r="A118" s="116" t="s">
        <v>138</v>
      </c>
      <c r="B118" s="76">
        <v>127.5</v>
      </c>
      <c r="C118" s="76">
        <v>130</v>
      </c>
      <c r="D118" s="76">
        <v>129.19999999999999</v>
      </c>
      <c r="E118" s="76">
        <v>127.3</v>
      </c>
      <c r="F118" s="76">
        <v>131.6</v>
      </c>
      <c r="G118" s="76">
        <v>132</v>
      </c>
      <c r="H118" s="76">
        <v>131.5</v>
      </c>
      <c r="I118" s="76"/>
      <c r="J118" s="76">
        <v>126.9</v>
      </c>
      <c r="K118" s="76">
        <v>126.9</v>
      </c>
      <c r="L118" s="76">
        <v>128.30000000000001</v>
      </c>
      <c r="M118" s="76">
        <v>125.9</v>
      </c>
      <c r="N118" s="76">
        <v>126</v>
      </c>
      <c r="O118" s="76">
        <v>122</v>
      </c>
      <c r="P118" s="76">
        <v>122</v>
      </c>
      <c r="Q118" s="76">
        <v>131.5</v>
      </c>
      <c r="R118" s="76">
        <v>132</v>
      </c>
      <c r="S118" s="76">
        <v>119.8</v>
      </c>
      <c r="T118" s="76">
        <v>122.8</v>
      </c>
      <c r="U118" s="76">
        <v>122.4</v>
      </c>
      <c r="V118" s="76">
        <v>130.69999999999999</v>
      </c>
      <c r="W118" s="76">
        <v>125.4</v>
      </c>
      <c r="X118" s="76">
        <v>127.5</v>
      </c>
      <c r="Y118" s="76">
        <v>127.9</v>
      </c>
      <c r="Z118" s="76">
        <v>130.1</v>
      </c>
      <c r="AA118" s="76">
        <v>118.1</v>
      </c>
      <c r="AB118" s="76">
        <v>127</v>
      </c>
      <c r="AC118" s="76">
        <v>122</v>
      </c>
      <c r="AD118" s="76"/>
      <c r="AE118" s="76">
        <v>122</v>
      </c>
      <c r="AF118" s="76">
        <v>122</v>
      </c>
      <c r="AG118" s="117"/>
      <c r="AH118" s="48">
        <f t="shared" si="44"/>
        <v>132</v>
      </c>
      <c r="AI118" s="49">
        <f t="shared" si="45"/>
        <v>118.1</v>
      </c>
    </row>
    <row r="119" spans="1:35" ht="15.75" thickBot="1" x14ac:dyDescent="0.3">
      <c r="A119" s="116" t="s">
        <v>139</v>
      </c>
      <c r="B119" s="105">
        <v>64</v>
      </c>
      <c r="C119" s="105">
        <v>65.5</v>
      </c>
      <c r="D119" s="105">
        <v>65.7</v>
      </c>
      <c r="E119" s="105">
        <v>130.30000000000001</v>
      </c>
      <c r="F119" s="105">
        <v>66.5</v>
      </c>
      <c r="G119" s="105">
        <v>66.400000000000006</v>
      </c>
      <c r="H119" s="105">
        <v>66.099999999999994</v>
      </c>
      <c r="I119" s="105"/>
      <c r="J119" s="105">
        <v>64.900000000000006</v>
      </c>
      <c r="K119" s="105">
        <v>64.900000000000006</v>
      </c>
      <c r="L119" s="105">
        <v>63.1</v>
      </c>
      <c r="M119" s="105">
        <v>63.1</v>
      </c>
      <c r="N119" s="105">
        <v>62.8</v>
      </c>
      <c r="O119" s="105">
        <v>62.5</v>
      </c>
      <c r="P119" s="105">
        <v>62.5</v>
      </c>
      <c r="Q119" s="105">
        <v>66.099999999999994</v>
      </c>
      <c r="R119" s="105">
        <v>66.400000000000006</v>
      </c>
      <c r="S119" s="105">
        <v>62.9</v>
      </c>
      <c r="T119" s="105">
        <v>62.8</v>
      </c>
      <c r="U119" s="105">
        <v>63.4</v>
      </c>
      <c r="V119" s="105">
        <v>63.4</v>
      </c>
      <c r="W119" s="105">
        <v>64.7</v>
      </c>
      <c r="X119" s="105">
        <v>64.5</v>
      </c>
      <c r="Y119" s="105">
        <v>64.099999999999994</v>
      </c>
      <c r="Z119" s="105">
        <v>63.1</v>
      </c>
      <c r="AA119" s="105">
        <v>62.8</v>
      </c>
      <c r="AB119" s="105">
        <v>63.9</v>
      </c>
      <c r="AC119" s="105">
        <v>64.7</v>
      </c>
      <c r="AD119" s="105"/>
      <c r="AE119" s="105">
        <v>64.7</v>
      </c>
      <c r="AF119" s="105">
        <v>64.7</v>
      </c>
      <c r="AG119" s="121"/>
      <c r="AH119" s="48">
        <f t="shared" si="44"/>
        <v>130.30000000000001</v>
      </c>
      <c r="AI119" s="49">
        <f t="shared" si="45"/>
        <v>62.5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4"/>
        <v>0</v>
      </c>
      <c r="AI120" s="49">
        <f t="shared" si="45"/>
        <v>0</v>
      </c>
    </row>
    <row r="121" spans="1:35" ht="15.75" thickBot="1" x14ac:dyDescent="0.3">
      <c r="A121" s="123" t="s">
        <v>141</v>
      </c>
      <c r="B121" s="124">
        <f t="shared" ref="B121:O121" si="98">SUM(B25,B31,B34:B35,B69,B71:B72,B74,B76,B122:B126,B158,B164,B170,B179,B181,B193,B200,B203:B204,B211,B213,B215,B219:B221,B223:B225,B230,B236:B237,B239:B241,B249,B254)</f>
        <v>79.44</v>
      </c>
      <c r="C121" s="124">
        <f t="shared" si="98"/>
        <v>65.84</v>
      </c>
      <c r="D121" s="124">
        <f t="shared" si="98"/>
        <v>56.44000000000004</v>
      </c>
      <c r="E121" s="124">
        <f t="shared" si="98"/>
        <v>52.14</v>
      </c>
      <c r="F121" s="124">
        <f t="shared" si="98"/>
        <v>55.540000000000006</v>
      </c>
      <c r="G121" s="124">
        <f t="shared" si="98"/>
        <v>75.340000000000032</v>
      </c>
      <c r="H121" s="124">
        <f t="shared" si="98"/>
        <v>68.14</v>
      </c>
      <c r="I121" s="124">
        <f t="shared" si="98"/>
        <v>152.54000000000002</v>
      </c>
      <c r="J121" s="124">
        <f t="shared" si="98"/>
        <v>149.94</v>
      </c>
      <c r="K121" s="124">
        <f t="shared" si="98"/>
        <v>187.44000000000005</v>
      </c>
      <c r="L121" s="124">
        <f t="shared" si="98"/>
        <v>213.14</v>
      </c>
      <c r="M121" s="124">
        <f t="shared" si="98"/>
        <v>231.34</v>
      </c>
      <c r="N121" s="124">
        <f t="shared" si="98"/>
        <v>225.84000000000003</v>
      </c>
      <c r="O121" s="124">
        <f t="shared" si="98"/>
        <v>250.23999999999995</v>
      </c>
      <c r="P121" s="124">
        <v>42</v>
      </c>
      <c r="Q121" s="124">
        <f t="shared" ref="Q121:X121" si="99">SUM(Q25,Q31,Q34:Q35,Q69,Q71:Q72,Q74,Q76,Q122:Q126,Q158,Q164,Q170,Q179,Q181,Q193,Q200,Q203:Q204,Q211,Q213,Q215,Q219:Q221,Q223:Q225,Q230,Q236:Q237,Q239:Q241,Q249,Q254)</f>
        <v>257.84000000000003</v>
      </c>
      <c r="R121" s="124">
        <f t="shared" si="99"/>
        <v>262.04000000000002</v>
      </c>
      <c r="S121" s="124">
        <f t="shared" si="99"/>
        <v>287.24</v>
      </c>
      <c r="T121" s="124">
        <f t="shared" si="99"/>
        <v>301.34000000000009</v>
      </c>
      <c r="U121" s="124">
        <f t="shared" si="99"/>
        <v>291.04000000000002</v>
      </c>
      <c r="V121" s="124">
        <f t="shared" si="99"/>
        <v>259.64000000000004</v>
      </c>
      <c r="W121" s="124">
        <f t="shared" si="99"/>
        <v>237.84000000000003</v>
      </c>
      <c r="X121" s="124">
        <f t="shared" si="99"/>
        <v>222.23999999999998</v>
      </c>
      <c r="Y121" s="124">
        <f>SUM(Y23,Y29,Y40:Y41,Y69,Y71:Y72,Y74,Y76,Y122:Y126,Y151,Y157,Y163,Y172,Y174,Y186,Y193,Y196:Y197,Y204,Y206,Y208,Y212:Y214,Y216:Y218,Y223,Y229:Y230,Y232:Y234,Y242,Y247)</f>
        <v>244.3</v>
      </c>
      <c r="Z121" s="124">
        <f>SUM(Z23,Z29,Z40:Z41,Z69,Z71:Z72,Z74,Z76,Z122:Z126,Z151,Z157,Z163,Z172,Z174,Z186,Z193,Z196:Z197,Z204,Z206,Z208,Z212:Z214,Z216:Z218,Z223,Z229:Z230,Z232:Z234,Z242,Z247)</f>
        <v>257.39999999999998</v>
      </c>
      <c r="AA121" s="124">
        <f t="shared" ref="AA121:AD121" si="100">SUM(AA25,AA31,AA34:AA35,AA69,AA71:AA72,AA74,AA76,AA122:AA126,AA158,AA164,AA170,AA179,AA181,AA193,AA200,AA203:AA204,AA211,AA213,AA215,AA219:AA221,AA223:AA225,AA230,AA236:AA237,AA239:AA241,AA249,AA254)</f>
        <v>278.24000000000007</v>
      </c>
      <c r="AB121" s="124">
        <f t="shared" si="100"/>
        <v>266.24</v>
      </c>
      <c r="AC121" s="124">
        <f t="shared" ref="AC121" si="101">SUM(AC25,AC31,AC34:AC35,AC69,AC71:AC72,AC74,AC76,AC122:AC126,AC158,AC164,AC170,AC179,AC181,AC193,AC200,AC203:AC204,AC211,AC213,AC215,AC219:AC221,AC223:AC225,AC230,AC236:AC237,AC239:AC241,AC249,AC254)</f>
        <v>243.74</v>
      </c>
      <c r="AD121" s="124">
        <f t="shared" si="100"/>
        <v>0.94</v>
      </c>
      <c r="AE121" s="124">
        <v>243.74</v>
      </c>
      <c r="AF121" s="124">
        <v>243.74</v>
      </c>
      <c r="AG121" s="125"/>
      <c r="AH121" s="48">
        <f t="shared" si="44"/>
        <v>301.34000000000009</v>
      </c>
      <c r="AI121" s="49">
        <f t="shared" si="45"/>
        <v>0.94</v>
      </c>
    </row>
    <row r="122" spans="1:35" x14ac:dyDescent="0.25">
      <c r="A122" s="126" t="s">
        <v>142</v>
      </c>
      <c r="B122" s="127">
        <v>42</v>
      </c>
      <c r="C122" s="127">
        <v>39.1</v>
      </c>
      <c r="D122" s="127">
        <v>37.1</v>
      </c>
      <c r="E122" s="127">
        <v>39.5</v>
      </c>
      <c r="F122" s="127">
        <v>35.4</v>
      </c>
      <c r="G122" s="127">
        <v>38</v>
      </c>
      <c r="H122" s="127">
        <v>37.1</v>
      </c>
      <c r="I122" s="127"/>
      <c r="J122" s="127">
        <v>43.9</v>
      </c>
      <c r="K122" s="127">
        <v>43.9</v>
      </c>
      <c r="L122" s="127">
        <v>52.8</v>
      </c>
      <c r="M122" s="127">
        <v>44.5</v>
      </c>
      <c r="N122" s="127">
        <v>67</v>
      </c>
      <c r="O122" s="127">
        <v>70.599999999999994</v>
      </c>
      <c r="P122" s="127">
        <v>96</v>
      </c>
      <c r="Q122" s="127">
        <v>96</v>
      </c>
      <c r="R122" s="127">
        <v>49</v>
      </c>
      <c r="S122" s="127">
        <v>54.6</v>
      </c>
      <c r="T122" s="127">
        <v>50.7</v>
      </c>
      <c r="U122" s="127">
        <v>53.1</v>
      </c>
      <c r="V122" s="127">
        <v>74.3</v>
      </c>
      <c r="W122" s="127">
        <v>67.900000000000006</v>
      </c>
      <c r="X122" s="127">
        <v>51.6</v>
      </c>
      <c r="Y122" s="127">
        <v>44.1</v>
      </c>
      <c r="Z122" s="127">
        <v>75.599999999999994</v>
      </c>
      <c r="AA122" s="127">
        <v>58.4</v>
      </c>
      <c r="AB122" s="127">
        <v>46.8</v>
      </c>
      <c r="AC122" s="127">
        <v>74</v>
      </c>
      <c r="AD122" s="127"/>
      <c r="AE122" s="127">
        <v>74</v>
      </c>
      <c r="AF122" s="127">
        <v>74</v>
      </c>
      <c r="AG122" s="128">
        <v>75</v>
      </c>
      <c r="AH122" s="48">
        <f t="shared" si="44"/>
        <v>96</v>
      </c>
      <c r="AI122" s="49">
        <f t="shared" si="45"/>
        <v>35.4</v>
      </c>
    </row>
    <row r="123" spans="1:35" x14ac:dyDescent="0.25">
      <c r="A123" s="129" t="s">
        <v>143</v>
      </c>
      <c r="B123" s="130">
        <v>67.3</v>
      </c>
      <c r="C123" s="130">
        <v>62.7</v>
      </c>
      <c r="D123" s="130">
        <v>60.5</v>
      </c>
      <c r="E123" s="130">
        <v>63.9</v>
      </c>
      <c r="F123" s="130">
        <v>57.8</v>
      </c>
      <c r="G123" s="130">
        <v>62.3</v>
      </c>
      <c r="H123" s="130">
        <v>59.8</v>
      </c>
      <c r="I123" s="130"/>
      <c r="J123" s="130">
        <v>68</v>
      </c>
      <c r="K123" s="130">
        <v>68</v>
      </c>
      <c r="L123" s="130">
        <v>81.099999999999994</v>
      </c>
      <c r="M123" s="130">
        <v>69.2</v>
      </c>
      <c r="N123" s="130">
        <v>98</v>
      </c>
      <c r="O123" s="130">
        <v>103.6</v>
      </c>
      <c r="P123" s="130">
        <v>65</v>
      </c>
      <c r="Q123" s="130">
        <v>65</v>
      </c>
      <c r="R123" s="130">
        <v>74</v>
      </c>
      <c r="S123" s="130">
        <v>83.8</v>
      </c>
      <c r="T123" s="130">
        <v>77.8</v>
      </c>
      <c r="U123" s="130">
        <v>81.400000000000006</v>
      </c>
      <c r="V123" s="130">
        <v>104.4</v>
      </c>
      <c r="W123" s="130">
        <v>96.9</v>
      </c>
      <c r="X123" s="130">
        <v>75.099999999999994</v>
      </c>
      <c r="Y123" s="130">
        <v>64.8</v>
      </c>
      <c r="Z123" s="130">
        <v>108.7</v>
      </c>
      <c r="AA123" s="130">
        <v>87</v>
      </c>
      <c r="AB123" s="130">
        <v>72</v>
      </c>
      <c r="AC123" s="130">
        <v>48</v>
      </c>
      <c r="AD123" s="130"/>
      <c r="AE123" s="130">
        <v>48</v>
      </c>
      <c r="AF123" s="130">
        <v>48</v>
      </c>
      <c r="AG123" s="128">
        <v>240</v>
      </c>
      <c r="AH123" s="48">
        <f t="shared" si="44"/>
        <v>108.7</v>
      </c>
      <c r="AI123" s="49">
        <f t="shared" si="45"/>
        <v>48</v>
      </c>
    </row>
    <row r="124" spans="1:35" x14ac:dyDescent="0.25">
      <c r="A124" s="129" t="s">
        <v>144</v>
      </c>
      <c r="B124" s="130">
        <f>-67-70</f>
        <v>-137</v>
      </c>
      <c r="C124" s="130">
        <f>-66.9-70.5</f>
        <v>-137.4</v>
      </c>
      <c r="D124" s="130">
        <f>-67.4-71.1</f>
        <v>-138.5</v>
      </c>
      <c r="E124" s="130">
        <f>-71-75</f>
        <v>-146</v>
      </c>
      <c r="F124" s="130">
        <f>-66-69</f>
        <v>-135</v>
      </c>
      <c r="G124" s="130">
        <f>-65-69</f>
        <v>-134</v>
      </c>
      <c r="H124" s="130">
        <f>-64-68</f>
        <v>-132</v>
      </c>
      <c r="I124" s="130"/>
      <c r="J124" s="130">
        <f>-58-62</f>
        <v>-120</v>
      </c>
      <c r="K124" s="130">
        <f>-58-62</f>
        <v>-120</v>
      </c>
      <c r="L124" s="130">
        <f>-57-61</f>
        <v>-118</v>
      </c>
      <c r="M124" s="130">
        <v>-103</v>
      </c>
      <c r="N124" s="130">
        <v>-150</v>
      </c>
      <c r="O124" s="130">
        <v>-150</v>
      </c>
      <c r="P124" s="130">
        <v>-145</v>
      </c>
      <c r="Q124" s="130">
        <v>-145</v>
      </c>
      <c r="R124" s="130">
        <v>-130</v>
      </c>
      <c r="S124" s="130">
        <v>-127.5</v>
      </c>
      <c r="T124" s="130">
        <v>-119</v>
      </c>
      <c r="U124" s="130">
        <v>-125</v>
      </c>
      <c r="V124" s="130">
        <v>-142</v>
      </c>
      <c r="W124" s="130">
        <v>-127</v>
      </c>
      <c r="X124" s="130">
        <v>-130</v>
      </c>
      <c r="Y124" s="130">
        <v>-104.7</v>
      </c>
      <c r="Z124" s="130">
        <v>-143.19999999999999</v>
      </c>
      <c r="AA124" s="130">
        <v>-122.9</v>
      </c>
      <c r="AB124" s="130">
        <v>-115</v>
      </c>
      <c r="AC124" s="130">
        <v>-126</v>
      </c>
      <c r="AD124" s="130"/>
      <c r="AE124" s="130">
        <v>-126</v>
      </c>
      <c r="AF124" s="130">
        <v>-126</v>
      </c>
      <c r="AG124" s="128">
        <v>240</v>
      </c>
      <c r="AH124" s="48">
        <f t="shared" si="44"/>
        <v>-103</v>
      </c>
      <c r="AI124" s="49">
        <f t="shared" si="45"/>
        <v>-150</v>
      </c>
    </row>
    <row r="125" spans="1:35" ht="15.75" thickBot="1" x14ac:dyDescent="0.3">
      <c r="A125" s="129" t="s">
        <v>145</v>
      </c>
      <c r="B125" s="130">
        <v>-10.5</v>
      </c>
      <c r="C125" s="130">
        <v>-11.6</v>
      </c>
      <c r="D125" s="130">
        <v>-10.9</v>
      </c>
      <c r="E125" s="130">
        <v>-11.8</v>
      </c>
      <c r="F125" s="130">
        <v>-10.199999999999999</v>
      </c>
      <c r="G125" s="130">
        <v>-9.5</v>
      </c>
      <c r="H125" s="130">
        <v>-9</v>
      </c>
      <c r="I125" s="130"/>
      <c r="J125" s="130">
        <v>1.1000000000000001</v>
      </c>
      <c r="K125" s="130">
        <v>2.1</v>
      </c>
      <c r="L125" s="130">
        <v>3.6</v>
      </c>
      <c r="M125" s="130">
        <v>6.6</v>
      </c>
      <c r="N125" s="130">
        <v>0.8</v>
      </c>
      <c r="O125" s="130">
        <v>1.2</v>
      </c>
      <c r="P125" s="130">
        <v>7.8</v>
      </c>
      <c r="Q125" s="130">
        <v>7.8</v>
      </c>
      <c r="R125" s="130">
        <v>9</v>
      </c>
      <c r="S125" s="130">
        <v>7.6</v>
      </c>
      <c r="T125" s="130">
        <v>11.3</v>
      </c>
      <c r="U125" s="130">
        <v>16.600000000000001</v>
      </c>
      <c r="V125" s="130">
        <v>6.7</v>
      </c>
      <c r="W125" s="130">
        <v>7.5</v>
      </c>
      <c r="X125" s="130">
        <v>6.2</v>
      </c>
      <c r="Y125" s="130">
        <v>10</v>
      </c>
      <c r="Z125" s="130">
        <v>5.9</v>
      </c>
      <c r="AA125" s="130">
        <v>8.8000000000000007</v>
      </c>
      <c r="AB125" s="130">
        <v>20.7</v>
      </c>
      <c r="AC125" s="130">
        <v>19</v>
      </c>
      <c r="AD125" s="130"/>
      <c r="AE125" s="130">
        <v>19</v>
      </c>
      <c r="AF125" s="130">
        <v>19</v>
      </c>
      <c r="AG125" s="128">
        <v>60</v>
      </c>
      <c r="AH125" s="48">
        <f t="shared" si="44"/>
        <v>20.7</v>
      </c>
      <c r="AI125" s="49">
        <f t="shared" si="45"/>
        <v>-11.8</v>
      </c>
    </row>
    <row r="126" spans="1:35" x14ac:dyDescent="0.25">
      <c r="A126" s="126" t="s">
        <v>146</v>
      </c>
      <c r="B126" s="131">
        <v>-43</v>
      </c>
      <c r="C126" s="131">
        <v>-47.6</v>
      </c>
      <c r="D126" s="131">
        <v>-53.3</v>
      </c>
      <c r="E126" s="131">
        <v>-55</v>
      </c>
      <c r="F126" s="131">
        <v>-49</v>
      </c>
      <c r="G126" s="131">
        <v>-38</v>
      </c>
      <c r="H126" s="131">
        <v>-40.299999999999997</v>
      </c>
      <c r="I126" s="131"/>
      <c r="J126" s="131">
        <v>-0.4</v>
      </c>
      <c r="K126" s="131">
        <v>13.6</v>
      </c>
      <c r="L126" s="131">
        <v>13.6</v>
      </c>
      <c r="M126" s="131">
        <v>29</v>
      </c>
      <c r="N126" s="131">
        <v>25</v>
      </c>
      <c r="O126" s="131">
        <v>27.8</v>
      </c>
      <c r="P126" s="131">
        <v>37</v>
      </c>
      <c r="Q126" s="131">
        <v>37</v>
      </c>
      <c r="R126" s="131">
        <v>63</v>
      </c>
      <c r="S126" s="131">
        <v>68.599999999999994</v>
      </c>
      <c r="T126" s="131">
        <v>84.6</v>
      </c>
      <c r="U126" s="131">
        <v>71</v>
      </c>
      <c r="V126" s="131">
        <v>39.299999999999997</v>
      </c>
      <c r="W126" s="131">
        <v>26.8</v>
      </c>
      <c r="X126" s="131">
        <v>53.6</v>
      </c>
      <c r="Y126" s="131">
        <v>53</v>
      </c>
      <c r="Z126" s="131">
        <v>33.299999999999997</v>
      </c>
      <c r="AA126" s="131">
        <v>63.2</v>
      </c>
      <c r="AB126" s="131">
        <v>58</v>
      </c>
      <c r="AC126" s="131">
        <v>45</v>
      </c>
      <c r="AD126" s="131"/>
      <c r="AE126" s="131">
        <v>45</v>
      </c>
      <c r="AF126" s="131">
        <v>45</v>
      </c>
      <c r="AG126" s="132">
        <v>120</v>
      </c>
      <c r="AH126" s="48">
        <f t="shared" si="44"/>
        <v>84.6</v>
      </c>
      <c r="AI126" s="49">
        <f t="shared" si="45"/>
        <v>-55</v>
      </c>
    </row>
    <row r="127" spans="1:35" x14ac:dyDescent="0.25">
      <c r="A127" s="129" t="s">
        <v>147</v>
      </c>
      <c r="B127" s="131">
        <v>39</v>
      </c>
      <c r="C127" s="131">
        <v>41.8</v>
      </c>
      <c r="D127" s="131">
        <v>39.1</v>
      </c>
      <c r="E127" s="131">
        <v>37</v>
      </c>
      <c r="F127" s="131">
        <v>40</v>
      </c>
      <c r="G127" s="131">
        <v>46.6</v>
      </c>
      <c r="H127" s="131">
        <v>45.9</v>
      </c>
      <c r="I127" s="131"/>
      <c r="J127" s="131">
        <v>69.3</v>
      </c>
      <c r="K127" s="131">
        <v>75.8</v>
      </c>
      <c r="L127" s="131">
        <v>75.8</v>
      </c>
      <c r="M127" s="131">
        <v>86</v>
      </c>
      <c r="N127" s="131">
        <v>88</v>
      </c>
      <c r="O127" s="131">
        <v>87.9</v>
      </c>
      <c r="P127" s="131">
        <v>97.5</v>
      </c>
      <c r="Q127" s="131">
        <v>97.5</v>
      </c>
      <c r="R127" s="131">
        <v>107</v>
      </c>
      <c r="S127" s="131">
        <v>92.9</v>
      </c>
      <c r="T127" s="131">
        <v>99.1</v>
      </c>
      <c r="U127" s="131">
        <v>92.4</v>
      </c>
      <c r="V127" s="131">
        <v>83.1</v>
      </c>
      <c r="W127" s="131">
        <v>76</v>
      </c>
      <c r="X127" s="131">
        <v>88.3</v>
      </c>
      <c r="Y127" s="131">
        <v>99</v>
      </c>
      <c r="Z127" s="131">
        <v>97.2</v>
      </c>
      <c r="AA127" s="131">
        <v>112.2</v>
      </c>
      <c r="AB127" s="131">
        <v>107</v>
      </c>
      <c r="AC127" s="131">
        <v>104</v>
      </c>
      <c r="AD127" s="131"/>
      <c r="AE127" s="131">
        <v>104</v>
      </c>
      <c r="AF127" s="131">
        <v>104</v>
      </c>
      <c r="AG127" s="132"/>
      <c r="AH127" s="48">
        <f t="shared" si="44"/>
        <v>112.2</v>
      </c>
      <c r="AI127" s="49">
        <f t="shared" si="45"/>
        <v>37</v>
      </c>
    </row>
    <row r="128" spans="1:35" x14ac:dyDescent="0.25">
      <c r="A128" s="129" t="s">
        <v>148</v>
      </c>
      <c r="B128" s="131">
        <v>-1.3</v>
      </c>
      <c r="C128" s="131">
        <v>1.4</v>
      </c>
      <c r="D128" s="131">
        <v>2.1</v>
      </c>
      <c r="E128" s="131">
        <v>2.2000000000000002</v>
      </c>
      <c r="F128" s="131">
        <v>2.2999999999999998</v>
      </c>
      <c r="G128" s="131">
        <v>2.2999999999999998</v>
      </c>
      <c r="H128" s="131">
        <v>1.2</v>
      </c>
      <c r="I128" s="131"/>
      <c r="J128" s="131">
        <v>18.100000000000001</v>
      </c>
      <c r="K128" s="131">
        <v>-2.8</v>
      </c>
      <c r="L128" s="131">
        <v>-2.8</v>
      </c>
      <c r="M128" s="131">
        <v>14</v>
      </c>
      <c r="N128" s="131">
        <v>21</v>
      </c>
      <c r="O128" s="131">
        <v>20.6</v>
      </c>
      <c r="P128" s="131">
        <v>36</v>
      </c>
      <c r="Q128" s="131">
        <v>36</v>
      </c>
      <c r="R128" s="131">
        <v>46</v>
      </c>
      <c r="S128" s="131">
        <v>25.4</v>
      </c>
      <c r="T128" s="131">
        <v>30.4</v>
      </c>
      <c r="U128" s="131">
        <v>23.9</v>
      </c>
      <c r="V128" s="131">
        <v>7.3</v>
      </c>
      <c r="W128" s="131">
        <v>-4.9000000000000004</v>
      </c>
      <c r="X128" s="131">
        <v>31.3</v>
      </c>
      <c r="Y128" s="131">
        <v>24</v>
      </c>
      <c r="Z128" s="131">
        <v>5.3</v>
      </c>
      <c r="AA128" s="131">
        <v>22.6</v>
      </c>
      <c r="AB128" s="131">
        <v>28</v>
      </c>
      <c r="AC128" s="131">
        <v>32</v>
      </c>
      <c r="AD128" s="131"/>
      <c r="AE128" s="131">
        <v>32</v>
      </c>
      <c r="AF128" s="131">
        <v>32</v>
      </c>
      <c r="AG128" s="132"/>
      <c r="AH128" s="48">
        <f t="shared" si="44"/>
        <v>46</v>
      </c>
      <c r="AI128" s="49">
        <f t="shared" si="45"/>
        <v>-4.9000000000000004</v>
      </c>
    </row>
    <row r="129" spans="1:37" ht="15.75" thickBot="1" x14ac:dyDescent="0.3">
      <c r="A129" s="129" t="s">
        <v>149</v>
      </c>
      <c r="B129" s="131">
        <v>27.9</v>
      </c>
      <c r="C129" s="131">
        <v>20.5</v>
      </c>
      <c r="D129" s="131">
        <v>4.2</v>
      </c>
      <c r="E129" s="131">
        <v>4.5999999999999996</v>
      </c>
      <c r="F129" s="131">
        <v>3.1</v>
      </c>
      <c r="G129" s="131">
        <v>3.1</v>
      </c>
      <c r="H129" s="131">
        <v>-0.6</v>
      </c>
      <c r="I129" s="131"/>
      <c r="J129" s="131">
        <v>17</v>
      </c>
      <c r="K129" s="131">
        <v>24.1</v>
      </c>
      <c r="L129" s="131">
        <v>24.1</v>
      </c>
      <c r="M129" s="131">
        <v>39</v>
      </c>
      <c r="N129" s="131">
        <v>43</v>
      </c>
      <c r="O129" s="131">
        <v>36.200000000000003</v>
      </c>
      <c r="P129" s="131">
        <v>45</v>
      </c>
      <c r="Q129" s="131">
        <v>45</v>
      </c>
      <c r="R129" s="131">
        <v>57</v>
      </c>
      <c r="S129" s="131">
        <v>45.4</v>
      </c>
      <c r="T129" s="131">
        <v>59.5</v>
      </c>
      <c r="U129" s="131">
        <v>45.2</v>
      </c>
      <c r="V129" s="131">
        <v>34.5</v>
      </c>
      <c r="W129" s="131">
        <v>12.2</v>
      </c>
      <c r="X129" s="131">
        <v>44.1</v>
      </c>
      <c r="Y129" s="131">
        <v>39.4</v>
      </c>
      <c r="Z129" s="131">
        <v>35.700000000000003</v>
      </c>
      <c r="AA129" s="131">
        <v>49.9</v>
      </c>
      <c r="AB129" s="131">
        <v>43.2</v>
      </c>
      <c r="AC129" s="131">
        <v>42</v>
      </c>
      <c r="AD129" s="131"/>
      <c r="AE129" s="131">
        <v>42</v>
      </c>
      <c r="AF129" s="131">
        <v>42</v>
      </c>
      <c r="AG129" s="128"/>
      <c r="AH129" s="48">
        <f>MAX(B129:AF129)</f>
        <v>59.5</v>
      </c>
      <c r="AI129" s="49">
        <f>MIN(B129:AF129)</f>
        <v>-0.6</v>
      </c>
    </row>
    <row r="130" spans="1:37" x14ac:dyDescent="0.25">
      <c r="A130" s="126" t="s">
        <v>150</v>
      </c>
      <c r="B130" s="131">
        <v>-340</v>
      </c>
      <c r="C130" s="131">
        <v>-337.4</v>
      </c>
      <c r="D130" s="131">
        <v>-340.4</v>
      </c>
      <c r="E130" s="131">
        <v>-341</v>
      </c>
      <c r="F130" s="131">
        <v>-333</v>
      </c>
      <c r="G130" s="131">
        <v>-333</v>
      </c>
      <c r="H130" s="131">
        <v>-328.3</v>
      </c>
      <c r="I130" s="131"/>
      <c r="J130" s="131">
        <v>-307</v>
      </c>
      <c r="K130" s="131">
        <v>-311.7</v>
      </c>
      <c r="L130" s="131">
        <v>-311.7</v>
      </c>
      <c r="M130" s="131">
        <v>-3.4</v>
      </c>
      <c r="N130" s="131">
        <v>-315</v>
      </c>
      <c r="O130" s="131">
        <v>-328.6</v>
      </c>
      <c r="P130" s="131">
        <v>-323</v>
      </c>
      <c r="Q130" s="131">
        <v>-323</v>
      </c>
      <c r="R130" s="131">
        <v>-349</v>
      </c>
      <c r="S130" s="131">
        <v>-343.9</v>
      </c>
      <c r="T130" s="131">
        <v>-330.4</v>
      </c>
      <c r="U130" s="131">
        <v>-337.2</v>
      </c>
      <c r="V130" s="131">
        <v>-344.1</v>
      </c>
      <c r="W130" s="131">
        <v>-352</v>
      </c>
      <c r="X130" s="131">
        <v>-334.9</v>
      </c>
      <c r="Y130" s="131">
        <v>-333.8</v>
      </c>
      <c r="Z130" s="131">
        <v>-346.6</v>
      </c>
      <c r="AA130" s="131">
        <v>-349.1</v>
      </c>
      <c r="AB130" s="131">
        <v>-354</v>
      </c>
      <c r="AC130" s="131">
        <v>-385</v>
      </c>
      <c r="AD130" s="131"/>
      <c r="AE130" s="131">
        <v>-385</v>
      </c>
      <c r="AF130" s="131">
        <v>-385</v>
      </c>
      <c r="AG130" s="128"/>
      <c r="AH130" s="48">
        <f>MAX(B130:AF130)</f>
        <v>-3.4</v>
      </c>
      <c r="AI130" s="49">
        <f>MIN(B130:AF130)</f>
        <v>-385</v>
      </c>
    </row>
    <row r="131" spans="1:37" x14ac:dyDescent="0.25">
      <c r="A131" s="129" t="s">
        <v>151</v>
      </c>
      <c r="B131" s="119">
        <v>111</v>
      </c>
      <c r="C131" s="119">
        <v>115.9</v>
      </c>
      <c r="D131" s="119">
        <v>83.5</v>
      </c>
      <c r="E131" s="119">
        <v>87</v>
      </c>
      <c r="F131" s="119">
        <v>87.7</v>
      </c>
      <c r="G131" s="119">
        <v>87.7</v>
      </c>
      <c r="H131" s="119">
        <v>106.8</v>
      </c>
      <c r="I131" s="119"/>
      <c r="J131" s="119">
        <v>116.4</v>
      </c>
      <c r="K131" s="119">
        <v>111.9</v>
      </c>
      <c r="L131" s="119">
        <v>111.9</v>
      </c>
      <c r="M131" s="119">
        <v>99</v>
      </c>
      <c r="N131" s="119">
        <v>117</v>
      </c>
      <c r="O131" s="119">
        <v>114.9</v>
      </c>
      <c r="P131" s="119">
        <v>110</v>
      </c>
      <c r="Q131" s="119">
        <v>110</v>
      </c>
      <c r="R131" s="119">
        <v>107</v>
      </c>
      <c r="S131" s="119">
        <v>105</v>
      </c>
      <c r="T131" s="119">
        <v>91.2</v>
      </c>
      <c r="U131" s="119">
        <v>109.5</v>
      </c>
      <c r="V131" s="119">
        <v>108.9</v>
      </c>
      <c r="W131" s="119">
        <v>106</v>
      </c>
      <c r="X131" s="119">
        <v>102.1</v>
      </c>
      <c r="Y131" s="119">
        <v>104.3</v>
      </c>
      <c r="Z131" s="119">
        <v>90.5</v>
      </c>
      <c r="AA131" s="119">
        <v>86.7</v>
      </c>
      <c r="AB131" s="119">
        <v>87.4</v>
      </c>
      <c r="AC131" s="119">
        <v>82</v>
      </c>
      <c r="AD131" s="119"/>
      <c r="AE131" s="119">
        <v>82</v>
      </c>
      <c r="AF131" s="119">
        <v>82</v>
      </c>
      <c r="AG131" s="128"/>
      <c r="AH131" s="48">
        <f>MAX(B131:AF131)</f>
        <v>117</v>
      </c>
      <c r="AI131" s="49">
        <f>MIN(B131:AF131)</f>
        <v>82</v>
      </c>
    </row>
    <row r="132" spans="1:37" x14ac:dyDescent="0.25">
      <c r="A132" s="129" t="s">
        <v>152</v>
      </c>
      <c r="B132" s="119">
        <v>-21.9</v>
      </c>
      <c r="C132" s="119">
        <v>-19.899999999999999</v>
      </c>
      <c r="D132" s="119">
        <v>-15.4</v>
      </c>
      <c r="E132" s="119">
        <v>-17</v>
      </c>
      <c r="F132" s="119">
        <v>-19.8</v>
      </c>
      <c r="G132" s="119">
        <v>-19.8</v>
      </c>
      <c r="H132" s="119">
        <v>-24.2</v>
      </c>
      <c r="I132" s="119"/>
      <c r="J132" s="119">
        <v>-26.1</v>
      </c>
      <c r="K132" s="119">
        <v>-26.1</v>
      </c>
      <c r="L132" s="119">
        <v>-26.1</v>
      </c>
      <c r="M132" s="119">
        <v>-30</v>
      </c>
      <c r="N132" s="119">
        <v>-36</v>
      </c>
      <c r="O132" s="119">
        <v>-33.799999999999997</v>
      </c>
      <c r="P132" s="119">
        <v>-30</v>
      </c>
      <c r="Q132" s="119">
        <v>-30</v>
      </c>
      <c r="R132" s="119">
        <v>-24</v>
      </c>
      <c r="S132" s="119">
        <v>-26</v>
      </c>
      <c r="T132" s="119">
        <v>-26.9</v>
      </c>
      <c r="U132" s="119">
        <v>-28.9</v>
      </c>
      <c r="V132" s="119">
        <v>-29</v>
      </c>
      <c r="W132" s="119">
        <v>-28.1</v>
      </c>
      <c r="X132" s="119">
        <v>-32.5</v>
      </c>
      <c r="Y132" s="119">
        <v>-29.5</v>
      </c>
      <c r="Z132" s="119">
        <v>-24.3</v>
      </c>
      <c r="AA132" s="119">
        <v>-23.7</v>
      </c>
      <c r="AB132" s="119">
        <v>-23</v>
      </c>
      <c r="AC132" s="119">
        <v>21</v>
      </c>
      <c r="AD132" s="119"/>
      <c r="AE132" s="119">
        <v>21</v>
      </c>
      <c r="AF132" s="119">
        <v>21</v>
      </c>
      <c r="AG132" s="128"/>
      <c r="AH132" s="48">
        <f>MAX(B132:AF132)</f>
        <v>21</v>
      </c>
      <c r="AI132" s="49">
        <f>MIN(B132:AF132)</f>
        <v>-36</v>
      </c>
    </row>
    <row r="133" spans="1:37" ht="15.75" thickBot="1" x14ac:dyDescent="0.3">
      <c r="A133" s="129" t="s">
        <v>153</v>
      </c>
      <c r="B133" s="119">
        <v>45.1</v>
      </c>
      <c r="C133" s="119">
        <v>41.9</v>
      </c>
      <c r="D133" s="119">
        <v>45.5</v>
      </c>
      <c r="E133" s="119">
        <v>43.2</v>
      </c>
      <c r="F133" s="119">
        <v>41</v>
      </c>
      <c r="G133" s="119">
        <v>36.200000000000003</v>
      </c>
      <c r="H133" s="119">
        <v>36.9</v>
      </c>
      <c r="I133" s="119"/>
      <c r="J133" s="119">
        <v>34.700000000000003</v>
      </c>
      <c r="K133" s="119">
        <v>34</v>
      </c>
      <c r="L133" s="119">
        <v>34</v>
      </c>
      <c r="M133" s="119">
        <v>35</v>
      </c>
      <c r="N133" s="119">
        <v>36</v>
      </c>
      <c r="O133" s="119">
        <v>36.6</v>
      </c>
      <c r="P133" s="119">
        <v>34</v>
      </c>
      <c r="Q133" s="119">
        <v>34</v>
      </c>
      <c r="R133" s="119">
        <v>40</v>
      </c>
      <c r="S133" s="119">
        <v>40.1</v>
      </c>
      <c r="T133" s="119">
        <v>40.299999999999997</v>
      </c>
      <c r="U133" s="119">
        <v>36.4</v>
      </c>
      <c r="V133" s="119">
        <v>36.6</v>
      </c>
      <c r="W133" s="119">
        <v>36</v>
      </c>
      <c r="X133" s="119">
        <v>35.4</v>
      </c>
      <c r="Y133" s="119">
        <v>40.6</v>
      </c>
      <c r="Z133" s="119">
        <v>41.7</v>
      </c>
      <c r="AA133" s="119">
        <v>42</v>
      </c>
      <c r="AB133" s="119">
        <v>43</v>
      </c>
      <c r="AC133" s="119">
        <v>44</v>
      </c>
      <c r="AD133" s="119"/>
      <c r="AE133" s="119">
        <v>44</v>
      </c>
      <c r="AF133" s="119">
        <v>44</v>
      </c>
      <c r="AG133" s="128"/>
      <c r="AH133" s="48">
        <f>MAX(B133:AF133)</f>
        <v>45.5</v>
      </c>
      <c r="AI133" s="49">
        <f>MIN(B133:AF133)</f>
        <v>34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>
        <v>1502.48</v>
      </c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02">SUM(B142:B246)</f>
        <v>0</v>
      </c>
      <c r="C247" s="161">
        <f t="shared" si="102"/>
        <v>0</v>
      </c>
      <c r="D247" s="161">
        <f t="shared" si="102"/>
        <v>0</v>
      </c>
      <c r="E247" s="161">
        <f t="shared" si="102"/>
        <v>0</v>
      </c>
      <c r="F247" s="161">
        <f t="shared" si="102"/>
        <v>0</v>
      </c>
      <c r="G247" s="161">
        <f t="shared" si="102"/>
        <v>0</v>
      </c>
      <c r="H247" s="161">
        <f t="shared" si="102"/>
        <v>0</v>
      </c>
      <c r="I247" s="161">
        <f t="shared" si="102"/>
        <v>0</v>
      </c>
      <c r="J247" s="161">
        <f t="shared" si="102"/>
        <v>0</v>
      </c>
      <c r="K247" s="161">
        <f t="shared" si="102"/>
        <v>0</v>
      </c>
      <c r="L247" s="161">
        <f t="shared" si="102"/>
        <v>0</v>
      </c>
      <c r="M247" s="161">
        <f t="shared" si="102"/>
        <v>0</v>
      </c>
      <c r="N247" s="161">
        <f t="shared" si="102"/>
        <v>0</v>
      </c>
      <c r="O247" s="161">
        <f t="shared" si="102"/>
        <v>0</v>
      </c>
      <c r="P247" s="161">
        <f t="shared" si="102"/>
        <v>0</v>
      </c>
      <c r="Q247" s="161">
        <f t="shared" si="102"/>
        <v>0</v>
      </c>
      <c r="R247" s="161">
        <f t="shared" si="102"/>
        <v>0</v>
      </c>
      <c r="S247" s="161">
        <f t="shared" si="102"/>
        <v>0</v>
      </c>
      <c r="T247" s="161">
        <f t="shared" si="102"/>
        <v>0</v>
      </c>
      <c r="U247" s="161">
        <f t="shared" si="102"/>
        <v>0</v>
      </c>
      <c r="V247" s="161">
        <f t="shared" si="102"/>
        <v>0</v>
      </c>
      <c r="W247" s="161">
        <f t="shared" si="102"/>
        <v>0</v>
      </c>
      <c r="X247" s="161">
        <f t="shared" si="102"/>
        <v>0</v>
      </c>
      <c r="Y247" s="161">
        <f t="shared" si="102"/>
        <v>0</v>
      </c>
      <c r="Z247" s="161">
        <f t="shared" si="102"/>
        <v>0</v>
      </c>
      <c r="AA247" s="161">
        <f t="shared" si="102"/>
        <v>0</v>
      </c>
      <c r="AB247" s="161">
        <f t="shared" si="102"/>
        <v>0</v>
      </c>
      <c r="AC247" s="161">
        <f t="shared" si="102"/>
        <v>0</v>
      </c>
      <c r="AD247" s="161">
        <f t="shared" si="102"/>
        <v>0</v>
      </c>
      <c r="AE247" s="161">
        <f t="shared" si="102"/>
        <v>0</v>
      </c>
      <c r="AF247" s="162">
        <f t="shared" si="102"/>
        <v>0</v>
      </c>
      <c r="AG247" s="163">
        <f t="shared" si="102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03">AF249</f>
        <v>0.3</v>
      </c>
      <c r="C249" s="166">
        <v>0.3</v>
      </c>
      <c r="D249" s="166">
        <f t="shared" ref="D249:S254" si="104">C249</f>
        <v>0.3</v>
      </c>
      <c r="E249" s="166">
        <f t="shared" si="104"/>
        <v>0.3</v>
      </c>
      <c r="F249" s="166">
        <f t="shared" si="104"/>
        <v>0.3</v>
      </c>
      <c r="G249" s="166">
        <f t="shared" si="104"/>
        <v>0.3</v>
      </c>
      <c r="H249" s="166">
        <f t="shared" si="104"/>
        <v>0.3</v>
      </c>
      <c r="I249" s="166">
        <f t="shared" si="104"/>
        <v>0.3</v>
      </c>
      <c r="J249" s="166">
        <f t="shared" si="104"/>
        <v>0.3</v>
      </c>
      <c r="K249" s="166">
        <f t="shared" si="104"/>
        <v>0.3</v>
      </c>
      <c r="L249" s="166">
        <f t="shared" si="104"/>
        <v>0.3</v>
      </c>
      <c r="M249" s="166">
        <f t="shared" si="104"/>
        <v>0.3</v>
      </c>
      <c r="N249" s="166">
        <f t="shared" si="104"/>
        <v>0.3</v>
      </c>
      <c r="O249" s="166">
        <f t="shared" si="104"/>
        <v>0.3</v>
      </c>
      <c r="P249" s="166">
        <f t="shared" si="104"/>
        <v>0.3</v>
      </c>
      <c r="Q249" s="166">
        <f t="shared" si="104"/>
        <v>0.3</v>
      </c>
      <c r="R249" s="166">
        <f t="shared" si="104"/>
        <v>0.3</v>
      </c>
      <c r="S249" s="166">
        <f t="shared" si="104"/>
        <v>0.3</v>
      </c>
      <c r="T249" s="166">
        <f t="shared" ref="T249:AF254" si="105">S249</f>
        <v>0.3</v>
      </c>
      <c r="U249" s="166">
        <f t="shared" si="105"/>
        <v>0.3</v>
      </c>
      <c r="V249" s="166">
        <f t="shared" si="105"/>
        <v>0.3</v>
      </c>
      <c r="W249" s="166">
        <f t="shared" si="105"/>
        <v>0.3</v>
      </c>
      <c r="X249" s="166">
        <f t="shared" si="105"/>
        <v>0.3</v>
      </c>
      <c r="Y249" s="166">
        <f t="shared" si="105"/>
        <v>0.3</v>
      </c>
      <c r="Z249" s="166">
        <f t="shared" si="105"/>
        <v>0.3</v>
      </c>
      <c r="AA249" s="166">
        <f t="shared" si="105"/>
        <v>0.3</v>
      </c>
      <c r="AB249" s="166">
        <f t="shared" si="105"/>
        <v>0.3</v>
      </c>
      <c r="AC249" s="166">
        <f t="shared" si="105"/>
        <v>0.3</v>
      </c>
      <c r="AD249" s="166">
        <f t="shared" si="105"/>
        <v>0.3</v>
      </c>
      <c r="AE249" s="166">
        <f t="shared" si="105"/>
        <v>0.3</v>
      </c>
      <c r="AF249" s="166">
        <f t="shared" si="105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03"/>
        <v>0.4</v>
      </c>
      <c r="C250" s="152">
        <v>0.4</v>
      </c>
      <c r="D250" s="152">
        <f t="shared" si="104"/>
        <v>0.4</v>
      </c>
      <c r="E250" s="152">
        <f t="shared" si="104"/>
        <v>0.4</v>
      </c>
      <c r="F250" s="152">
        <f t="shared" si="104"/>
        <v>0.4</v>
      </c>
      <c r="G250" s="152">
        <f t="shared" si="104"/>
        <v>0.4</v>
      </c>
      <c r="H250" s="152">
        <f t="shared" si="104"/>
        <v>0.4</v>
      </c>
      <c r="I250" s="152">
        <f t="shared" si="104"/>
        <v>0.4</v>
      </c>
      <c r="J250" s="152">
        <f t="shared" si="104"/>
        <v>0.4</v>
      </c>
      <c r="K250" s="152">
        <f t="shared" si="104"/>
        <v>0.4</v>
      </c>
      <c r="L250" s="152">
        <f t="shared" si="104"/>
        <v>0.4</v>
      </c>
      <c r="M250" s="152">
        <f t="shared" si="104"/>
        <v>0.4</v>
      </c>
      <c r="N250" s="152">
        <f t="shared" si="104"/>
        <v>0.4</v>
      </c>
      <c r="O250" s="152">
        <f t="shared" si="104"/>
        <v>0.4</v>
      </c>
      <c r="P250" s="152">
        <f t="shared" si="104"/>
        <v>0.4</v>
      </c>
      <c r="Q250" s="152">
        <f t="shared" si="104"/>
        <v>0.4</v>
      </c>
      <c r="R250" s="152">
        <f t="shared" si="104"/>
        <v>0.4</v>
      </c>
      <c r="S250" s="152">
        <f t="shared" si="104"/>
        <v>0.4</v>
      </c>
      <c r="T250" s="152">
        <f t="shared" si="105"/>
        <v>0.4</v>
      </c>
      <c r="U250" s="152">
        <f t="shared" si="105"/>
        <v>0.4</v>
      </c>
      <c r="V250" s="152">
        <f t="shared" si="105"/>
        <v>0.4</v>
      </c>
      <c r="W250" s="152">
        <f t="shared" si="105"/>
        <v>0.4</v>
      </c>
      <c r="X250" s="152">
        <f t="shared" si="105"/>
        <v>0.4</v>
      </c>
      <c r="Y250" s="152">
        <f t="shared" si="105"/>
        <v>0.4</v>
      </c>
      <c r="Z250" s="152">
        <f t="shared" si="105"/>
        <v>0.4</v>
      </c>
      <c r="AA250" s="152">
        <f t="shared" si="105"/>
        <v>0.4</v>
      </c>
      <c r="AB250" s="152">
        <f t="shared" si="105"/>
        <v>0.4</v>
      </c>
      <c r="AC250" s="152">
        <f t="shared" si="105"/>
        <v>0.4</v>
      </c>
      <c r="AD250" s="152">
        <f t="shared" si="105"/>
        <v>0.4</v>
      </c>
      <c r="AE250" s="152">
        <f t="shared" si="105"/>
        <v>0.4</v>
      </c>
      <c r="AF250" s="152">
        <f t="shared" si="105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03"/>
        <v>1.5</v>
      </c>
      <c r="C251" s="152">
        <v>1.5</v>
      </c>
      <c r="D251" s="152">
        <f t="shared" si="104"/>
        <v>1.5</v>
      </c>
      <c r="E251" s="152">
        <f t="shared" si="104"/>
        <v>1.5</v>
      </c>
      <c r="F251" s="152">
        <f t="shared" si="104"/>
        <v>1.5</v>
      </c>
      <c r="G251" s="152">
        <f t="shared" si="104"/>
        <v>1.5</v>
      </c>
      <c r="H251" s="152">
        <f t="shared" si="104"/>
        <v>1.5</v>
      </c>
      <c r="I251" s="152">
        <f t="shared" si="104"/>
        <v>1.5</v>
      </c>
      <c r="J251" s="152">
        <f t="shared" si="104"/>
        <v>1.5</v>
      </c>
      <c r="K251" s="152">
        <f t="shared" si="104"/>
        <v>1.5</v>
      </c>
      <c r="L251" s="152">
        <f t="shared" si="104"/>
        <v>1.5</v>
      </c>
      <c r="M251" s="152">
        <f t="shared" si="104"/>
        <v>1.5</v>
      </c>
      <c r="N251" s="152">
        <f t="shared" si="104"/>
        <v>1.5</v>
      </c>
      <c r="O251" s="152">
        <f t="shared" si="104"/>
        <v>1.5</v>
      </c>
      <c r="P251" s="152">
        <f t="shared" si="104"/>
        <v>1.5</v>
      </c>
      <c r="Q251" s="152">
        <f t="shared" si="104"/>
        <v>1.5</v>
      </c>
      <c r="R251" s="152">
        <f t="shared" si="104"/>
        <v>1.5</v>
      </c>
      <c r="S251" s="152">
        <f t="shared" si="104"/>
        <v>1.5</v>
      </c>
      <c r="T251" s="152">
        <f t="shared" si="105"/>
        <v>1.5</v>
      </c>
      <c r="U251" s="152">
        <f t="shared" si="105"/>
        <v>1.5</v>
      </c>
      <c r="V251" s="152">
        <f t="shared" si="105"/>
        <v>1.5</v>
      </c>
      <c r="W251" s="152">
        <f t="shared" si="105"/>
        <v>1.5</v>
      </c>
      <c r="X251" s="152">
        <f t="shared" si="105"/>
        <v>1.5</v>
      </c>
      <c r="Y251" s="152">
        <f t="shared" si="105"/>
        <v>1.5</v>
      </c>
      <c r="Z251" s="152">
        <f t="shared" si="105"/>
        <v>1.5</v>
      </c>
      <c r="AA251" s="152">
        <f t="shared" si="105"/>
        <v>1.5</v>
      </c>
      <c r="AB251" s="152">
        <f t="shared" si="105"/>
        <v>1.5</v>
      </c>
      <c r="AC251" s="152">
        <f t="shared" si="105"/>
        <v>1.5</v>
      </c>
      <c r="AD251" s="152">
        <f t="shared" si="105"/>
        <v>1.5</v>
      </c>
      <c r="AE251" s="152">
        <f t="shared" si="105"/>
        <v>1.5</v>
      </c>
      <c r="AF251" s="152">
        <f t="shared" si="105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03"/>
        <v>0.3</v>
      </c>
      <c r="C252" s="152">
        <v>0.3</v>
      </c>
      <c r="D252" s="152">
        <f t="shared" si="104"/>
        <v>0.3</v>
      </c>
      <c r="E252" s="152">
        <f t="shared" si="104"/>
        <v>0.3</v>
      </c>
      <c r="F252" s="152">
        <f t="shared" si="104"/>
        <v>0.3</v>
      </c>
      <c r="G252" s="152">
        <f t="shared" si="104"/>
        <v>0.3</v>
      </c>
      <c r="H252" s="152">
        <f t="shared" si="104"/>
        <v>0.3</v>
      </c>
      <c r="I252" s="152">
        <f t="shared" si="104"/>
        <v>0.3</v>
      </c>
      <c r="J252" s="152">
        <f t="shared" si="104"/>
        <v>0.3</v>
      </c>
      <c r="K252" s="152">
        <f t="shared" si="104"/>
        <v>0.3</v>
      </c>
      <c r="L252" s="152">
        <f t="shared" si="104"/>
        <v>0.3</v>
      </c>
      <c r="M252" s="152">
        <f t="shared" si="104"/>
        <v>0.3</v>
      </c>
      <c r="N252" s="152">
        <f t="shared" si="104"/>
        <v>0.3</v>
      </c>
      <c r="O252" s="152">
        <f t="shared" si="104"/>
        <v>0.3</v>
      </c>
      <c r="P252" s="152">
        <f t="shared" si="104"/>
        <v>0.3</v>
      </c>
      <c r="Q252" s="152">
        <f t="shared" si="104"/>
        <v>0.3</v>
      </c>
      <c r="R252" s="152">
        <f t="shared" si="104"/>
        <v>0.3</v>
      </c>
      <c r="S252" s="152">
        <f t="shared" si="104"/>
        <v>0.3</v>
      </c>
      <c r="T252" s="152">
        <f t="shared" si="105"/>
        <v>0.3</v>
      </c>
      <c r="U252" s="152">
        <f t="shared" si="105"/>
        <v>0.3</v>
      </c>
      <c r="V252" s="152">
        <f t="shared" si="105"/>
        <v>0.3</v>
      </c>
      <c r="W252" s="152">
        <f t="shared" si="105"/>
        <v>0.3</v>
      </c>
      <c r="X252" s="152">
        <f t="shared" si="105"/>
        <v>0.3</v>
      </c>
      <c r="Y252" s="152">
        <f t="shared" si="105"/>
        <v>0.3</v>
      </c>
      <c r="Z252" s="152">
        <f t="shared" si="105"/>
        <v>0.3</v>
      </c>
      <c r="AA252" s="152">
        <f t="shared" si="105"/>
        <v>0.3</v>
      </c>
      <c r="AB252" s="152">
        <f t="shared" si="105"/>
        <v>0.3</v>
      </c>
      <c r="AC252" s="152">
        <f t="shared" si="105"/>
        <v>0.3</v>
      </c>
      <c r="AD252" s="152">
        <f t="shared" si="105"/>
        <v>0.3</v>
      </c>
      <c r="AE252" s="152">
        <f t="shared" si="105"/>
        <v>0.3</v>
      </c>
      <c r="AF252" s="152">
        <f t="shared" si="105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03"/>
        <v>0.4</v>
      </c>
      <c r="C253" s="152">
        <v>0.4</v>
      </c>
      <c r="D253" s="152">
        <f t="shared" si="104"/>
        <v>0.4</v>
      </c>
      <c r="E253" s="152">
        <f t="shared" si="104"/>
        <v>0.4</v>
      </c>
      <c r="F253" s="152">
        <f t="shared" si="104"/>
        <v>0.4</v>
      </c>
      <c r="G253" s="152">
        <f t="shared" si="104"/>
        <v>0.4</v>
      </c>
      <c r="H253" s="152">
        <f t="shared" si="104"/>
        <v>0.4</v>
      </c>
      <c r="I253" s="152">
        <f t="shared" si="104"/>
        <v>0.4</v>
      </c>
      <c r="J253" s="152">
        <f t="shared" si="104"/>
        <v>0.4</v>
      </c>
      <c r="K253" s="152">
        <f t="shared" si="104"/>
        <v>0.4</v>
      </c>
      <c r="L253" s="152">
        <f t="shared" si="104"/>
        <v>0.4</v>
      </c>
      <c r="M253" s="152">
        <f t="shared" si="104"/>
        <v>0.4</v>
      </c>
      <c r="N253" s="152">
        <f t="shared" si="104"/>
        <v>0.4</v>
      </c>
      <c r="O253" s="152">
        <f t="shared" si="104"/>
        <v>0.4</v>
      </c>
      <c r="P253" s="152">
        <f t="shared" si="104"/>
        <v>0.4</v>
      </c>
      <c r="Q253" s="152">
        <f t="shared" si="104"/>
        <v>0.4</v>
      </c>
      <c r="R253" s="152">
        <f t="shared" si="104"/>
        <v>0.4</v>
      </c>
      <c r="S253" s="152">
        <f t="shared" si="104"/>
        <v>0.4</v>
      </c>
      <c r="T253" s="152">
        <f t="shared" si="105"/>
        <v>0.4</v>
      </c>
      <c r="U253" s="152">
        <f t="shared" si="105"/>
        <v>0.4</v>
      </c>
      <c r="V253" s="152">
        <f t="shared" si="105"/>
        <v>0.4</v>
      </c>
      <c r="W253" s="152">
        <f t="shared" si="105"/>
        <v>0.4</v>
      </c>
      <c r="X253" s="152">
        <f t="shared" si="105"/>
        <v>0.4</v>
      </c>
      <c r="Y253" s="152">
        <f t="shared" si="105"/>
        <v>0.4</v>
      </c>
      <c r="Z253" s="152">
        <f t="shared" si="105"/>
        <v>0.4</v>
      </c>
      <c r="AA253" s="152">
        <f t="shared" si="105"/>
        <v>0.4</v>
      </c>
      <c r="AB253" s="152">
        <f t="shared" si="105"/>
        <v>0.4</v>
      </c>
      <c r="AC253" s="152">
        <f t="shared" si="105"/>
        <v>0.4</v>
      </c>
      <c r="AD253" s="152">
        <f t="shared" si="105"/>
        <v>0.4</v>
      </c>
      <c r="AE253" s="152">
        <f t="shared" si="105"/>
        <v>0.4</v>
      </c>
      <c r="AF253" s="152">
        <f t="shared" si="105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03"/>
        <v>0.64</v>
      </c>
      <c r="C254" s="157">
        <v>0.64</v>
      </c>
      <c r="D254" s="157">
        <f t="shared" si="104"/>
        <v>0.64</v>
      </c>
      <c r="E254" s="157">
        <f t="shared" si="104"/>
        <v>0.64</v>
      </c>
      <c r="F254" s="157">
        <f t="shared" si="104"/>
        <v>0.64</v>
      </c>
      <c r="G254" s="157">
        <f t="shared" si="104"/>
        <v>0.64</v>
      </c>
      <c r="H254" s="157">
        <f t="shared" si="104"/>
        <v>0.64</v>
      </c>
      <c r="I254" s="157">
        <f t="shared" si="104"/>
        <v>0.64</v>
      </c>
      <c r="J254" s="157">
        <f t="shared" si="104"/>
        <v>0.64</v>
      </c>
      <c r="K254" s="157">
        <f t="shared" si="104"/>
        <v>0.64</v>
      </c>
      <c r="L254" s="157">
        <f t="shared" si="104"/>
        <v>0.64</v>
      </c>
      <c r="M254" s="157">
        <f t="shared" si="104"/>
        <v>0.64</v>
      </c>
      <c r="N254" s="157">
        <f t="shared" si="104"/>
        <v>0.64</v>
      </c>
      <c r="O254" s="157">
        <f t="shared" si="104"/>
        <v>0.64</v>
      </c>
      <c r="P254" s="157">
        <f t="shared" si="104"/>
        <v>0.64</v>
      </c>
      <c r="Q254" s="157">
        <f t="shared" si="104"/>
        <v>0.64</v>
      </c>
      <c r="R254" s="157">
        <f t="shared" si="104"/>
        <v>0.64</v>
      </c>
      <c r="S254" s="157">
        <f t="shared" si="104"/>
        <v>0.64</v>
      </c>
      <c r="T254" s="157">
        <f t="shared" si="105"/>
        <v>0.64</v>
      </c>
      <c r="U254" s="157">
        <f t="shared" si="105"/>
        <v>0.64</v>
      </c>
      <c r="V254" s="157">
        <f t="shared" si="105"/>
        <v>0.64</v>
      </c>
      <c r="W254" s="157">
        <f t="shared" si="105"/>
        <v>0.64</v>
      </c>
      <c r="X254" s="157">
        <f t="shared" si="105"/>
        <v>0.64</v>
      </c>
      <c r="Y254" s="157">
        <f t="shared" si="105"/>
        <v>0.64</v>
      </c>
      <c r="Z254" s="157">
        <f t="shared" si="105"/>
        <v>0.64</v>
      </c>
      <c r="AA254" s="157">
        <f t="shared" si="105"/>
        <v>0.64</v>
      </c>
      <c r="AB254" s="157">
        <f t="shared" si="105"/>
        <v>0.64</v>
      </c>
      <c r="AC254" s="157">
        <f t="shared" si="105"/>
        <v>0.64</v>
      </c>
      <c r="AD254" s="157">
        <f t="shared" si="105"/>
        <v>0.64</v>
      </c>
      <c r="AE254" s="157">
        <f t="shared" si="105"/>
        <v>0.64</v>
      </c>
      <c r="AF254" s="157">
        <f t="shared" si="105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06">SUM(B249:B254)</f>
        <v>3.54</v>
      </c>
      <c r="C255" s="161">
        <f t="shared" si="106"/>
        <v>3.54</v>
      </c>
      <c r="D255" s="161">
        <f t="shared" si="106"/>
        <v>3.54</v>
      </c>
      <c r="E255" s="161">
        <f t="shared" si="106"/>
        <v>3.54</v>
      </c>
      <c r="F255" s="161">
        <f t="shared" si="106"/>
        <v>3.54</v>
      </c>
      <c r="G255" s="161">
        <f t="shared" si="106"/>
        <v>3.54</v>
      </c>
      <c r="H255" s="161">
        <f t="shared" si="106"/>
        <v>3.54</v>
      </c>
      <c r="I255" s="161">
        <f t="shared" si="106"/>
        <v>3.54</v>
      </c>
      <c r="J255" s="161">
        <f t="shared" si="106"/>
        <v>3.54</v>
      </c>
      <c r="K255" s="161">
        <f t="shared" si="106"/>
        <v>3.54</v>
      </c>
      <c r="L255" s="161">
        <f t="shared" si="106"/>
        <v>3.54</v>
      </c>
      <c r="M255" s="161">
        <f t="shared" si="106"/>
        <v>3.54</v>
      </c>
      <c r="N255" s="161">
        <f t="shared" si="106"/>
        <v>3.54</v>
      </c>
      <c r="O255" s="161">
        <f t="shared" si="106"/>
        <v>3.54</v>
      </c>
      <c r="P255" s="161">
        <f t="shared" si="106"/>
        <v>3.54</v>
      </c>
      <c r="Q255" s="161">
        <f t="shared" si="106"/>
        <v>3.54</v>
      </c>
      <c r="R255" s="161">
        <f t="shared" si="106"/>
        <v>3.54</v>
      </c>
      <c r="S255" s="161">
        <f t="shared" si="106"/>
        <v>3.54</v>
      </c>
      <c r="T255" s="161">
        <f t="shared" si="106"/>
        <v>3.54</v>
      </c>
      <c r="U255" s="161">
        <f t="shared" si="106"/>
        <v>3.54</v>
      </c>
      <c r="V255" s="161">
        <f t="shared" si="106"/>
        <v>3.54</v>
      </c>
      <c r="W255" s="161">
        <f t="shared" si="106"/>
        <v>3.54</v>
      </c>
      <c r="X255" s="161">
        <f t="shared" si="106"/>
        <v>3.54</v>
      </c>
      <c r="Y255" s="161">
        <f t="shared" si="106"/>
        <v>3.54</v>
      </c>
      <c r="Z255" s="161">
        <f t="shared" si="106"/>
        <v>3.54</v>
      </c>
      <c r="AA255" s="161">
        <f t="shared" si="106"/>
        <v>3.54</v>
      </c>
      <c r="AB255" s="161">
        <f t="shared" si="106"/>
        <v>3.54</v>
      </c>
      <c r="AC255" s="161">
        <f t="shared" si="106"/>
        <v>3.54</v>
      </c>
      <c r="AD255" s="161">
        <f t="shared" si="106"/>
        <v>3.54</v>
      </c>
      <c r="AE255" s="161">
        <f t="shared" si="106"/>
        <v>3.54</v>
      </c>
      <c r="AF255" s="161">
        <f t="shared" si="106"/>
        <v>3.54</v>
      </c>
      <c r="AG255" s="171">
        <f t="shared" si="106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2174.64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2080/10/30)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N90:AN91"/>
    <mergeCell ref="AB9:AB10"/>
    <mergeCell ref="AC9:AC10"/>
    <mergeCell ref="AD9:AD10"/>
    <mergeCell ref="AE9:AE10"/>
    <mergeCell ref="AF9:AF10"/>
    <mergeCell ref="AG9:AG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640" priority="170">
      <formula>$AH11=0</formula>
    </cfRule>
  </conditionalFormatting>
  <conditionalFormatting sqref="A89">
    <cfRule type="expression" dxfId="639" priority="228">
      <formula>$AH94=0</formula>
    </cfRule>
  </conditionalFormatting>
  <conditionalFormatting sqref="A90:A94">
    <cfRule type="expression" dxfId="638" priority="171">
      <formula>$AH89=0</formula>
    </cfRule>
  </conditionalFormatting>
  <conditionalFormatting sqref="B8">
    <cfRule type="expression" dxfId="637" priority="224">
      <formula>AND(C$9&gt;=14/24,C$9&lt;20/24)</formula>
    </cfRule>
    <cfRule type="expression" dxfId="636" priority="225">
      <formula>AND(C$9&gt;=8/24,C$9&lt;14/24)</formula>
    </cfRule>
    <cfRule type="expression" dxfId="635" priority="226">
      <formula>C$9&lt;8/24</formula>
    </cfRule>
    <cfRule type="expression" dxfId="634" priority="227">
      <formula>C$9&gt;=20/24</formula>
    </cfRule>
  </conditionalFormatting>
  <conditionalFormatting sqref="B66:N71">
    <cfRule type="expression" dxfId="633" priority="23">
      <formula>B$9&gt;=20/24</formula>
    </cfRule>
    <cfRule type="expression" dxfId="632" priority="24">
      <formula>AND(B$9&gt;=14/24,B$9&lt;20/24)</formula>
    </cfRule>
    <cfRule type="expression" dxfId="631" priority="25">
      <formula>AND(B$9&gt;=8/24,B$9&lt;14/24)</formula>
    </cfRule>
    <cfRule type="expression" dxfId="630" priority="26">
      <formula>B$9&lt;8/24</formula>
    </cfRule>
  </conditionalFormatting>
  <conditionalFormatting sqref="B62:T65">
    <cfRule type="expression" dxfId="629" priority="19">
      <formula>B$9&gt;=20/24</formula>
    </cfRule>
    <cfRule type="expression" dxfId="628" priority="20">
      <formula>AND(B$9&gt;=14/24,B$9&lt;20/24)</formula>
    </cfRule>
    <cfRule type="expression" dxfId="627" priority="21">
      <formula>AND(B$9&gt;=8/24,B$9&lt;14/24)</formula>
    </cfRule>
    <cfRule type="expression" dxfId="626" priority="22">
      <formula>B$9&lt;8/24</formula>
    </cfRule>
  </conditionalFormatting>
  <conditionalFormatting sqref="B11:AC14">
    <cfRule type="expression" dxfId="625" priority="15">
      <formula>B$9&gt;=20/24</formula>
    </cfRule>
    <cfRule type="expression" dxfId="624" priority="16">
      <formula>AND(B$9&gt;=14/24,B$9&lt;20/24)</formula>
    </cfRule>
    <cfRule type="expression" dxfId="623" priority="17">
      <formula>AND(B$9&gt;=8/24,B$9&lt;14/24)</formula>
    </cfRule>
    <cfRule type="expression" dxfId="622" priority="18">
      <formula>B$9&lt;8/24</formula>
    </cfRule>
  </conditionalFormatting>
  <conditionalFormatting sqref="B9:AF10 S15:AC57 O72:AF77 H80:AA83 AB80:AB86 E80:F102 AC80:AF102 G84:AA86 B247:AF247 B249:B255">
    <cfRule type="expression" dxfId="621" priority="132">
      <formula>AND(B$9&gt;=14/24,B$9&lt;20/24)</formula>
    </cfRule>
    <cfRule type="expression" dxfId="620" priority="133">
      <formula>AND(B$9&gt;=8/24,B$9&lt;14/24)</formula>
    </cfRule>
    <cfRule type="expression" dxfId="619" priority="134">
      <formula>B$9&lt;8/24</formula>
    </cfRule>
  </conditionalFormatting>
  <conditionalFormatting sqref="B11:AF14">
    <cfRule type="expression" dxfId="618" priority="14">
      <formula>B11&gt;$AG11</formula>
    </cfRule>
  </conditionalFormatting>
  <conditionalFormatting sqref="B58:AF60">
    <cfRule type="expression" dxfId="617" priority="1">
      <formula>B$9&gt;=20/24</formula>
    </cfRule>
    <cfRule type="expression" dxfId="616" priority="2">
      <formula>AND(B$9&gt;=14/24,B$9&lt;20/24)</formula>
    </cfRule>
    <cfRule type="expression" dxfId="615" priority="3">
      <formula>AND(B$9&gt;=8/24,B$9&lt;14/24)</formula>
    </cfRule>
  </conditionalFormatting>
  <conditionalFormatting sqref="D249:AF255">
    <cfRule type="expression" dxfId="614" priority="209">
      <formula>D$9&gt;=20/24</formula>
    </cfRule>
    <cfRule type="expression" dxfId="613" priority="210">
      <formula>AND(D$9&gt;=14/24,D$9&lt;20/24)</formula>
    </cfRule>
    <cfRule type="expression" dxfId="612" priority="211">
      <formula>AND(D$9&gt;=8/24,D$9&lt;14/24)</formula>
    </cfRule>
    <cfRule type="expression" dxfId="611" priority="212">
      <formula>D$9&lt;8/24</formula>
    </cfRule>
  </conditionalFormatting>
  <conditionalFormatting sqref="E78:G83">
    <cfRule type="expression" dxfId="610" priority="34">
      <formula>E78&gt;$AG78</formula>
    </cfRule>
  </conditionalFormatting>
  <conditionalFormatting sqref="G60">
    <cfRule type="expression" dxfId="609" priority="43">
      <formula>G$9&lt;8/24</formula>
    </cfRule>
  </conditionalFormatting>
  <conditionalFormatting sqref="G80:G83 G87:AB102 B122:AF140">
    <cfRule type="expression" dxfId="608" priority="35">
      <formula>B$9&gt;=20/24</formula>
    </cfRule>
    <cfRule type="expression" dxfId="607" priority="36">
      <formula>AND(B$9&gt;=14/24,B$9&lt;20/24)</formula>
    </cfRule>
    <cfRule type="expression" dxfId="606" priority="37">
      <formula>AND(B$9&gt;=8/24,B$9&lt;14/24)</formula>
    </cfRule>
    <cfRule type="expression" dxfId="605" priority="38">
      <formula>B$9&lt;8/24</formula>
    </cfRule>
  </conditionalFormatting>
  <conditionalFormatting sqref="G15:J60 E15:F77 B15:D83 R50:R59 K51:Q59 O15:R49 K15:N50 O50:Q50 G61:H77 I62:T77">
    <cfRule type="expression" dxfId="604" priority="4">
      <formula>B15&gt;$AG15</formula>
    </cfRule>
  </conditionalFormatting>
  <conditionalFormatting sqref="G58:R59 B58:F60">
    <cfRule type="expression" dxfId="603" priority="13">
      <formula>B$9&lt;8/24</formula>
    </cfRule>
  </conditionalFormatting>
  <conditionalFormatting sqref="M8 S8 AB8">
    <cfRule type="expression" dxfId="602" priority="216">
      <formula>AND(N$9&gt;=14/24,N$9&lt;20/24)</formula>
    </cfRule>
    <cfRule type="expression" dxfId="601" priority="217">
      <formula>AND(N$9&gt;=8/24,N$9&lt;14/24)</formula>
    </cfRule>
    <cfRule type="expression" dxfId="600" priority="218">
      <formula>N$9&lt;8/24</formula>
    </cfRule>
  </conditionalFormatting>
  <conditionalFormatting sqref="O3:P3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O15:R49 K15:N50 B15:J57 O50:Q50 R50:R57 K51:Q57 B71:N77 B80:D102 B104:AF120">
    <cfRule type="expression" dxfId="599" priority="5">
      <formula>B$9&gt;=20/24</formula>
    </cfRule>
    <cfRule type="expression" dxfId="598" priority="6">
      <formula>AND(B$9&gt;=14/24,B$9&lt;20/24)</formula>
    </cfRule>
    <cfRule type="expression" dxfId="597" priority="7">
      <formula>AND(B$9&gt;=8/24,B$9&lt;14/24)</formula>
    </cfRule>
    <cfRule type="expression" dxfId="596" priority="8">
      <formula>B$9&lt;8/24</formula>
    </cfRule>
  </conditionalFormatting>
  <conditionalFormatting sqref="O66:AC71">
    <cfRule type="expression" dxfId="595" priority="158">
      <formula>O$9&gt;=20/24</formula>
    </cfRule>
    <cfRule type="expression" dxfId="594" priority="159">
      <formula>AND(O$9&gt;=14/24,O$9&lt;20/24)</formula>
    </cfRule>
    <cfRule type="expression" dxfId="593" priority="160">
      <formula>AND(O$9&gt;=8/24,O$9&lt;14/24)</formula>
    </cfRule>
    <cfRule type="expression" dxfId="592" priority="161">
      <formula>O$9&lt;8/24</formula>
    </cfRule>
  </conditionalFormatting>
  <conditionalFormatting sqref="S8 AB8 M8">
    <cfRule type="expression" dxfId="591" priority="215">
      <formula>N$9&gt;=20/24</formula>
    </cfRule>
  </conditionalFormatting>
  <conditionalFormatting sqref="S8">
    <cfRule type="expression" dxfId="590" priority="202">
      <formula>U$9&gt;=20/24</formula>
    </cfRule>
    <cfRule type="expression" dxfId="589" priority="203">
      <formula>AND(U$9&gt;=14/24,U$9&lt;20/24)</formula>
    </cfRule>
    <cfRule type="expression" dxfId="588" priority="204">
      <formula>AND(U$9&gt;=8/24,U$9&lt;14/24)</formula>
    </cfRule>
    <cfRule type="expression" dxfId="587" priority="205">
      <formula>U$9&lt;8/24</formula>
    </cfRule>
  </conditionalFormatting>
  <conditionalFormatting sqref="S15:S59 T15:T60 V15:X65 U15:U77 Y15:AF83 L60:S60 K60:K61 I61:J61 L61:T61 AG61 AG65 V66:V77 W66:X78 S73:AA73 H78:V78 H79:X83 AG83">
    <cfRule type="expression" dxfId="586" priority="130">
      <formula>H15&gt;$AG15</formula>
    </cfRule>
  </conditionalFormatting>
  <conditionalFormatting sqref="S15:AC57 O72:AF77 H80:AA83 AB80:AB86 AC80:AF102 E80:F102 B9:AF10 G84:AA86 B247:AF247 B249:B255">
    <cfRule type="expression" dxfId="585" priority="131">
      <formula>B$9&gt;=20/24</formula>
    </cfRule>
  </conditionalFormatting>
  <conditionalFormatting sqref="S58:AF60 H60:R60">
    <cfRule type="expression" dxfId="584" priority="139">
      <formula>H$9&lt;8/24</formula>
    </cfRule>
  </conditionalFormatting>
  <conditionalFormatting sqref="T66:AF71">
    <cfRule type="expression" dxfId="583" priority="154">
      <formula>T$9&gt;=20/24</formula>
    </cfRule>
    <cfRule type="expression" dxfId="582" priority="155">
      <formula>AND(T$9&gt;=14/24,T$9&lt;20/24)</formula>
    </cfRule>
    <cfRule type="expression" dxfId="581" priority="156">
      <formula>AND(T$9&gt;=8/24,T$9&lt;14/24)</formula>
    </cfRule>
    <cfRule type="expression" dxfId="580" priority="157">
      <formula>T$9&lt;8/24</formula>
    </cfRule>
  </conditionalFormatting>
  <conditionalFormatting sqref="U62:AF65">
    <cfRule type="expression" dxfId="579" priority="150">
      <formula>U$9&gt;=20/24</formula>
    </cfRule>
    <cfRule type="expression" dxfId="578" priority="151">
      <formula>AND(U$9&gt;=14/24,U$9&lt;20/24)</formula>
    </cfRule>
    <cfRule type="expression" dxfId="577" priority="152">
      <formula>AND(U$9&gt;=8/24,U$9&lt;14/24)</formula>
    </cfRule>
    <cfRule type="expression" dxfId="576" priority="153">
      <formula>U$9&lt;8/24</formula>
    </cfRule>
  </conditionalFormatting>
  <conditionalFormatting sqref="V3 AB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575" priority="198">
      <formula>AD$9&gt;=20/24</formula>
    </cfRule>
    <cfRule type="expression" dxfId="574" priority="199">
      <formula>AND(AD$9&gt;=14/24,AD$9&lt;20/24)</formula>
    </cfRule>
    <cfRule type="expression" dxfId="573" priority="200">
      <formula>AND(AD$9&gt;=8/24,AD$9&lt;14/24)</formula>
    </cfRule>
    <cfRule type="expression" dxfId="572" priority="201">
      <formula>AD$9&lt;8/24</formula>
    </cfRule>
  </conditionalFormatting>
  <conditionalFormatting sqref="AD11:AF57">
    <cfRule type="expression" dxfId="571" priority="145">
      <formula>AD$9&gt;=20/24</formula>
    </cfRule>
    <cfRule type="expression" dxfId="570" priority="146">
      <formula>AND(AD$9&gt;=14/24,AD$9&lt;20/24)</formula>
    </cfRule>
    <cfRule type="expression" dxfId="569" priority="147">
      <formula>AND(AD$9&gt;=8/24,AD$9&lt;14/24)</formula>
    </cfRule>
    <cfRule type="expression" dxfId="568" priority="148">
      <formula>AD$9&lt;8/24</formula>
    </cfRule>
  </conditionalFormatting>
  <conditionalFormatting sqref="AG65">
    <cfRule type="expression" dxfId="567" priority="177">
      <formula>AG$9&gt;=20/24</formula>
    </cfRule>
    <cfRule type="expression" dxfId="566" priority="178">
      <formula>AND(AG$9&gt;=14/24,AG$9&lt;20/24)</formula>
    </cfRule>
    <cfRule type="expression" dxfId="565" priority="179">
      <formula>AND(AG$9&gt;=8/24,AG$9&lt;14/24)</formula>
    </cfRule>
    <cfRule type="expression" dxfId="564" priority="180">
      <formula>AG$9&lt;8/24</formula>
    </cfRule>
  </conditionalFormatting>
  <conditionalFormatting sqref="AG78:AG79">
    <cfRule type="expression" dxfId="563" priority="172">
      <formula>AG78&gt;$AG78</formula>
    </cfRule>
  </conditionalFormatting>
  <conditionalFormatting sqref="AG83">
    <cfRule type="expression" dxfId="562" priority="173">
      <formula>AG$9&gt;=20/24</formula>
    </cfRule>
    <cfRule type="expression" dxfId="561" priority="174">
      <formula>AND(AG$9&gt;=14/24,AG$9&lt;20/24)</formula>
    </cfRule>
    <cfRule type="expression" dxfId="560" priority="175">
      <formula>AND(AG$9&gt;=8/24,AG$9&lt;14/24)</formula>
    </cfRule>
    <cfRule type="expression" dxfId="559" priority="176">
      <formula>AG$9&lt;8/24</formula>
    </cfRule>
  </conditionalFormatting>
  <conditionalFormatting sqref="AG100">
    <cfRule type="expression" dxfId="558" priority="194">
      <formula>AG$9&gt;=20/24</formula>
    </cfRule>
    <cfRule type="expression" dxfId="557" priority="195">
      <formula>AND(AG$9&gt;=14/24,AG$9&lt;20/24)</formula>
    </cfRule>
    <cfRule type="expression" dxfId="556" priority="196">
      <formula>AND(AG$9&gt;=8/24,AG$9&lt;14/24)</formula>
    </cfRule>
    <cfRule type="expression" dxfId="555" priority="197">
      <formula>AG$9&lt;8/24</formula>
    </cfRule>
  </conditionalFormatting>
  <conditionalFormatting sqref="AL4:AL6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554" priority="219">
      <formula>AJ$9&gt;=20/24</formula>
    </cfRule>
    <cfRule type="expression" dxfId="553" priority="220">
      <formula>AND(AJ$9&gt;=14/24,AJ$9&lt;20/24)</formula>
    </cfRule>
    <cfRule type="expression" dxfId="552" priority="221">
      <formula>AND(AJ$9&gt;=8/24,AJ$9&lt;14/24)</formula>
    </cfRule>
    <cfRule type="expression" dxfId="551" priority="222">
      <formula>AJ$9&lt;8/24</formula>
    </cfRule>
  </conditionalFormatting>
  <conditionalFormatting sqref="AL86:AN86 AL92:AN92">
    <cfRule type="expression" dxfId="550" priority="187">
      <formula>AL$9&gt;=20/24</formula>
    </cfRule>
    <cfRule type="expression" dxfId="549" priority="188">
      <formula>AND(AL$9&gt;=14/24,AL$9&lt;20/24)</formula>
    </cfRule>
    <cfRule type="expression" dxfId="548" priority="189">
      <formula>AND(AL$9&gt;=8/24,AL$9&lt;14/24)</formula>
    </cfRule>
    <cfRule type="expression" dxfId="547" priority="190">
      <formula>AL$9&lt;8/24</formula>
    </cfRule>
  </conditionalFormatting>
  <conditionalFormatting sqref="AM15:AM21 AN16:AR21">
    <cfRule type="expression" dxfId="546" priority="103">
      <formula>AX$9&gt;=20/24</formula>
    </cfRule>
    <cfRule type="expression" dxfId="545" priority="104">
      <formula>AND(AX$9&gt;=14/24,AX$9&lt;20/24)</formula>
    </cfRule>
    <cfRule type="expression" dxfId="544" priority="105">
      <formula>AND(AX$9&gt;=8/24,AX$9&lt;14/24)</formula>
    </cfRule>
    <cfRule type="expression" dxfId="543" priority="106">
      <formula>AX$9&lt;8/24</formula>
    </cfRule>
  </conditionalFormatting>
  <conditionalFormatting sqref="AN87:AN90">
    <cfRule type="expression" dxfId="542" priority="183">
      <formula>AN$9&gt;=20/24</formula>
    </cfRule>
    <cfRule type="expression" dxfId="541" priority="184">
      <formula>AND(AN$9&gt;=14/24,AN$9&lt;20/24)</formula>
    </cfRule>
    <cfRule type="expression" dxfId="540" priority="185">
      <formula>AND(AN$9&gt;=8/24,AN$9&lt;14/24)</formula>
    </cfRule>
    <cfRule type="expression" dxfId="539" priority="186">
      <formula>AN$9&lt;8/24</formula>
    </cfRule>
  </conditionalFormatting>
  <conditionalFormatting sqref="AN15:AR15">
    <cfRule type="expression" dxfId="538" priority="91">
      <formula>U$9&gt;=20/24</formula>
    </cfRule>
    <cfRule type="expression" dxfId="537" priority="92">
      <formula>AND(U$9&gt;=14/24,U$9&lt;20/24)</formula>
    </cfRule>
    <cfRule type="expression" dxfId="536" priority="93">
      <formula>AND(U$9&gt;=8/24,U$9&lt;14/24)</formula>
    </cfRule>
    <cfRule type="expression" dxfId="535" priority="94">
      <formula>U$9&lt;8/24</formula>
    </cfRule>
  </conditionalFormatting>
  <conditionalFormatting sqref="AS15">
    <cfRule type="expression" dxfId="534" priority="99">
      <formula>AA$9&gt;=20/24</formula>
    </cfRule>
    <cfRule type="expression" dxfId="533" priority="100">
      <formula>AND(AA$9&gt;=14/24,AA$9&lt;20/24)</formula>
    </cfRule>
    <cfRule type="expression" dxfId="532" priority="101">
      <formula>AND(AA$9&gt;=8/24,AA$9&lt;14/24)</formula>
    </cfRule>
    <cfRule type="expression" dxfId="531" priority="102">
      <formula>AA$9&lt;8/24</formula>
    </cfRule>
  </conditionalFormatting>
  <conditionalFormatting sqref="AS16:AS21">
    <cfRule type="expression" dxfId="530" priority="107">
      <formula>BE$9&gt;=20/24</formula>
    </cfRule>
    <cfRule type="expression" dxfId="529" priority="108">
      <formula>AND(BE$9&gt;=14/24,BE$9&lt;20/24)</formula>
    </cfRule>
    <cfRule type="expression" dxfId="528" priority="109">
      <formula>AND(BE$9&gt;=8/24,BE$9&lt;14/24)</formula>
    </cfRule>
    <cfRule type="expression" dxfId="527" priority="110">
      <formula>BE$9&lt;8/24</formula>
    </cfRule>
  </conditionalFormatting>
  <conditionalFormatting sqref="AT15 AX15:BJ15">
    <cfRule type="expression" dxfId="526" priority="111">
      <formula>AC$9&gt;=20/24</formula>
    </cfRule>
    <cfRule type="expression" dxfId="525" priority="112">
      <formula>AND(AC$9&gt;=14/24,AC$9&lt;20/24)</formula>
    </cfRule>
    <cfRule type="expression" dxfId="524" priority="113">
      <formula>AND(AC$9&gt;=8/24,AC$9&lt;14/24)</formula>
    </cfRule>
    <cfRule type="expression" dxfId="523" priority="114">
      <formula>AC$9&lt;8/24</formula>
    </cfRule>
  </conditionalFormatting>
  <conditionalFormatting sqref="AT16:AT21">
    <cfRule type="expression" dxfId="522" priority="115">
      <formula>BG$9&gt;=20/24</formula>
    </cfRule>
    <cfRule type="expression" dxfId="521" priority="116">
      <formula>AND(BG$9&gt;=14/24,BG$9&lt;20/24)</formula>
    </cfRule>
    <cfRule type="expression" dxfId="520" priority="117">
      <formula>AND(BG$9&gt;=8/24,BG$9&lt;14/24)</formula>
    </cfRule>
    <cfRule type="expression" dxfId="519" priority="118">
      <formula>BG$9&lt;8/24</formula>
    </cfRule>
  </conditionalFormatting>
  <conditionalFormatting sqref="AU15:AV15">
    <cfRule type="expression" dxfId="518" priority="119">
      <formula>AE$9&gt;=20/24</formula>
    </cfRule>
    <cfRule type="expression" dxfId="517" priority="120">
      <formula>AND(AE$9&gt;=14/24,AE$9&lt;20/24)</formula>
    </cfRule>
    <cfRule type="expression" dxfId="516" priority="121">
      <formula>AND(AE$9&gt;=8/24,AE$9&lt;14/24)</formula>
    </cfRule>
    <cfRule type="expression" dxfId="515" priority="122">
      <formula>AE$9&lt;8/24</formula>
    </cfRule>
  </conditionalFormatting>
  <conditionalFormatting sqref="AU16:BJ21">
    <cfRule type="expression" dxfId="514" priority="123">
      <formula>BI$9&gt;=20/24</formula>
    </cfRule>
    <cfRule type="expression" dxfId="513" priority="124">
      <formula>AND(BI$9&gt;=14/24,BI$9&lt;20/24)</formula>
    </cfRule>
    <cfRule type="expression" dxfId="512" priority="125">
      <formula>AND(BI$9&gt;=8/24,BI$9&lt;14/24)</formula>
    </cfRule>
    <cfRule type="expression" dxfId="511" priority="126">
      <formula>BI$9&lt;8/24</formula>
    </cfRule>
  </conditionalFormatting>
  <conditionalFormatting sqref="AW15">
    <cfRule type="expression" dxfId="510" priority="95">
      <formula>B$9&gt;=20/24</formula>
    </cfRule>
    <cfRule type="expression" dxfId="509" priority="96">
      <formula>AND(B$9&gt;=14/24,B$9&lt;20/24)</formula>
    </cfRule>
    <cfRule type="expression" dxfId="508" priority="97">
      <formula>AND(B$9&gt;=8/24,B$9&lt;14/24)</formula>
    </cfRule>
    <cfRule type="expression" dxfId="507" priority="9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912E-927B-4378-83AD-29730D4FC59E}">
  <dimension ref="A1:CJ297"/>
  <sheetViews>
    <sheetView zoomScale="106" workbookViewId="0">
      <pane xSplit="1" ySplit="10" topLeftCell="H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B101" sqref="AB10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2080/10/31</v>
      </c>
      <c r="C4" s="189"/>
      <c r="D4" s="189"/>
      <c r="E4" s="190" t="str">
        <f ca="1">"2080/"&amp;"10/"&amp;INT(MID(CELL("filename",G6),FIND("]",CELL("filename",G6))+1,200))</f>
        <v>2080/10/31</v>
      </c>
      <c r="F4" s="190"/>
      <c r="G4" s="190"/>
      <c r="H4" s="190" t="str">
        <f ca="1">TEXT(E4,"dddd")</f>
        <v>Thursday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2322MW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Load=304</v>
      </c>
      <c r="B7" s="35">
        <f t="shared" ref="B7:AF7" si="1">B103</f>
        <v>303.54000000000002</v>
      </c>
      <c r="C7" s="35">
        <f t="shared" si="1"/>
        <v>1704.94</v>
      </c>
      <c r="D7" s="35">
        <f t="shared" si="1"/>
        <v>1704.94</v>
      </c>
      <c r="E7" s="35">
        <f t="shared" si="1"/>
        <v>1549.54</v>
      </c>
      <c r="F7" s="35">
        <f t="shared" si="1"/>
        <v>1517.44</v>
      </c>
      <c r="G7" s="35">
        <f t="shared" si="1"/>
        <v>1477.24</v>
      </c>
      <c r="H7" s="35">
        <f t="shared" si="1"/>
        <v>1471.04</v>
      </c>
      <c r="I7" s="35">
        <f t="shared" si="1"/>
        <v>1453.7399999999998</v>
      </c>
      <c r="J7" s="35">
        <f t="shared" si="1"/>
        <v>1498.9399999999996</v>
      </c>
      <c r="K7" s="35">
        <f t="shared" si="1"/>
        <v>1520.9399999999996</v>
      </c>
      <c r="L7" s="35">
        <f t="shared" si="1"/>
        <v>1483.9399999999996</v>
      </c>
      <c r="M7" s="35">
        <f t="shared" si="1"/>
        <v>1661.4399999999996</v>
      </c>
      <c r="N7" s="35">
        <f t="shared" si="1"/>
        <v>1660.9399999999996</v>
      </c>
      <c r="O7" s="35">
        <f t="shared" si="1"/>
        <v>1636.3399999999997</v>
      </c>
      <c r="P7" s="35">
        <f t="shared" si="1"/>
        <v>1801.3399999999997</v>
      </c>
      <c r="Q7" s="35">
        <f t="shared" si="1"/>
        <v>1708.3399999999997</v>
      </c>
      <c r="R7" s="35">
        <f t="shared" si="1"/>
        <v>1716.7399999999998</v>
      </c>
      <c r="S7" s="35">
        <f t="shared" si="1"/>
        <v>1706.88</v>
      </c>
      <c r="T7" s="35">
        <f t="shared" si="1"/>
        <v>1637.15</v>
      </c>
      <c r="U7" s="35">
        <f t="shared" si="1"/>
        <v>1639.0700000000002</v>
      </c>
      <c r="V7" s="35">
        <f t="shared" si="1"/>
        <v>1505.9700000000003</v>
      </c>
      <c r="W7" s="35">
        <f t="shared" si="1"/>
        <v>1502.71</v>
      </c>
      <c r="X7" s="35">
        <f t="shared" si="1"/>
        <v>1502.8399999999997</v>
      </c>
      <c r="Y7" s="35">
        <f t="shared" si="1"/>
        <v>1566.34</v>
      </c>
      <c r="Z7" s="35">
        <f t="shared" si="1"/>
        <v>1595.1399999999999</v>
      </c>
      <c r="AA7" s="35">
        <f t="shared" si="1"/>
        <v>1711.3400000000001</v>
      </c>
      <c r="AB7" s="35">
        <f t="shared" si="1"/>
        <v>1814.3399999999997</v>
      </c>
      <c r="AC7" s="35">
        <f t="shared" si="1"/>
        <v>1760.2399999999998</v>
      </c>
      <c r="AD7" s="35">
        <f t="shared" si="1"/>
        <v>1778.1399999999999</v>
      </c>
      <c r="AE7" s="35">
        <f t="shared" si="1"/>
        <v>1710.7399999999998</v>
      </c>
      <c r="AF7" s="35">
        <f t="shared" si="1"/>
        <v>1634.1399999999996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2472.84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1814.34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/>
      <c r="C11" s="46">
        <v>87</v>
      </c>
      <c r="D11" s="46">
        <v>87</v>
      </c>
      <c r="E11" s="46">
        <v>87</v>
      </c>
      <c r="F11" s="46">
        <v>87</v>
      </c>
      <c r="G11" s="46">
        <v>87</v>
      </c>
      <c r="H11" s="46">
        <v>87</v>
      </c>
      <c r="I11" s="46">
        <v>87</v>
      </c>
      <c r="J11" s="46">
        <v>87</v>
      </c>
      <c r="K11" s="46">
        <v>87</v>
      </c>
      <c r="L11" s="46">
        <v>87</v>
      </c>
      <c r="M11" s="46">
        <v>87</v>
      </c>
      <c r="N11" s="46">
        <v>87</v>
      </c>
      <c r="O11" s="46">
        <v>87.2</v>
      </c>
      <c r="P11" s="46">
        <v>87.2</v>
      </c>
      <c r="Q11" s="46">
        <v>51.6</v>
      </c>
      <c r="R11" s="46">
        <v>51.6</v>
      </c>
      <c r="S11" s="46">
        <v>60</v>
      </c>
      <c r="T11" s="46">
        <v>60</v>
      </c>
      <c r="U11" s="46">
        <v>60</v>
      </c>
      <c r="V11" s="46">
        <v>60</v>
      </c>
      <c r="W11" s="46">
        <v>60</v>
      </c>
      <c r="X11" s="46">
        <v>90</v>
      </c>
      <c r="Y11" s="46">
        <v>90</v>
      </c>
      <c r="Z11" s="46">
        <v>90</v>
      </c>
      <c r="AA11" s="46">
        <v>90</v>
      </c>
      <c r="AB11" s="46">
        <v>90</v>
      </c>
      <c r="AC11" s="46">
        <v>90</v>
      </c>
      <c r="AD11" s="46">
        <v>90</v>
      </c>
      <c r="AE11" s="46">
        <v>90</v>
      </c>
      <c r="AF11" s="46">
        <v>90</v>
      </c>
      <c r="AG11" s="47">
        <v>86</v>
      </c>
      <c r="AH11" s="48">
        <f t="shared" ref="AH11:AH74" si="2">MAX(B11:AF11)</f>
        <v>90</v>
      </c>
      <c r="AI11" s="49">
        <f t="shared" ref="AI11:AI74" si="3">MIN(B11:AF11)</f>
        <v>51.6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/>
      <c r="C12" s="46">
        <v>83</v>
      </c>
      <c r="D12" s="46">
        <v>83</v>
      </c>
      <c r="E12" s="46">
        <v>83</v>
      </c>
      <c r="F12" s="46">
        <v>83</v>
      </c>
      <c r="G12" s="46">
        <v>83</v>
      </c>
      <c r="H12" s="46">
        <v>83</v>
      </c>
      <c r="I12" s="46">
        <v>83</v>
      </c>
      <c r="J12" s="46">
        <v>83</v>
      </c>
      <c r="K12" s="46">
        <v>83</v>
      </c>
      <c r="L12" s="46">
        <v>83</v>
      </c>
      <c r="M12" s="46">
        <v>83</v>
      </c>
      <c r="N12" s="46">
        <v>83</v>
      </c>
      <c r="O12" s="46">
        <v>83</v>
      </c>
      <c r="P12" s="46">
        <v>83</v>
      </c>
      <c r="Q12" s="46">
        <v>83</v>
      </c>
      <c r="R12" s="46">
        <v>83</v>
      </c>
      <c r="S12" s="46">
        <v>83</v>
      </c>
      <c r="T12" s="46">
        <v>83</v>
      </c>
      <c r="U12" s="46">
        <v>83</v>
      </c>
      <c r="V12" s="46">
        <v>83</v>
      </c>
      <c r="W12" s="46">
        <v>83</v>
      </c>
      <c r="X12" s="46">
        <v>83</v>
      </c>
      <c r="Y12" s="46">
        <v>83</v>
      </c>
      <c r="Z12" s="46">
        <v>83</v>
      </c>
      <c r="AA12" s="46">
        <v>83</v>
      </c>
      <c r="AB12" s="46">
        <v>83</v>
      </c>
      <c r="AC12" s="46">
        <v>83</v>
      </c>
      <c r="AD12" s="46">
        <v>83</v>
      </c>
      <c r="AE12" s="46">
        <v>83</v>
      </c>
      <c r="AF12" s="46">
        <v>83</v>
      </c>
      <c r="AG12" s="50">
        <v>77</v>
      </c>
      <c r="AH12" s="48">
        <f t="shared" si="2"/>
        <v>83</v>
      </c>
      <c r="AI12" s="49">
        <f t="shared" si="3"/>
        <v>83</v>
      </c>
      <c r="AK12" s="51"/>
      <c r="AL12" s="52" t="str">
        <f ca="1">MID(CELL("filename",C7),FIND("]",CELL("filename",C7))+1,600)</f>
        <v>31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/>
      <c r="C13" s="46">
        <v>71</v>
      </c>
      <c r="D13" s="46">
        <v>20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15</v>
      </c>
      <c r="AC13" s="46">
        <v>15</v>
      </c>
      <c r="AD13" s="46">
        <v>15</v>
      </c>
      <c r="AE13" s="46">
        <v>15</v>
      </c>
      <c r="AF13" s="46">
        <v>15</v>
      </c>
      <c r="AG13" s="50">
        <v>73</v>
      </c>
      <c r="AH13" s="48">
        <f t="shared" si="2"/>
        <v>71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2080/10/31)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/>
      <c r="C14" s="46">
        <v>33.1</v>
      </c>
      <c r="D14" s="46">
        <v>33.1</v>
      </c>
      <c r="E14" s="46">
        <v>0</v>
      </c>
      <c r="F14" s="46">
        <v>0</v>
      </c>
      <c r="G14" s="46">
        <v>0</v>
      </c>
      <c r="H14" s="46">
        <v>0</v>
      </c>
      <c r="I14" s="46">
        <v>14.7</v>
      </c>
      <c r="J14" s="46">
        <v>14.7</v>
      </c>
      <c r="K14" s="46">
        <v>14.7</v>
      </c>
      <c r="L14" s="46">
        <v>14.7</v>
      </c>
      <c r="M14" s="46">
        <v>14.7</v>
      </c>
      <c r="N14" s="46">
        <v>14.7</v>
      </c>
      <c r="O14" s="46">
        <v>21</v>
      </c>
      <c r="P14" s="46">
        <v>21</v>
      </c>
      <c r="Q14" s="46">
        <v>21</v>
      </c>
      <c r="R14" s="46">
        <v>21</v>
      </c>
      <c r="S14" s="46">
        <v>21</v>
      </c>
      <c r="T14" s="46">
        <v>21</v>
      </c>
      <c r="U14" s="46">
        <v>21</v>
      </c>
      <c r="V14" s="46">
        <v>21</v>
      </c>
      <c r="W14" s="46">
        <v>21</v>
      </c>
      <c r="X14" s="46">
        <v>21</v>
      </c>
      <c r="Y14" s="46">
        <v>15.3</v>
      </c>
      <c r="Z14" s="46">
        <v>15.3</v>
      </c>
      <c r="AA14" s="46">
        <v>15.3</v>
      </c>
      <c r="AB14" s="46">
        <v>15.3</v>
      </c>
      <c r="AC14" s="46">
        <v>15.3</v>
      </c>
      <c r="AD14" s="46">
        <v>15.3</v>
      </c>
      <c r="AE14" s="46">
        <v>15.3</v>
      </c>
      <c r="AF14" s="46">
        <v>15.3</v>
      </c>
      <c r="AG14" s="50">
        <v>71</v>
      </c>
      <c r="AH14" s="48">
        <f t="shared" si="2"/>
        <v>33.1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/>
      <c r="C15" s="46">
        <v>54.8</v>
      </c>
      <c r="D15" s="46">
        <v>54.8</v>
      </c>
      <c r="E15" s="46">
        <v>54.8</v>
      </c>
      <c r="F15" s="46">
        <v>54.8</v>
      </c>
      <c r="G15" s="46">
        <v>54.8</v>
      </c>
      <c r="H15" s="46">
        <v>54.8</v>
      </c>
      <c r="I15" s="46">
        <v>47</v>
      </c>
      <c r="J15" s="46">
        <v>43</v>
      </c>
      <c r="K15" s="46">
        <v>43</v>
      </c>
      <c r="L15" s="46">
        <v>43</v>
      </c>
      <c r="M15" s="46">
        <v>43</v>
      </c>
      <c r="N15" s="46">
        <v>43</v>
      </c>
      <c r="O15" s="46">
        <v>43</v>
      </c>
      <c r="P15" s="46">
        <v>43</v>
      </c>
      <c r="Q15" s="46">
        <v>43</v>
      </c>
      <c r="R15" s="46">
        <v>43</v>
      </c>
      <c r="S15" s="46">
        <v>56.3</v>
      </c>
      <c r="T15" s="46">
        <v>56.3</v>
      </c>
      <c r="U15" s="46">
        <v>56.3</v>
      </c>
      <c r="V15" s="46">
        <v>56.3</v>
      </c>
      <c r="W15" s="46">
        <v>56.3</v>
      </c>
      <c r="X15" s="46">
        <v>56.3</v>
      </c>
      <c r="Y15" s="46">
        <v>56.3</v>
      </c>
      <c r="Z15" s="46">
        <v>56.3</v>
      </c>
      <c r="AA15" s="46">
        <v>56.3</v>
      </c>
      <c r="AB15" s="46">
        <v>56.3</v>
      </c>
      <c r="AC15" s="46">
        <v>56.3</v>
      </c>
      <c r="AD15" s="46">
        <v>56.3</v>
      </c>
      <c r="AE15" s="46">
        <v>56.3</v>
      </c>
      <c r="AF15" s="46">
        <v>56.3</v>
      </c>
      <c r="AG15" s="50">
        <v>54</v>
      </c>
      <c r="AH15" s="48">
        <f t="shared" si="2"/>
        <v>56.3</v>
      </c>
      <c r="AI15" s="49">
        <f t="shared" si="3"/>
        <v>43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/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50">
        <v>54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B61</f>
        <v>300</v>
      </c>
      <c r="AN16" s="59">
        <f t="shared" si="4"/>
        <v>1377.8999999999999</v>
      </c>
      <c r="AO16" s="59">
        <f t="shared" si="4"/>
        <v>1363.4999999999998</v>
      </c>
      <c r="AP16" s="59">
        <f t="shared" si="4"/>
        <v>1264.9999999999998</v>
      </c>
      <c r="AQ16" s="59">
        <f t="shared" si="4"/>
        <v>1290.0999999999999</v>
      </c>
      <c r="AR16" s="59">
        <f t="shared" si="4"/>
        <v>1279.0999999999999</v>
      </c>
      <c r="AS16" s="59">
        <f>I61</f>
        <v>1286.9999999999998</v>
      </c>
      <c r="AT16" s="59">
        <f>K61</f>
        <v>1306.9999999999998</v>
      </c>
      <c r="AU16" s="59">
        <f t="shared" ref="AU16:BD16" si="5">M61</f>
        <v>1306.9999999999998</v>
      </c>
      <c r="AV16" s="59">
        <f t="shared" si="5"/>
        <v>1306.9999999999998</v>
      </c>
      <c r="AW16" s="59">
        <f t="shared" si="5"/>
        <v>1313.4999999999998</v>
      </c>
      <c r="AX16" s="59">
        <f t="shared" si="5"/>
        <v>1313.4999999999998</v>
      </c>
      <c r="AY16" s="59">
        <f t="shared" si="5"/>
        <v>1277.8999999999996</v>
      </c>
      <c r="AZ16" s="59">
        <f t="shared" si="5"/>
        <v>1277.8999999999996</v>
      </c>
      <c r="BA16" s="59">
        <f t="shared" si="5"/>
        <v>1266</v>
      </c>
      <c r="BB16" s="59">
        <f t="shared" si="5"/>
        <v>1284</v>
      </c>
      <c r="BC16" s="59">
        <f t="shared" si="5"/>
        <v>1296.5</v>
      </c>
      <c r="BD16" s="59">
        <f t="shared" si="5"/>
        <v>1296.5</v>
      </c>
      <c r="BE16" s="60">
        <f>X61</f>
        <v>1307.4999999999998</v>
      </c>
      <c r="BF16" s="60">
        <f>Z61</f>
        <v>1313.7999999999997</v>
      </c>
      <c r="BG16" s="60">
        <f>AB61</f>
        <v>1366.3</v>
      </c>
      <c r="BH16" s="60">
        <f>AD61</f>
        <v>1366.3</v>
      </c>
      <c r="BI16" s="60">
        <f>AE61</f>
        <v>1366.3</v>
      </c>
      <c r="BJ16" s="60">
        <f>AF61</f>
        <v>1341.2999999999997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/>
      <c r="C17" s="46">
        <v>55.5</v>
      </c>
      <c r="D17" s="46">
        <v>51</v>
      </c>
      <c r="E17" s="46">
        <v>56</v>
      </c>
      <c r="F17" s="46">
        <v>56</v>
      </c>
      <c r="G17" s="46">
        <v>56</v>
      </c>
      <c r="H17" s="46">
        <v>56</v>
      </c>
      <c r="I17" s="46">
        <v>56</v>
      </c>
      <c r="J17" s="46">
        <v>56</v>
      </c>
      <c r="K17" s="46">
        <v>56</v>
      </c>
      <c r="L17" s="46">
        <v>56</v>
      </c>
      <c r="M17" s="46">
        <v>56</v>
      </c>
      <c r="N17" s="46">
        <v>56</v>
      </c>
      <c r="O17" s="46">
        <v>56</v>
      </c>
      <c r="P17" s="46">
        <v>56</v>
      </c>
      <c r="Q17" s="46">
        <v>56</v>
      </c>
      <c r="R17" s="46">
        <v>56</v>
      </c>
      <c r="S17" s="46">
        <v>56</v>
      </c>
      <c r="T17" s="46">
        <v>56</v>
      </c>
      <c r="U17" s="46">
        <v>56</v>
      </c>
      <c r="V17" s="46">
        <v>56</v>
      </c>
      <c r="W17" s="46">
        <v>56</v>
      </c>
      <c r="X17" s="46">
        <v>56</v>
      </c>
      <c r="Y17" s="46">
        <v>56</v>
      </c>
      <c r="Z17" s="46">
        <v>56</v>
      </c>
      <c r="AA17" s="46">
        <v>56</v>
      </c>
      <c r="AB17" s="46">
        <v>56</v>
      </c>
      <c r="AC17" s="46">
        <v>56</v>
      </c>
      <c r="AD17" s="46">
        <v>56</v>
      </c>
      <c r="AE17" s="46">
        <v>56</v>
      </c>
      <c r="AF17" s="46">
        <v>56</v>
      </c>
      <c r="AG17" s="47">
        <v>52.4</v>
      </c>
      <c r="AH17" s="48">
        <f t="shared" si="2"/>
        <v>56</v>
      </c>
      <c r="AI17" s="49">
        <f t="shared" si="3"/>
        <v>51</v>
      </c>
      <c r="AK17" s="51"/>
      <c r="AL17" s="54" t="s">
        <v>27</v>
      </c>
      <c r="AM17" s="59">
        <f t="shared" ref="AM17:AR17" si="6">B65</f>
        <v>0</v>
      </c>
      <c r="AN17" s="59">
        <f t="shared" si="6"/>
        <v>538.4</v>
      </c>
      <c r="AO17" s="59">
        <f t="shared" si="6"/>
        <v>538.4</v>
      </c>
      <c r="AP17" s="59">
        <f t="shared" si="6"/>
        <v>538.4</v>
      </c>
      <c r="AQ17" s="59">
        <f t="shared" si="6"/>
        <v>538.4</v>
      </c>
      <c r="AR17" s="59">
        <f t="shared" si="6"/>
        <v>538.4</v>
      </c>
      <c r="AS17" s="59">
        <f>I65</f>
        <v>538.4</v>
      </c>
      <c r="AT17" s="59">
        <f>K65</f>
        <v>538.4</v>
      </c>
      <c r="AU17" s="59">
        <f t="shared" ref="AU17:BD17" si="7">M65</f>
        <v>538.4</v>
      </c>
      <c r="AV17" s="59">
        <f t="shared" si="7"/>
        <v>538.4</v>
      </c>
      <c r="AW17" s="59">
        <f t="shared" si="7"/>
        <v>538.4</v>
      </c>
      <c r="AX17" s="59">
        <f t="shared" si="7"/>
        <v>538.4</v>
      </c>
      <c r="AY17" s="59">
        <f t="shared" si="7"/>
        <v>538.4</v>
      </c>
      <c r="AZ17" s="59">
        <f t="shared" si="7"/>
        <v>538.4</v>
      </c>
      <c r="BA17" s="59">
        <f t="shared" si="7"/>
        <v>516</v>
      </c>
      <c r="BB17" s="59">
        <f t="shared" si="7"/>
        <v>516</v>
      </c>
      <c r="BC17" s="59">
        <f t="shared" si="7"/>
        <v>516</v>
      </c>
      <c r="BD17" s="59">
        <f t="shared" si="7"/>
        <v>516</v>
      </c>
      <c r="BE17" s="60">
        <f>X65</f>
        <v>516</v>
      </c>
      <c r="BF17" s="60">
        <f>Z65</f>
        <v>538.4</v>
      </c>
      <c r="BG17" s="60">
        <f>AB65</f>
        <v>538.4</v>
      </c>
      <c r="BH17" s="60">
        <f>AD65</f>
        <v>540</v>
      </c>
      <c r="BI17" s="60">
        <f>AE65</f>
        <v>540</v>
      </c>
      <c r="BJ17" s="60">
        <f>AF65</f>
        <v>540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/>
      <c r="C18" s="46">
        <v>50.4</v>
      </c>
      <c r="D18" s="46">
        <v>50.4</v>
      </c>
      <c r="E18" s="46">
        <v>0</v>
      </c>
      <c r="F18" s="46">
        <v>50.1</v>
      </c>
      <c r="G18" s="46">
        <v>50.1</v>
      </c>
      <c r="H18" s="46">
        <v>50.1</v>
      </c>
      <c r="I18" s="46">
        <v>50.1</v>
      </c>
      <c r="J18" s="46">
        <v>50.1</v>
      </c>
      <c r="K18" s="46">
        <v>50.1</v>
      </c>
      <c r="L18" s="46">
        <v>50.1</v>
      </c>
      <c r="M18" s="46">
        <v>50.1</v>
      </c>
      <c r="N18" s="46">
        <v>50.1</v>
      </c>
      <c r="O18" s="46">
        <v>50.1</v>
      </c>
      <c r="P18" s="46">
        <v>50.1</v>
      </c>
      <c r="Q18" s="46">
        <v>50.1</v>
      </c>
      <c r="R18" s="46">
        <v>50.1</v>
      </c>
      <c r="S18" s="46">
        <v>50.1</v>
      </c>
      <c r="T18" s="46">
        <v>50.1</v>
      </c>
      <c r="U18" s="46">
        <v>50.1</v>
      </c>
      <c r="V18" s="46">
        <v>50.1</v>
      </c>
      <c r="W18" s="46">
        <v>50.1</v>
      </c>
      <c r="X18" s="46">
        <v>50.1</v>
      </c>
      <c r="Y18" s="46">
        <v>50.1</v>
      </c>
      <c r="Z18" s="46">
        <v>50.1</v>
      </c>
      <c r="AA18" s="46">
        <v>50.1</v>
      </c>
      <c r="AB18" s="46">
        <v>50.1</v>
      </c>
      <c r="AC18" s="46">
        <v>50.1</v>
      </c>
      <c r="AD18" s="46">
        <v>50.1</v>
      </c>
      <c r="AE18" s="46">
        <v>50.1</v>
      </c>
      <c r="AF18" s="46">
        <v>50.1</v>
      </c>
      <c r="AG18" s="50">
        <v>50</v>
      </c>
      <c r="AH18" s="48">
        <f t="shared" si="2"/>
        <v>50.4</v>
      </c>
      <c r="AI18" s="49">
        <f t="shared" si="3"/>
        <v>0</v>
      </c>
      <c r="AK18" s="51"/>
      <c r="AL18" s="54" t="s">
        <v>29</v>
      </c>
      <c r="AM18" s="59">
        <f t="shared" ref="AM18:AR18" si="8">B79</f>
        <v>3.54</v>
      </c>
      <c r="AN18" s="59">
        <f t="shared" si="8"/>
        <v>414.64000000000004</v>
      </c>
      <c r="AO18" s="59">
        <f t="shared" si="8"/>
        <v>353.44000000000005</v>
      </c>
      <c r="AP18" s="59">
        <f t="shared" si="8"/>
        <v>343.44000000000005</v>
      </c>
      <c r="AQ18" s="59">
        <f t="shared" si="8"/>
        <v>315.94000000000005</v>
      </c>
      <c r="AR18" s="59">
        <f t="shared" si="8"/>
        <v>315.94000000000005</v>
      </c>
      <c r="AS18" s="59">
        <f>I79</f>
        <v>303.84000000000009</v>
      </c>
      <c r="AT18" s="59">
        <f>K79</f>
        <v>308.54000000000002</v>
      </c>
      <c r="AU18" s="59">
        <f t="shared" ref="AU18:BD18" si="9">M79</f>
        <v>378.54</v>
      </c>
      <c r="AV18" s="59">
        <f t="shared" si="9"/>
        <v>378.54</v>
      </c>
      <c r="AW18" s="59">
        <f t="shared" si="9"/>
        <v>407.94000000000005</v>
      </c>
      <c r="AX18" s="59">
        <f t="shared" si="9"/>
        <v>407.94000000000005</v>
      </c>
      <c r="AY18" s="59">
        <f t="shared" si="9"/>
        <v>411.54000000000008</v>
      </c>
      <c r="AZ18" s="59">
        <f t="shared" si="9"/>
        <v>411.54000000000008</v>
      </c>
      <c r="BA18" s="59">
        <f t="shared" si="9"/>
        <v>418.98</v>
      </c>
      <c r="BB18" s="59">
        <f t="shared" si="9"/>
        <v>415.25000000000006</v>
      </c>
      <c r="BC18" s="59">
        <f t="shared" si="9"/>
        <v>413.67</v>
      </c>
      <c r="BD18" s="59">
        <f t="shared" si="9"/>
        <v>410.07000000000005</v>
      </c>
      <c r="BE18" s="60">
        <f>X79</f>
        <v>406.94</v>
      </c>
      <c r="BF18" s="60">
        <f>Z79</f>
        <v>410.74</v>
      </c>
      <c r="BG18" s="60">
        <f>AB79</f>
        <v>279.94</v>
      </c>
      <c r="BH18" s="60">
        <f>AD79</f>
        <v>413.44000000000005</v>
      </c>
      <c r="BI18" s="60">
        <f>AE79</f>
        <v>413.44000000000005</v>
      </c>
      <c r="BJ18" s="60">
        <f>AF79</f>
        <v>353.04000000000008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/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/>
      <c r="C20" s="46">
        <v>32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>
        <v>44</v>
      </c>
      <c r="O20" s="46">
        <v>44</v>
      </c>
      <c r="P20" s="46">
        <v>44</v>
      </c>
      <c r="Q20" s="46">
        <v>44</v>
      </c>
      <c r="R20" s="46">
        <v>44</v>
      </c>
      <c r="S20" s="46">
        <v>44</v>
      </c>
      <c r="T20" s="46">
        <v>44</v>
      </c>
      <c r="U20" s="46">
        <v>44</v>
      </c>
      <c r="V20" s="46">
        <v>44</v>
      </c>
      <c r="W20" s="46">
        <v>44</v>
      </c>
      <c r="X20" s="46">
        <v>44</v>
      </c>
      <c r="Y20" s="46">
        <v>44</v>
      </c>
      <c r="Z20" s="46">
        <v>44</v>
      </c>
      <c r="AA20" s="46">
        <v>44</v>
      </c>
      <c r="AB20" s="46">
        <v>44</v>
      </c>
      <c r="AC20" s="46">
        <v>44</v>
      </c>
      <c r="AD20" s="46">
        <v>44</v>
      </c>
      <c r="AE20" s="46">
        <v>44</v>
      </c>
      <c r="AF20" s="46">
        <v>44</v>
      </c>
      <c r="AG20" s="50">
        <v>44</v>
      </c>
      <c r="AH20" s="48">
        <f t="shared" si="2"/>
        <v>44</v>
      </c>
      <c r="AI20" s="49">
        <f t="shared" si="3"/>
        <v>32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39</v>
      </c>
      <c r="AO20" s="59">
        <f t="shared" si="12"/>
        <v>39</v>
      </c>
      <c r="AP20" s="59">
        <f t="shared" si="12"/>
        <v>49.699999999999996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98.5</v>
      </c>
      <c r="AV20" s="59">
        <f t="shared" si="13"/>
        <v>98.5</v>
      </c>
      <c r="AW20" s="59">
        <f t="shared" si="13"/>
        <v>98.5</v>
      </c>
      <c r="AX20" s="59">
        <f t="shared" si="13"/>
        <v>98.5</v>
      </c>
      <c r="AY20" s="59">
        <f t="shared" si="13"/>
        <v>98.9</v>
      </c>
      <c r="AZ20" s="59">
        <f t="shared" si="13"/>
        <v>98.9</v>
      </c>
      <c r="BA20" s="59">
        <f t="shared" si="13"/>
        <v>98.9</v>
      </c>
      <c r="BB20" s="59">
        <f t="shared" si="13"/>
        <v>98.9</v>
      </c>
      <c r="BC20" s="59">
        <f t="shared" si="13"/>
        <v>98.9</v>
      </c>
      <c r="BD20" s="59">
        <f t="shared" si="13"/>
        <v>0</v>
      </c>
      <c r="BE20" s="60">
        <f>X83</f>
        <v>0</v>
      </c>
      <c r="BF20" s="60">
        <f>Z83</f>
        <v>19.099999999999998</v>
      </c>
      <c r="BG20" s="60">
        <f>AB83</f>
        <v>88.2</v>
      </c>
      <c r="BH20" s="60">
        <f>AD83</f>
        <v>98.300000000000011</v>
      </c>
      <c r="BI20" s="60">
        <f>AE83</f>
        <v>31</v>
      </c>
      <c r="BJ20" s="60">
        <f>AF83</f>
        <v>34.5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/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50</v>
      </c>
      <c r="BG21" s="60">
        <f>AB101</f>
        <v>200</v>
      </c>
      <c r="BH21" s="60">
        <f>AD101</f>
        <v>50</v>
      </c>
      <c r="BI21" s="60">
        <f>AE101</f>
        <v>50</v>
      </c>
      <c r="BJ21" s="60">
        <f>AF101</f>
        <v>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/>
      <c r="C22" s="46">
        <v>27.9</v>
      </c>
      <c r="D22" s="46">
        <v>27.9</v>
      </c>
      <c r="E22" s="46">
        <v>27.9</v>
      </c>
      <c r="F22" s="46">
        <v>27.9</v>
      </c>
      <c r="G22" s="46">
        <v>27.9</v>
      </c>
      <c r="H22" s="46">
        <v>27.9</v>
      </c>
      <c r="I22" s="46">
        <v>27.9</v>
      </c>
      <c r="J22" s="46">
        <v>27.9</v>
      </c>
      <c r="K22" s="46">
        <v>27.9</v>
      </c>
      <c r="L22" s="46">
        <v>27.9</v>
      </c>
      <c r="M22" s="46">
        <v>27.9</v>
      </c>
      <c r="N22" s="46">
        <v>27.9</v>
      </c>
      <c r="O22" s="46">
        <v>27.9</v>
      </c>
      <c r="P22" s="46">
        <v>27.9</v>
      </c>
      <c r="Q22" s="46">
        <v>27.9</v>
      </c>
      <c r="R22" s="46">
        <v>27.9</v>
      </c>
      <c r="S22" s="46">
        <v>27.9</v>
      </c>
      <c r="T22" s="46">
        <v>27.9</v>
      </c>
      <c r="U22" s="46">
        <v>27.9</v>
      </c>
      <c r="V22" s="46">
        <v>27.9</v>
      </c>
      <c r="W22" s="46">
        <v>27.9</v>
      </c>
      <c r="X22" s="46">
        <v>27.9</v>
      </c>
      <c r="Y22" s="46">
        <v>27.9</v>
      </c>
      <c r="Z22" s="46">
        <v>27.9</v>
      </c>
      <c r="AA22" s="46">
        <v>27.9</v>
      </c>
      <c r="AB22" s="46">
        <v>27.9</v>
      </c>
      <c r="AC22" s="46">
        <v>27.9</v>
      </c>
      <c r="AD22" s="46">
        <v>27.9</v>
      </c>
      <c r="AE22" s="46">
        <v>27.9</v>
      </c>
      <c r="AF22" s="46">
        <v>27.9</v>
      </c>
      <c r="AG22" s="50">
        <v>38.46</v>
      </c>
      <c r="AH22" s="48">
        <f t="shared" si="2"/>
        <v>27.9</v>
      </c>
      <c r="AI22" s="49">
        <f t="shared" si="3"/>
        <v>27.9</v>
      </c>
      <c r="AK22" s="51"/>
      <c r="AL22" s="62" t="s">
        <v>37</v>
      </c>
      <c r="AM22" s="63">
        <f t="shared" ref="AM22:BJ22" si="16">SUM(AM16:AM21)</f>
        <v>303.54000000000002</v>
      </c>
      <c r="AN22" s="63">
        <f t="shared" si="16"/>
        <v>2369.9399999999996</v>
      </c>
      <c r="AO22" s="63">
        <f t="shared" si="16"/>
        <v>2294.3399999999997</v>
      </c>
      <c r="AP22" s="63">
        <f t="shared" si="16"/>
        <v>2196.5399999999995</v>
      </c>
      <c r="AQ22" s="63">
        <f t="shared" si="16"/>
        <v>2144.44</v>
      </c>
      <c r="AR22" s="63">
        <f t="shared" si="16"/>
        <v>2133.44</v>
      </c>
      <c r="AS22" s="63">
        <f t="shared" si="16"/>
        <v>2129.2399999999998</v>
      </c>
      <c r="AT22" s="63">
        <f t="shared" si="16"/>
        <v>2153.9399999999996</v>
      </c>
      <c r="AU22" s="63">
        <f t="shared" si="16"/>
        <v>2322.4399999999996</v>
      </c>
      <c r="AV22" s="63">
        <f t="shared" si="16"/>
        <v>2322.4399999999996</v>
      </c>
      <c r="AW22" s="63">
        <f t="shared" si="16"/>
        <v>2358.3399999999997</v>
      </c>
      <c r="AX22" s="63">
        <f t="shared" si="16"/>
        <v>2358.3399999999997</v>
      </c>
      <c r="AY22" s="63">
        <f t="shared" si="16"/>
        <v>2326.7399999999998</v>
      </c>
      <c r="AZ22" s="63">
        <f t="shared" si="16"/>
        <v>2326.7399999999998</v>
      </c>
      <c r="BA22" s="63">
        <f t="shared" si="16"/>
        <v>2299.88</v>
      </c>
      <c r="BB22" s="63">
        <f t="shared" si="16"/>
        <v>2314.15</v>
      </c>
      <c r="BC22" s="63">
        <f t="shared" si="16"/>
        <v>2325.0700000000002</v>
      </c>
      <c r="BD22" s="63">
        <f t="shared" si="16"/>
        <v>2222.5700000000002</v>
      </c>
      <c r="BE22" s="63">
        <f t="shared" si="16"/>
        <v>2230.4399999999996</v>
      </c>
      <c r="BF22" s="63">
        <f t="shared" si="16"/>
        <v>2332.0399999999995</v>
      </c>
      <c r="BG22" s="63">
        <f t="shared" si="16"/>
        <v>2472.8399999999997</v>
      </c>
      <c r="BH22" s="63">
        <f t="shared" si="16"/>
        <v>2468.04</v>
      </c>
      <c r="BI22" s="63">
        <f t="shared" si="16"/>
        <v>2400.7399999999998</v>
      </c>
      <c r="BJ22" s="63">
        <f t="shared" si="16"/>
        <v>2318.8399999999997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/>
      <c r="C23" s="46">
        <v>39.5</v>
      </c>
      <c r="D23" s="46">
        <v>39.5</v>
      </c>
      <c r="E23" s="46">
        <v>39.5</v>
      </c>
      <c r="F23" s="46">
        <v>39.5</v>
      </c>
      <c r="G23" s="46">
        <v>39.5</v>
      </c>
      <c r="H23" s="46">
        <v>39.5</v>
      </c>
      <c r="I23" s="46">
        <v>39.5</v>
      </c>
      <c r="J23" s="46">
        <v>41.5</v>
      </c>
      <c r="K23" s="46">
        <v>41.5</v>
      </c>
      <c r="L23" s="46">
        <v>41.5</v>
      </c>
      <c r="M23" s="46">
        <v>41.5</v>
      </c>
      <c r="N23" s="46">
        <v>41.5</v>
      </c>
      <c r="O23" s="46">
        <v>41.5</v>
      </c>
      <c r="P23" s="46">
        <v>41.5</v>
      </c>
      <c r="Q23" s="46">
        <v>41.5</v>
      </c>
      <c r="R23" s="46">
        <v>41.5</v>
      </c>
      <c r="S23" s="46">
        <v>41.5</v>
      </c>
      <c r="T23" s="46">
        <v>41.5</v>
      </c>
      <c r="U23" s="46">
        <v>41.5</v>
      </c>
      <c r="V23" s="46">
        <v>41.5</v>
      </c>
      <c r="W23" s="46">
        <v>41.5</v>
      </c>
      <c r="X23" s="46">
        <v>41.5</v>
      </c>
      <c r="Y23" s="46">
        <v>41.5</v>
      </c>
      <c r="Z23" s="46">
        <v>41.5</v>
      </c>
      <c r="AA23" s="46">
        <v>41.5</v>
      </c>
      <c r="AB23" s="46">
        <v>41.5</v>
      </c>
      <c r="AC23" s="46">
        <v>41.5</v>
      </c>
      <c r="AD23" s="46">
        <v>41.5</v>
      </c>
      <c r="AE23" s="46">
        <v>41.5</v>
      </c>
      <c r="AF23" s="46">
        <v>41.5</v>
      </c>
      <c r="AG23" s="50">
        <v>38.46</v>
      </c>
      <c r="AH23" s="48">
        <f t="shared" si="2"/>
        <v>41.5</v>
      </c>
      <c r="AI23" s="49">
        <f t="shared" si="3"/>
        <v>39.5</v>
      </c>
      <c r="AK23" s="51"/>
      <c r="AL23" s="62" t="s">
        <v>39</v>
      </c>
      <c r="AM23" s="63">
        <f t="shared" ref="AM23:AR23" si="17">B110*-1</f>
        <v>0</v>
      </c>
      <c r="AN23" s="63">
        <f t="shared" si="17"/>
        <v>-712</v>
      </c>
      <c r="AO23" s="63">
        <f t="shared" si="17"/>
        <v>-712</v>
      </c>
      <c r="AP23" s="63">
        <f t="shared" si="17"/>
        <v>-647</v>
      </c>
      <c r="AQ23" s="63">
        <f t="shared" si="17"/>
        <v>-627</v>
      </c>
      <c r="AR23" s="63">
        <f t="shared" si="17"/>
        <v>-656.2</v>
      </c>
      <c r="AS23" s="63">
        <f>I110*-1</f>
        <v>-675.5</v>
      </c>
      <c r="AT23" s="63">
        <f>K110*-1</f>
        <v>-633</v>
      </c>
      <c r="AU23" s="63">
        <f t="shared" ref="AU23:BD23" si="18">M110*-1</f>
        <v>-661</v>
      </c>
      <c r="AV23" s="63">
        <f t="shared" si="18"/>
        <v>-661.5</v>
      </c>
      <c r="AW23" s="63">
        <f t="shared" si="18"/>
        <v>-722</v>
      </c>
      <c r="AX23" s="63">
        <f t="shared" si="18"/>
        <v>-557</v>
      </c>
      <c r="AY23" s="63">
        <f t="shared" si="18"/>
        <v>-618.40000000000009</v>
      </c>
      <c r="AZ23" s="63">
        <f t="shared" si="18"/>
        <v>-610</v>
      </c>
      <c r="BA23" s="63">
        <f t="shared" si="18"/>
        <v>-593</v>
      </c>
      <c r="BB23" s="63">
        <f t="shared" si="18"/>
        <v>-677</v>
      </c>
      <c r="BC23" s="63">
        <f t="shared" si="18"/>
        <v>-686</v>
      </c>
      <c r="BD23" s="63">
        <f t="shared" si="18"/>
        <v>-716.6</v>
      </c>
      <c r="BE23" s="63">
        <f>X110*-1</f>
        <v>-727.6</v>
      </c>
      <c r="BF23" s="63">
        <f>Z110*-1</f>
        <v>-736.9</v>
      </c>
      <c r="BG23" s="63">
        <f>AB110*-1</f>
        <v>-658.5</v>
      </c>
      <c r="BH23" s="63">
        <f>AD110*-1</f>
        <v>-689.9</v>
      </c>
      <c r="BI23" s="63">
        <f>AE110*-1</f>
        <v>-690</v>
      </c>
      <c r="BJ23" s="63">
        <f>AF110*-1</f>
        <v>-684.7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/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303.54000000000002</v>
      </c>
      <c r="AN24" s="63">
        <f t="shared" si="19"/>
        <v>1657.9399999999996</v>
      </c>
      <c r="AO24" s="63">
        <f t="shared" si="19"/>
        <v>1582.3399999999997</v>
      </c>
      <c r="AP24" s="63">
        <f t="shared" si="19"/>
        <v>1549.5399999999995</v>
      </c>
      <c r="AQ24" s="63">
        <f t="shared" si="19"/>
        <v>1517.44</v>
      </c>
      <c r="AR24" s="63">
        <f t="shared" si="19"/>
        <v>1477.24</v>
      </c>
      <c r="AS24" s="63">
        <f t="shared" si="19"/>
        <v>1453.7399999999998</v>
      </c>
      <c r="AT24" s="63">
        <f t="shared" si="19"/>
        <v>1520.9399999999996</v>
      </c>
      <c r="AU24" s="63">
        <f t="shared" si="19"/>
        <v>1661.4399999999996</v>
      </c>
      <c r="AV24" s="63">
        <f t="shared" si="19"/>
        <v>1660.9399999999996</v>
      </c>
      <c r="AW24" s="63">
        <f t="shared" si="19"/>
        <v>1636.3399999999997</v>
      </c>
      <c r="AX24" s="63">
        <f t="shared" si="19"/>
        <v>1801.3399999999997</v>
      </c>
      <c r="AY24" s="63">
        <f t="shared" si="19"/>
        <v>1708.3399999999997</v>
      </c>
      <c r="AZ24" s="63">
        <f t="shared" si="19"/>
        <v>1716.7399999999998</v>
      </c>
      <c r="BA24" s="63">
        <f t="shared" si="19"/>
        <v>1706.88</v>
      </c>
      <c r="BB24" s="63">
        <f t="shared" si="19"/>
        <v>1637.15</v>
      </c>
      <c r="BC24" s="63">
        <f t="shared" si="19"/>
        <v>1639.0700000000002</v>
      </c>
      <c r="BD24" s="63">
        <f t="shared" si="19"/>
        <v>1505.9700000000003</v>
      </c>
      <c r="BE24" s="63">
        <f t="shared" si="19"/>
        <v>1502.8399999999997</v>
      </c>
      <c r="BF24" s="63">
        <f t="shared" si="19"/>
        <v>1595.1399999999994</v>
      </c>
      <c r="BG24" s="63">
        <f t="shared" si="19"/>
        <v>1814.3399999999997</v>
      </c>
      <c r="BH24" s="63">
        <f t="shared" si="19"/>
        <v>1778.1399999999999</v>
      </c>
      <c r="BI24" s="63">
        <f t="shared" si="19"/>
        <v>1710.7399999999998</v>
      </c>
      <c r="BJ24" s="63">
        <f t="shared" si="19"/>
        <v>1634.1399999999996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/>
      <c r="C25" s="46">
        <v>30.2</v>
      </c>
      <c r="D25" s="46">
        <v>29.8</v>
      </c>
      <c r="E25" s="46">
        <v>29.8</v>
      </c>
      <c r="F25" s="46">
        <v>29.8</v>
      </c>
      <c r="G25" s="46">
        <v>29.8</v>
      </c>
      <c r="H25" s="46">
        <v>29.8</v>
      </c>
      <c r="I25" s="46">
        <v>29.8</v>
      </c>
      <c r="J25" s="46">
        <v>29.8</v>
      </c>
      <c r="K25" s="46">
        <v>29.8</v>
      </c>
      <c r="L25" s="46">
        <v>29.8</v>
      </c>
      <c r="M25" s="46">
        <v>29.8</v>
      </c>
      <c r="N25" s="46">
        <v>29.8</v>
      </c>
      <c r="O25" s="46">
        <v>29.8</v>
      </c>
      <c r="P25" s="46">
        <v>29.8</v>
      </c>
      <c r="Q25" s="46">
        <v>29.8</v>
      </c>
      <c r="R25" s="46">
        <v>29.8</v>
      </c>
      <c r="S25" s="46">
        <v>29.8</v>
      </c>
      <c r="T25" s="46">
        <v>29.8</v>
      </c>
      <c r="U25" s="46">
        <v>29.8</v>
      </c>
      <c r="V25" s="46">
        <v>29.8</v>
      </c>
      <c r="W25" s="46">
        <v>29.8</v>
      </c>
      <c r="X25" s="46">
        <v>29.8</v>
      </c>
      <c r="Y25" s="46">
        <v>29.8</v>
      </c>
      <c r="Z25" s="46">
        <v>29.8</v>
      </c>
      <c r="AA25" s="46">
        <v>29.8</v>
      </c>
      <c r="AB25" s="46">
        <v>29.8</v>
      </c>
      <c r="AC25" s="46">
        <v>29.8</v>
      </c>
      <c r="AD25" s="46">
        <v>29.8</v>
      </c>
      <c r="AE25" s="46">
        <v>29.8</v>
      </c>
      <c r="AF25" s="46">
        <v>29.8</v>
      </c>
      <c r="AG25" s="61">
        <v>30</v>
      </c>
      <c r="AH25" s="48">
        <f t="shared" si="2"/>
        <v>30.2</v>
      </c>
      <c r="AI25" s="49">
        <f t="shared" si="3"/>
        <v>29.8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/>
      <c r="C26" s="46">
        <v>33</v>
      </c>
      <c r="D26" s="46">
        <v>33</v>
      </c>
      <c r="E26" s="46">
        <v>33</v>
      </c>
      <c r="F26" s="46">
        <v>33</v>
      </c>
      <c r="G26" s="46">
        <v>33</v>
      </c>
      <c r="H26" s="46">
        <v>33</v>
      </c>
      <c r="I26" s="46">
        <v>33</v>
      </c>
      <c r="J26" s="46">
        <v>33</v>
      </c>
      <c r="K26" s="46">
        <v>33</v>
      </c>
      <c r="L26" s="46">
        <v>33</v>
      </c>
      <c r="M26" s="46">
        <v>33</v>
      </c>
      <c r="N26" s="46">
        <v>33</v>
      </c>
      <c r="O26" s="46">
        <v>33</v>
      </c>
      <c r="P26" s="46">
        <v>33</v>
      </c>
      <c r="Q26" s="46">
        <v>33</v>
      </c>
      <c r="R26" s="46">
        <v>33</v>
      </c>
      <c r="S26" s="46">
        <v>33</v>
      </c>
      <c r="T26" s="46">
        <v>33</v>
      </c>
      <c r="U26" s="46">
        <v>33</v>
      </c>
      <c r="V26" s="46">
        <v>33</v>
      </c>
      <c r="W26" s="46">
        <v>33</v>
      </c>
      <c r="X26" s="46">
        <v>33</v>
      </c>
      <c r="Y26" s="46">
        <v>33</v>
      </c>
      <c r="Z26" s="46">
        <v>33</v>
      </c>
      <c r="AA26" s="46">
        <v>33</v>
      </c>
      <c r="AB26" s="46">
        <v>33</v>
      </c>
      <c r="AC26" s="46">
        <v>33</v>
      </c>
      <c r="AD26" s="46">
        <v>33</v>
      </c>
      <c r="AE26" s="46">
        <v>33</v>
      </c>
      <c r="AF26" s="46">
        <v>33</v>
      </c>
      <c r="AG26" s="50">
        <v>24.2</v>
      </c>
      <c r="AH26" s="48">
        <f t="shared" si="2"/>
        <v>33</v>
      </c>
      <c r="AI26" s="49">
        <f t="shared" si="3"/>
        <v>33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/>
      <c r="C27" s="46">
        <v>27.3</v>
      </c>
      <c r="D27" s="46">
        <v>27.3</v>
      </c>
      <c r="E27" s="46">
        <v>27.3</v>
      </c>
      <c r="F27" s="46">
        <v>27.3</v>
      </c>
      <c r="G27" s="46">
        <v>27.3</v>
      </c>
      <c r="H27" s="46">
        <v>27.3</v>
      </c>
      <c r="I27" s="46">
        <v>27.3</v>
      </c>
      <c r="J27" s="46">
        <v>27.3</v>
      </c>
      <c r="K27" s="46">
        <v>27.3</v>
      </c>
      <c r="L27" s="46">
        <v>27.3</v>
      </c>
      <c r="M27" s="46">
        <v>27.3</v>
      </c>
      <c r="N27" s="46">
        <v>27.3</v>
      </c>
      <c r="O27" s="46">
        <v>27.3</v>
      </c>
      <c r="P27" s="46">
        <v>27.3</v>
      </c>
      <c r="Q27" s="46">
        <v>27.3</v>
      </c>
      <c r="R27" s="46">
        <v>27.3</v>
      </c>
      <c r="S27" s="46">
        <v>27.3</v>
      </c>
      <c r="T27" s="46">
        <v>27.3</v>
      </c>
      <c r="U27" s="46">
        <v>27.3</v>
      </c>
      <c r="V27" s="46">
        <v>27.3</v>
      </c>
      <c r="W27" s="46">
        <v>27.3</v>
      </c>
      <c r="X27" s="46">
        <v>27.3</v>
      </c>
      <c r="Y27" s="46">
        <v>27.3</v>
      </c>
      <c r="Z27" s="46">
        <v>27.3</v>
      </c>
      <c r="AA27" s="46">
        <v>27.3</v>
      </c>
      <c r="AB27" s="46">
        <v>27.3</v>
      </c>
      <c r="AC27" s="46">
        <v>27.3</v>
      </c>
      <c r="AD27" s="46">
        <v>27.3</v>
      </c>
      <c r="AE27" s="46">
        <v>27.3</v>
      </c>
      <c r="AF27" s="46">
        <v>27.3</v>
      </c>
      <c r="AG27" s="50">
        <v>28</v>
      </c>
      <c r="AH27" s="48">
        <f t="shared" si="2"/>
        <v>27.3</v>
      </c>
      <c r="AI27" s="49">
        <f t="shared" si="3"/>
        <v>27.3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/>
      <c r="C28" s="46">
        <v>0</v>
      </c>
      <c r="D28" s="46">
        <v>19</v>
      </c>
      <c r="E28" s="46">
        <v>19</v>
      </c>
      <c r="F28" s="46">
        <v>19</v>
      </c>
      <c r="G28" s="46">
        <v>19</v>
      </c>
      <c r="H28" s="46">
        <v>19</v>
      </c>
      <c r="I28" s="46">
        <v>19</v>
      </c>
      <c r="J28" s="46">
        <v>19</v>
      </c>
      <c r="K28" s="46">
        <v>19</v>
      </c>
      <c r="L28" s="46">
        <v>19</v>
      </c>
      <c r="M28" s="46">
        <v>19</v>
      </c>
      <c r="N28" s="46">
        <v>19</v>
      </c>
      <c r="O28" s="46">
        <v>19</v>
      </c>
      <c r="P28" s="46">
        <v>19</v>
      </c>
      <c r="Q28" s="46">
        <v>19</v>
      </c>
      <c r="R28" s="46">
        <v>19</v>
      </c>
      <c r="S28" s="46">
        <v>19</v>
      </c>
      <c r="T28" s="46">
        <v>19</v>
      </c>
      <c r="U28" s="46">
        <v>19</v>
      </c>
      <c r="V28" s="46">
        <v>19</v>
      </c>
      <c r="W28" s="46">
        <v>19</v>
      </c>
      <c r="X28" s="46">
        <v>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46">
        <v>0</v>
      </c>
      <c r="AE28" s="46">
        <v>0</v>
      </c>
      <c r="AF28" s="46">
        <v>0</v>
      </c>
      <c r="AG28" s="61">
        <v>30</v>
      </c>
      <c r="AH28" s="48">
        <f t="shared" si="2"/>
        <v>19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/>
      <c r="C29" s="46">
        <v>24.3</v>
      </c>
      <c r="D29" s="46">
        <v>24.3</v>
      </c>
      <c r="E29" s="46">
        <v>24.3</v>
      </c>
      <c r="F29" s="46">
        <v>24.3</v>
      </c>
      <c r="G29" s="46">
        <v>24.3</v>
      </c>
      <c r="H29" s="46">
        <v>24.3</v>
      </c>
      <c r="I29" s="46">
        <v>24.3</v>
      </c>
      <c r="J29" s="46">
        <v>24.3</v>
      </c>
      <c r="K29" s="46">
        <v>24.3</v>
      </c>
      <c r="L29" s="46">
        <v>24.3</v>
      </c>
      <c r="M29" s="46">
        <v>24.3</v>
      </c>
      <c r="N29" s="46">
        <v>24.3</v>
      </c>
      <c r="O29" s="46">
        <v>24.3</v>
      </c>
      <c r="P29" s="46">
        <v>24.3</v>
      </c>
      <c r="Q29" s="46">
        <v>24.3</v>
      </c>
      <c r="R29" s="46">
        <v>24.3</v>
      </c>
      <c r="S29" s="46">
        <v>0</v>
      </c>
      <c r="T29" s="46">
        <v>0</v>
      </c>
      <c r="U29" s="46">
        <v>12.5</v>
      </c>
      <c r="V29" s="46">
        <v>12.5</v>
      </c>
      <c r="W29" s="46">
        <v>12.5</v>
      </c>
      <c r="X29" s="46">
        <v>12.5</v>
      </c>
      <c r="Y29" s="46">
        <v>12.5</v>
      </c>
      <c r="Z29" s="46">
        <v>12.5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2"/>
        <v>25</v>
      </c>
      <c r="AI29" s="49">
        <f t="shared" si="3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/>
      <c r="C30" s="46">
        <v>25</v>
      </c>
      <c r="D30" s="46">
        <v>25</v>
      </c>
      <c r="E30" s="46">
        <v>25</v>
      </c>
      <c r="F30" s="46">
        <v>25</v>
      </c>
      <c r="G30" s="46">
        <v>25</v>
      </c>
      <c r="H30" s="46">
        <v>25</v>
      </c>
      <c r="I30" s="46">
        <v>25</v>
      </c>
      <c r="J30" s="46">
        <v>25</v>
      </c>
      <c r="K30" s="46">
        <v>25</v>
      </c>
      <c r="L30" s="46">
        <v>25</v>
      </c>
      <c r="M30" s="46">
        <v>25</v>
      </c>
      <c r="N30" s="46">
        <v>25</v>
      </c>
      <c r="O30" s="46">
        <v>25</v>
      </c>
      <c r="P30" s="46">
        <v>25</v>
      </c>
      <c r="Q30" s="46">
        <v>25</v>
      </c>
      <c r="R30" s="46">
        <v>25</v>
      </c>
      <c r="S30" s="46">
        <v>25</v>
      </c>
      <c r="T30" s="46">
        <v>25</v>
      </c>
      <c r="U30" s="46">
        <v>25</v>
      </c>
      <c r="V30" s="46">
        <v>25</v>
      </c>
      <c r="W30" s="46">
        <v>25</v>
      </c>
      <c r="X30" s="46">
        <v>25</v>
      </c>
      <c r="Y30" s="46">
        <v>25</v>
      </c>
      <c r="Z30" s="46">
        <v>25</v>
      </c>
      <c r="AA30" s="46">
        <v>25</v>
      </c>
      <c r="AB30" s="46">
        <v>25</v>
      </c>
      <c r="AC30" s="46">
        <v>25</v>
      </c>
      <c r="AD30" s="46">
        <v>25</v>
      </c>
      <c r="AE30" s="46">
        <v>25</v>
      </c>
      <c r="AF30" s="46">
        <v>0</v>
      </c>
      <c r="AG30" s="50">
        <v>25</v>
      </c>
      <c r="AH30" s="48">
        <f t="shared" si="2"/>
        <v>25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/>
      <c r="C31" s="46">
        <v>25</v>
      </c>
      <c r="D31" s="46">
        <v>25</v>
      </c>
      <c r="E31" s="46">
        <v>25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25</v>
      </c>
      <c r="AC31" s="46">
        <v>25</v>
      </c>
      <c r="AD31" s="46">
        <v>25</v>
      </c>
      <c r="AE31" s="46">
        <v>25</v>
      </c>
      <c r="AF31" s="46">
        <v>25</v>
      </c>
      <c r="AG31" s="50">
        <v>25</v>
      </c>
      <c r="AH31" s="48">
        <f t="shared" si="2"/>
        <v>25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/>
      <c r="C32" s="46">
        <v>25</v>
      </c>
      <c r="D32" s="46">
        <v>25</v>
      </c>
      <c r="E32" s="46">
        <v>25</v>
      </c>
      <c r="F32" s="46">
        <v>25</v>
      </c>
      <c r="G32" s="46">
        <v>25</v>
      </c>
      <c r="H32" s="46">
        <v>25</v>
      </c>
      <c r="I32" s="46">
        <v>25</v>
      </c>
      <c r="J32" s="46">
        <v>25</v>
      </c>
      <c r="K32" s="46">
        <v>25</v>
      </c>
      <c r="L32" s="46">
        <v>25</v>
      </c>
      <c r="M32" s="46">
        <v>25</v>
      </c>
      <c r="N32" s="46">
        <v>25</v>
      </c>
      <c r="O32" s="46">
        <v>25</v>
      </c>
      <c r="P32" s="46">
        <v>25</v>
      </c>
      <c r="Q32" s="46">
        <v>25</v>
      </c>
      <c r="R32" s="46">
        <v>25</v>
      </c>
      <c r="S32" s="46">
        <v>25</v>
      </c>
      <c r="T32" s="46">
        <v>25</v>
      </c>
      <c r="U32" s="46">
        <v>25</v>
      </c>
      <c r="V32" s="46">
        <v>25</v>
      </c>
      <c r="W32" s="46">
        <v>25</v>
      </c>
      <c r="X32" s="46">
        <v>25</v>
      </c>
      <c r="Y32" s="46">
        <v>25</v>
      </c>
      <c r="Z32" s="46">
        <v>25</v>
      </c>
      <c r="AA32" s="46">
        <v>25</v>
      </c>
      <c r="AB32" s="46">
        <v>25</v>
      </c>
      <c r="AC32" s="46">
        <v>25</v>
      </c>
      <c r="AD32" s="46">
        <v>25</v>
      </c>
      <c r="AE32" s="46">
        <v>25</v>
      </c>
      <c r="AF32" s="46">
        <v>25</v>
      </c>
      <c r="AG32" s="50">
        <v>25</v>
      </c>
      <c r="AH32" s="48">
        <f t="shared" si="2"/>
        <v>25</v>
      </c>
      <c r="AI32" s="49">
        <f t="shared" si="3"/>
        <v>25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/>
      <c r="C33" s="46">
        <v>24.3</v>
      </c>
      <c r="D33" s="46">
        <v>24.3</v>
      </c>
      <c r="E33" s="46">
        <v>24.3</v>
      </c>
      <c r="F33" s="46">
        <v>24.3</v>
      </c>
      <c r="G33" s="46">
        <v>24.3</v>
      </c>
      <c r="H33" s="46">
        <v>24.3</v>
      </c>
      <c r="I33" s="46">
        <v>24.3</v>
      </c>
      <c r="J33" s="46">
        <v>24.3</v>
      </c>
      <c r="K33" s="46">
        <v>24.3</v>
      </c>
      <c r="L33" s="46">
        <v>24.3</v>
      </c>
      <c r="M33" s="46">
        <v>24.3</v>
      </c>
      <c r="N33" s="46">
        <v>24.3</v>
      </c>
      <c r="O33" s="46">
        <v>24.3</v>
      </c>
      <c r="P33" s="46">
        <v>24.3</v>
      </c>
      <c r="Q33" s="46">
        <v>24.3</v>
      </c>
      <c r="R33" s="46">
        <v>24.3</v>
      </c>
      <c r="S33" s="46">
        <v>24.3</v>
      </c>
      <c r="T33" s="46">
        <v>24.3</v>
      </c>
      <c r="U33" s="46">
        <v>24.3</v>
      </c>
      <c r="V33" s="46">
        <v>24.3</v>
      </c>
      <c r="W33" s="46">
        <v>24.3</v>
      </c>
      <c r="X33" s="46">
        <v>24.3</v>
      </c>
      <c r="Y33" s="46">
        <v>24.3</v>
      </c>
      <c r="Z33" s="46">
        <v>24.3</v>
      </c>
      <c r="AA33" s="46">
        <v>24.3</v>
      </c>
      <c r="AB33" s="46">
        <v>24.3</v>
      </c>
      <c r="AC33" s="46">
        <v>24.3</v>
      </c>
      <c r="AD33" s="46">
        <v>24.3</v>
      </c>
      <c r="AE33" s="46">
        <v>24.3</v>
      </c>
      <c r="AF33" s="46">
        <v>24.3</v>
      </c>
      <c r="AG33" s="50">
        <v>23.5</v>
      </c>
      <c r="AH33" s="48">
        <f t="shared" si="2"/>
        <v>24.3</v>
      </c>
      <c r="AI33" s="49">
        <f t="shared" si="3"/>
        <v>24.3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/>
      <c r="C34" s="46">
        <v>11</v>
      </c>
      <c r="D34" s="46">
        <v>11</v>
      </c>
      <c r="E34" s="46">
        <v>11</v>
      </c>
      <c r="F34" s="46">
        <v>11</v>
      </c>
      <c r="G34" s="46">
        <v>0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11</v>
      </c>
      <c r="T34" s="46">
        <v>11</v>
      </c>
      <c r="U34" s="46">
        <v>11</v>
      </c>
      <c r="V34" s="46">
        <v>11</v>
      </c>
      <c r="W34" s="46">
        <v>11</v>
      </c>
      <c r="X34" s="46">
        <v>11</v>
      </c>
      <c r="Y34" s="46">
        <v>11</v>
      </c>
      <c r="Z34" s="46">
        <v>11</v>
      </c>
      <c r="AA34" s="46">
        <v>11</v>
      </c>
      <c r="AB34" s="46">
        <v>11</v>
      </c>
      <c r="AC34" s="46">
        <v>11</v>
      </c>
      <c r="AD34" s="46">
        <v>11</v>
      </c>
      <c r="AE34" s="46">
        <v>11</v>
      </c>
      <c r="AF34" s="46">
        <v>11</v>
      </c>
      <c r="AG34" s="50">
        <v>22.2</v>
      </c>
      <c r="AH34" s="48">
        <f t="shared" si="2"/>
        <v>11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/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>
        <v>22</v>
      </c>
      <c r="O35" s="46">
        <v>22</v>
      </c>
      <c r="P35" s="46">
        <v>22</v>
      </c>
      <c r="Q35" s="46">
        <v>22</v>
      </c>
      <c r="R35" s="46">
        <v>22</v>
      </c>
      <c r="S35" s="46">
        <v>22</v>
      </c>
      <c r="T35" s="46">
        <v>22</v>
      </c>
      <c r="U35" s="46">
        <v>22</v>
      </c>
      <c r="V35" s="46">
        <v>22</v>
      </c>
      <c r="W35" s="46">
        <v>22</v>
      </c>
      <c r="X35" s="46">
        <v>22</v>
      </c>
      <c r="Y35" s="46">
        <v>22</v>
      </c>
      <c r="Z35" s="46">
        <v>22</v>
      </c>
      <c r="AA35" s="46">
        <v>22</v>
      </c>
      <c r="AB35" s="46">
        <v>22</v>
      </c>
      <c r="AC35" s="46">
        <v>22</v>
      </c>
      <c r="AD35" s="46">
        <v>22</v>
      </c>
      <c r="AE35" s="46">
        <v>22</v>
      </c>
      <c r="AF35" s="46">
        <v>22</v>
      </c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/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>
        <v>22</v>
      </c>
      <c r="O36" s="46">
        <v>22</v>
      </c>
      <c r="P36" s="46">
        <v>22</v>
      </c>
      <c r="Q36" s="46">
        <v>22</v>
      </c>
      <c r="R36" s="46">
        <v>22</v>
      </c>
      <c r="S36" s="46">
        <v>22</v>
      </c>
      <c r="T36" s="46">
        <v>22</v>
      </c>
      <c r="U36" s="46">
        <v>22</v>
      </c>
      <c r="V36" s="46">
        <v>22</v>
      </c>
      <c r="W36" s="46">
        <v>22</v>
      </c>
      <c r="X36" s="46">
        <v>22</v>
      </c>
      <c r="Y36" s="46">
        <v>22</v>
      </c>
      <c r="Z36" s="46">
        <v>22</v>
      </c>
      <c r="AA36" s="46">
        <v>22</v>
      </c>
      <c r="AB36" s="46">
        <v>22</v>
      </c>
      <c r="AC36" s="46">
        <v>22</v>
      </c>
      <c r="AD36" s="46">
        <v>22</v>
      </c>
      <c r="AE36" s="46">
        <v>22</v>
      </c>
      <c r="AF36" s="46">
        <v>22</v>
      </c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/>
      <c r="C37" s="46">
        <v>22</v>
      </c>
      <c r="D37" s="46">
        <v>22</v>
      </c>
      <c r="E37" s="46">
        <v>22</v>
      </c>
      <c r="F37" s="46">
        <v>22</v>
      </c>
      <c r="G37" s="46">
        <v>22</v>
      </c>
      <c r="H37" s="46">
        <v>0</v>
      </c>
      <c r="I37" s="46">
        <v>0</v>
      </c>
      <c r="J37" s="46">
        <v>0</v>
      </c>
      <c r="K37" s="46">
        <v>22</v>
      </c>
      <c r="L37" s="46">
        <v>22</v>
      </c>
      <c r="M37" s="46">
        <v>22</v>
      </c>
      <c r="N37" s="46">
        <v>22</v>
      </c>
      <c r="O37" s="46">
        <v>22</v>
      </c>
      <c r="P37" s="46">
        <v>22</v>
      </c>
      <c r="Q37" s="46">
        <v>22</v>
      </c>
      <c r="R37" s="46">
        <v>22</v>
      </c>
      <c r="S37" s="46">
        <v>22</v>
      </c>
      <c r="T37" s="46">
        <v>22</v>
      </c>
      <c r="U37" s="46">
        <v>22</v>
      </c>
      <c r="V37" s="46">
        <v>22</v>
      </c>
      <c r="W37" s="46">
        <v>22</v>
      </c>
      <c r="X37" s="46">
        <v>22</v>
      </c>
      <c r="Y37" s="46">
        <v>22</v>
      </c>
      <c r="Z37" s="46">
        <v>22</v>
      </c>
      <c r="AA37" s="46">
        <v>22</v>
      </c>
      <c r="AB37" s="46">
        <v>22</v>
      </c>
      <c r="AC37" s="46">
        <v>22</v>
      </c>
      <c r="AD37" s="46">
        <v>22</v>
      </c>
      <c r="AE37" s="46">
        <v>22</v>
      </c>
      <c r="AF37" s="46">
        <v>22</v>
      </c>
      <c r="AG37" s="50">
        <v>22</v>
      </c>
      <c r="AH37" s="48">
        <f t="shared" si="2"/>
        <v>22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/>
      <c r="C38" s="46">
        <v>11.3</v>
      </c>
      <c r="D38" s="46">
        <v>11.3</v>
      </c>
      <c r="E38" s="46">
        <v>11.3</v>
      </c>
      <c r="F38" s="46">
        <v>11.3</v>
      </c>
      <c r="G38" s="46">
        <v>11.3</v>
      </c>
      <c r="H38" s="46">
        <v>2</v>
      </c>
      <c r="I38" s="46">
        <v>11.3</v>
      </c>
      <c r="J38" s="46">
        <v>11.3</v>
      </c>
      <c r="K38" s="46">
        <v>11.3</v>
      </c>
      <c r="L38" s="46">
        <v>11.3</v>
      </c>
      <c r="M38" s="46">
        <v>11.3</v>
      </c>
      <c r="N38" s="46">
        <v>11.3</v>
      </c>
      <c r="O38" s="46">
        <v>11.3</v>
      </c>
      <c r="P38" s="46">
        <v>11.3</v>
      </c>
      <c r="Q38" s="46">
        <v>11.3</v>
      </c>
      <c r="R38" s="46">
        <v>11.3</v>
      </c>
      <c r="S38" s="46">
        <v>11.3</v>
      </c>
      <c r="T38" s="46">
        <v>11.3</v>
      </c>
      <c r="U38" s="46">
        <v>11.3</v>
      </c>
      <c r="V38" s="46">
        <v>11.3</v>
      </c>
      <c r="W38" s="46">
        <v>11.3</v>
      </c>
      <c r="X38" s="46">
        <v>11.3</v>
      </c>
      <c r="Y38" s="46">
        <v>11.3</v>
      </c>
      <c r="Z38" s="46">
        <v>11.3</v>
      </c>
      <c r="AA38" s="46">
        <v>11.3</v>
      </c>
      <c r="AB38" s="46">
        <v>11.3</v>
      </c>
      <c r="AC38" s="46">
        <v>11.3</v>
      </c>
      <c r="AD38" s="46">
        <v>11.3</v>
      </c>
      <c r="AE38" s="46">
        <v>11.3</v>
      </c>
      <c r="AF38" s="46">
        <v>11.3</v>
      </c>
      <c r="AG38" s="50">
        <v>20</v>
      </c>
      <c r="AH38" s="48">
        <f t="shared" si="2"/>
        <v>11.3</v>
      </c>
      <c r="AI38" s="49">
        <f t="shared" si="3"/>
        <v>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/>
      <c r="C39" s="46">
        <v>18.3</v>
      </c>
      <c r="D39" s="46">
        <v>18.3</v>
      </c>
      <c r="E39" s="46">
        <v>18.3</v>
      </c>
      <c r="F39" s="46">
        <v>18.3</v>
      </c>
      <c r="G39" s="46">
        <v>18.3</v>
      </c>
      <c r="H39" s="46">
        <v>18.3</v>
      </c>
      <c r="I39" s="46">
        <v>18.3</v>
      </c>
      <c r="J39" s="46">
        <v>18.3</v>
      </c>
      <c r="K39" s="46">
        <v>18.3</v>
      </c>
      <c r="L39" s="46">
        <v>18.3</v>
      </c>
      <c r="M39" s="46">
        <v>18.3</v>
      </c>
      <c r="N39" s="46">
        <v>18.3</v>
      </c>
      <c r="O39" s="46">
        <v>18.3</v>
      </c>
      <c r="P39" s="46">
        <v>18.3</v>
      </c>
      <c r="Q39" s="46">
        <v>18.3</v>
      </c>
      <c r="R39" s="46">
        <v>18.3</v>
      </c>
      <c r="S39" s="46">
        <v>0</v>
      </c>
      <c r="T39" s="46">
        <v>18</v>
      </c>
      <c r="U39" s="46">
        <v>18</v>
      </c>
      <c r="V39" s="46">
        <v>18</v>
      </c>
      <c r="W39" s="46">
        <v>18</v>
      </c>
      <c r="X39" s="46">
        <v>18</v>
      </c>
      <c r="Y39" s="46">
        <v>18</v>
      </c>
      <c r="Z39" s="46">
        <v>18</v>
      </c>
      <c r="AA39" s="46">
        <v>18</v>
      </c>
      <c r="AB39" s="46">
        <v>18</v>
      </c>
      <c r="AC39" s="46">
        <v>18</v>
      </c>
      <c r="AD39" s="46">
        <v>18</v>
      </c>
      <c r="AE39" s="46">
        <v>18</v>
      </c>
      <c r="AF39" s="46">
        <v>18</v>
      </c>
      <c r="AG39" s="50">
        <v>20</v>
      </c>
      <c r="AH39" s="48">
        <f t="shared" si="2"/>
        <v>18.3</v>
      </c>
      <c r="AI39" s="49">
        <f t="shared" si="3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/>
      <c r="C40" s="46">
        <v>6.3</v>
      </c>
      <c r="D40" s="46">
        <v>16.8</v>
      </c>
      <c r="E40" s="46">
        <v>16.8</v>
      </c>
      <c r="F40" s="46">
        <v>16.8</v>
      </c>
      <c r="G40" s="46">
        <v>16.8</v>
      </c>
      <c r="H40" s="46">
        <v>16.8</v>
      </c>
      <c r="I40" s="46">
        <v>16.8</v>
      </c>
      <c r="J40" s="46">
        <v>16.8</v>
      </c>
      <c r="K40" s="46">
        <v>16.8</v>
      </c>
      <c r="L40" s="46">
        <v>16.8</v>
      </c>
      <c r="M40" s="46">
        <v>16.8</v>
      </c>
      <c r="N40" s="46">
        <v>16.8</v>
      </c>
      <c r="O40" s="46">
        <v>16.8</v>
      </c>
      <c r="P40" s="46">
        <v>16.8</v>
      </c>
      <c r="Q40" s="46">
        <v>16.8</v>
      </c>
      <c r="R40" s="46">
        <v>16.8</v>
      </c>
      <c r="S40" s="46">
        <v>16.8</v>
      </c>
      <c r="T40" s="46">
        <v>16.8</v>
      </c>
      <c r="U40" s="46">
        <v>16.8</v>
      </c>
      <c r="V40" s="46">
        <v>16.8</v>
      </c>
      <c r="W40" s="46">
        <v>16.8</v>
      </c>
      <c r="X40" s="46">
        <v>16.8</v>
      </c>
      <c r="Y40" s="46">
        <v>16.8</v>
      </c>
      <c r="Z40" s="46">
        <v>16.8</v>
      </c>
      <c r="AA40" s="46">
        <v>16.8</v>
      </c>
      <c r="AB40" s="46">
        <v>16.8</v>
      </c>
      <c r="AC40" s="46">
        <v>16.8</v>
      </c>
      <c r="AD40" s="46">
        <v>16.8</v>
      </c>
      <c r="AE40" s="46">
        <v>16.8</v>
      </c>
      <c r="AF40" s="46">
        <v>16.8</v>
      </c>
      <c r="AG40" s="50">
        <v>18</v>
      </c>
      <c r="AH40" s="48">
        <f t="shared" si="2"/>
        <v>16.8</v>
      </c>
      <c r="AI40" s="49">
        <f t="shared" si="3"/>
        <v>6.3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/>
      <c r="C41" s="46">
        <v>16</v>
      </c>
      <c r="D41" s="46">
        <v>16</v>
      </c>
      <c r="E41" s="46">
        <v>16</v>
      </c>
      <c r="F41" s="46">
        <v>16</v>
      </c>
      <c r="G41" s="46">
        <v>16</v>
      </c>
      <c r="H41" s="46">
        <v>16</v>
      </c>
      <c r="I41" s="46">
        <v>16</v>
      </c>
      <c r="J41" s="46">
        <v>16</v>
      </c>
      <c r="K41" s="46">
        <v>16</v>
      </c>
      <c r="L41" s="46">
        <v>16</v>
      </c>
      <c r="M41" s="46">
        <v>16</v>
      </c>
      <c r="N41" s="46">
        <v>16</v>
      </c>
      <c r="O41" s="46">
        <v>16</v>
      </c>
      <c r="P41" s="46">
        <v>16</v>
      </c>
      <c r="Q41" s="46">
        <v>16</v>
      </c>
      <c r="R41" s="46">
        <v>16</v>
      </c>
      <c r="S41" s="46">
        <v>16</v>
      </c>
      <c r="T41" s="46">
        <v>16</v>
      </c>
      <c r="U41" s="46">
        <v>16</v>
      </c>
      <c r="V41" s="46">
        <v>16</v>
      </c>
      <c r="W41" s="46">
        <v>16</v>
      </c>
      <c r="X41" s="46">
        <v>16</v>
      </c>
      <c r="Y41" s="46">
        <v>16</v>
      </c>
      <c r="Z41" s="46">
        <v>16</v>
      </c>
      <c r="AA41" s="46">
        <v>16</v>
      </c>
      <c r="AB41" s="46">
        <v>16</v>
      </c>
      <c r="AC41" s="46">
        <v>16</v>
      </c>
      <c r="AD41" s="46">
        <v>16</v>
      </c>
      <c r="AE41" s="46">
        <v>16</v>
      </c>
      <c r="AF41" s="46">
        <v>16</v>
      </c>
      <c r="AG41" s="50">
        <v>15.33</v>
      </c>
      <c r="AH41" s="48">
        <f t="shared" si="2"/>
        <v>16</v>
      </c>
      <c r="AI41" s="49">
        <f t="shared" si="3"/>
        <v>16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/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/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>
        <v>14</v>
      </c>
      <c r="O43" s="46">
        <v>14</v>
      </c>
      <c r="P43" s="46">
        <v>14</v>
      </c>
      <c r="Q43" s="46">
        <v>14</v>
      </c>
      <c r="R43" s="46">
        <v>14</v>
      </c>
      <c r="S43" s="46">
        <v>14</v>
      </c>
      <c r="T43" s="46">
        <v>14</v>
      </c>
      <c r="U43" s="46">
        <v>14</v>
      </c>
      <c r="V43" s="46">
        <v>14</v>
      </c>
      <c r="W43" s="46">
        <v>14</v>
      </c>
      <c r="X43" s="46">
        <v>14</v>
      </c>
      <c r="Y43" s="46">
        <v>14</v>
      </c>
      <c r="Z43" s="46">
        <v>14</v>
      </c>
      <c r="AA43" s="46">
        <v>14</v>
      </c>
      <c r="AB43" s="46">
        <v>14</v>
      </c>
      <c r="AC43" s="46">
        <v>14</v>
      </c>
      <c r="AD43" s="46">
        <v>14</v>
      </c>
      <c r="AE43" s="46">
        <v>14</v>
      </c>
      <c r="AF43" s="46">
        <v>14</v>
      </c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/>
      <c r="C44" s="46">
        <v>12</v>
      </c>
      <c r="D44" s="46">
        <v>12</v>
      </c>
      <c r="E44" s="46">
        <v>12</v>
      </c>
      <c r="F44" s="46">
        <v>12</v>
      </c>
      <c r="G44" s="46">
        <v>12</v>
      </c>
      <c r="H44" s="46">
        <v>12</v>
      </c>
      <c r="I44" s="46">
        <v>12</v>
      </c>
      <c r="J44" s="46">
        <v>12</v>
      </c>
      <c r="K44" s="46">
        <v>12</v>
      </c>
      <c r="L44" s="46">
        <v>12</v>
      </c>
      <c r="M44" s="46">
        <v>12</v>
      </c>
      <c r="N44" s="46">
        <v>12</v>
      </c>
      <c r="O44" s="46">
        <v>12</v>
      </c>
      <c r="P44" s="46">
        <v>12</v>
      </c>
      <c r="Q44" s="46">
        <v>12</v>
      </c>
      <c r="R44" s="46">
        <v>12</v>
      </c>
      <c r="S44" s="46">
        <v>12</v>
      </c>
      <c r="T44" s="46">
        <v>12</v>
      </c>
      <c r="U44" s="46">
        <v>12</v>
      </c>
      <c r="V44" s="46">
        <v>12</v>
      </c>
      <c r="W44" s="46">
        <v>12</v>
      </c>
      <c r="X44" s="46">
        <v>12</v>
      </c>
      <c r="Y44" s="46">
        <v>12</v>
      </c>
      <c r="Z44" s="46">
        <v>12</v>
      </c>
      <c r="AA44" s="46">
        <v>12</v>
      </c>
      <c r="AB44" s="46">
        <v>12</v>
      </c>
      <c r="AC44" s="46">
        <v>12</v>
      </c>
      <c r="AD44" s="46">
        <v>12</v>
      </c>
      <c r="AE44" s="46">
        <v>12</v>
      </c>
      <c r="AF44" s="46">
        <v>12</v>
      </c>
      <c r="AG44" s="50">
        <v>14.8</v>
      </c>
      <c r="AH44" s="48">
        <f t="shared" si="2"/>
        <v>12</v>
      </c>
      <c r="AI44" s="49">
        <f t="shared" si="3"/>
        <v>12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/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>
        <v>14</v>
      </c>
      <c r="O45" s="46">
        <v>14</v>
      </c>
      <c r="P45" s="46">
        <v>14</v>
      </c>
      <c r="Q45" s="46">
        <v>14</v>
      </c>
      <c r="R45" s="46">
        <v>14</v>
      </c>
      <c r="S45" s="46">
        <v>14</v>
      </c>
      <c r="T45" s="46">
        <v>14</v>
      </c>
      <c r="U45" s="46">
        <v>14</v>
      </c>
      <c r="V45" s="46">
        <v>14</v>
      </c>
      <c r="W45" s="46">
        <v>14</v>
      </c>
      <c r="X45" s="46">
        <v>14</v>
      </c>
      <c r="Y45" s="46">
        <v>14</v>
      </c>
      <c r="Z45" s="46">
        <v>14</v>
      </c>
      <c r="AA45" s="46">
        <v>14</v>
      </c>
      <c r="AB45" s="46">
        <v>14</v>
      </c>
      <c r="AC45" s="46">
        <v>14</v>
      </c>
      <c r="AD45" s="46">
        <v>14</v>
      </c>
      <c r="AE45" s="46">
        <v>14</v>
      </c>
      <c r="AF45" s="46">
        <v>14</v>
      </c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/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>
        <v>7</v>
      </c>
      <c r="O46" s="46">
        <v>7</v>
      </c>
      <c r="P46" s="46">
        <v>7</v>
      </c>
      <c r="Q46" s="46">
        <v>7</v>
      </c>
      <c r="R46" s="46">
        <v>7</v>
      </c>
      <c r="S46" s="46">
        <v>7</v>
      </c>
      <c r="T46" s="46">
        <v>7</v>
      </c>
      <c r="U46" s="46">
        <v>7</v>
      </c>
      <c r="V46" s="46">
        <v>7</v>
      </c>
      <c r="W46" s="46">
        <v>7</v>
      </c>
      <c r="X46" s="46">
        <v>7</v>
      </c>
      <c r="Y46" s="46">
        <v>7</v>
      </c>
      <c r="Z46" s="46">
        <v>7</v>
      </c>
      <c r="AA46" s="46">
        <v>7</v>
      </c>
      <c r="AB46" s="46">
        <v>7</v>
      </c>
      <c r="AC46" s="46">
        <v>7</v>
      </c>
      <c r="AD46" s="46">
        <v>7</v>
      </c>
      <c r="AE46" s="46">
        <v>7</v>
      </c>
      <c r="AF46" s="46">
        <v>7</v>
      </c>
      <c r="AG46" s="50">
        <v>14</v>
      </c>
      <c r="AH46" s="48">
        <f t="shared" si="2"/>
        <v>7</v>
      </c>
      <c r="AI46" s="49">
        <f t="shared" si="3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/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>
        <v>8</v>
      </c>
      <c r="O47" s="46">
        <v>8</v>
      </c>
      <c r="P47" s="46">
        <v>8</v>
      </c>
      <c r="Q47" s="46">
        <v>8</v>
      </c>
      <c r="R47" s="46">
        <v>8</v>
      </c>
      <c r="S47" s="46">
        <v>8</v>
      </c>
      <c r="T47" s="46">
        <v>8</v>
      </c>
      <c r="U47" s="46">
        <v>8</v>
      </c>
      <c r="V47" s="46">
        <v>8</v>
      </c>
      <c r="W47" s="46">
        <v>8</v>
      </c>
      <c r="X47" s="46">
        <v>8</v>
      </c>
      <c r="Y47" s="46">
        <v>8</v>
      </c>
      <c r="Z47" s="46">
        <v>8</v>
      </c>
      <c r="AA47" s="46">
        <v>8</v>
      </c>
      <c r="AB47" s="46">
        <v>8</v>
      </c>
      <c r="AC47" s="46">
        <v>8</v>
      </c>
      <c r="AD47" s="46">
        <v>8</v>
      </c>
      <c r="AE47" s="46">
        <v>8</v>
      </c>
      <c r="AF47" s="46">
        <v>8</v>
      </c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/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>
        <v>12</v>
      </c>
      <c r="O48" s="46">
        <v>12</v>
      </c>
      <c r="P48" s="46">
        <v>12</v>
      </c>
      <c r="Q48" s="46">
        <v>12</v>
      </c>
      <c r="R48" s="46">
        <v>12</v>
      </c>
      <c r="S48" s="46">
        <v>12</v>
      </c>
      <c r="T48" s="46">
        <v>12</v>
      </c>
      <c r="U48" s="46">
        <v>12</v>
      </c>
      <c r="V48" s="46">
        <v>12</v>
      </c>
      <c r="W48" s="46">
        <v>12</v>
      </c>
      <c r="X48" s="46">
        <v>12</v>
      </c>
      <c r="Y48" s="46">
        <v>12</v>
      </c>
      <c r="Z48" s="46">
        <v>12</v>
      </c>
      <c r="AA48" s="46">
        <v>12</v>
      </c>
      <c r="AB48" s="46">
        <v>12</v>
      </c>
      <c r="AC48" s="46">
        <v>12</v>
      </c>
      <c r="AD48" s="46">
        <v>12</v>
      </c>
      <c r="AE48" s="46">
        <v>12</v>
      </c>
      <c r="AF48" s="46">
        <v>12</v>
      </c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12</v>
      </c>
      <c r="J49" s="46">
        <v>12</v>
      </c>
      <c r="K49" s="46">
        <v>12</v>
      </c>
      <c r="L49" s="46">
        <v>12</v>
      </c>
      <c r="M49" s="46">
        <v>12</v>
      </c>
      <c r="N49" s="46">
        <v>12</v>
      </c>
      <c r="O49" s="46">
        <v>12</v>
      </c>
      <c r="P49" s="46">
        <v>12</v>
      </c>
      <c r="Q49" s="46">
        <v>12</v>
      </c>
      <c r="R49" s="46">
        <v>12</v>
      </c>
      <c r="S49" s="46">
        <v>12</v>
      </c>
      <c r="T49" s="46">
        <v>12</v>
      </c>
      <c r="U49" s="46">
        <v>12</v>
      </c>
      <c r="V49" s="46">
        <v>12</v>
      </c>
      <c r="W49" s="46">
        <v>12</v>
      </c>
      <c r="X49" s="46">
        <v>12</v>
      </c>
      <c r="Y49" s="46">
        <v>12</v>
      </c>
      <c r="Z49" s="46">
        <v>12</v>
      </c>
      <c r="AA49" s="46">
        <v>12</v>
      </c>
      <c r="AB49" s="46">
        <v>12</v>
      </c>
      <c r="AC49" s="46">
        <v>12</v>
      </c>
      <c r="AD49" s="46">
        <v>12</v>
      </c>
      <c r="AE49" s="46">
        <v>12</v>
      </c>
      <c r="AF49" s="46">
        <v>12</v>
      </c>
      <c r="AG49" s="50">
        <v>12</v>
      </c>
      <c r="AH49" s="48">
        <f t="shared" si="2"/>
        <v>12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/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/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>
        <v>12</v>
      </c>
      <c r="O51" s="46">
        <v>12</v>
      </c>
      <c r="P51" s="46">
        <v>12</v>
      </c>
      <c r="Q51" s="46">
        <v>12</v>
      </c>
      <c r="R51" s="46">
        <v>12</v>
      </c>
      <c r="S51" s="46">
        <v>12</v>
      </c>
      <c r="T51" s="46">
        <v>12</v>
      </c>
      <c r="U51" s="46">
        <v>12</v>
      </c>
      <c r="V51" s="46">
        <v>12</v>
      </c>
      <c r="W51" s="46">
        <v>12</v>
      </c>
      <c r="X51" s="46">
        <v>12</v>
      </c>
      <c r="Y51" s="46">
        <v>12</v>
      </c>
      <c r="Z51" s="46">
        <v>12</v>
      </c>
      <c r="AA51" s="46">
        <v>12</v>
      </c>
      <c r="AB51" s="46">
        <v>12</v>
      </c>
      <c r="AC51" s="46">
        <v>12</v>
      </c>
      <c r="AD51" s="46">
        <v>12</v>
      </c>
      <c r="AE51" s="46">
        <v>12</v>
      </c>
      <c r="AF51" s="46">
        <v>12</v>
      </c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/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>
        <v>12</v>
      </c>
      <c r="O52" s="46">
        <v>12</v>
      </c>
      <c r="P52" s="46">
        <v>12</v>
      </c>
      <c r="Q52" s="46">
        <v>12</v>
      </c>
      <c r="R52" s="46">
        <v>12</v>
      </c>
      <c r="S52" s="46">
        <v>12</v>
      </c>
      <c r="T52" s="46">
        <v>12</v>
      </c>
      <c r="U52" s="46">
        <v>12</v>
      </c>
      <c r="V52" s="46">
        <v>12</v>
      </c>
      <c r="W52" s="46">
        <v>12</v>
      </c>
      <c r="X52" s="46">
        <v>12</v>
      </c>
      <c r="Y52" s="46">
        <v>12</v>
      </c>
      <c r="Z52" s="46">
        <v>12</v>
      </c>
      <c r="AA52" s="46">
        <v>12</v>
      </c>
      <c r="AB52" s="46">
        <v>12</v>
      </c>
      <c r="AC52" s="46">
        <v>12</v>
      </c>
      <c r="AD52" s="46">
        <v>12</v>
      </c>
      <c r="AE52" s="46">
        <v>12</v>
      </c>
      <c r="AF52" s="46">
        <v>12</v>
      </c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/>
      <c r="C53" s="46">
        <v>11</v>
      </c>
      <c r="D53" s="46">
        <v>11</v>
      </c>
      <c r="E53" s="46">
        <v>11</v>
      </c>
      <c r="F53" s="46">
        <v>11</v>
      </c>
      <c r="G53" s="46">
        <v>11</v>
      </c>
      <c r="H53" s="46">
        <v>11</v>
      </c>
      <c r="I53" s="46">
        <v>11</v>
      </c>
      <c r="J53" s="46">
        <v>11</v>
      </c>
      <c r="K53" s="46">
        <v>11</v>
      </c>
      <c r="L53" s="46">
        <v>11</v>
      </c>
      <c r="M53" s="46">
        <v>11</v>
      </c>
      <c r="N53" s="46">
        <v>11</v>
      </c>
      <c r="O53" s="46">
        <v>11</v>
      </c>
      <c r="P53" s="46">
        <v>11</v>
      </c>
      <c r="Q53" s="46">
        <v>11</v>
      </c>
      <c r="R53" s="46">
        <v>11</v>
      </c>
      <c r="S53" s="46">
        <v>11</v>
      </c>
      <c r="T53" s="46">
        <v>11</v>
      </c>
      <c r="U53" s="46">
        <v>11</v>
      </c>
      <c r="V53" s="46">
        <v>11</v>
      </c>
      <c r="W53" s="46">
        <v>11</v>
      </c>
      <c r="X53" s="46">
        <v>11</v>
      </c>
      <c r="Y53" s="46">
        <v>11</v>
      </c>
      <c r="Z53" s="46">
        <v>11</v>
      </c>
      <c r="AA53" s="46">
        <v>11</v>
      </c>
      <c r="AB53" s="46">
        <v>11</v>
      </c>
      <c r="AC53" s="46">
        <v>11</v>
      </c>
      <c r="AD53" s="46">
        <v>11</v>
      </c>
      <c r="AE53" s="46">
        <v>11</v>
      </c>
      <c r="AF53" s="46">
        <v>11</v>
      </c>
      <c r="AG53" s="61">
        <v>11.88</v>
      </c>
      <c r="AH53" s="48">
        <f t="shared" si="2"/>
        <v>11</v>
      </c>
      <c r="AI53" s="49">
        <f t="shared" si="3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/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>
        <v>11</v>
      </c>
      <c r="O54" s="46">
        <v>11</v>
      </c>
      <c r="P54" s="46">
        <v>11</v>
      </c>
      <c r="Q54" s="46">
        <v>11</v>
      </c>
      <c r="R54" s="46">
        <v>11</v>
      </c>
      <c r="S54" s="46">
        <v>11</v>
      </c>
      <c r="T54" s="46">
        <v>11</v>
      </c>
      <c r="U54" s="46">
        <v>11</v>
      </c>
      <c r="V54" s="46">
        <v>11</v>
      </c>
      <c r="W54" s="46">
        <v>11</v>
      </c>
      <c r="X54" s="46">
        <v>11</v>
      </c>
      <c r="Y54" s="46">
        <v>11</v>
      </c>
      <c r="Z54" s="46">
        <v>11</v>
      </c>
      <c r="AA54" s="46">
        <v>11</v>
      </c>
      <c r="AB54" s="46">
        <v>11</v>
      </c>
      <c r="AC54" s="46">
        <v>11</v>
      </c>
      <c r="AD54" s="46">
        <v>11</v>
      </c>
      <c r="AE54" s="46">
        <v>11</v>
      </c>
      <c r="AF54" s="46">
        <v>11</v>
      </c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/>
      <c r="C55" s="46">
        <v>11.7</v>
      </c>
      <c r="D55" s="46">
        <v>11.7</v>
      </c>
      <c r="E55" s="46">
        <v>11.7</v>
      </c>
      <c r="F55" s="46">
        <v>11.7</v>
      </c>
      <c r="G55" s="46">
        <v>11.7</v>
      </c>
      <c r="H55" s="46">
        <v>11.7</v>
      </c>
      <c r="I55" s="46">
        <v>11.7</v>
      </c>
      <c r="J55" s="46">
        <v>11.7</v>
      </c>
      <c r="K55" s="46">
        <v>11.7</v>
      </c>
      <c r="L55" s="46">
        <v>11.7</v>
      </c>
      <c r="M55" s="46">
        <v>11.7</v>
      </c>
      <c r="N55" s="46">
        <v>11.7</v>
      </c>
      <c r="O55" s="46">
        <v>11.7</v>
      </c>
      <c r="P55" s="46">
        <v>11.7</v>
      </c>
      <c r="Q55" s="46">
        <v>11.7</v>
      </c>
      <c r="R55" s="46">
        <v>11.7</v>
      </c>
      <c r="S55" s="46">
        <v>11.7</v>
      </c>
      <c r="T55" s="46">
        <v>11.7</v>
      </c>
      <c r="U55" s="46">
        <v>11.7</v>
      </c>
      <c r="V55" s="46">
        <v>11.7</v>
      </c>
      <c r="W55" s="46">
        <v>11.7</v>
      </c>
      <c r="X55" s="46">
        <v>11.7</v>
      </c>
      <c r="Y55" s="46">
        <v>11.7</v>
      </c>
      <c r="Z55" s="46">
        <v>11.7</v>
      </c>
      <c r="AA55" s="46">
        <v>11.7</v>
      </c>
      <c r="AB55" s="46">
        <v>11.7</v>
      </c>
      <c r="AC55" s="46">
        <v>11.7</v>
      </c>
      <c r="AD55" s="46">
        <v>11.7</v>
      </c>
      <c r="AE55" s="46">
        <v>11.7</v>
      </c>
      <c r="AF55" s="46">
        <v>11.7</v>
      </c>
      <c r="AG55" s="66">
        <v>11</v>
      </c>
      <c r="AH55" s="48">
        <f t="shared" si="2"/>
        <v>11.7</v>
      </c>
      <c r="AI55" s="49">
        <f t="shared" si="3"/>
        <v>11.7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/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>
        <v>9</v>
      </c>
      <c r="O56" s="46">
        <v>9</v>
      </c>
      <c r="P56" s="46">
        <v>9</v>
      </c>
      <c r="Q56" s="46">
        <v>9</v>
      </c>
      <c r="R56" s="46">
        <v>9</v>
      </c>
      <c r="S56" s="46">
        <v>9</v>
      </c>
      <c r="T56" s="46">
        <v>9</v>
      </c>
      <c r="U56" s="46">
        <v>9</v>
      </c>
      <c r="V56" s="46">
        <v>9</v>
      </c>
      <c r="W56" s="46">
        <v>9</v>
      </c>
      <c r="X56" s="46">
        <v>9</v>
      </c>
      <c r="Y56" s="46">
        <v>9</v>
      </c>
      <c r="Z56" s="46">
        <v>9</v>
      </c>
      <c r="AA56" s="46">
        <v>9</v>
      </c>
      <c r="AB56" s="46">
        <v>9</v>
      </c>
      <c r="AC56" s="46">
        <v>9</v>
      </c>
      <c r="AD56" s="46">
        <v>9</v>
      </c>
      <c r="AE56" s="46">
        <v>9</v>
      </c>
      <c r="AF56" s="46">
        <v>9</v>
      </c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/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9</v>
      </c>
      <c r="T57" s="46">
        <v>9</v>
      </c>
      <c r="U57" s="46">
        <v>9</v>
      </c>
      <c r="V57" s="46">
        <v>9</v>
      </c>
      <c r="W57" s="46">
        <v>9</v>
      </c>
      <c r="X57" s="46">
        <v>9</v>
      </c>
      <c r="Y57" s="46">
        <v>9</v>
      </c>
      <c r="Z57" s="46">
        <v>9</v>
      </c>
      <c r="AA57" s="46">
        <v>9</v>
      </c>
      <c r="AB57" s="46">
        <v>9</v>
      </c>
      <c r="AC57" s="46">
        <v>9</v>
      </c>
      <c r="AD57" s="46">
        <v>9</v>
      </c>
      <c r="AE57" s="46">
        <v>9</v>
      </c>
      <c r="AF57" s="46">
        <v>9</v>
      </c>
      <c r="AG57" s="66">
        <v>10</v>
      </c>
      <c r="AH57" s="48">
        <f t="shared" si="2"/>
        <v>9</v>
      </c>
      <c r="AI57" s="49">
        <f t="shared" si="3"/>
        <v>0</v>
      </c>
      <c r="AK57" s="51"/>
    </row>
    <row r="58" spans="1:88" x14ac:dyDescent="0.25">
      <c r="A58" s="65" t="s">
        <v>70</v>
      </c>
      <c r="B58" s="46"/>
      <c r="C58" s="46">
        <v>10</v>
      </c>
      <c r="D58" s="46">
        <v>10</v>
      </c>
      <c r="E58" s="46">
        <v>10</v>
      </c>
      <c r="F58" s="46">
        <v>10</v>
      </c>
      <c r="G58" s="46">
        <v>10</v>
      </c>
      <c r="H58" s="46">
        <v>10</v>
      </c>
      <c r="I58" s="46">
        <v>10</v>
      </c>
      <c r="J58" s="46">
        <v>10</v>
      </c>
      <c r="K58" s="46">
        <v>10</v>
      </c>
      <c r="L58" s="46">
        <v>10</v>
      </c>
      <c r="M58" s="46">
        <v>10</v>
      </c>
      <c r="N58" s="46">
        <v>10</v>
      </c>
      <c r="O58" s="46">
        <v>10</v>
      </c>
      <c r="P58" s="46">
        <v>10</v>
      </c>
      <c r="Q58" s="46">
        <v>10</v>
      </c>
      <c r="R58" s="46">
        <v>10</v>
      </c>
      <c r="S58" s="46">
        <v>10</v>
      </c>
      <c r="T58" s="46">
        <v>10</v>
      </c>
      <c r="U58" s="46">
        <v>10</v>
      </c>
      <c r="V58" s="46">
        <v>10</v>
      </c>
      <c r="W58" s="46">
        <v>10</v>
      </c>
      <c r="X58" s="46">
        <v>10</v>
      </c>
      <c r="Y58" s="46">
        <v>10</v>
      </c>
      <c r="Z58" s="46">
        <v>10</v>
      </c>
      <c r="AA58" s="46">
        <v>10</v>
      </c>
      <c r="AB58" s="46">
        <v>10</v>
      </c>
      <c r="AC58" s="46">
        <v>10</v>
      </c>
      <c r="AD58" s="46">
        <v>10</v>
      </c>
      <c r="AE58" s="46">
        <v>10</v>
      </c>
      <c r="AF58" s="46">
        <v>10</v>
      </c>
      <c r="AG58" s="66">
        <v>10</v>
      </c>
      <c r="AH58" s="48">
        <f t="shared" si="2"/>
        <v>10</v>
      </c>
      <c r="AI58" s="49">
        <f t="shared" si="3"/>
        <v>10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/>
      <c r="C60" s="68">
        <v>167</v>
      </c>
      <c r="D60" s="68">
        <v>167</v>
      </c>
      <c r="E60" s="68">
        <v>167</v>
      </c>
      <c r="F60" s="68">
        <v>167</v>
      </c>
      <c r="G60" s="68">
        <v>167</v>
      </c>
      <c r="H60" s="68">
        <v>167</v>
      </c>
      <c r="I60" s="68">
        <v>167</v>
      </c>
      <c r="J60" s="68">
        <v>167</v>
      </c>
      <c r="K60" s="68">
        <v>167</v>
      </c>
      <c r="L60" s="68">
        <f t="shared" ref="L60:U60" si="20">107+46</f>
        <v>153</v>
      </c>
      <c r="M60" s="68">
        <f t="shared" si="20"/>
        <v>153</v>
      </c>
      <c r="N60" s="68">
        <f t="shared" si="20"/>
        <v>153</v>
      </c>
      <c r="O60" s="68">
        <f t="shared" si="20"/>
        <v>153</v>
      </c>
      <c r="P60" s="68">
        <f t="shared" si="20"/>
        <v>153</v>
      </c>
      <c r="Q60" s="68">
        <f t="shared" si="20"/>
        <v>153</v>
      </c>
      <c r="R60" s="68">
        <f t="shared" si="20"/>
        <v>153</v>
      </c>
      <c r="S60" s="68">
        <f t="shared" si="20"/>
        <v>153</v>
      </c>
      <c r="T60" s="68">
        <f t="shared" si="20"/>
        <v>153</v>
      </c>
      <c r="U60" s="68">
        <f t="shared" si="20"/>
        <v>153</v>
      </c>
      <c r="V60" s="68">
        <f>97.7+60.3</f>
        <v>158</v>
      </c>
      <c r="W60" s="68">
        <f>97.7+60.3</f>
        <v>158</v>
      </c>
      <c r="X60" s="68">
        <f>60.4+80.8</f>
        <v>141.19999999999999</v>
      </c>
      <c r="Y60" s="68">
        <f>60.4+80.8</f>
        <v>141.19999999999999</v>
      </c>
      <c r="Z60" s="68">
        <f>54.7+94.4</f>
        <v>149.10000000000002</v>
      </c>
      <c r="AA60" s="68">
        <f>59.5+100</f>
        <v>159.5</v>
      </c>
      <c r="AB60" s="68">
        <f>59.5+100</f>
        <v>159.5</v>
      </c>
      <c r="AC60" s="68">
        <f>59.5+100</f>
        <v>159.5</v>
      </c>
      <c r="AD60" s="68">
        <v>160</v>
      </c>
      <c r="AE60" s="68">
        <v>150</v>
      </c>
      <c r="AF60" s="68">
        <v>152</v>
      </c>
      <c r="AG60" s="66">
        <v>240</v>
      </c>
      <c r="AH60" s="48">
        <f t="shared" si="2"/>
        <v>167</v>
      </c>
      <c r="AI60" s="49">
        <f t="shared" si="3"/>
        <v>141.19999999999999</v>
      </c>
      <c r="AK60" s="51"/>
    </row>
    <row r="61" spans="1:88" ht="15.75" thickBot="1" x14ac:dyDescent="0.3">
      <c r="A61" s="70" t="s">
        <v>75</v>
      </c>
      <c r="B61" s="71">
        <f t="shared" ref="B61:AG61" si="21">SUM(B11:B59)</f>
        <v>300</v>
      </c>
      <c r="C61" s="71">
        <f t="shared" si="21"/>
        <v>1377.8999999999999</v>
      </c>
      <c r="D61" s="71">
        <f t="shared" si="21"/>
        <v>1363.4999999999998</v>
      </c>
      <c r="E61" s="71">
        <f t="shared" si="21"/>
        <v>1264.9999999999998</v>
      </c>
      <c r="F61" s="71">
        <f t="shared" si="21"/>
        <v>1290.0999999999999</v>
      </c>
      <c r="G61" s="71">
        <f t="shared" si="21"/>
        <v>1279.0999999999999</v>
      </c>
      <c r="H61" s="71">
        <f t="shared" si="21"/>
        <v>1258.7999999999997</v>
      </c>
      <c r="I61" s="71">
        <f t="shared" ref="I61:J61" si="22">SUM(I11:I59)</f>
        <v>1286.9999999999998</v>
      </c>
      <c r="J61" s="71">
        <f t="shared" si="22"/>
        <v>1284.9999999999998</v>
      </c>
      <c r="K61" s="71">
        <f t="shared" ref="K61:L61" si="23">SUM(K11:K59)</f>
        <v>1306.9999999999998</v>
      </c>
      <c r="L61" s="71">
        <f t="shared" si="23"/>
        <v>1306.9999999999998</v>
      </c>
      <c r="M61" s="71">
        <f t="shared" si="21"/>
        <v>1306.9999999999998</v>
      </c>
      <c r="N61" s="71">
        <f t="shared" si="21"/>
        <v>1306.9999999999998</v>
      </c>
      <c r="O61" s="71">
        <f t="shared" ref="O61" si="24">SUM(O11:O59)</f>
        <v>1313.4999999999998</v>
      </c>
      <c r="P61" s="71">
        <f t="shared" si="21"/>
        <v>1313.4999999999998</v>
      </c>
      <c r="Q61" s="71">
        <f t="shared" si="21"/>
        <v>1277.8999999999996</v>
      </c>
      <c r="R61" s="71">
        <f t="shared" si="21"/>
        <v>1277.8999999999996</v>
      </c>
      <c r="S61" s="71">
        <f t="shared" ref="S61:T61" si="25">SUM(S11:S59)</f>
        <v>1266</v>
      </c>
      <c r="T61" s="71">
        <f t="shared" si="25"/>
        <v>1284</v>
      </c>
      <c r="U61" s="71">
        <f t="shared" ref="U61:V61" si="26">SUM(U11:U59)</f>
        <v>1296.5</v>
      </c>
      <c r="V61" s="71">
        <f t="shared" si="26"/>
        <v>1296.5</v>
      </c>
      <c r="W61" s="71">
        <f t="shared" ref="W61:X61" si="27">SUM(W11:W59)</f>
        <v>1296.5</v>
      </c>
      <c r="X61" s="71">
        <f t="shared" si="27"/>
        <v>1307.4999999999998</v>
      </c>
      <c r="Y61" s="71">
        <f t="shared" ref="Y61:AA61" si="28">SUM(Y11:Y59)</f>
        <v>1313.7999999999997</v>
      </c>
      <c r="Z61" s="71">
        <f t="shared" si="28"/>
        <v>1313.7999999999997</v>
      </c>
      <c r="AA61" s="71">
        <f t="shared" si="28"/>
        <v>1326.2999999999997</v>
      </c>
      <c r="AB61" s="71">
        <f t="shared" si="21"/>
        <v>1366.3</v>
      </c>
      <c r="AC61" s="71">
        <f t="shared" si="21"/>
        <v>1366.3</v>
      </c>
      <c r="AD61" s="71">
        <f t="shared" si="21"/>
        <v>1366.3</v>
      </c>
      <c r="AE61" s="71">
        <f t="shared" si="21"/>
        <v>1366.3</v>
      </c>
      <c r="AF61" s="71">
        <f t="shared" si="21"/>
        <v>1341.2999999999997</v>
      </c>
      <c r="AG61" s="71">
        <f t="shared" si="21"/>
        <v>1466.0300000000002</v>
      </c>
      <c r="AH61" s="48">
        <f t="shared" si="2"/>
        <v>1377.8999999999999</v>
      </c>
      <c r="AI61" s="49">
        <f t="shared" si="3"/>
        <v>300</v>
      </c>
      <c r="AK61" s="51"/>
    </row>
    <row r="62" spans="1:88" x14ac:dyDescent="0.25">
      <c r="A62" s="73" t="s">
        <v>76</v>
      </c>
      <c r="B62" s="46"/>
      <c r="C62" s="46">
        <v>456</v>
      </c>
      <c r="D62" s="46">
        <v>456</v>
      </c>
      <c r="E62" s="46">
        <v>456</v>
      </c>
      <c r="F62" s="46">
        <v>456</v>
      </c>
      <c r="G62" s="46">
        <v>456</v>
      </c>
      <c r="H62" s="46">
        <v>456</v>
      </c>
      <c r="I62" s="46">
        <v>456</v>
      </c>
      <c r="J62" s="46">
        <v>456</v>
      </c>
      <c r="K62" s="46">
        <v>456</v>
      </c>
      <c r="L62" s="46">
        <v>456</v>
      </c>
      <c r="M62" s="46">
        <v>456</v>
      </c>
      <c r="N62" s="46">
        <v>456</v>
      </c>
      <c r="O62" s="46">
        <v>456</v>
      </c>
      <c r="P62" s="46">
        <v>456</v>
      </c>
      <c r="Q62" s="46">
        <v>456</v>
      </c>
      <c r="R62" s="46">
        <v>456</v>
      </c>
      <c r="S62" s="46">
        <v>456</v>
      </c>
      <c r="T62" s="46">
        <v>456</v>
      </c>
      <c r="U62" s="46">
        <v>456</v>
      </c>
      <c r="V62" s="46">
        <v>456</v>
      </c>
      <c r="W62" s="46">
        <v>456</v>
      </c>
      <c r="X62" s="46">
        <v>456</v>
      </c>
      <c r="Y62" s="46">
        <v>456</v>
      </c>
      <c r="Z62" s="46">
        <v>456</v>
      </c>
      <c r="AA62" s="46">
        <v>456</v>
      </c>
      <c r="AB62" s="46">
        <v>456</v>
      </c>
      <c r="AC62" s="46">
        <v>456.6</v>
      </c>
      <c r="AD62" s="46">
        <v>456.6</v>
      </c>
      <c r="AE62" s="46">
        <v>456.6</v>
      </c>
      <c r="AF62" s="46">
        <v>456.6</v>
      </c>
      <c r="AG62" s="61">
        <v>456</v>
      </c>
      <c r="AH62" s="48">
        <f t="shared" si="2"/>
        <v>456.6</v>
      </c>
      <c r="AI62" s="49">
        <f t="shared" si="3"/>
        <v>456</v>
      </c>
      <c r="AK62" s="51"/>
    </row>
    <row r="63" spans="1:88" x14ac:dyDescent="0.25">
      <c r="A63" s="75" t="s">
        <v>77</v>
      </c>
      <c r="B63" s="76"/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61</v>
      </c>
      <c r="AD63" s="76">
        <v>61</v>
      </c>
      <c r="AE63" s="76">
        <v>61</v>
      </c>
      <c r="AF63" s="76">
        <v>61</v>
      </c>
      <c r="AG63" s="66">
        <v>60</v>
      </c>
      <c r="AH63" s="48">
        <f t="shared" si="2"/>
        <v>61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/>
      <c r="C64" s="78">
        <v>22.4</v>
      </c>
      <c r="D64" s="78">
        <v>22.4</v>
      </c>
      <c r="E64" s="78">
        <v>22.4</v>
      </c>
      <c r="F64" s="78">
        <v>22.4</v>
      </c>
      <c r="G64" s="78">
        <v>22.4</v>
      </c>
      <c r="H64" s="78">
        <v>22.4</v>
      </c>
      <c r="I64" s="78">
        <v>22.4</v>
      </c>
      <c r="J64" s="78">
        <v>22.4</v>
      </c>
      <c r="K64" s="78">
        <v>22.4</v>
      </c>
      <c r="L64" s="78">
        <v>22.4</v>
      </c>
      <c r="M64" s="78">
        <v>22.4</v>
      </c>
      <c r="N64" s="78">
        <v>22.4</v>
      </c>
      <c r="O64" s="78">
        <v>22.4</v>
      </c>
      <c r="P64" s="78">
        <v>22.4</v>
      </c>
      <c r="Q64" s="78">
        <v>22.4</v>
      </c>
      <c r="R64" s="78">
        <v>22.4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11.3</v>
      </c>
      <c r="Z64" s="78">
        <v>22.4</v>
      </c>
      <c r="AA64" s="78">
        <v>22.4</v>
      </c>
      <c r="AB64" s="78">
        <v>22.4</v>
      </c>
      <c r="AC64" s="78">
        <v>22.4</v>
      </c>
      <c r="AD64" s="78">
        <v>22.4</v>
      </c>
      <c r="AE64" s="78">
        <v>22.4</v>
      </c>
      <c r="AF64" s="78">
        <v>22.4</v>
      </c>
      <c r="AG64" s="79">
        <v>22.1</v>
      </c>
      <c r="AH64" s="48">
        <f t="shared" si="2"/>
        <v>22.4</v>
      </c>
      <c r="AI64" s="49">
        <f t="shared" si="3"/>
        <v>0</v>
      </c>
      <c r="AK64" s="51"/>
    </row>
    <row r="65" spans="1:75" ht="15.75" thickBot="1" x14ac:dyDescent="0.3">
      <c r="A65" s="80" t="s">
        <v>79</v>
      </c>
      <c r="B65" s="71">
        <f t="shared" ref="B65:AG65" si="29">SUM(B62:B64)</f>
        <v>0</v>
      </c>
      <c r="C65" s="71">
        <f t="shared" si="29"/>
        <v>538.4</v>
      </c>
      <c r="D65" s="71">
        <f t="shared" si="29"/>
        <v>538.4</v>
      </c>
      <c r="E65" s="71">
        <f t="shared" si="29"/>
        <v>538.4</v>
      </c>
      <c r="F65" s="71">
        <f t="shared" si="29"/>
        <v>538.4</v>
      </c>
      <c r="G65" s="71">
        <f t="shared" si="29"/>
        <v>538.4</v>
      </c>
      <c r="H65" s="71">
        <f>SUM(H62:H64)</f>
        <v>538.4</v>
      </c>
      <c r="I65" s="71">
        <f>SUM(I62:I64)</f>
        <v>538.4</v>
      </c>
      <c r="J65" s="71">
        <f>SUM(J62:J64)</f>
        <v>538.4</v>
      </c>
      <c r="K65" s="71">
        <f>SUM(K62:K64)</f>
        <v>538.4</v>
      </c>
      <c r="L65" s="71">
        <f>SUM(L62:L64)</f>
        <v>538.4</v>
      </c>
      <c r="M65" s="71">
        <f t="shared" si="29"/>
        <v>538.4</v>
      </c>
      <c r="N65" s="71">
        <f t="shared" si="29"/>
        <v>538.4</v>
      </c>
      <c r="O65" s="71">
        <f t="shared" si="29"/>
        <v>538.4</v>
      </c>
      <c r="P65" s="71">
        <f t="shared" si="29"/>
        <v>538.4</v>
      </c>
      <c r="Q65" s="71">
        <f t="shared" ref="Q65" si="30">SUM(Q62:Q64)</f>
        <v>538.4</v>
      </c>
      <c r="R65" s="71">
        <f t="shared" si="29"/>
        <v>538.4</v>
      </c>
      <c r="S65" s="71">
        <f t="shared" ref="S65:T65" si="31">SUM(S62:S64)</f>
        <v>516</v>
      </c>
      <c r="T65" s="71">
        <f t="shared" si="31"/>
        <v>516</v>
      </c>
      <c r="U65" s="71">
        <f t="shared" ref="U65:V65" si="32">SUM(U62:U64)</f>
        <v>516</v>
      </c>
      <c r="V65" s="71">
        <f t="shared" si="32"/>
        <v>516</v>
      </c>
      <c r="W65" s="71">
        <f t="shared" ref="W65:X65" si="33">SUM(W62:W64)</f>
        <v>516</v>
      </c>
      <c r="X65" s="71">
        <f t="shared" si="33"/>
        <v>516</v>
      </c>
      <c r="Y65" s="71">
        <f t="shared" ref="Y65:Z65" si="34">SUM(Y62:Y64)</f>
        <v>527.29999999999995</v>
      </c>
      <c r="Z65" s="71">
        <f t="shared" si="34"/>
        <v>538.4</v>
      </c>
      <c r="AA65" s="71">
        <f t="shared" ref="AA65" si="35">SUM(AA62:AA64)</f>
        <v>538.4</v>
      </c>
      <c r="AB65" s="71">
        <f t="shared" si="29"/>
        <v>538.4</v>
      </c>
      <c r="AC65" s="71">
        <f t="shared" si="29"/>
        <v>540</v>
      </c>
      <c r="AD65" s="71">
        <f t="shared" si="29"/>
        <v>540</v>
      </c>
      <c r="AE65" s="71">
        <f t="shared" si="29"/>
        <v>540</v>
      </c>
      <c r="AF65" s="71">
        <f t="shared" si="29"/>
        <v>540</v>
      </c>
      <c r="AG65" s="72">
        <f t="shared" si="29"/>
        <v>538.1</v>
      </c>
      <c r="AH65" s="48">
        <f t="shared" si="2"/>
        <v>540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/>
      <c r="C66" s="46">
        <v>132.4</v>
      </c>
      <c r="D66" s="46">
        <v>132.4</v>
      </c>
      <c r="E66" s="46">
        <v>132.4</v>
      </c>
      <c r="F66" s="46">
        <v>132.4</v>
      </c>
      <c r="G66" s="46">
        <v>132.4</v>
      </c>
      <c r="H66" s="46">
        <v>132.4</v>
      </c>
      <c r="I66" s="46">
        <v>132.4</v>
      </c>
      <c r="J66" s="46">
        <v>132.4</v>
      </c>
      <c r="K66" s="46">
        <v>132.4</v>
      </c>
      <c r="L66" s="46">
        <v>132.4</v>
      </c>
      <c r="M66" s="46">
        <v>132.4</v>
      </c>
      <c r="N66" s="46">
        <v>132.4</v>
      </c>
      <c r="O66" s="46">
        <v>128.19999999999999</v>
      </c>
      <c r="P66" s="46">
        <v>128.19999999999999</v>
      </c>
      <c r="Q66" s="46">
        <v>130.9</v>
      </c>
      <c r="R66" s="46">
        <v>130.9</v>
      </c>
      <c r="S66" s="46">
        <v>130.9</v>
      </c>
      <c r="T66" s="46">
        <v>130.9</v>
      </c>
      <c r="U66" s="46">
        <v>130.9</v>
      </c>
      <c r="V66" s="46">
        <v>130.9</v>
      </c>
      <c r="W66" s="46">
        <v>130.9</v>
      </c>
      <c r="X66" s="46">
        <v>130.9</v>
      </c>
      <c r="Y66" s="46">
        <v>130.9</v>
      </c>
      <c r="Z66" s="46">
        <v>130.9</v>
      </c>
      <c r="AA66" s="46">
        <v>130.9</v>
      </c>
      <c r="AB66" s="46">
        <v>0</v>
      </c>
      <c r="AC66" s="46">
        <v>133.9</v>
      </c>
      <c r="AD66" s="46">
        <v>133.9</v>
      </c>
      <c r="AE66" s="46">
        <v>133.9</v>
      </c>
      <c r="AF66" s="46">
        <v>133.9</v>
      </c>
      <c r="AG66" s="61">
        <v>144</v>
      </c>
      <c r="AH66" s="48">
        <f t="shared" si="2"/>
        <v>133.9</v>
      </c>
      <c r="AI66" s="49">
        <f t="shared" si="3"/>
        <v>0</v>
      </c>
      <c r="AK66" s="51"/>
      <c r="AY66" s="1" t="s">
        <v>86</v>
      </c>
      <c r="AZ66" s="82">
        <f>ROUND(C84,0)</f>
        <v>-44</v>
      </c>
      <c r="BA66" s="81">
        <f t="shared" ref="BA66:BD70" si="36">D84</f>
        <v>-47</v>
      </c>
      <c r="BB66" s="81">
        <f t="shared" si="36"/>
        <v>-55</v>
      </c>
      <c r="BC66" s="81">
        <f t="shared" si="36"/>
        <v>-23</v>
      </c>
      <c r="BD66" s="81">
        <f t="shared" si="36"/>
        <v>-21.2</v>
      </c>
      <c r="BE66" s="82">
        <f>I84</f>
        <v>-34.5</v>
      </c>
      <c r="BF66" s="82">
        <f>K84</f>
        <v>-38</v>
      </c>
      <c r="BG66" s="82">
        <f t="shared" ref="BG66:BP70" si="37">M84</f>
        <v>-59</v>
      </c>
      <c r="BH66" s="82">
        <f t="shared" si="37"/>
        <v>-36.5</v>
      </c>
      <c r="BI66" s="82">
        <f t="shared" si="37"/>
        <v>-56</v>
      </c>
      <c r="BJ66" s="82">
        <f t="shared" si="37"/>
        <v>-55</v>
      </c>
      <c r="BK66" s="82">
        <f t="shared" si="37"/>
        <v>-66.2</v>
      </c>
      <c r="BL66" s="82">
        <f t="shared" si="37"/>
        <v>-51</v>
      </c>
      <c r="BM66" s="82">
        <f t="shared" si="37"/>
        <v>-51</v>
      </c>
      <c r="BN66" s="82">
        <f t="shared" si="37"/>
        <v>-54</v>
      </c>
      <c r="BO66" s="82">
        <f t="shared" si="37"/>
        <v>-61</v>
      </c>
      <c r="BP66" s="82">
        <f t="shared" si="37"/>
        <v>-65.599999999999994</v>
      </c>
      <c r="BQ66" s="82">
        <f>X84</f>
        <v>-59.6</v>
      </c>
      <c r="BR66" s="82">
        <f>Z84</f>
        <v>-61.9</v>
      </c>
      <c r="BS66" s="81">
        <f>AB84</f>
        <v>-46.3</v>
      </c>
      <c r="BT66" s="81">
        <f t="shared" ref="BT66:BV70" si="38">AD84</f>
        <v>-64.900000000000006</v>
      </c>
      <c r="BU66" s="81">
        <f t="shared" si="38"/>
        <v>-61.8</v>
      </c>
      <c r="BV66" s="81">
        <f t="shared" si="38"/>
        <v>-42.7</v>
      </c>
      <c r="BW66" s="81">
        <f>B84</f>
        <v>0</v>
      </c>
    </row>
    <row r="67" spans="1:75" x14ac:dyDescent="0.25">
      <c r="A67" s="65" t="s">
        <v>81</v>
      </c>
      <c r="B67" s="76"/>
      <c r="C67" s="76">
        <v>70</v>
      </c>
      <c r="D67" s="76">
        <v>70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70</v>
      </c>
      <c r="N67" s="76">
        <v>70</v>
      </c>
      <c r="O67" s="76">
        <v>70</v>
      </c>
      <c r="P67" s="76">
        <v>70</v>
      </c>
      <c r="Q67" s="76">
        <v>70</v>
      </c>
      <c r="R67" s="76">
        <v>70</v>
      </c>
      <c r="S67" s="76">
        <v>70</v>
      </c>
      <c r="T67" s="76">
        <v>70</v>
      </c>
      <c r="U67" s="76">
        <v>70</v>
      </c>
      <c r="V67" s="76">
        <v>70</v>
      </c>
      <c r="W67" s="76">
        <v>70</v>
      </c>
      <c r="X67" s="76">
        <v>70</v>
      </c>
      <c r="Y67" s="76">
        <v>70</v>
      </c>
      <c r="Z67" s="76">
        <v>70</v>
      </c>
      <c r="AA67" s="76">
        <v>70</v>
      </c>
      <c r="AB67" s="46">
        <v>69</v>
      </c>
      <c r="AC67" s="46">
        <v>69</v>
      </c>
      <c r="AD67" s="46">
        <v>69</v>
      </c>
      <c r="AE67" s="46">
        <v>69</v>
      </c>
      <c r="AF67" s="46">
        <v>69</v>
      </c>
      <c r="AG67" s="66">
        <v>70</v>
      </c>
      <c r="AH67" s="48">
        <f t="shared" si="2"/>
        <v>70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36"/>
        <v>0</v>
      </c>
      <c r="BB67" s="81">
        <f t="shared" si="36"/>
        <v>0</v>
      </c>
      <c r="BC67" s="81">
        <f t="shared" si="36"/>
        <v>0</v>
      </c>
      <c r="BD67" s="81">
        <f t="shared" si="36"/>
        <v>0</v>
      </c>
      <c r="BE67" s="82">
        <f>I85</f>
        <v>0</v>
      </c>
      <c r="BF67" s="82">
        <f>K85</f>
        <v>0</v>
      </c>
      <c r="BG67" s="82">
        <f t="shared" si="37"/>
        <v>0</v>
      </c>
      <c r="BH67" s="82">
        <f t="shared" si="37"/>
        <v>0</v>
      </c>
      <c r="BI67" s="82">
        <f t="shared" si="37"/>
        <v>0</v>
      </c>
      <c r="BJ67" s="82">
        <f t="shared" si="37"/>
        <v>0</v>
      </c>
      <c r="BK67" s="82">
        <f t="shared" si="37"/>
        <v>0</v>
      </c>
      <c r="BL67" s="82">
        <f t="shared" si="37"/>
        <v>0</v>
      </c>
      <c r="BM67" s="82">
        <f t="shared" si="37"/>
        <v>0</v>
      </c>
      <c r="BN67" s="82">
        <f t="shared" si="37"/>
        <v>0</v>
      </c>
      <c r="BO67" s="82">
        <f t="shared" si="37"/>
        <v>0</v>
      </c>
      <c r="BP67" s="82">
        <f t="shared" si="37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8"/>
        <v>0</v>
      </c>
      <c r="BU67" s="81">
        <f t="shared" si="38"/>
        <v>0</v>
      </c>
      <c r="BV67" s="81">
        <f t="shared" si="38"/>
        <v>0</v>
      </c>
      <c r="BW67" s="81">
        <f>B85</f>
        <v>0</v>
      </c>
    </row>
    <row r="68" spans="1:75" x14ac:dyDescent="0.25">
      <c r="A68" s="65" t="s">
        <v>82</v>
      </c>
      <c r="B68" s="76"/>
      <c r="C68" s="76">
        <v>63.3</v>
      </c>
      <c r="D68" s="76">
        <v>63.3</v>
      </c>
      <c r="E68" s="76">
        <v>63.3</v>
      </c>
      <c r="F68" s="76">
        <v>63.3</v>
      </c>
      <c r="G68" s="76">
        <v>63.3</v>
      </c>
      <c r="H68" s="76">
        <v>63.3</v>
      </c>
      <c r="I68" s="76">
        <v>63.3</v>
      </c>
      <c r="J68" s="76">
        <v>63.3</v>
      </c>
      <c r="K68" s="76">
        <v>63.3</v>
      </c>
      <c r="L68" s="76">
        <v>63.3</v>
      </c>
      <c r="M68" s="76">
        <v>63.3</v>
      </c>
      <c r="N68" s="76">
        <v>63.3</v>
      </c>
      <c r="O68" s="76">
        <v>64.2</v>
      </c>
      <c r="P68" s="76">
        <v>64.2</v>
      </c>
      <c r="Q68" s="76">
        <v>63.6</v>
      </c>
      <c r="R68" s="76">
        <v>63.6</v>
      </c>
      <c r="S68" s="76">
        <v>63.6</v>
      </c>
      <c r="T68" s="76">
        <v>63.6</v>
      </c>
      <c r="U68" s="76">
        <v>63.6</v>
      </c>
      <c r="V68" s="76">
        <v>63.6</v>
      </c>
      <c r="W68" s="76">
        <v>63.6</v>
      </c>
      <c r="X68" s="76">
        <v>63.6</v>
      </c>
      <c r="Y68" s="76">
        <v>63.6</v>
      </c>
      <c r="Z68" s="76">
        <v>63.6</v>
      </c>
      <c r="AA68" s="76">
        <v>63.6</v>
      </c>
      <c r="AB68" s="46">
        <v>64.7</v>
      </c>
      <c r="AC68" s="46">
        <v>64.7</v>
      </c>
      <c r="AD68" s="46">
        <v>64.7</v>
      </c>
      <c r="AE68" s="46">
        <v>64.7</v>
      </c>
      <c r="AF68" s="46">
        <v>64.7</v>
      </c>
      <c r="AG68" s="66">
        <v>69</v>
      </c>
      <c r="AH68" s="48">
        <f t="shared" si="2"/>
        <v>64.7</v>
      </c>
      <c r="AI68" s="49">
        <f t="shared" si="3"/>
        <v>63.3</v>
      </c>
      <c r="AK68" s="51"/>
      <c r="AL68" s="83"/>
      <c r="AO68" s="83"/>
      <c r="AY68" s="1" t="s">
        <v>90</v>
      </c>
      <c r="AZ68" s="82">
        <f>ROUND(C86,0)</f>
        <v>-640</v>
      </c>
      <c r="BA68" s="81">
        <f t="shared" si="36"/>
        <v>-623</v>
      </c>
      <c r="BB68" s="81">
        <f t="shared" si="36"/>
        <v>-592</v>
      </c>
      <c r="BC68" s="81">
        <f t="shared" si="36"/>
        <v>-604</v>
      </c>
      <c r="BD68" s="81">
        <f t="shared" si="36"/>
        <v>-635</v>
      </c>
      <c r="BE68" s="82">
        <f>I86</f>
        <v>-641</v>
      </c>
      <c r="BF68" s="82">
        <f>K86</f>
        <v>-595</v>
      </c>
      <c r="BG68" s="82">
        <f t="shared" si="37"/>
        <v>-602</v>
      </c>
      <c r="BH68" s="82">
        <f t="shared" si="37"/>
        <v>-625</v>
      </c>
      <c r="BI68" s="82">
        <f t="shared" si="37"/>
        <v>-666</v>
      </c>
      <c r="BJ68" s="82">
        <f t="shared" si="37"/>
        <v>-502</v>
      </c>
      <c r="BK68" s="82">
        <f t="shared" si="37"/>
        <v>-552.20000000000005</v>
      </c>
      <c r="BL68" s="82">
        <f t="shared" si="37"/>
        <v>-559</v>
      </c>
      <c r="BM68" s="82">
        <f t="shared" si="37"/>
        <v>-542</v>
      </c>
      <c r="BN68" s="82">
        <f t="shared" si="37"/>
        <v>-623</v>
      </c>
      <c r="BO68" s="82">
        <f t="shared" si="37"/>
        <v>-625</v>
      </c>
      <c r="BP68" s="82">
        <f t="shared" si="37"/>
        <v>-651</v>
      </c>
      <c r="BQ68" s="82">
        <f>X86</f>
        <v>-668</v>
      </c>
      <c r="BR68" s="82">
        <f>Z86</f>
        <v>-675</v>
      </c>
      <c r="BS68" s="81">
        <f>AB86</f>
        <v>-612.20000000000005</v>
      </c>
      <c r="BT68" s="81">
        <f t="shared" si="38"/>
        <v>-625</v>
      </c>
      <c r="BU68" s="81">
        <f t="shared" si="38"/>
        <v>-628.20000000000005</v>
      </c>
      <c r="BV68" s="81">
        <f t="shared" si="38"/>
        <v>-642</v>
      </c>
      <c r="BW68" s="81">
        <f>B86</f>
        <v>0</v>
      </c>
    </row>
    <row r="69" spans="1:75" s="83" customFormat="1" x14ac:dyDescent="0.25">
      <c r="A69" s="65" t="s">
        <v>83</v>
      </c>
      <c r="B69" s="76"/>
      <c r="C69" s="76">
        <v>61.2</v>
      </c>
      <c r="D69" s="76">
        <v>0</v>
      </c>
      <c r="E69" s="76">
        <v>60</v>
      </c>
      <c r="F69" s="76">
        <v>60</v>
      </c>
      <c r="G69" s="76">
        <v>60</v>
      </c>
      <c r="H69" s="76">
        <v>60</v>
      </c>
      <c r="I69" s="76">
        <v>60</v>
      </c>
      <c r="J69" s="76">
        <v>60</v>
      </c>
      <c r="K69" s="76">
        <v>60</v>
      </c>
      <c r="L69" s="76">
        <v>60</v>
      </c>
      <c r="M69" s="76">
        <v>60</v>
      </c>
      <c r="N69" s="76">
        <v>60</v>
      </c>
      <c r="O69" s="76">
        <v>60.4</v>
      </c>
      <c r="P69" s="76">
        <v>60.4</v>
      </c>
      <c r="Q69" s="76">
        <v>60.4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76">
        <v>60.4</v>
      </c>
      <c r="AB69" s="76">
        <v>60.4</v>
      </c>
      <c r="AC69" s="76">
        <v>60.4</v>
      </c>
      <c r="AD69" s="76">
        <v>60.4</v>
      </c>
      <c r="AE69" s="76">
        <v>60.4</v>
      </c>
      <c r="AF69" s="76">
        <v>0</v>
      </c>
      <c r="AG69" s="66">
        <v>60</v>
      </c>
      <c r="AH69" s="48">
        <f t="shared" si="2"/>
        <v>61.2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6"/>
        <v>0</v>
      </c>
      <c r="BB69" s="81">
        <f t="shared" si="36"/>
        <v>0</v>
      </c>
      <c r="BC69" s="81">
        <f t="shared" si="36"/>
        <v>0</v>
      </c>
      <c r="BD69" s="81">
        <f t="shared" si="36"/>
        <v>0</v>
      </c>
      <c r="BE69" s="82">
        <f>I87</f>
        <v>0</v>
      </c>
      <c r="BF69" s="82">
        <f>K87</f>
        <v>0</v>
      </c>
      <c r="BG69" s="82">
        <f t="shared" si="37"/>
        <v>0</v>
      </c>
      <c r="BH69" s="82">
        <f t="shared" si="37"/>
        <v>0</v>
      </c>
      <c r="BI69" s="82">
        <f t="shared" si="37"/>
        <v>0</v>
      </c>
      <c r="BJ69" s="82">
        <f t="shared" si="37"/>
        <v>0</v>
      </c>
      <c r="BK69" s="82">
        <f t="shared" si="37"/>
        <v>0</v>
      </c>
      <c r="BL69" s="82">
        <f t="shared" si="37"/>
        <v>0</v>
      </c>
      <c r="BM69" s="82">
        <f t="shared" si="37"/>
        <v>0</v>
      </c>
      <c r="BN69" s="82">
        <f t="shared" si="37"/>
        <v>0</v>
      </c>
      <c r="BO69" s="82">
        <f t="shared" si="37"/>
        <v>0</v>
      </c>
      <c r="BP69" s="82">
        <f t="shared" si="37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8"/>
        <v>0</v>
      </c>
      <c r="BU69" s="81">
        <f t="shared" si="38"/>
        <v>0</v>
      </c>
      <c r="BV69" s="81">
        <f t="shared" si="38"/>
        <v>0</v>
      </c>
      <c r="BW69" s="81">
        <f>B87</f>
        <v>0</v>
      </c>
    </row>
    <row r="70" spans="1:75" x14ac:dyDescent="0.25">
      <c r="A70" s="65" t="s">
        <v>84</v>
      </c>
      <c r="B70" s="46"/>
      <c r="C70" s="46">
        <v>27.5</v>
      </c>
      <c r="D70" s="46">
        <v>27.5</v>
      </c>
      <c r="E70" s="46">
        <v>27.5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14.6</v>
      </c>
      <c r="P70" s="46">
        <v>14.6</v>
      </c>
      <c r="Q70" s="46">
        <v>14.6</v>
      </c>
      <c r="R70" s="46">
        <v>14.6</v>
      </c>
      <c r="S70" s="46">
        <v>27.5</v>
      </c>
      <c r="T70" s="46">
        <v>27.5</v>
      </c>
      <c r="U70" s="46">
        <v>27.5</v>
      </c>
      <c r="V70" s="46">
        <v>27.5</v>
      </c>
      <c r="W70" s="46">
        <v>27.5</v>
      </c>
      <c r="X70" s="46">
        <v>27.5</v>
      </c>
      <c r="Y70" s="46">
        <v>27.5</v>
      </c>
      <c r="Z70" s="46">
        <v>27.5</v>
      </c>
      <c r="AA70" s="46">
        <v>27.5</v>
      </c>
      <c r="AB70" s="46">
        <v>27.5</v>
      </c>
      <c r="AC70" s="46">
        <v>27.5</v>
      </c>
      <c r="AD70" s="46">
        <v>27.5</v>
      </c>
      <c r="AE70" s="46">
        <v>27.5</v>
      </c>
      <c r="AF70" s="46">
        <v>27.5</v>
      </c>
      <c r="AG70" s="66">
        <v>30</v>
      </c>
      <c r="AH70" s="48">
        <f t="shared" si="2"/>
        <v>27.5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6"/>
        <v>0</v>
      </c>
      <c r="BB70" s="81">
        <f t="shared" si="36"/>
        <v>0</v>
      </c>
      <c r="BC70" s="81">
        <f t="shared" si="36"/>
        <v>0</v>
      </c>
      <c r="BD70" s="81">
        <f t="shared" si="36"/>
        <v>0</v>
      </c>
      <c r="BE70" s="82">
        <f>I88</f>
        <v>0</v>
      </c>
      <c r="BF70" s="82">
        <f>K88</f>
        <v>0</v>
      </c>
      <c r="BG70" s="82">
        <f t="shared" si="37"/>
        <v>0</v>
      </c>
      <c r="BH70" s="82">
        <f t="shared" si="37"/>
        <v>0</v>
      </c>
      <c r="BI70" s="82">
        <f t="shared" si="37"/>
        <v>0</v>
      </c>
      <c r="BJ70" s="82">
        <f t="shared" si="37"/>
        <v>0</v>
      </c>
      <c r="BK70" s="82">
        <f t="shared" si="37"/>
        <v>0</v>
      </c>
      <c r="BL70" s="82">
        <f t="shared" si="37"/>
        <v>0</v>
      </c>
      <c r="BM70" s="82">
        <f t="shared" si="37"/>
        <v>0</v>
      </c>
      <c r="BN70" s="82">
        <f t="shared" si="37"/>
        <v>0</v>
      </c>
      <c r="BO70" s="82">
        <f t="shared" si="37"/>
        <v>0</v>
      </c>
      <c r="BP70" s="82">
        <f t="shared" si="37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8"/>
        <v>0</v>
      </c>
      <c r="BU70" s="81">
        <f t="shared" si="38"/>
        <v>0</v>
      </c>
      <c r="BV70" s="81">
        <f t="shared" si="38"/>
        <v>0</v>
      </c>
      <c r="BW70" s="81">
        <f>B88</f>
        <v>0</v>
      </c>
    </row>
    <row r="71" spans="1:75" x14ac:dyDescent="0.25">
      <c r="A71" s="65" t="s">
        <v>85</v>
      </c>
      <c r="B71" s="46"/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0.8</v>
      </c>
      <c r="J71" s="46">
        <v>1.2</v>
      </c>
      <c r="K71" s="46">
        <v>1.2</v>
      </c>
      <c r="L71" s="46">
        <v>1.2</v>
      </c>
      <c r="M71" s="46">
        <v>1.2</v>
      </c>
      <c r="N71" s="46">
        <v>1.2</v>
      </c>
      <c r="O71" s="46">
        <v>16.3</v>
      </c>
      <c r="P71" s="46">
        <v>16.3</v>
      </c>
      <c r="Q71" s="46">
        <v>17.8</v>
      </c>
      <c r="R71" s="46">
        <v>17.8</v>
      </c>
      <c r="S71" s="46">
        <v>12.34</v>
      </c>
      <c r="T71" s="46">
        <v>8.61</v>
      </c>
      <c r="U71" s="46">
        <v>7.03</v>
      </c>
      <c r="V71" s="46">
        <v>3.43</v>
      </c>
      <c r="W71" s="46">
        <v>1.57</v>
      </c>
      <c r="X71" s="46">
        <v>1.2</v>
      </c>
      <c r="Y71" s="46">
        <v>0.3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17.8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9">M94</f>
        <v>0</v>
      </c>
      <c r="BH71" s="82">
        <f t="shared" si="39"/>
        <v>0</v>
      </c>
      <c r="BI71" s="82">
        <f t="shared" si="39"/>
        <v>0</v>
      </c>
      <c r="BJ71" s="82">
        <f t="shared" si="39"/>
        <v>0</v>
      </c>
      <c r="BK71" s="82">
        <f t="shared" si="39"/>
        <v>0</v>
      </c>
      <c r="BL71" s="82">
        <f t="shared" si="39"/>
        <v>0</v>
      </c>
      <c r="BM71" s="82">
        <f t="shared" si="39"/>
        <v>0</v>
      </c>
      <c r="BN71" s="82">
        <f t="shared" si="39"/>
        <v>0</v>
      </c>
      <c r="BO71" s="82">
        <f t="shared" si="39"/>
        <v>0</v>
      </c>
      <c r="BP71" s="82">
        <f t="shared" si="3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/>
      <c r="C72" s="76">
        <v>15.8</v>
      </c>
      <c r="D72" s="76">
        <v>15.8</v>
      </c>
      <c r="E72" s="76">
        <v>15.8</v>
      </c>
      <c r="F72" s="76">
        <v>15.8</v>
      </c>
      <c r="G72" s="76">
        <v>15.8</v>
      </c>
      <c r="H72" s="76">
        <v>15.8</v>
      </c>
      <c r="I72" s="76">
        <v>9.6</v>
      </c>
      <c r="J72" s="76">
        <v>13.9</v>
      </c>
      <c r="K72" s="76">
        <v>13.9</v>
      </c>
      <c r="L72" s="76">
        <v>13.9</v>
      </c>
      <c r="M72" s="76">
        <v>13.9</v>
      </c>
      <c r="N72" s="76">
        <v>13.9</v>
      </c>
      <c r="O72" s="76">
        <v>10.7</v>
      </c>
      <c r="P72" s="76">
        <v>10.7</v>
      </c>
      <c r="Q72" s="76">
        <v>10.7</v>
      </c>
      <c r="R72" s="76">
        <v>10.7</v>
      </c>
      <c r="S72" s="76">
        <v>10.7</v>
      </c>
      <c r="T72" s="76">
        <v>10.7</v>
      </c>
      <c r="U72" s="76">
        <v>10.7</v>
      </c>
      <c r="V72" s="76">
        <v>10.7</v>
      </c>
      <c r="W72" s="76">
        <v>10.7</v>
      </c>
      <c r="X72" s="76">
        <v>14.4</v>
      </c>
      <c r="Y72" s="76">
        <v>14.4</v>
      </c>
      <c r="Z72" s="76">
        <v>14.4</v>
      </c>
      <c r="AA72" s="76">
        <v>14.4</v>
      </c>
      <c r="AB72" s="76">
        <v>14.4</v>
      </c>
      <c r="AC72" s="76">
        <v>14</v>
      </c>
      <c r="AD72" s="76">
        <v>14</v>
      </c>
      <c r="AE72" s="76">
        <v>14</v>
      </c>
      <c r="AF72" s="76">
        <v>14</v>
      </c>
      <c r="AG72" s="66">
        <v>24</v>
      </c>
      <c r="AH72" s="48">
        <f t="shared" si="2"/>
        <v>15.8</v>
      </c>
      <c r="AI72" s="49">
        <f t="shared" si="3"/>
        <v>9.6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/>
      <c r="C73" s="76">
        <v>3.3</v>
      </c>
      <c r="D73" s="76">
        <v>3.3</v>
      </c>
      <c r="E73" s="76">
        <v>3.3</v>
      </c>
      <c r="F73" s="76">
        <v>3.3</v>
      </c>
      <c r="G73" s="76">
        <v>3.3</v>
      </c>
      <c r="H73" s="76">
        <v>3.3</v>
      </c>
      <c r="I73" s="76">
        <v>3.3</v>
      </c>
      <c r="J73" s="76">
        <v>3.3</v>
      </c>
      <c r="K73" s="76">
        <v>3.3</v>
      </c>
      <c r="L73" s="76">
        <v>3.3</v>
      </c>
      <c r="M73" s="76">
        <v>3.3</v>
      </c>
      <c r="N73" s="76">
        <v>3.3</v>
      </c>
      <c r="O73" s="76">
        <v>3.3</v>
      </c>
      <c r="P73" s="76">
        <v>3.3</v>
      </c>
      <c r="Q73" s="76">
        <v>3.3</v>
      </c>
      <c r="R73" s="76">
        <v>3.3</v>
      </c>
      <c r="S73" s="76">
        <v>3.3</v>
      </c>
      <c r="T73" s="76">
        <v>3.3</v>
      </c>
      <c r="U73" s="76">
        <v>3.3</v>
      </c>
      <c r="V73" s="76">
        <v>3.3</v>
      </c>
      <c r="W73" s="76">
        <v>3.3</v>
      </c>
      <c r="X73" s="76">
        <v>3.3</v>
      </c>
      <c r="Y73" s="76">
        <v>3.3</v>
      </c>
      <c r="Z73" s="76">
        <v>3.3</v>
      </c>
      <c r="AA73" s="76">
        <v>3.3</v>
      </c>
      <c r="AB73" s="76">
        <v>3.3</v>
      </c>
      <c r="AC73" s="76">
        <v>3.3</v>
      </c>
      <c r="AD73" s="76">
        <v>3.3</v>
      </c>
      <c r="AE73" s="76">
        <v>3.3</v>
      </c>
      <c r="AF73" s="76">
        <v>3.3</v>
      </c>
      <c r="AG73" s="66">
        <v>15</v>
      </c>
      <c r="AH73" s="48">
        <f t="shared" si="2"/>
        <v>3.3</v>
      </c>
      <c r="AI73" s="49">
        <f t="shared" si="3"/>
        <v>3.3</v>
      </c>
      <c r="AK73" s="51"/>
      <c r="AZ73" s="82">
        <f t="shared" ref="AZ73:BW78" si="40">VALUE(AZ66)</f>
        <v>-44</v>
      </c>
      <c r="BA73" s="82">
        <f t="shared" si="40"/>
        <v>-47</v>
      </c>
      <c r="BB73" s="82">
        <f t="shared" si="40"/>
        <v>-55</v>
      </c>
      <c r="BC73" s="82">
        <f t="shared" si="40"/>
        <v>-23</v>
      </c>
      <c r="BD73" s="82">
        <f t="shared" si="40"/>
        <v>-21.2</v>
      </c>
      <c r="BE73" s="82">
        <f t="shared" si="40"/>
        <v>-34.5</v>
      </c>
      <c r="BF73" s="82">
        <f t="shared" si="40"/>
        <v>-38</v>
      </c>
      <c r="BG73" s="82">
        <f t="shared" si="40"/>
        <v>-59</v>
      </c>
      <c r="BH73" s="82">
        <f t="shared" si="40"/>
        <v>-36.5</v>
      </c>
      <c r="BI73" s="82">
        <f t="shared" si="40"/>
        <v>-56</v>
      </c>
      <c r="BJ73" s="82">
        <f t="shared" si="40"/>
        <v>-55</v>
      </c>
      <c r="BK73" s="82">
        <f t="shared" si="40"/>
        <v>-66.2</v>
      </c>
      <c r="BL73" s="82">
        <f t="shared" si="40"/>
        <v>-51</v>
      </c>
      <c r="BM73" s="82">
        <f t="shared" si="40"/>
        <v>-51</v>
      </c>
      <c r="BN73" s="82">
        <f t="shared" si="40"/>
        <v>-54</v>
      </c>
      <c r="BO73" s="82">
        <f t="shared" si="40"/>
        <v>-61</v>
      </c>
      <c r="BP73" s="82">
        <f t="shared" si="40"/>
        <v>-65.599999999999994</v>
      </c>
      <c r="BQ73" s="82">
        <f t="shared" si="40"/>
        <v>-59.6</v>
      </c>
      <c r="BR73" s="82">
        <f t="shared" si="40"/>
        <v>-61.9</v>
      </c>
      <c r="BS73" s="82">
        <f t="shared" si="40"/>
        <v>-46.3</v>
      </c>
      <c r="BT73" s="82">
        <f t="shared" si="40"/>
        <v>-64.900000000000006</v>
      </c>
      <c r="BU73" s="82">
        <f t="shared" si="40"/>
        <v>-61.8</v>
      </c>
      <c r="BV73" s="82">
        <f t="shared" si="40"/>
        <v>-42.7</v>
      </c>
      <c r="BW73" s="82">
        <f t="shared" si="40"/>
        <v>0</v>
      </c>
    </row>
    <row r="74" spans="1:75" x14ac:dyDescent="0.25">
      <c r="A74" s="65" t="s">
        <v>91</v>
      </c>
      <c r="B74" s="76"/>
      <c r="C74" s="76">
        <v>7.6</v>
      </c>
      <c r="D74" s="76">
        <v>7.6</v>
      </c>
      <c r="E74" s="76">
        <v>7.6</v>
      </c>
      <c r="F74" s="76">
        <v>7.6</v>
      </c>
      <c r="G74" s="76">
        <v>7.6</v>
      </c>
      <c r="H74" s="76">
        <v>7.6</v>
      </c>
      <c r="I74" s="76">
        <v>7.6</v>
      </c>
      <c r="J74" s="76">
        <v>7.6</v>
      </c>
      <c r="K74" s="76">
        <v>7.6</v>
      </c>
      <c r="L74" s="76">
        <v>7.6</v>
      </c>
      <c r="M74" s="76">
        <v>7.6</v>
      </c>
      <c r="N74" s="76">
        <v>7.6</v>
      </c>
      <c r="O74" s="76">
        <v>8.6</v>
      </c>
      <c r="P74" s="76">
        <v>8.6</v>
      </c>
      <c r="Q74" s="76">
        <v>8.6</v>
      </c>
      <c r="R74" s="76">
        <v>8.6</v>
      </c>
      <c r="S74" s="76">
        <v>8.6</v>
      </c>
      <c r="T74" s="76">
        <v>8.6</v>
      </c>
      <c r="U74" s="76">
        <v>8.6</v>
      </c>
      <c r="V74" s="76">
        <v>8.6</v>
      </c>
      <c r="W74" s="76">
        <v>8.6</v>
      </c>
      <c r="X74" s="76">
        <v>8.6</v>
      </c>
      <c r="Y74" s="76">
        <v>8.6</v>
      </c>
      <c r="Z74" s="76">
        <v>8.6</v>
      </c>
      <c r="AA74" s="76">
        <v>8.6</v>
      </c>
      <c r="AB74" s="76">
        <v>8.6</v>
      </c>
      <c r="AC74" s="76">
        <v>8.6</v>
      </c>
      <c r="AD74" s="76">
        <v>8.6</v>
      </c>
      <c r="AE74" s="76">
        <v>8.6</v>
      </c>
      <c r="AF74" s="76">
        <v>8.6</v>
      </c>
      <c r="AG74" s="66">
        <v>14.1</v>
      </c>
      <c r="AH74" s="48">
        <f t="shared" si="2"/>
        <v>8.6</v>
      </c>
      <c r="AI74" s="49">
        <f t="shared" si="3"/>
        <v>7.6</v>
      </c>
      <c r="AK74" s="51"/>
      <c r="AZ74" s="82">
        <f t="shared" si="40"/>
        <v>0</v>
      </c>
      <c r="BA74" s="82">
        <f t="shared" si="40"/>
        <v>0</v>
      </c>
      <c r="BB74" s="82">
        <f t="shared" si="40"/>
        <v>0</v>
      </c>
      <c r="BC74" s="82">
        <f t="shared" si="40"/>
        <v>0</v>
      </c>
      <c r="BD74" s="82">
        <f t="shared" si="40"/>
        <v>0</v>
      </c>
      <c r="BE74" s="82">
        <f t="shared" si="40"/>
        <v>0</v>
      </c>
      <c r="BF74" s="82">
        <f t="shared" si="40"/>
        <v>0</v>
      </c>
      <c r="BG74" s="82">
        <f t="shared" si="40"/>
        <v>0</v>
      </c>
      <c r="BH74" s="82">
        <f t="shared" si="40"/>
        <v>0</v>
      </c>
      <c r="BI74" s="82">
        <f t="shared" si="40"/>
        <v>0</v>
      </c>
      <c r="BJ74" s="82">
        <f t="shared" si="40"/>
        <v>0</v>
      </c>
      <c r="BK74" s="82">
        <f t="shared" si="40"/>
        <v>0</v>
      </c>
      <c r="BL74" s="82">
        <f t="shared" si="40"/>
        <v>0</v>
      </c>
      <c r="BM74" s="82">
        <f t="shared" si="40"/>
        <v>0</v>
      </c>
      <c r="BN74" s="82">
        <f t="shared" si="40"/>
        <v>0</v>
      </c>
      <c r="BO74" s="82">
        <f t="shared" si="40"/>
        <v>0</v>
      </c>
      <c r="BP74" s="82">
        <f t="shared" si="40"/>
        <v>0</v>
      </c>
      <c r="BQ74" s="82">
        <f t="shared" si="40"/>
        <v>0</v>
      </c>
      <c r="BR74" s="82">
        <f t="shared" si="40"/>
        <v>0</v>
      </c>
      <c r="BS74" s="82">
        <f t="shared" si="40"/>
        <v>0</v>
      </c>
      <c r="BT74" s="82">
        <f t="shared" si="40"/>
        <v>0</v>
      </c>
      <c r="BU74" s="82">
        <f t="shared" si="40"/>
        <v>0</v>
      </c>
      <c r="BV74" s="82">
        <f t="shared" si="40"/>
        <v>0</v>
      </c>
      <c r="BW74" s="82">
        <f t="shared" si="40"/>
        <v>0</v>
      </c>
    </row>
    <row r="75" spans="1:75" x14ac:dyDescent="0.25">
      <c r="A75" s="84" t="s">
        <v>93</v>
      </c>
      <c r="B75" s="76"/>
      <c r="C75" s="76">
        <v>14</v>
      </c>
      <c r="D75" s="76">
        <v>14</v>
      </c>
      <c r="E75" s="76">
        <v>14</v>
      </c>
      <c r="F75" s="76">
        <v>14</v>
      </c>
      <c r="G75" s="76">
        <v>14</v>
      </c>
      <c r="H75" s="76">
        <v>14</v>
      </c>
      <c r="I75" s="76">
        <v>7.3</v>
      </c>
      <c r="J75" s="76">
        <v>7.3</v>
      </c>
      <c r="K75" s="76">
        <v>7.3</v>
      </c>
      <c r="L75" s="76">
        <v>7.3</v>
      </c>
      <c r="M75" s="76">
        <v>7.3</v>
      </c>
      <c r="N75" s="76">
        <v>7.3</v>
      </c>
      <c r="O75" s="76">
        <v>12.1</v>
      </c>
      <c r="P75" s="76">
        <v>12.1</v>
      </c>
      <c r="Q75" s="76">
        <v>12.1</v>
      </c>
      <c r="R75" s="76">
        <v>12.1</v>
      </c>
      <c r="S75" s="76">
        <v>12.1</v>
      </c>
      <c r="T75" s="76">
        <v>12.1</v>
      </c>
      <c r="U75" s="76">
        <v>12.1</v>
      </c>
      <c r="V75" s="76">
        <v>12.1</v>
      </c>
      <c r="W75" s="76">
        <v>12.1</v>
      </c>
      <c r="X75" s="76">
        <v>7.5</v>
      </c>
      <c r="Y75" s="76">
        <v>7.5</v>
      </c>
      <c r="Z75" s="76">
        <v>12.5</v>
      </c>
      <c r="AA75" s="76">
        <v>12.5</v>
      </c>
      <c r="AB75" s="76">
        <v>12.5</v>
      </c>
      <c r="AC75" s="76">
        <v>12.5</v>
      </c>
      <c r="AD75" s="76">
        <v>12.5</v>
      </c>
      <c r="AE75" s="76">
        <v>12.5</v>
      </c>
      <c r="AF75" s="76">
        <v>12.5</v>
      </c>
      <c r="AG75" s="66">
        <v>14</v>
      </c>
      <c r="AH75" s="48">
        <f t="shared" ref="AH75:AH128" si="41">MAX(B75:AF75)</f>
        <v>14</v>
      </c>
      <c r="AI75" s="49">
        <f t="shared" ref="AI75:AI128" si="42">MIN(B75:AF75)</f>
        <v>7.3</v>
      </c>
      <c r="AK75" s="51"/>
      <c r="AZ75" s="82">
        <f t="shared" si="40"/>
        <v>-640</v>
      </c>
      <c r="BA75" s="82">
        <f t="shared" si="40"/>
        <v>-623</v>
      </c>
      <c r="BB75" s="82">
        <f t="shared" si="40"/>
        <v>-592</v>
      </c>
      <c r="BC75" s="82">
        <f t="shared" si="40"/>
        <v>-604</v>
      </c>
      <c r="BD75" s="82">
        <f t="shared" si="40"/>
        <v>-635</v>
      </c>
      <c r="BE75" s="82">
        <f t="shared" si="40"/>
        <v>-641</v>
      </c>
      <c r="BF75" s="82">
        <f t="shared" si="40"/>
        <v>-595</v>
      </c>
      <c r="BG75" s="82">
        <f t="shared" si="40"/>
        <v>-602</v>
      </c>
      <c r="BH75" s="82">
        <f t="shared" si="40"/>
        <v>-625</v>
      </c>
      <c r="BI75" s="82">
        <f t="shared" si="40"/>
        <v>-666</v>
      </c>
      <c r="BJ75" s="82">
        <f t="shared" si="40"/>
        <v>-502</v>
      </c>
      <c r="BK75" s="82">
        <f t="shared" si="40"/>
        <v>-552.20000000000005</v>
      </c>
      <c r="BL75" s="82">
        <f t="shared" si="40"/>
        <v>-559</v>
      </c>
      <c r="BM75" s="82">
        <f t="shared" si="40"/>
        <v>-542</v>
      </c>
      <c r="BN75" s="82">
        <f t="shared" si="40"/>
        <v>-623</v>
      </c>
      <c r="BO75" s="82">
        <f t="shared" si="40"/>
        <v>-625</v>
      </c>
      <c r="BP75" s="82">
        <f t="shared" si="40"/>
        <v>-651</v>
      </c>
      <c r="BQ75" s="82">
        <f t="shared" si="40"/>
        <v>-668</v>
      </c>
      <c r="BR75" s="82">
        <f t="shared" si="40"/>
        <v>-675</v>
      </c>
      <c r="BS75" s="82">
        <f t="shared" si="40"/>
        <v>-612.20000000000005</v>
      </c>
      <c r="BT75" s="82">
        <f t="shared" si="40"/>
        <v>-625</v>
      </c>
      <c r="BU75" s="82">
        <f t="shared" si="40"/>
        <v>-628.20000000000005</v>
      </c>
      <c r="BV75" s="82">
        <f t="shared" si="40"/>
        <v>-642</v>
      </c>
      <c r="BW75" s="82">
        <f t="shared" si="40"/>
        <v>0</v>
      </c>
    </row>
    <row r="76" spans="1:75" x14ac:dyDescent="0.25">
      <c r="A76" s="65" t="s">
        <v>95</v>
      </c>
      <c r="B76" s="76"/>
      <c r="C76" s="76">
        <v>10</v>
      </c>
      <c r="D76" s="76">
        <v>10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66">
        <v>10.050000000000001</v>
      </c>
      <c r="AH76" s="48">
        <f t="shared" si="41"/>
        <v>10</v>
      </c>
      <c r="AI76" s="49">
        <f t="shared" si="42"/>
        <v>10</v>
      </c>
      <c r="AK76" s="51"/>
      <c r="AZ76" s="82">
        <f t="shared" si="40"/>
        <v>0</v>
      </c>
      <c r="BA76" s="82">
        <f t="shared" si="40"/>
        <v>0</v>
      </c>
      <c r="BB76" s="82">
        <f t="shared" si="40"/>
        <v>0</v>
      </c>
      <c r="BC76" s="82">
        <f t="shared" si="40"/>
        <v>0</v>
      </c>
      <c r="BD76" s="82">
        <f t="shared" si="40"/>
        <v>0</v>
      </c>
      <c r="BE76" s="82">
        <f t="shared" si="40"/>
        <v>0</v>
      </c>
      <c r="BF76" s="82">
        <f t="shared" si="40"/>
        <v>0</v>
      </c>
      <c r="BG76" s="82">
        <f t="shared" si="40"/>
        <v>0</v>
      </c>
      <c r="BH76" s="82">
        <f t="shared" si="40"/>
        <v>0</v>
      </c>
      <c r="BI76" s="82">
        <f t="shared" si="40"/>
        <v>0</v>
      </c>
      <c r="BJ76" s="82">
        <f t="shared" si="40"/>
        <v>0</v>
      </c>
      <c r="BK76" s="82">
        <f t="shared" si="40"/>
        <v>0</v>
      </c>
      <c r="BL76" s="82">
        <f t="shared" si="40"/>
        <v>0</v>
      </c>
      <c r="BM76" s="82">
        <f t="shared" si="40"/>
        <v>0</v>
      </c>
      <c r="BN76" s="82">
        <f t="shared" si="40"/>
        <v>0</v>
      </c>
      <c r="BO76" s="82">
        <f t="shared" si="40"/>
        <v>0</v>
      </c>
      <c r="BP76" s="82">
        <f t="shared" si="40"/>
        <v>0</v>
      </c>
      <c r="BQ76" s="82">
        <f t="shared" si="40"/>
        <v>0</v>
      </c>
      <c r="BR76" s="82">
        <f t="shared" si="40"/>
        <v>0</v>
      </c>
      <c r="BS76" s="82">
        <f t="shared" si="40"/>
        <v>0</v>
      </c>
      <c r="BT76" s="82">
        <f t="shared" si="40"/>
        <v>0</v>
      </c>
      <c r="BU76" s="82">
        <f t="shared" si="40"/>
        <v>0</v>
      </c>
      <c r="BV76" s="82">
        <f t="shared" si="40"/>
        <v>0</v>
      </c>
      <c r="BW76" s="82">
        <f t="shared" si="40"/>
        <v>0</v>
      </c>
    </row>
    <row r="77" spans="1:75" x14ac:dyDescent="0.25">
      <c r="A77" s="65" t="s">
        <v>97</v>
      </c>
      <c r="B77" s="76"/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>
        <v>6</v>
      </c>
      <c r="O77" s="76">
        <v>6</v>
      </c>
      <c r="P77" s="76">
        <v>6</v>
      </c>
      <c r="Q77" s="76">
        <v>6</v>
      </c>
      <c r="R77" s="76">
        <v>6</v>
      </c>
      <c r="S77" s="76">
        <v>6</v>
      </c>
      <c r="T77" s="76">
        <v>6</v>
      </c>
      <c r="U77" s="76">
        <v>6</v>
      </c>
      <c r="V77" s="76">
        <v>6</v>
      </c>
      <c r="W77" s="76">
        <v>6</v>
      </c>
      <c r="X77" s="76">
        <v>6</v>
      </c>
      <c r="Y77" s="76">
        <v>6</v>
      </c>
      <c r="Z77" s="76">
        <v>6</v>
      </c>
      <c r="AA77" s="76">
        <v>6</v>
      </c>
      <c r="AB77" s="76">
        <v>6</v>
      </c>
      <c r="AC77" s="76">
        <v>6</v>
      </c>
      <c r="AD77" s="76">
        <v>6</v>
      </c>
      <c r="AE77" s="76">
        <v>6</v>
      </c>
      <c r="AF77" s="76">
        <v>6</v>
      </c>
      <c r="AG77" s="66">
        <v>6.2</v>
      </c>
      <c r="AH77" s="48">
        <f t="shared" si="41"/>
        <v>6</v>
      </c>
      <c r="AI77" s="49">
        <f t="shared" si="42"/>
        <v>6</v>
      </c>
      <c r="AK77" s="51"/>
      <c r="AZ77" s="82">
        <f t="shared" si="40"/>
        <v>0</v>
      </c>
      <c r="BA77" s="82">
        <f t="shared" si="40"/>
        <v>0</v>
      </c>
      <c r="BB77" s="82">
        <f t="shared" si="40"/>
        <v>0</v>
      </c>
      <c r="BC77" s="82">
        <f t="shared" si="40"/>
        <v>0</v>
      </c>
      <c r="BD77" s="82">
        <f t="shared" si="40"/>
        <v>0</v>
      </c>
      <c r="BE77" s="82">
        <f t="shared" si="40"/>
        <v>0</v>
      </c>
      <c r="BF77" s="82">
        <f t="shared" si="40"/>
        <v>0</v>
      </c>
      <c r="BG77" s="82">
        <f t="shared" si="40"/>
        <v>0</v>
      </c>
      <c r="BH77" s="82">
        <f t="shared" si="40"/>
        <v>0</v>
      </c>
      <c r="BI77" s="82">
        <f t="shared" si="40"/>
        <v>0</v>
      </c>
      <c r="BJ77" s="82">
        <f t="shared" si="40"/>
        <v>0</v>
      </c>
      <c r="BK77" s="82">
        <f t="shared" si="40"/>
        <v>0</v>
      </c>
      <c r="BL77" s="82">
        <f t="shared" si="40"/>
        <v>0</v>
      </c>
      <c r="BM77" s="82">
        <f t="shared" si="40"/>
        <v>0</v>
      </c>
      <c r="BN77" s="82">
        <f t="shared" si="40"/>
        <v>0</v>
      </c>
      <c r="BO77" s="82">
        <f t="shared" si="40"/>
        <v>0</v>
      </c>
      <c r="BP77" s="82">
        <f t="shared" si="40"/>
        <v>0</v>
      </c>
      <c r="BQ77" s="82">
        <f t="shared" si="40"/>
        <v>0</v>
      </c>
      <c r="BR77" s="82">
        <f t="shared" si="40"/>
        <v>0</v>
      </c>
      <c r="BS77" s="82">
        <f t="shared" si="40"/>
        <v>0</v>
      </c>
      <c r="BT77" s="82">
        <f t="shared" si="40"/>
        <v>0</v>
      </c>
      <c r="BU77" s="82">
        <f t="shared" si="40"/>
        <v>0</v>
      </c>
      <c r="BV77" s="82">
        <f t="shared" si="40"/>
        <v>0</v>
      </c>
      <c r="BW77" s="82">
        <f t="shared" si="4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1"/>
        <v>3.54</v>
      </c>
      <c r="AI78" s="49">
        <f t="shared" si="42"/>
        <v>3.54</v>
      </c>
      <c r="AK78" s="51"/>
      <c r="AZ78" s="82">
        <f t="shared" si="40"/>
        <v>0</v>
      </c>
      <c r="BA78" s="82">
        <f t="shared" si="40"/>
        <v>0</v>
      </c>
      <c r="BB78" s="82">
        <f t="shared" si="40"/>
        <v>0</v>
      </c>
      <c r="BC78" s="82">
        <f t="shared" si="40"/>
        <v>0</v>
      </c>
      <c r="BD78" s="82">
        <f t="shared" si="40"/>
        <v>0</v>
      </c>
      <c r="BE78" s="82">
        <f t="shared" si="40"/>
        <v>0</v>
      </c>
      <c r="BF78" s="82">
        <f t="shared" si="40"/>
        <v>0</v>
      </c>
      <c r="BG78" s="82">
        <f t="shared" si="40"/>
        <v>0</v>
      </c>
      <c r="BH78" s="82">
        <f t="shared" si="40"/>
        <v>0</v>
      </c>
      <c r="BI78" s="82">
        <f t="shared" si="40"/>
        <v>0</v>
      </c>
      <c r="BJ78" s="82">
        <f t="shared" si="40"/>
        <v>0</v>
      </c>
      <c r="BK78" s="82">
        <f t="shared" si="40"/>
        <v>0</v>
      </c>
      <c r="BL78" s="82">
        <f t="shared" si="40"/>
        <v>0</v>
      </c>
      <c r="BM78" s="82">
        <f t="shared" si="40"/>
        <v>0</v>
      </c>
      <c r="BN78" s="82">
        <f t="shared" si="40"/>
        <v>0</v>
      </c>
      <c r="BO78" s="82">
        <f t="shared" si="40"/>
        <v>0</v>
      </c>
      <c r="BP78" s="82">
        <f t="shared" si="40"/>
        <v>0</v>
      </c>
      <c r="BQ78" s="82">
        <f t="shared" si="40"/>
        <v>0</v>
      </c>
      <c r="BR78" s="82">
        <f t="shared" si="40"/>
        <v>0</v>
      </c>
      <c r="BS78" s="82">
        <f t="shared" si="40"/>
        <v>0</v>
      </c>
      <c r="BT78" s="82">
        <f t="shared" si="40"/>
        <v>0</v>
      </c>
      <c r="BU78" s="82">
        <f t="shared" si="40"/>
        <v>0</v>
      </c>
      <c r="BV78" s="82">
        <f t="shared" si="40"/>
        <v>0</v>
      </c>
      <c r="BW78" s="82">
        <f t="shared" si="40"/>
        <v>0</v>
      </c>
    </row>
    <row r="79" spans="1:75" ht="15.75" thickBot="1" x14ac:dyDescent="0.3">
      <c r="A79" s="87" t="s">
        <v>99</v>
      </c>
      <c r="B79" s="71">
        <f t="shared" ref="B79:AG79" si="43">SUM(B66:B78)</f>
        <v>3.54</v>
      </c>
      <c r="C79" s="71">
        <f t="shared" si="43"/>
        <v>414.64000000000004</v>
      </c>
      <c r="D79" s="71">
        <f t="shared" si="43"/>
        <v>353.44000000000005</v>
      </c>
      <c r="E79" s="71">
        <f t="shared" si="43"/>
        <v>343.44000000000005</v>
      </c>
      <c r="F79" s="71">
        <f t="shared" ref="F79:G79" si="44">SUM(F66:F78)</f>
        <v>315.94000000000005</v>
      </c>
      <c r="G79" s="71">
        <f t="shared" si="44"/>
        <v>315.94000000000005</v>
      </c>
      <c r="H79" s="71">
        <f>SUM(H66:H78)</f>
        <v>315.94000000000005</v>
      </c>
      <c r="I79" s="71">
        <f>SUM(I66:I78)</f>
        <v>303.84000000000009</v>
      </c>
      <c r="J79" s="71">
        <f>SUM(J66:J78)</f>
        <v>308.54000000000002</v>
      </c>
      <c r="K79" s="71">
        <f>SUM(K66:K78)</f>
        <v>308.54000000000002</v>
      </c>
      <c r="L79" s="71">
        <f>SUM(L66:L78)</f>
        <v>308.54000000000002</v>
      </c>
      <c r="M79" s="71">
        <f t="shared" si="43"/>
        <v>378.54</v>
      </c>
      <c r="N79" s="71">
        <f t="shared" si="43"/>
        <v>378.54</v>
      </c>
      <c r="O79" s="71">
        <f t="shared" si="43"/>
        <v>407.94000000000005</v>
      </c>
      <c r="P79" s="71">
        <f t="shared" si="43"/>
        <v>407.94000000000005</v>
      </c>
      <c r="Q79" s="71">
        <f t="shared" si="43"/>
        <v>411.54000000000008</v>
      </c>
      <c r="R79" s="71">
        <f t="shared" si="43"/>
        <v>411.54000000000008</v>
      </c>
      <c r="S79" s="71">
        <f t="shared" ref="S79:T79" si="45">SUM(S66:S78)</f>
        <v>418.98</v>
      </c>
      <c r="T79" s="71">
        <f t="shared" si="45"/>
        <v>415.25000000000006</v>
      </c>
      <c r="U79" s="71">
        <f t="shared" ref="U79:V79" si="46">SUM(U66:U78)</f>
        <v>413.67</v>
      </c>
      <c r="V79" s="71">
        <f t="shared" si="46"/>
        <v>410.07000000000005</v>
      </c>
      <c r="W79" s="71">
        <f t="shared" ref="W79:X79" si="47">SUM(W66:W78)</f>
        <v>408.21000000000004</v>
      </c>
      <c r="X79" s="71">
        <f t="shared" si="47"/>
        <v>406.94</v>
      </c>
      <c r="Y79" s="71">
        <f t="shared" ref="Y79:Z79" si="48">SUM(Y66:Y78)</f>
        <v>406.04</v>
      </c>
      <c r="Z79" s="71">
        <f t="shared" si="48"/>
        <v>410.74</v>
      </c>
      <c r="AA79" s="71">
        <f t="shared" ref="AA79" si="49">SUM(AA66:AA78)</f>
        <v>410.74</v>
      </c>
      <c r="AB79" s="71">
        <f t="shared" si="43"/>
        <v>279.94</v>
      </c>
      <c r="AC79" s="71">
        <f t="shared" si="43"/>
        <v>413.44000000000005</v>
      </c>
      <c r="AD79" s="71">
        <f t="shared" si="43"/>
        <v>413.44000000000005</v>
      </c>
      <c r="AE79" s="71">
        <f t="shared" si="43"/>
        <v>413.44000000000005</v>
      </c>
      <c r="AF79" s="71">
        <f t="shared" si="43"/>
        <v>353.04000000000008</v>
      </c>
      <c r="AG79" s="72">
        <f t="shared" si="43"/>
        <v>489.91</v>
      </c>
      <c r="AH79" s="48">
        <f t="shared" si="41"/>
        <v>418.98</v>
      </c>
      <c r="AI79" s="49">
        <f t="shared" si="42"/>
        <v>3.54</v>
      </c>
      <c r="AK79" s="51"/>
      <c r="AY79" s="82"/>
    </row>
    <row r="80" spans="1:75" x14ac:dyDescent="0.25">
      <c r="A80" s="45" t="s">
        <v>100</v>
      </c>
      <c r="B80" s="46"/>
      <c r="C80" s="46">
        <v>20</v>
      </c>
      <c r="D80" s="46">
        <v>20</v>
      </c>
      <c r="E80" s="46">
        <v>30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59.1</v>
      </c>
      <c r="N80" s="46">
        <v>59.1</v>
      </c>
      <c r="O80" s="46">
        <v>59.1</v>
      </c>
      <c r="P80" s="46">
        <v>59.1</v>
      </c>
      <c r="Q80" s="46">
        <v>59.7</v>
      </c>
      <c r="R80" s="46">
        <v>59.7</v>
      </c>
      <c r="S80" s="46">
        <v>59.7</v>
      </c>
      <c r="T80" s="46">
        <v>59.7</v>
      </c>
      <c r="U80" s="46">
        <v>59.7</v>
      </c>
      <c r="V80" s="46">
        <v>0</v>
      </c>
      <c r="W80" s="46">
        <v>0</v>
      </c>
      <c r="X80" s="46">
        <v>0</v>
      </c>
      <c r="Y80" s="46">
        <v>0</v>
      </c>
      <c r="Z80" s="46">
        <v>13.9</v>
      </c>
      <c r="AA80" s="46">
        <v>40.799999999999997</v>
      </c>
      <c r="AB80" s="46">
        <v>49.4</v>
      </c>
      <c r="AC80" s="46">
        <v>40.700000000000003</v>
      </c>
      <c r="AD80" s="46">
        <v>59.3</v>
      </c>
      <c r="AE80" s="46">
        <v>20.100000000000001</v>
      </c>
      <c r="AF80" s="46">
        <v>14</v>
      </c>
      <c r="AG80" s="61">
        <v>60</v>
      </c>
      <c r="AH80" s="48">
        <f t="shared" si="41"/>
        <v>59.7</v>
      </c>
      <c r="AI80" s="49">
        <f t="shared" si="42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>
        <v>14</v>
      </c>
      <c r="D81" s="76">
        <v>14</v>
      </c>
      <c r="E81" s="76">
        <v>14.4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28.9</v>
      </c>
      <c r="N81" s="76">
        <v>28.9</v>
      </c>
      <c r="O81" s="76">
        <v>28.9</v>
      </c>
      <c r="P81" s="76">
        <v>28.9</v>
      </c>
      <c r="Q81" s="76">
        <v>28.7</v>
      </c>
      <c r="R81" s="76">
        <v>28.7</v>
      </c>
      <c r="S81" s="76">
        <v>28.7</v>
      </c>
      <c r="T81" s="76">
        <v>28.7</v>
      </c>
      <c r="U81" s="76">
        <v>28.7</v>
      </c>
      <c r="V81" s="76">
        <v>0</v>
      </c>
      <c r="W81" s="76">
        <v>0</v>
      </c>
      <c r="X81" s="76">
        <v>0</v>
      </c>
      <c r="Y81" s="76">
        <v>0</v>
      </c>
      <c r="Z81" s="76">
        <v>3.8</v>
      </c>
      <c r="AA81" s="76">
        <v>17.7</v>
      </c>
      <c r="AB81" s="76">
        <v>28.4</v>
      </c>
      <c r="AC81" s="76">
        <v>28.4</v>
      </c>
      <c r="AD81" s="76">
        <v>28.6</v>
      </c>
      <c r="AE81" s="76">
        <v>8</v>
      </c>
      <c r="AF81" s="76">
        <v>15</v>
      </c>
      <c r="AG81" s="66">
        <v>32</v>
      </c>
      <c r="AH81" s="48">
        <f t="shared" si="41"/>
        <v>28.9</v>
      </c>
      <c r="AI81" s="49">
        <f t="shared" si="42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>
        <v>5</v>
      </c>
      <c r="D82" s="78">
        <v>5</v>
      </c>
      <c r="E82" s="78">
        <v>5.3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10.5</v>
      </c>
      <c r="N82" s="78">
        <v>10.5</v>
      </c>
      <c r="O82" s="78">
        <v>10.5</v>
      </c>
      <c r="P82" s="78">
        <v>10.5</v>
      </c>
      <c r="Q82" s="78">
        <v>10.5</v>
      </c>
      <c r="R82" s="78">
        <v>10.5</v>
      </c>
      <c r="S82" s="78">
        <v>10.5</v>
      </c>
      <c r="T82" s="78">
        <v>10.5</v>
      </c>
      <c r="U82" s="78">
        <v>10.5</v>
      </c>
      <c r="V82" s="78">
        <v>0</v>
      </c>
      <c r="W82" s="78">
        <v>0</v>
      </c>
      <c r="X82" s="78">
        <v>0</v>
      </c>
      <c r="Y82" s="78">
        <v>0</v>
      </c>
      <c r="Z82" s="78">
        <v>1.4</v>
      </c>
      <c r="AA82" s="78">
        <v>6.4</v>
      </c>
      <c r="AB82" s="78">
        <v>10.4</v>
      </c>
      <c r="AC82" s="78">
        <v>10.4</v>
      </c>
      <c r="AD82" s="78">
        <v>10.4</v>
      </c>
      <c r="AE82" s="78">
        <v>2.9</v>
      </c>
      <c r="AF82" s="78">
        <v>5.5</v>
      </c>
      <c r="AG82" s="79">
        <v>14</v>
      </c>
      <c r="AH82" s="48">
        <f t="shared" si="41"/>
        <v>10.5</v>
      </c>
      <c r="AI82" s="49">
        <f t="shared" si="42"/>
        <v>0</v>
      </c>
      <c r="AK82" s="51"/>
      <c r="AY82" s="82"/>
      <c r="BF82" s="81"/>
      <c r="BG82" s="82">
        <f t="array" ref="BG82:BL105">TRANSPOSE(AZ66:BW71)</f>
        <v>-44</v>
      </c>
      <c r="BH82" s="82">
        <v>0</v>
      </c>
      <c r="BI82" s="82">
        <v>-640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50">B80+B81+B82</f>
        <v>0</v>
      </c>
      <c r="C83" s="71">
        <f t="shared" si="50"/>
        <v>39</v>
      </c>
      <c r="D83" s="71">
        <f t="shared" si="50"/>
        <v>39</v>
      </c>
      <c r="E83" s="71">
        <f t="shared" si="50"/>
        <v>49.699999999999996</v>
      </c>
      <c r="F83" s="71">
        <f t="shared" ref="F83:G83" si="51">F80+F81+F82</f>
        <v>0</v>
      </c>
      <c r="G83" s="71">
        <f t="shared" si="51"/>
        <v>0</v>
      </c>
      <c r="H83" s="71">
        <f t="shared" ref="H83:I83" si="52">H80+H81+H82</f>
        <v>0</v>
      </c>
      <c r="I83" s="71">
        <f t="shared" si="52"/>
        <v>0</v>
      </c>
      <c r="J83" s="71">
        <f t="shared" ref="J83:K83" si="53">J80+J81+J82</f>
        <v>0</v>
      </c>
      <c r="K83" s="71">
        <f t="shared" si="53"/>
        <v>0</v>
      </c>
      <c r="L83" s="71">
        <f t="shared" ref="L83" si="54">L80+L81+L82</f>
        <v>0</v>
      </c>
      <c r="M83" s="71">
        <f t="shared" si="50"/>
        <v>98.5</v>
      </c>
      <c r="N83" s="71">
        <f t="shared" si="50"/>
        <v>98.5</v>
      </c>
      <c r="O83" s="71">
        <f t="shared" si="50"/>
        <v>98.5</v>
      </c>
      <c r="P83" s="71">
        <f t="shared" si="50"/>
        <v>98.5</v>
      </c>
      <c r="Q83" s="71">
        <f t="shared" si="50"/>
        <v>98.9</v>
      </c>
      <c r="R83" s="71">
        <f t="shared" si="50"/>
        <v>98.9</v>
      </c>
      <c r="S83" s="71">
        <f t="shared" ref="S83:T83" si="55">S80+S81+S82</f>
        <v>98.9</v>
      </c>
      <c r="T83" s="71">
        <f t="shared" si="55"/>
        <v>98.9</v>
      </c>
      <c r="U83" s="71">
        <f t="shared" ref="U83:V83" si="56">U80+U81+U82</f>
        <v>98.9</v>
      </c>
      <c r="V83" s="71">
        <f t="shared" si="56"/>
        <v>0</v>
      </c>
      <c r="W83" s="71">
        <f t="shared" ref="W83:X83" si="57">W80+W81+W82</f>
        <v>0</v>
      </c>
      <c r="X83" s="71">
        <f t="shared" si="57"/>
        <v>0</v>
      </c>
      <c r="Y83" s="71">
        <f t="shared" ref="Y83:Z83" si="58">Y80+Y81+Y82</f>
        <v>0</v>
      </c>
      <c r="Z83" s="71">
        <f t="shared" si="58"/>
        <v>19.099999999999998</v>
      </c>
      <c r="AA83" s="71">
        <f t="shared" ref="AA83" si="59">AA80+AA81+AA82</f>
        <v>64.900000000000006</v>
      </c>
      <c r="AB83" s="71">
        <f t="shared" si="50"/>
        <v>88.2</v>
      </c>
      <c r="AC83" s="71">
        <f t="shared" si="50"/>
        <v>79.5</v>
      </c>
      <c r="AD83" s="71">
        <f t="shared" si="50"/>
        <v>98.300000000000011</v>
      </c>
      <c r="AE83" s="71">
        <f t="shared" si="50"/>
        <v>31</v>
      </c>
      <c r="AF83" s="71">
        <f t="shared" si="50"/>
        <v>34.5</v>
      </c>
      <c r="AG83" s="72">
        <f>SUM(AG80:AG82)</f>
        <v>106</v>
      </c>
      <c r="AH83" s="48">
        <f t="shared" si="41"/>
        <v>98.9</v>
      </c>
      <c r="AI83" s="49">
        <f t="shared" si="42"/>
        <v>0</v>
      </c>
      <c r="AK83" s="51"/>
      <c r="AY83" s="82"/>
      <c r="BF83" s="81"/>
      <c r="BG83" s="82">
        <v>-47</v>
      </c>
      <c r="BH83" s="82">
        <v>0</v>
      </c>
      <c r="BI83" s="82">
        <v>-623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/>
      <c r="C84" s="46">
        <v>-44</v>
      </c>
      <c r="D84" s="46">
        <v>-47</v>
      </c>
      <c r="E84" s="46">
        <v>-55</v>
      </c>
      <c r="F84" s="46">
        <v>-23</v>
      </c>
      <c r="G84" s="46">
        <v>-21.2</v>
      </c>
      <c r="H84" s="46">
        <v>-29.1</v>
      </c>
      <c r="I84" s="46">
        <v>-34.5</v>
      </c>
      <c r="J84" s="46">
        <v>-38</v>
      </c>
      <c r="K84" s="46">
        <v>-38</v>
      </c>
      <c r="L84" s="46">
        <v>-60</v>
      </c>
      <c r="M84" s="46">
        <v>-59</v>
      </c>
      <c r="N84" s="46">
        <v>-36.5</v>
      </c>
      <c r="O84" s="46">
        <v>-56</v>
      </c>
      <c r="P84" s="46">
        <v>-55</v>
      </c>
      <c r="Q84" s="46">
        <v>-66.2</v>
      </c>
      <c r="R84" s="46">
        <v>-51</v>
      </c>
      <c r="S84" s="46">
        <v>-51</v>
      </c>
      <c r="T84" s="46">
        <v>-54</v>
      </c>
      <c r="U84" s="46">
        <v>-61</v>
      </c>
      <c r="V84" s="46">
        <v>-65.599999999999994</v>
      </c>
      <c r="W84" s="46">
        <v>-58</v>
      </c>
      <c r="X84" s="46">
        <v>-59.6</v>
      </c>
      <c r="Y84" s="46">
        <v>-62.8</v>
      </c>
      <c r="Z84" s="46">
        <v>-61.9</v>
      </c>
      <c r="AA84" s="46">
        <v>-59</v>
      </c>
      <c r="AB84" s="46">
        <v>-46.3</v>
      </c>
      <c r="AC84" s="46">
        <v>-44.3</v>
      </c>
      <c r="AD84" s="46">
        <v>-64.900000000000006</v>
      </c>
      <c r="AE84" s="46">
        <v>-61.8</v>
      </c>
      <c r="AF84" s="46">
        <v>-42.7</v>
      </c>
      <c r="AG84" s="61"/>
      <c r="AH84" s="48">
        <f t="shared" si="41"/>
        <v>-21.2</v>
      </c>
      <c r="AI84" s="49">
        <f t="shared" si="42"/>
        <v>-66.2</v>
      </c>
      <c r="AK84" s="51"/>
      <c r="AY84" s="82"/>
      <c r="BF84" s="81"/>
      <c r="BG84" s="82">
        <v>-55</v>
      </c>
      <c r="BH84" s="82">
        <v>0</v>
      </c>
      <c r="BI84" s="82">
        <v>-592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1"/>
        <v>0</v>
      </c>
      <c r="AI85" s="49">
        <f t="shared" si="42"/>
        <v>0</v>
      </c>
      <c r="AK85" s="51"/>
      <c r="AL85" s="91" t="s">
        <v>111</v>
      </c>
      <c r="AM85" s="91"/>
      <c r="AY85" s="82"/>
      <c r="BF85" s="82"/>
      <c r="BG85" s="82">
        <v>-23</v>
      </c>
      <c r="BH85" s="82">
        <v>0</v>
      </c>
      <c r="BI85" s="82">
        <v>-604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/>
      <c r="C86" s="76">
        <v>-640</v>
      </c>
      <c r="D86" s="76">
        <v>-623</v>
      </c>
      <c r="E86" s="76">
        <v>-592</v>
      </c>
      <c r="F86" s="76">
        <v>-604</v>
      </c>
      <c r="G86" s="76">
        <v>-635</v>
      </c>
      <c r="H86" s="76">
        <v>-613</v>
      </c>
      <c r="I86" s="76">
        <v>-641</v>
      </c>
      <c r="J86" s="76">
        <v>-595</v>
      </c>
      <c r="K86" s="76">
        <v>-595</v>
      </c>
      <c r="L86" s="76">
        <v>-610</v>
      </c>
      <c r="M86" s="76">
        <v>-602</v>
      </c>
      <c r="N86" s="76">
        <v>-625</v>
      </c>
      <c r="O86" s="76">
        <v>-666</v>
      </c>
      <c r="P86" s="76">
        <v>-502</v>
      </c>
      <c r="Q86" s="76">
        <v>-552.20000000000005</v>
      </c>
      <c r="R86" s="76">
        <v>-559</v>
      </c>
      <c r="S86" s="76">
        <v>-542</v>
      </c>
      <c r="T86" s="76">
        <v>-623</v>
      </c>
      <c r="U86" s="76">
        <v>-625</v>
      </c>
      <c r="V86" s="76">
        <v>-651</v>
      </c>
      <c r="W86" s="76">
        <v>-660</v>
      </c>
      <c r="X86" s="76">
        <v>-668</v>
      </c>
      <c r="Y86" s="76">
        <v>-618</v>
      </c>
      <c r="Z86" s="76">
        <v>-675</v>
      </c>
      <c r="AA86" s="76">
        <v>-620</v>
      </c>
      <c r="AB86" s="76">
        <v>-612.20000000000005</v>
      </c>
      <c r="AC86" s="76">
        <v>-644.70000000000005</v>
      </c>
      <c r="AD86" s="76">
        <v>-625</v>
      </c>
      <c r="AE86" s="76">
        <v>-628.20000000000005</v>
      </c>
      <c r="AF86" s="76">
        <v>-642</v>
      </c>
      <c r="AG86" s="88"/>
      <c r="AH86" s="48">
        <f t="shared" si="41"/>
        <v>-502</v>
      </c>
      <c r="AI86" s="49">
        <f t="shared" si="42"/>
        <v>-675</v>
      </c>
      <c r="AK86" s="92"/>
      <c r="AL86" s="93"/>
      <c r="AM86" s="93"/>
      <c r="AN86" s="94"/>
      <c r="AY86" s="82"/>
      <c r="BF86" s="82"/>
      <c r="BG86" s="82">
        <v>-21.2</v>
      </c>
      <c r="BH86" s="82">
        <v>0</v>
      </c>
      <c r="BI86" s="82">
        <v>-635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41"/>
        <v>0</v>
      </c>
      <c r="AI87" s="49">
        <f t="shared" si="42"/>
        <v>0</v>
      </c>
      <c r="AK87" s="95" t="s">
        <v>114</v>
      </c>
      <c r="AL87" s="76"/>
      <c r="AM87" s="89"/>
      <c r="AN87" s="96"/>
      <c r="AY87" s="82"/>
      <c r="BF87" s="82"/>
      <c r="BG87" s="82">
        <v>-34.5</v>
      </c>
      <c r="BH87" s="82">
        <v>0</v>
      </c>
      <c r="BI87" s="82">
        <v>-641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41"/>
        <v>0</v>
      </c>
      <c r="AI88" s="49">
        <f t="shared" si="42"/>
        <v>0</v>
      </c>
      <c r="AK88" s="95" t="s">
        <v>116</v>
      </c>
      <c r="AL88" s="89"/>
      <c r="AM88" s="89"/>
      <c r="AN88" s="96"/>
      <c r="AY88" s="82"/>
      <c r="BF88" s="82"/>
      <c r="BG88" s="82">
        <v>-38</v>
      </c>
      <c r="BH88" s="82">
        <v>0</v>
      </c>
      <c r="BI88" s="82">
        <v>-595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2"/>
        <v>0</v>
      </c>
      <c r="AK89" s="99"/>
      <c r="AL89" s="46"/>
      <c r="AM89" s="46"/>
      <c r="AN89" s="100"/>
      <c r="AY89" s="82"/>
      <c r="BF89" s="82"/>
      <c r="BG89" s="82">
        <v>-59</v>
      </c>
      <c r="BH89" s="82">
        <v>0</v>
      </c>
      <c r="BI89" s="82">
        <v>-602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1"/>
        <v>0</v>
      </c>
      <c r="AI90" s="49">
        <f t="shared" si="42"/>
        <v>0</v>
      </c>
      <c r="AK90" s="99"/>
      <c r="AL90" s="90"/>
      <c r="AM90" s="102"/>
      <c r="AN90" s="204"/>
      <c r="AY90" s="82"/>
      <c r="BF90" s="82"/>
      <c r="BG90" s="82">
        <v>-36.5</v>
      </c>
      <c r="BH90" s="82">
        <v>0</v>
      </c>
      <c r="BI90" s="82">
        <v>-625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1"/>
        <v>0</v>
      </c>
      <c r="AI91" s="49">
        <f t="shared" si="42"/>
        <v>0</v>
      </c>
      <c r="AK91" s="99"/>
      <c r="AL91" s="90"/>
      <c r="AM91" s="90"/>
      <c r="AN91" s="205"/>
      <c r="BF91" s="82"/>
      <c r="BG91" s="82">
        <v>-56</v>
      </c>
      <c r="BH91" s="82">
        <v>0</v>
      </c>
      <c r="BI91" s="82">
        <v>-666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1"/>
        <v>0</v>
      </c>
      <c r="AI92" s="49">
        <f t="shared" si="42"/>
        <v>0</v>
      </c>
      <c r="AK92" s="104"/>
      <c r="AL92" s="105"/>
      <c r="AM92" s="105"/>
      <c r="AN92" s="106"/>
      <c r="BF92" s="82"/>
      <c r="BG92" s="82">
        <v>-55</v>
      </c>
      <c r="BH92" s="82">
        <v>0</v>
      </c>
      <c r="BI92" s="82">
        <v>-502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1"/>
        <v>0</v>
      </c>
      <c r="AI93" s="49">
        <f t="shared" si="42"/>
        <v>0</v>
      </c>
      <c r="BF93" s="82"/>
      <c r="BG93" s="82">
        <v>-66.2</v>
      </c>
      <c r="BH93" s="82">
        <v>0</v>
      </c>
      <c r="BI93" s="82">
        <v>-552.20000000000005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1"/>
        <v>0</v>
      </c>
      <c r="AI94" s="49">
        <f t="shared" si="42"/>
        <v>0</v>
      </c>
      <c r="BF94" s="82"/>
      <c r="BG94" s="82">
        <v>-51</v>
      </c>
      <c r="BH94" s="82">
        <v>0</v>
      </c>
      <c r="BI94" s="82">
        <v>-559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v>0</v>
      </c>
      <c r="D95" s="71">
        <v>0</v>
      </c>
      <c r="E95" s="71">
        <f t="shared" ref="E95:AF95" si="60">SUMIF(E84:E94,"&gt;0")</f>
        <v>0</v>
      </c>
      <c r="F95" s="71">
        <f t="shared" si="60"/>
        <v>0</v>
      </c>
      <c r="G95" s="71">
        <f t="shared" si="60"/>
        <v>0</v>
      </c>
      <c r="H95" s="71">
        <f t="shared" si="60"/>
        <v>0</v>
      </c>
      <c r="I95" s="71">
        <f t="shared" si="60"/>
        <v>0</v>
      </c>
      <c r="J95" s="71">
        <f t="shared" si="60"/>
        <v>0</v>
      </c>
      <c r="K95" s="71">
        <f t="shared" si="60"/>
        <v>0</v>
      </c>
      <c r="L95" s="71">
        <f t="shared" si="60"/>
        <v>0</v>
      </c>
      <c r="M95" s="71">
        <f t="shared" si="60"/>
        <v>0</v>
      </c>
      <c r="N95" s="71">
        <f t="shared" si="60"/>
        <v>0</v>
      </c>
      <c r="O95" s="71">
        <f t="shared" si="60"/>
        <v>0</v>
      </c>
      <c r="P95" s="71">
        <f t="shared" si="60"/>
        <v>0</v>
      </c>
      <c r="Q95" s="71">
        <f t="shared" si="60"/>
        <v>0</v>
      </c>
      <c r="R95" s="71">
        <f t="shared" si="60"/>
        <v>0</v>
      </c>
      <c r="S95" s="71">
        <f t="shared" si="60"/>
        <v>0</v>
      </c>
      <c r="T95" s="71">
        <f t="shared" si="60"/>
        <v>0</v>
      </c>
      <c r="U95" s="71">
        <f>SUMIF(U84:U94,"&gt;0")</f>
        <v>0</v>
      </c>
      <c r="V95" s="71">
        <f t="shared" si="60"/>
        <v>0</v>
      </c>
      <c r="W95" s="71">
        <f t="shared" si="60"/>
        <v>0</v>
      </c>
      <c r="X95" s="71">
        <f t="shared" si="60"/>
        <v>0</v>
      </c>
      <c r="Y95" s="71">
        <f t="shared" si="60"/>
        <v>0</v>
      </c>
      <c r="Z95" s="71">
        <f t="shared" si="60"/>
        <v>0</v>
      </c>
      <c r="AA95" s="71">
        <f t="shared" si="60"/>
        <v>0</v>
      </c>
      <c r="AB95" s="71">
        <f t="shared" si="60"/>
        <v>0</v>
      </c>
      <c r="AC95" s="71">
        <f t="shared" si="60"/>
        <v>0</v>
      </c>
      <c r="AD95" s="71">
        <f t="shared" si="60"/>
        <v>0</v>
      </c>
      <c r="AE95" s="71">
        <f t="shared" si="60"/>
        <v>0</v>
      </c>
      <c r="AF95" s="71">
        <f t="shared" si="60"/>
        <v>0</v>
      </c>
      <c r="AG95" s="101">
        <f>SUM(AG84:AG94)</f>
        <v>0</v>
      </c>
      <c r="AH95" s="48">
        <f t="shared" si="41"/>
        <v>0</v>
      </c>
      <c r="AI95" s="49">
        <f t="shared" si="42"/>
        <v>0</v>
      </c>
      <c r="BF95" s="82"/>
      <c r="BG95" s="82">
        <v>-51</v>
      </c>
      <c r="BH95" s="82">
        <v>0</v>
      </c>
      <c r="BI95" s="82">
        <v>-542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1"/>
        <v>0</v>
      </c>
      <c r="AI96" s="49">
        <f t="shared" si="42"/>
        <v>0</v>
      </c>
      <c r="BF96" s="82"/>
      <c r="BG96" s="82">
        <v>-54</v>
      </c>
      <c r="BH96" s="82">
        <v>0</v>
      </c>
      <c r="BI96" s="82">
        <v>-623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1"/>
        <v>0</v>
      </c>
      <c r="AI97" s="49">
        <f t="shared" si="42"/>
        <v>0</v>
      </c>
      <c r="BF97" s="82"/>
      <c r="BG97" s="82">
        <v>-61</v>
      </c>
      <c r="BH97" s="82">
        <v>0</v>
      </c>
      <c r="BI97" s="82">
        <v>-625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1"/>
        <v>0</v>
      </c>
      <c r="AI98" s="49">
        <f t="shared" si="42"/>
        <v>0</v>
      </c>
      <c r="BF98" s="82"/>
      <c r="BG98" s="82">
        <v>-65.599999999999994</v>
      </c>
      <c r="BH98" s="82">
        <v>0</v>
      </c>
      <c r="BI98" s="82">
        <v>-651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1"/>
        <v>0</v>
      </c>
      <c r="AI99" s="49">
        <f t="shared" si="42"/>
        <v>0</v>
      </c>
      <c r="BF99" s="81"/>
      <c r="BG99" s="82">
        <v>-59.6</v>
      </c>
      <c r="BH99" s="82">
        <v>0</v>
      </c>
      <c r="BI99" s="82">
        <v>-668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D100" si="61">B61+B65+B83+B79+B95+B99</f>
        <v>303.54000000000002</v>
      </c>
      <c r="C100" s="108">
        <f t="shared" si="61"/>
        <v>2369.9399999999996</v>
      </c>
      <c r="D100" s="108">
        <f t="shared" si="61"/>
        <v>2294.3399999999997</v>
      </c>
      <c r="E100" s="108">
        <f>E61+E65+E83+E79+E95+E99</f>
        <v>2196.54</v>
      </c>
      <c r="F100" s="108">
        <f t="shared" ref="F100:AG100" si="62">F61+F65+F83+F79+F95+F99</f>
        <v>2144.44</v>
      </c>
      <c r="G100" s="108">
        <f t="shared" si="62"/>
        <v>2133.44</v>
      </c>
      <c r="H100" s="108">
        <f t="shared" si="62"/>
        <v>2113.14</v>
      </c>
      <c r="I100" s="108">
        <f t="shared" si="62"/>
        <v>2129.2399999999998</v>
      </c>
      <c r="J100" s="108">
        <f t="shared" si="62"/>
        <v>2131.9399999999996</v>
      </c>
      <c r="K100" s="108">
        <f t="shared" si="62"/>
        <v>2153.9399999999996</v>
      </c>
      <c r="L100" s="108">
        <f t="shared" si="62"/>
        <v>2153.9399999999996</v>
      </c>
      <c r="M100" s="108">
        <f t="shared" si="62"/>
        <v>2322.4399999999996</v>
      </c>
      <c r="N100" s="108">
        <f t="shared" si="62"/>
        <v>2322.4399999999996</v>
      </c>
      <c r="O100" s="108">
        <f t="shared" si="62"/>
        <v>2358.3399999999997</v>
      </c>
      <c r="P100" s="108">
        <f t="shared" si="62"/>
        <v>2358.3399999999997</v>
      </c>
      <c r="Q100" s="108">
        <f t="shared" si="62"/>
        <v>2326.7399999999998</v>
      </c>
      <c r="R100" s="108">
        <f t="shared" si="62"/>
        <v>2326.7399999999998</v>
      </c>
      <c r="S100" s="108">
        <f t="shared" si="62"/>
        <v>2299.88</v>
      </c>
      <c r="T100" s="108">
        <f t="shared" si="62"/>
        <v>2314.15</v>
      </c>
      <c r="U100" s="108">
        <f t="shared" si="62"/>
        <v>2325.0700000000002</v>
      </c>
      <c r="V100" s="108">
        <f t="shared" si="62"/>
        <v>2222.5700000000002</v>
      </c>
      <c r="W100" s="108">
        <f t="shared" si="62"/>
        <v>2220.71</v>
      </c>
      <c r="X100" s="108">
        <f t="shared" si="62"/>
        <v>2230.4399999999996</v>
      </c>
      <c r="Y100" s="108">
        <f t="shared" si="62"/>
        <v>2247.14</v>
      </c>
      <c r="Z100" s="108">
        <f t="shared" si="62"/>
        <v>2282.04</v>
      </c>
      <c r="AA100" s="108">
        <f t="shared" si="62"/>
        <v>2340.34</v>
      </c>
      <c r="AB100" s="108">
        <f t="shared" si="62"/>
        <v>2272.8399999999997</v>
      </c>
      <c r="AC100" s="108">
        <f t="shared" si="62"/>
        <v>2399.2399999999998</v>
      </c>
      <c r="AD100" s="108">
        <f t="shared" si="62"/>
        <v>2418.04</v>
      </c>
      <c r="AE100" s="108">
        <f t="shared" si="62"/>
        <v>2350.7399999999998</v>
      </c>
      <c r="AF100" s="108">
        <f t="shared" si="62"/>
        <v>2268.8399999999997</v>
      </c>
      <c r="AG100" s="72">
        <f t="shared" si="62"/>
        <v>2655.44</v>
      </c>
      <c r="AH100" s="48">
        <f t="shared" si="41"/>
        <v>2418.04</v>
      </c>
      <c r="AI100" s="49">
        <f t="shared" si="42"/>
        <v>303.54000000000002</v>
      </c>
      <c r="BF100" s="81"/>
      <c r="BG100" s="82">
        <v>-61.9</v>
      </c>
      <c r="BH100" s="82">
        <v>0</v>
      </c>
      <c r="BI100" s="82">
        <v>-675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>
        <v>50</v>
      </c>
      <c r="AA101" s="110">
        <v>50</v>
      </c>
      <c r="AB101" s="110">
        <v>200</v>
      </c>
      <c r="AC101" s="110">
        <v>50</v>
      </c>
      <c r="AD101" s="110">
        <v>50</v>
      </c>
      <c r="AE101" s="110">
        <v>50</v>
      </c>
      <c r="AF101" s="110">
        <v>50</v>
      </c>
      <c r="AG101" s="101"/>
      <c r="AH101" s="48">
        <f t="shared" si="41"/>
        <v>200</v>
      </c>
      <c r="AI101" s="49">
        <f t="shared" si="42"/>
        <v>50</v>
      </c>
      <c r="BF101" s="81"/>
      <c r="BG101" s="82">
        <v>-46.3</v>
      </c>
      <c r="BH101" s="82">
        <v>0</v>
      </c>
      <c r="BI101" s="82">
        <v>-612.20000000000005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303.54000000000002</v>
      </c>
      <c r="C102" s="108">
        <v>2416.94</v>
      </c>
      <c r="D102" s="108">
        <v>2416.94</v>
      </c>
      <c r="E102" s="108">
        <f>E100+E101</f>
        <v>2196.54</v>
      </c>
      <c r="F102" s="108">
        <f t="shared" ref="F102:AF102" si="63">F100+F101</f>
        <v>2144.44</v>
      </c>
      <c r="G102" s="108">
        <f t="shared" si="63"/>
        <v>2133.44</v>
      </c>
      <c r="H102" s="108">
        <f t="shared" si="63"/>
        <v>2113.14</v>
      </c>
      <c r="I102" s="108">
        <f t="shared" si="63"/>
        <v>2129.2399999999998</v>
      </c>
      <c r="J102" s="108">
        <f t="shared" si="63"/>
        <v>2131.9399999999996</v>
      </c>
      <c r="K102" s="108">
        <f t="shared" si="63"/>
        <v>2153.9399999999996</v>
      </c>
      <c r="L102" s="108">
        <f t="shared" si="63"/>
        <v>2153.9399999999996</v>
      </c>
      <c r="M102" s="108">
        <f t="shared" si="63"/>
        <v>2322.4399999999996</v>
      </c>
      <c r="N102" s="108">
        <f t="shared" si="63"/>
        <v>2322.4399999999996</v>
      </c>
      <c r="O102" s="108">
        <f t="shared" si="63"/>
        <v>2358.3399999999997</v>
      </c>
      <c r="P102" s="108">
        <f t="shared" si="63"/>
        <v>2358.3399999999997</v>
      </c>
      <c r="Q102" s="108">
        <f t="shared" si="63"/>
        <v>2326.7399999999998</v>
      </c>
      <c r="R102" s="108">
        <f t="shared" si="63"/>
        <v>2326.7399999999998</v>
      </c>
      <c r="S102" s="108">
        <f t="shared" si="63"/>
        <v>2299.88</v>
      </c>
      <c r="T102" s="108">
        <f t="shared" si="63"/>
        <v>2314.15</v>
      </c>
      <c r="U102" s="108">
        <f t="shared" si="63"/>
        <v>2325.0700000000002</v>
      </c>
      <c r="V102" s="108">
        <f t="shared" si="63"/>
        <v>2222.5700000000002</v>
      </c>
      <c r="W102" s="108">
        <f t="shared" si="63"/>
        <v>2220.71</v>
      </c>
      <c r="X102" s="108">
        <f t="shared" si="63"/>
        <v>2230.4399999999996</v>
      </c>
      <c r="Y102" s="108">
        <f t="shared" si="63"/>
        <v>2247.14</v>
      </c>
      <c r="Z102" s="108">
        <f t="shared" si="63"/>
        <v>2332.04</v>
      </c>
      <c r="AA102" s="108">
        <f t="shared" si="63"/>
        <v>2390.34</v>
      </c>
      <c r="AB102" s="108">
        <f t="shared" si="63"/>
        <v>2472.8399999999997</v>
      </c>
      <c r="AC102" s="108">
        <f t="shared" si="63"/>
        <v>2449.2399999999998</v>
      </c>
      <c r="AD102" s="108">
        <f t="shared" si="63"/>
        <v>2468.04</v>
      </c>
      <c r="AE102" s="108">
        <f t="shared" si="63"/>
        <v>2400.7399999999998</v>
      </c>
      <c r="AF102" s="108">
        <f t="shared" si="63"/>
        <v>2318.8399999999997</v>
      </c>
      <c r="AG102" s="101">
        <f>AG99+AG95+AG83+AG79+AG61+AG101</f>
        <v>2117.34</v>
      </c>
      <c r="AH102" s="48">
        <f t="shared" si="41"/>
        <v>2472.8399999999997</v>
      </c>
      <c r="AI102" s="49">
        <f t="shared" si="42"/>
        <v>303.54000000000002</v>
      </c>
      <c r="BF102" s="81"/>
      <c r="BG102" s="82">
        <v>-64.900000000000006</v>
      </c>
      <c r="BH102" s="82">
        <v>0</v>
      </c>
      <c r="BI102" s="82">
        <v>-625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303.54000000000002</v>
      </c>
      <c r="C103" s="108">
        <v>1704.94</v>
      </c>
      <c r="D103" s="108">
        <v>1704.94</v>
      </c>
      <c r="E103" s="108">
        <f t="shared" ref="E103:AF103" si="64">E102-(E110)</f>
        <v>1549.54</v>
      </c>
      <c r="F103" s="108">
        <f t="shared" si="64"/>
        <v>1517.44</v>
      </c>
      <c r="G103" s="108">
        <f t="shared" si="64"/>
        <v>1477.24</v>
      </c>
      <c r="H103" s="108">
        <f t="shared" si="64"/>
        <v>1471.04</v>
      </c>
      <c r="I103" s="108">
        <f t="shared" si="64"/>
        <v>1453.7399999999998</v>
      </c>
      <c r="J103" s="108">
        <f t="shared" si="64"/>
        <v>1498.9399999999996</v>
      </c>
      <c r="K103" s="108">
        <f t="shared" si="64"/>
        <v>1520.9399999999996</v>
      </c>
      <c r="L103" s="108">
        <f t="shared" si="64"/>
        <v>1483.9399999999996</v>
      </c>
      <c r="M103" s="108">
        <f t="shared" si="64"/>
        <v>1661.4399999999996</v>
      </c>
      <c r="N103" s="108">
        <f t="shared" si="64"/>
        <v>1660.9399999999996</v>
      </c>
      <c r="O103" s="108">
        <f t="shared" si="64"/>
        <v>1636.3399999999997</v>
      </c>
      <c r="P103" s="108">
        <f t="shared" si="64"/>
        <v>1801.3399999999997</v>
      </c>
      <c r="Q103" s="108">
        <f t="shared" si="64"/>
        <v>1708.3399999999997</v>
      </c>
      <c r="R103" s="108">
        <f t="shared" si="64"/>
        <v>1716.7399999999998</v>
      </c>
      <c r="S103" s="108">
        <f t="shared" si="64"/>
        <v>1706.88</v>
      </c>
      <c r="T103" s="108">
        <f t="shared" si="64"/>
        <v>1637.15</v>
      </c>
      <c r="U103" s="108">
        <f t="shared" si="64"/>
        <v>1639.0700000000002</v>
      </c>
      <c r="V103" s="108">
        <f t="shared" si="64"/>
        <v>1505.9700000000003</v>
      </c>
      <c r="W103" s="108">
        <f t="shared" si="64"/>
        <v>1502.71</v>
      </c>
      <c r="X103" s="108">
        <f t="shared" si="64"/>
        <v>1502.8399999999997</v>
      </c>
      <c r="Y103" s="108">
        <f t="shared" si="64"/>
        <v>1566.34</v>
      </c>
      <c r="Z103" s="108">
        <f t="shared" si="64"/>
        <v>1595.1399999999999</v>
      </c>
      <c r="AA103" s="108">
        <f t="shared" si="64"/>
        <v>1711.3400000000001</v>
      </c>
      <c r="AB103" s="108">
        <f t="shared" si="64"/>
        <v>1814.3399999999997</v>
      </c>
      <c r="AC103" s="108">
        <f t="shared" si="64"/>
        <v>1760.2399999999998</v>
      </c>
      <c r="AD103" s="108">
        <f t="shared" si="64"/>
        <v>1778.1399999999999</v>
      </c>
      <c r="AE103" s="108">
        <f t="shared" si="64"/>
        <v>1710.7399999999998</v>
      </c>
      <c r="AF103" s="108">
        <f t="shared" si="64"/>
        <v>1634.1399999999996</v>
      </c>
      <c r="AG103" s="101"/>
      <c r="AH103" s="48">
        <f t="shared" si="41"/>
        <v>1814.3399999999997</v>
      </c>
      <c r="AI103" s="49">
        <f t="shared" si="42"/>
        <v>303.54000000000002</v>
      </c>
      <c r="BF103" s="81"/>
      <c r="BG103" s="82">
        <v>-61.8</v>
      </c>
      <c r="BH103" s="82">
        <v>0</v>
      </c>
      <c r="BI103" s="82">
        <v>-628.20000000000005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9" si="65">IF(B84&lt;0,B84*-1,0)</f>
        <v>0</v>
      </c>
      <c r="C104" s="89">
        <v>49.89</v>
      </c>
      <c r="D104" s="89">
        <v>49.89</v>
      </c>
      <c r="E104" s="89">
        <f t="shared" si="65"/>
        <v>55</v>
      </c>
      <c r="F104" s="89">
        <f t="shared" si="65"/>
        <v>23</v>
      </c>
      <c r="G104" s="89">
        <f t="shared" si="65"/>
        <v>21.2</v>
      </c>
      <c r="H104" s="89">
        <f t="shared" si="65"/>
        <v>29.1</v>
      </c>
      <c r="I104" s="89">
        <f t="shared" si="65"/>
        <v>34.5</v>
      </c>
      <c r="J104" s="89">
        <f t="shared" si="65"/>
        <v>38</v>
      </c>
      <c r="K104" s="89">
        <f t="shared" si="65"/>
        <v>38</v>
      </c>
      <c r="L104" s="89">
        <f t="shared" si="65"/>
        <v>60</v>
      </c>
      <c r="M104" s="89">
        <f t="shared" si="65"/>
        <v>59</v>
      </c>
      <c r="N104" s="89">
        <f t="shared" si="65"/>
        <v>36.5</v>
      </c>
      <c r="O104" s="89">
        <f t="shared" si="65"/>
        <v>56</v>
      </c>
      <c r="P104" s="89">
        <f t="shared" si="65"/>
        <v>55</v>
      </c>
      <c r="Q104" s="89">
        <f t="shared" si="65"/>
        <v>66.2</v>
      </c>
      <c r="R104" s="89">
        <f t="shared" si="65"/>
        <v>51</v>
      </c>
      <c r="S104" s="89">
        <f t="shared" si="65"/>
        <v>51</v>
      </c>
      <c r="T104" s="89">
        <f t="shared" si="65"/>
        <v>54</v>
      </c>
      <c r="U104" s="89">
        <f t="shared" si="65"/>
        <v>61</v>
      </c>
      <c r="V104" s="89">
        <f t="shared" si="65"/>
        <v>65.599999999999994</v>
      </c>
      <c r="W104" s="89">
        <f t="shared" si="65"/>
        <v>58</v>
      </c>
      <c r="X104" s="89">
        <f t="shared" si="65"/>
        <v>59.6</v>
      </c>
      <c r="Y104" s="89">
        <f t="shared" si="65"/>
        <v>62.8</v>
      </c>
      <c r="Z104" s="89">
        <f t="shared" si="65"/>
        <v>61.9</v>
      </c>
      <c r="AA104" s="89">
        <f t="shared" si="65"/>
        <v>59</v>
      </c>
      <c r="AB104" s="89">
        <f t="shared" si="65"/>
        <v>46.3</v>
      </c>
      <c r="AC104" s="89">
        <f t="shared" si="65"/>
        <v>44.3</v>
      </c>
      <c r="AD104" s="89">
        <f t="shared" si="65"/>
        <v>64.900000000000006</v>
      </c>
      <c r="AE104" s="89">
        <f t="shared" si="65"/>
        <v>61.8</v>
      </c>
      <c r="AF104" s="89">
        <f t="shared" si="65"/>
        <v>42.7</v>
      </c>
      <c r="AG104" s="61"/>
      <c r="AH104" s="48">
        <f t="shared" si="41"/>
        <v>66.2</v>
      </c>
      <c r="AI104" s="49">
        <f t="shared" si="42"/>
        <v>0</v>
      </c>
      <c r="BG104" s="82">
        <v>-42.7</v>
      </c>
      <c r="BH104" s="82">
        <v>0</v>
      </c>
      <c r="BI104" s="82">
        <v>-642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65"/>
        <v>0</v>
      </c>
      <c r="C105" s="89">
        <v>0</v>
      </c>
      <c r="D105" s="89">
        <v>0</v>
      </c>
      <c r="E105" s="89">
        <f t="shared" si="65"/>
        <v>0</v>
      </c>
      <c r="F105" s="89">
        <f t="shared" si="65"/>
        <v>0</v>
      </c>
      <c r="G105" s="89">
        <f t="shared" si="65"/>
        <v>0</v>
      </c>
      <c r="H105" s="89">
        <f t="shared" si="65"/>
        <v>0</v>
      </c>
      <c r="I105" s="89">
        <f t="shared" si="65"/>
        <v>0</v>
      </c>
      <c r="J105" s="89">
        <f t="shared" si="65"/>
        <v>0</v>
      </c>
      <c r="K105" s="89">
        <f t="shared" si="65"/>
        <v>0</v>
      </c>
      <c r="L105" s="89">
        <f t="shared" si="65"/>
        <v>0</v>
      </c>
      <c r="M105" s="89">
        <f t="shared" si="65"/>
        <v>0</v>
      </c>
      <c r="N105" s="89">
        <f t="shared" si="65"/>
        <v>0</v>
      </c>
      <c r="O105" s="89">
        <f t="shared" si="65"/>
        <v>0</v>
      </c>
      <c r="P105" s="89">
        <f t="shared" si="65"/>
        <v>0</v>
      </c>
      <c r="Q105" s="89">
        <f t="shared" si="65"/>
        <v>0</v>
      </c>
      <c r="R105" s="89">
        <f t="shared" si="65"/>
        <v>0</v>
      </c>
      <c r="S105" s="89">
        <f t="shared" si="65"/>
        <v>0</v>
      </c>
      <c r="T105" s="89">
        <f t="shared" si="65"/>
        <v>0</v>
      </c>
      <c r="U105" s="89">
        <f t="shared" si="65"/>
        <v>0</v>
      </c>
      <c r="V105" s="89">
        <f t="shared" si="65"/>
        <v>0</v>
      </c>
      <c r="W105" s="89">
        <f t="shared" si="65"/>
        <v>0</v>
      </c>
      <c r="X105" s="89">
        <f t="shared" si="65"/>
        <v>0</v>
      </c>
      <c r="Y105" s="89">
        <f t="shared" si="65"/>
        <v>0</v>
      </c>
      <c r="Z105" s="89">
        <f t="shared" si="65"/>
        <v>0</v>
      </c>
      <c r="AA105" s="89">
        <f t="shared" si="65"/>
        <v>0</v>
      </c>
      <c r="AB105" s="89">
        <f t="shared" si="65"/>
        <v>0</v>
      </c>
      <c r="AC105" s="89">
        <f t="shared" si="65"/>
        <v>0</v>
      </c>
      <c r="AD105" s="89">
        <f t="shared" si="65"/>
        <v>0</v>
      </c>
      <c r="AE105" s="89">
        <f t="shared" si="65"/>
        <v>0</v>
      </c>
      <c r="AF105" s="89">
        <f t="shared" si="65"/>
        <v>0</v>
      </c>
      <c r="AG105" s="66"/>
      <c r="AH105" s="48">
        <f t="shared" si="41"/>
        <v>0</v>
      </c>
      <c r="AI105" s="49">
        <f t="shared" si="42"/>
        <v>0</v>
      </c>
      <c r="AK105" s="51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65"/>
        <v>0</v>
      </c>
      <c r="C106" s="89">
        <v>662</v>
      </c>
      <c r="D106" s="89">
        <v>662</v>
      </c>
      <c r="E106" s="89">
        <f t="shared" si="65"/>
        <v>592</v>
      </c>
      <c r="F106" s="89">
        <f t="shared" si="65"/>
        <v>604</v>
      </c>
      <c r="G106" s="89">
        <f t="shared" si="65"/>
        <v>635</v>
      </c>
      <c r="H106" s="89">
        <f t="shared" si="65"/>
        <v>613</v>
      </c>
      <c r="I106" s="89">
        <f t="shared" si="65"/>
        <v>641</v>
      </c>
      <c r="J106" s="89">
        <f t="shared" si="65"/>
        <v>595</v>
      </c>
      <c r="K106" s="89">
        <f t="shared" si="65"/>
        <v>595</v>
      </c>
      <c r="L106" s="89">
        <f t="shared" si="65"/>
        <v>610</v>
      </c>
      <c r="M106" s="89">
        <f t="shared" si="65"/>
        <v>602</v>
      </c>
      <c r="N106" s="89">
        <f t="shared" si="65"/>
        <v>625</v>
      </c>
      <c r="O106" s="89">
        <f t="shared" si="65"/>
        <v>666</v>
      </c>
      <c r="P106" s="89">
        <f t="shared" si="65"/>
        <v>502</v>
      </c>
      <c r="Q106" s="89">
        <f t="shared" si="65"/>
        <v>552.20000000000005</v>
      </c>
      <c r="R106" s="89">
        <f t="shared" si="65"/>
        <v>559</v>
      </c>
      <c r="S106" s="89">
        <f t="shared" si="65"/>
        <v>542</v>
      </c>
      <c r="T106" s="89">
        <f t="shared" si="65"/>
        <v>623</v>
      </c>
      <c r="U106" s="89">
        <f t="shared" si="65"/>
        <v>625</v>
      </c>
      <c r="V106" s="89">
        <f t="shared" si="65"/>
        <v>651</v>
      </c>
      <c r="W106" s="89">
        <f t="shared" si="65"/>
        <v>660</v>
      </c>
      <c r="X106" s="89">
        <f t="shared" si="65"/>
        <v>668</v>
      </c>
      <c r="Y106" s="89">
        <f t="shared" si="65"/>
        <v>618</v>
      </c>
      <c r="Z106" s="89">
        <f t="shared" si="65"/>
        <v>675</v>
      </c>
      <c r="AA106" s="89">
        <f t="shared" si="65"/>
        <v>620</v>
      </c>
      <c r="AB106" s="89">
        <f t="shared" si="65"/>
        <v>612.20000000000005</v>
      </c>
      <c r="AC106" s="89">
        <f t="shared" si="65"/>
        <v>644.70000000000005</v>
      </c>
      <c r="AD106" s="89">
        <f t="shared" si="65"/>
        <v>625</v>
      </c>
      <c r="AE106" s="89">
        <f t="shared" si="65"/>
        <v>628.20000000000005</v>
      </c>
      <c r="AF106" s="89">
        <f t="shared" si="65"/>
        <v>642</v>
      </c>
      <c r="AG106" s="111"/>
      <c r="AH106" s="48">
        <f t="shared" si="41"/>
        <v>675</v>
      </c>
      <c r="AI106" s="49">
        <f t="shared" si="42"/>
        <v>0</v>
      </c>
    </row>
    <row r="107" spans="1:64" x14ac:dyDescent="0.25">
      <c r="A107" s="97" t="s">
        <v>107</v>
      </c>
      <c r="B107" s="89">
        <f t="shared" si="65"/>
        <v>0</v>
      </c>
      <c r="C107" s="89">
        <v>0</v>
      </c>
      <c r="D107" s="89">
        <v>0</v>
      </c>
      <c r="E107" s="89">
        <f t="shared" si="65"/>
        <v>0</v>
      </c>
      <c r="F107" s="89">
        <f t="shared" si="65"/>
        <v>0</v>
      </c>
      <c r="G107" s="89">
        <f t="shared" si="65"/>
        <v>0</v>
      </c>
      <c r="H107" s="89">
        <f t="shared" si="65"/>
        <v>0</v>
      </c>
      <c r="I107" s="89">
        <f t="shared" si="65"/>
        <v>0</v>
      </c>
      <c r="J107" s="89">
        <f t="shared" si="65"/>
        <v>0</v>
      </c>
      <c r="K107" s="89">
        <f t="shared" si="65"/>
        <v>0</v>
      </c>
      <c r="L107" s="89">
        <f t="shared" si="65"/>
        <v>0</v>
      </c>
      <c r="M107" s="89">
        <f t="shared" si="65"/>
        <v>0</v>
      </c>
      <c r="N107" s="89">
        <f t="shared" si="65"/>
        <v>0</v>
      </c>
      <c r="O107" s="89">
        <f t="shared" si="65"/>
        <v>0</v>
      </c>
      <c r="P107" s="89">
        <f t="shared" si="65"/>
        <v>0</v>
      </c>
      <c r="Q107" s="89">
        <f t="shared" si="65"/>
        <v>0</v>
      </c>
      <c r="R107" s="89">
        <f t="shared" si="65"/>
        <v>0</v>
      </c>
      <c r="S107" s="89">
        <f t="shared" si="65"/>
        <v>0</v>
      </c>
      <c r="T107" s="89">
        <f t="shared" si="65"/>
        <v>0</v>
      </c>
      <c r="U107" s="89">
        <f t="shared" si="65"/>
        <v>0</v>
      </c>
      <c r="V107" s="89">
        <f t="shared" si="65"/>
        <v>0</v>
      </c>
      <c r="W107" s="89">
        <f t="shared" si="65"/>
        <v>0</v>
      </c>
      <c r="X107" s="89">
        <f t="shared" si="65"/>
        <v>0</v>
      </c>
      <c r="Y107" s="89">
        <f t="shared" si="65"/>
        <v>0</v>
      </c>
      <c r="Z107" s="89">
        <f t="shared" si="65"/>
        <v>0</v>
      </c>
      <c r="AA107" s="89">
        <f t="shared" si="65"/>
        <v>0</v>
      </c>
      <c r="AB107" s="89">
        <f t="shared" si="65"/>
        <v>0</v>
      </c>
      <c r="AC107" s="89">
        <f t="shared" si="65"/>
        <v>0</v>
      </c>
      <c r="AD107" s="89">
        <f t="shared" si="65"/>
        <v>0</v>
      </c>
      <c r="AE107" s="89">
        <f t="shared" si="65"/>
        <v>0</v>
      </c>
      <c r="AF107" s="89">
        <f t="shared" si="65"/>
        <v>0</v>
      </c>
      <c r="AG107" s="111"/>
      <c r="AH107" s="48">
        <f t="shared" si="41"/>
        <v>0</v>
      </c>
      <c r="AI107" s="49">
        <f t="shared" si="42"/>
        <v>0</v>
      </c>
    </row>
    <row r="108" spans="1:64" x14ac:dyDescent="0.25">
      <c r="A108" s="97" t="s">
        <v>108</v>
      </c>
      <c r="B108" s="89">
        <f t="shared" si="65"/>
        <v>0</v>
      </c>
      <c r="C108" s="89">
        <v>0</v>
      </c>
      <c r="D108" s="89">
        <v>0</v>
      </c>
      <c r="E108" s="89">
        <f t="shared" si="65"/>
        <v>0</v>
      </c>
      <c r="F108" s="89">
        <f t="shared" si="65"/>
        <v>0</v>
      </c>
      <c r="G108" s="89">
        <f t="shared" si="65"/>
        <v>0</v>
      </c>
      <c r="H108" s="89">
        <f t="shared" si="65"/>
        <v>0</v>
      </c>
      <c r="I108" s="89">
        <f t="shared" si="65"/>
        <v>0</v>
      </c>
      <c r="J108" s="89">
        <f t="shared" si="65"/>
        <v>0</v>
      </c>
      <c r="K108" s="89">
        <f t="shared" si="65"/>
        <v>0</v>
      </c>
      <c r="L108" s="89">
        <f t="shared" si="65"/>
        <v>0</v>
      </c>
      <c r="M108" s="89">
        <f t="shared" si="65"/>
        <v>0</v>
      </c>
      <c r="N108" s="89">
        <f t="shared" si="65"/>
        <v>0</v>
      </c>
      <c r="O108" s="89">
        <f t="shared" si="65"/>
        <v>0</v>
      </c>
      <c r="P108" s="89">
        <f t="shared" si="65"/>
        <v>0</v>
      </c>
      <c r="Q108" s="89">
        <f t="shared" si="65"/>
        <v>0</v>
      </c>
      <c r="R108" s="89">
        <f t="shared" si="65"/>
        <v>0</v>
      </c>
      <c r="S108" s="89">
        <f t="shared" si="65"/>
        <v>0</v>
      </c>
      <c r="T108" s="89">
        <f t="shared" si="65"/>
        <v>0</v>
      </c>
      <c r="U108" s="89">
        <f t="shared" si="65"/>
        <v>0</v>
      </c>
      <c r="V108" s="89">
        <f t="shared" si="65"/>
        <v>0</v>
      </c>
      <c r="W108" s="89">
        <f t="shared" si="65"/>
        <v>0</v>
      </c>
      <c r="X108" s="89">
        <f t="shared" si="65"/>
        <v>0</v>
      </c>
      <c r="Y108" s="89">
        <f t="shared" si="65"/>
        <v>0</v>
      </c>
      <c r="Z108" s="89">
        <f t="shared" si="65"/>
        <v>0</v>
      </c>
      <c r="AA108" s="89">
        <f t="shared" si="65"/>
        <v>0</v>
      </c>
      <c r="AB108" s="89">
        <f t="shared" si="65"/>
        <v>0</v>
      </c>
      <c r="AC108" s="89">
        <f t="shared" si="65"/>
        <v>0</v>
      </c>
      <c r="AD108" s="89">
        <f t="shared" si="65"/>
        <v>0</v>
      </c>
      <c r="AE108" s="89">
        <f t="shared" si="65"/>
        <v>0</v>
      </c>
      <c r="AF108" s="89">
        <f t="shared" si="65"/>
        <v>0</v>
      </c>
      <c r="AG108" s="111"/>
      <c r="AH108" s="48">
        <f t="shared" si="41"/>
        <v>0</v>
      </c>
      <c r="AI108" s="49">
        <f t="shared" si="42"/>
        <v>0</v>
      </c>
    </row>
    <row r="109" spans="1:64" ht="15.75" thickBot="1" x14ac:dyDescent="0.3">
      <c r="A109" s="97" t="s">
        <v>117</v>
      </c>
      <c r="B109" s="89">
        <f t="shared" si="65"/>
        <v>0</v>
      </c>
      <c r="C109" s="89">
        <v>0</v>
      </c>
      <c r="D109" s="89">
        <v>0</v>
      </c>
      <c r="E109" s="89">
        <f t="shared" si="65"/>
        <v>0</v>
      </c>
      <c r="F109" s="89">
        <f t="shared" si="65"/>
        <v>0</v>
      </c>
      <c r="G109" s="89">
        <f t="shared" si="65"/>
        <v>0</v>
      </c>
      <c r="H109" s="89">
        <f t="shared" si="65"/>
        <v>0</v>
      </c>
      <c r="I109" s="89">
        <f t="shared" si="65"/>
        <v>0</v>
      </c>
      <c r="J109" s="89">
        <f t="shared" si="65"/>
        <v>0</v>
      </c>
      <c r="K109" s="89">
        <f t="shared" si="65"/>
        <v>0</v>
      </c>
      <c r="L109" s="89">
        <f t="shared" si="65"/>
        <v>0</v>
      </c>
      <c r="M109" s="89">
        <f t="shared" si="65"/>
        <v>0</v>
      </c>
      <c r="N109" s="89">
        <f t="shared" si="65"/>
        <v>0</v>
      </c>
      <c r="O109" s="89">
        <f t="shared" si="65"/>
        <v>0</v>
      </c>
      <c r="P109" s="89">
        <f t="shared" si="65"/>
        <v>0</v>
      </c>
      <c r="Q109" s="89">
        <f t="shared" si="65"/>
        <v>0</v>
      </c>
      <c r="R109" s="89">
        <f t="shared" si="65"/>
        <v>0</v>
      </c>
      <c r="S109" s="89">
        <f t="shared" si="65"/>
        <v>0</v>
      </c>
      <c r="T109" s="89">
        <f t="shared" si="65"/>
        <v>0</v>
      </c>
      <c r="U109" s="89">
        <f t="shared" si="65"/>
        <v>0</v>
      </c>
      <c r="V109" s="89">
        <f t="shared" si="65"/>
        <v>0</v>
      </c>
      <c r="W109" s="89">
        <f t="shared" si="65"/>
        <v>0</v>
      </c>
      <c r="X109" s="89">
        <f t="shared" si="65"/>
        <v>0</v>
      </c>
      <c r="Y109" s="89">
        <f t="shared" si="65"/>
        <v>0</v>
      </c>
      <c r="Z109" s="89">
        <f t="shared" si="65"/>
        <v>0</v>
      </c>
      <c r="AA109" s="89">
        <f t="shared" si="65"/>
        <v>0</v>
      </c>
      <c r="AB109" s="89">
        <f t="shared" si="65"/>
        <v>0</v>
      </c>
      <c r="AC109" s="89">
        <f t="shared" si="65"/>
        <v>0</v>
      </c>
      <c r="AD109" s="89">
        <f t="shared" si="65"/>
        <v>0</v>
      </c>
      <c r="AE109" s="89">
        <f t="shared" si="65"/>
        <v>0</v>
      </c>
      <c r="AF109" s="89">
        <f t="shared" si="65"/>
        <v>0</v>
      </c>
      <c r="AG109" s="98"/>
      <c r="AH109" s="48">
        <f t="shared" si="41"/>
        <v>0</v>
      </c>
      <c r="AI109" s="49">
        <f t="shared" si="42"/>
        <v>0</v>
      </c>
    </row>
    <row r="110" spans="1:64" ht="15.75" thickBot="1" x14ac:dyDescent="0.3">
      <c r="A110" s="112" t="s">
        <v>130</v>
      </c>
      <c r="B110" s="71">
        <f>SUM(B104:B109)</f>
        <v>0</v>
      </c>
      <c r="C110" s="71">
        <v>712</v>
      </c>
      <c r="D110" s="71">
        <v>712</v>
      </c>
      <c r="E110" s="71">
        <f t="shared" ref="E110:AF110" si="66">SUM(E104:E109)</f>
        <v>647</v>
      </c>
      <c r="F110" s="71">
        <f t="shared" si="66"/>
        <v>627</v>
      </c>
      <c r="G110" s="71">
        <f t="shared" si="66"/>
        <v>656.2</v>
      </c>
      <c r="H110" s="71">
        <f t="shared" si="66"/>
        <v>642.1</v>
      </c>
      <c r="I110" s="71">
        <f t="shared" si="66"/>
        <v>675.5</v>
      </c>
      <c r="J110" s="71">
        <f t="shared" si="66"/>
        <v>633</v>
      </c>
      <c r="K110" s="71">
        <f t="shared" si="66"/>
        <v>633</v>
      </c>
      <c r="L110" s="71">
        <f t="shared" si="66"/>
        <v>670</v>
      </c>
      <c r="M110" s="71">
        <f t="shared" si="66"/>
        <v>661</v>
      </c>
      <c r="N110" s="71">
        <f t="shared" si="66"/>
        <v>661.5</v>
      </c>
      <c r="O110" s="71">
        <f t="shared" si="66"/>
        <v>722</v>
      </c>
      <c r="P110" s="71">
        <f t="shared" si="66"/>
        <v>557</v>
      </c>
      <c r="Q110" s="71">
        <f t="shared" si="66"/>
        <v>618.40000000000009</v>
      </c>
      <c r="R110" s="71">
        <f t="shared" si="66"/>
        <v>610</v>
      </c>
      <c r="S110" s="71">
        <f t="shared" si="66"/>
        <v>593</v>
      </c>
      <c r="T110" s="71">
        <f t="shared" si="66"/>
        <v>677</v>
      </c>
      <c r="U110" s="71">
        <f t="shared" si="66"/>
        <v>686</v>
      </c>
      <c r="V110" s="71">
        <f t="shared" si="66"/>
        <v>716.6</v>
      </c>
      <c r="W110" s="71">
        <f t="shared" si="66"/>
        <v>718</v>
      </c>
      <c r="X110" s="71">
        <f t="shared" si="66"/>
        <v>727.6</v>
      </c>
      <c r="Y110" s="71">
        <f t="shared" si="66"/>
        <v>680.8</v>
      </c>
      <c r="Z110" s="71">
        <f t="shared" si="66"/>
        <v>736.9</v>
      </c>
      <c r="AA110" s="71">
        <f t="shared" si="66"/>
        <v>679</v>
      </c>
      <c r="AB110" s="71">
        <f t="shared" si="66"/>
        <v>658.5</v>
      </c>
      <c r="AC110" s="71">
        <f t="shared" si="66"/>
        <v>689</v>
      </c>
      <c r="AD110" s="71">
        <f t="shared" si="66"/>
        <v>689.9</v>
      </c>
      <c r="AE110" s="71">
        <f t="shared" si="66"/>
        <v>690</v>
      </c>
      <c r="AF110" s="71">
        <f t="shared" si="66"/>
        <v>684.7</v>
      </c>
      <c r="AG110" s="101"/>
      <c r="AH110" s="48">
        <f t="shared" si="41"/>
        <v>736.9</v>
      </c>
      <c r="AI110" s="49">
        <f t="shared" si="42"/>
        <v>0</v>
      </c>
    </row>
    <row r="111" spans="1:64" ht="15.75" thickBot="1" x14ac:dyDescent="0.3">
      <c r="A111" s="87" t="s">
        <v>131</v>
      </c>
      <c r="B111" s="71">
        <f t="shared" ref="B111:AF111" si="67">B95-B110</f>
        <v>0</v>
      </c>
      <c r="C111" s="71">
        <v>-712</v>
      </c>
      <c r="D111" s="71">
        <v>-712</v>
      </c>
      <c r="E111" s="71">
        <f t="shared" si="67"/>
        <v>-647</v>
      </c>
      <c r="F111" s="71">
        <f t="shared" si="67"/>
        <v>-627</v>
      </c>
      <c r="G111" s="71">
        <f t="shared" si="67"/>
        <v>-656.2</v>
      </c>
      <c r="H111" s="71">
        <f t="shared" si="67"/>
        <v>-642.1</v>
      </c>
      <c r="I111" s="71">
        <f t="shared" si="67"/>
        <v>-675.5</v>
      </c>
      <c r="J111" s="71">
        <f t="shared" si="67"/>
        <v>-633</v>
      </c>
      <c r="K111" s="71">
        <f t="shared" si="67"/>
        <v>-633</v>
      </c>
      <c r="L111" s="71">
        <f t="shared" si="67"/>
        <v>-670</v>
      </c>
      <c r="M111" s="71">
        <f t="shared" si="67"/>
        <v>-661</v>
      </c>
      <c r="N111" s="71">
        <f t="shared" si="67"/>
        <v>-661.5</v>
      </c>
      <c r="O111" s="71">
        <f t="shared" si="67"/>
        <v>-722</v>
      </c>
      <c r="P111" s="71">
        <f t="shared" si="67"/>
        <v>-557</v>
      </c>
      <c r="Q111" s="71">
        <f t="shared" si="67"/>
        <v>-618.40000000000009</v>
      </c>
      <c r="R111" s="71">
        <f t="shared" si="67"/>
        <v>-610</v>
      </c>
      <c r="S111" s="71">
        <f t="shared" si="67"/>
        <v>-593</v>
      </c>
      <c r="T111" s="71">
        <f t="shared" si="67"/>
        <v>-677</v>
      </c>
      <c r="U111" s="71">
        <f t="shared" si="67"/>
        <v>-686</v>
      </c>
      <c r="V111" s="71">
        <f t="shared" si="67"/>
        <v>-716.6</v>
      </c>
      <c r="W111" s="71">
        <f t="shared" si="67"/>
        <v>-718</v>
      </c>
      <c r="X111" s="71">
        <f t="shared" si="67"/>
        <v>-727.6</v>
      </c>
      <c r="Y111" s="71">
        <f t="shared" si="67"/>
        <v>-680.8</v>
      </c>
      <c r="Z111" s="71">
        <f t="shared" si="67"/>
        <v>-736.9</v>
      </c>
      <c r="AA111" s="71">
        <f t="shared" si="67"/>
        <v>-679</v>
      </c>
      <c r="AB111" s="71">
        <f t="shared" si="67"/>
        <v>-658.5</v>
      </c>
      <c r="AC111" s="71">
        <f t="shared" si="67"/>
        <v>-689</v>
      </c>
      <c r="AD111" s="71">
        <f t="shared" si="67"/>
        <v>-689.9</v>
      </c>
      <c r="AE111" s="71">
        <f t="shared" si="67"/>
        <v>-690</v>
      </c>
      <c r="AF111" s="71">
        <f t="shared" si="67"/>
        <v>-684.7</v>
      </c>
      <c r="AG111" s="101"/>
      <c r="AH111" s="48">
        <f t="shared" si="41"/>
        <v>0</v>
      </c>
      <c r="AI111" s="49">
        <f t="shared" si="42"/>
        <v>-736.9</v>
      </c>
    </row>
    <row r="112" spans="1:64" x14ac:dyDescent="0.25">
      <c r="A112" s="113" t="s">
        <v>132</v>
      </c>
      <c r="B112" s="114"/>
      <c r="C112" s="114">
        <v>50.03</v>
      </c>
      <c r="D112" s="114">
        <v>49.97</v>
      </c>
      <c r="E112" s="114">
        <v>49.942</v>
      </c>
      <c r="F112" s="114">
        <v>49.942</v>
      </c>
      <c r="G112" s="114">
        <v>49.942</v>
      </c>
      <c r="H112" s="114">
        <v>49.941000000000003</v>
      </c>
      <c r="I112" s="114">
        <v>49.87</v>
      </c>
      <c r="J112" s="114">
        <v>49.822000000000003</v>
      </c>
      <c r="K112" s="114">
        <v>49.85</v>
      </c>
      <c r="L112" s="114">
        <v>49.825000000000003</v>
      </c>
      <c r="M112" s="114">
        <v>50.088000000000001</v>
      </c>
      <c r="N112" s="114">
        <v>50.103999999999999</v>
      </c>
      <c r="O112" s="114">
        <v>50.042999999999999</v>
      </c>
      <c r="P112" s="114">
        <v>49.920999999999999</v>
      </c>
      <c r="Q112" s="114">
        <v>50.003799999999998</v>
      </c>
      <c r="R112" s="114">
        <v>49.996000000000002</v>
      </c>
      <c r="S112" s="114">
        <v>49.915999999999997</v>
      </c>
      <c r="T112" s="114">
        <v>49.970999999999997</v>
      </c>
      <c r="U112" s="114">
        <v>50.02</v>
      </c>
      <c r="V112" s="114">
        <v>49.957000000000001</v>
      </c>
      <c r="W112" s="114">
        <v>50.029000000000003</v>
      </c>
      <c r="X112" s="114">
        <v>49.966000000000001</v>
      </c>
      <c r="Y112" s="114">
        <v>50.026000000000003</v>
      </c>
      <c r="Z112" s="114">
        <v>50.039000000000001</v>
      </c>
      <c r="AA112" s="114">
        <v>49.896000000000001</v>
      </c>
      <c r="AB112" s="114">
        <v>49.962000000000003</v>
      </c>
      <c r="AC112" s="114">
        <v>49.981999999999999</v>
      </c>
      <c r="AD112" s="114">
        <v>49.975999999999999</v>
      </c>
      <c r="AE112" s="114">
        <v>50.046999999999997</v>
      </c>
      <c r="AF112" s="114">
        <v>50.036999999999999</v>
      </c>
      <c r="AG112" s="115"/>
      <c r="AH112" s="48">
        <f t="shared" si="41"/>
        <v>50.103999999999999</v>
      </c>
      <c r="AI112" s="49">
        <f t="shared" si="42"/>
        <v>49.822000000000003</v>
      </c>
    </row>
    <row r="113" spans="1:35" x14ac:dyDescent="0.25">
      <c r="A113" s="116" t="s">
        <v>133</v>
      </c>
      <c r="B113" s="76"/>
      <c r="C113" s="76">
        <v>125</v>
      </c>
      <c r="D113" s="76">
        <v>123.7</v>
      </c>
      <c r="E113" s="76">
        <v>125.6</v>
      </c>
      <c r="F113" s="76">
        <v>125.6</v>
      </c>
      <c r="G113" s="76">
        <v>125.6</v>
      </c>
      <c r="H113" s="76">
        <v>125.5</v>
      </c>
      <c r="I113" s="76">
        <v>122.7</v>
      </c>
      <c r="J113" s="76">
        <v>123</v>
      </c>
      <c r="K113" s="76">
        <v>122.2</v>
      </c>
      <c r="L113" s="76">
        <v>122.2</v>
      </c>
      <c r="M113" s="76">
        <v>121.5</v>
      </c>
      <c r="N113" s="76">
        <v>122.3</v>
      </c>
      <c r="O113" s="76">
        <v>123.3</v>
      </c>
      <c r="P113" s="76">
        <v>122.6</v>
      </c>
      <c r="Q113" s="76">
        <v>123.7</v>
      </c>
      <c r="R113" s="76">
        <v>123.8</v>
      </c>
      <c r="S113" s="76">
        <v>123.6</v>
      </c>
      <c r="T113" s="76">
        <v>123.1</v>
      </c>
      <c r="U113" s="76">
        <v>123.1</v>
      </c>
      <c r="V113" s="76">
        <v>121.7</v>
      </c>
      <c r="W113" s="76">
        <v>124.1</v>
      </c>
      <c r="X113" s="76">
        <v>123</v>
      </c>
      <c r="Y113" s="76">
        <v>123.9</v>
      </c>
      <c r="Z113" s="76">
        <v>124.8</v>
      </c>
      <c r="AA113" s="76">
        <v>124.1</v>
      </c>
      <c r="AB113" s="76">
        <v>126.2</v>
      </c>
      <c r="AC113" s="76">
        <v>125.5</v>
      </c>
      <c r="AD113" s="76">
        <v>125.5</v>
      </c>
      <c r="AE113" s="76">
        <v>123.9</v>
      </c>
      <c r="AF113" s="76">
        <v>124.9</v>
      </c>
      <c r="AG113" s="117"/>
      <c r="AH113" s="48">
        <f t="shared" si="41"/>
        <v>126.2</v>
      </c>
      <c r="AI113" s="49">
        <f t="shared" si="42"/>
        <v>121.5</v>
      </c>
    </row>
    <row r="114" spans="1:35" x14ac:dyDescent="0.25">
      <c r="A114" s="116" t="s">
        <v>134</v>
      </c>
      <c r="B114" s="76"/>
      <c r="C114" s="76">
        <v>128</v>
      </c>
      <c r="D114" s="76">
        <v>128.5</v>
      </c>
      <c r="E114" s="76">
        <v>130</v>
      </c>
      <c r="F114" s="76">
        <v>130</v>
      </c>
      <c r="G114" s="76">
        <v>130</v>
      </c>
      <c r="H114" s="76">
        <v>128.5</v>
      </c>
      <c r="I114" s="76">
        <v>126.3</v>
      </c>
      <c r="J114" s="76">
        <v>126.4</v>
      </c>
      <c r="K114" s="76">
        <v>125.7</v>
      </c>
      <c r="L114" s="76">
        <v>125.7</v>
      </c>
      <c r="M114" s="76">
        <v>124.3</v>
      </c>
      <c r="N114" s="76">
        <v>125.3</v>
      </c>
      <c r="O114" s="76">
        <v>125.1</v>
      </c>
      <c r="P114" s="76">
        <v>124.9</v>
      </c>
      <c r="Q114" s="76">
        <v>128.30000000000001</v>
      </c>
      <c r="R114" s="76">
        <v>125.8</v>
      </c>
      <c r="S114" s="76">
        <v>125.5</v>
      </c>
      <c r="T114" s="76">
        <v>125.1</v>
      </c>
      <c r="U114" s="76">
        <v>125.1</v>
      </c>
      <c r="V114" s="76">
        <v>123.9</v>
      </c>
      <c r="W114" s="76">
        <v>125.8</v>
      </c>
      <c r="X114" s="76">
        <v>125.6</v>
      </c>
      <c r="Y114" s="76">
        <v>125.9</v>
      </c>
      <c r="Z114" s="76">
        <v>126.6</v>
      </c>
      <c r="AA114" s="76">
        <v>126.1</v>
      </c>
      <c r="AB114" s="76">
        <v>127.5</v>
      </c>
      <c r="AC114" s="76">
        <v>127.6</v>
      </c>
      <c r="AD114" s="76">
        <v>127.8</v>
      </c>
      <c r="AE114" s="76">
        <v>127.1</v>
      </c>
      <c r="AF114" s="76">
        <v>128.30000000000001</v>
      </c>
      <c r="AG114" s="117"/>
      <c r="AH114" s="48">
        <f t="shared" si="41"/>
        <v>130</v>
      </c>
      <c r="AI114" s="49">
        <f t="shared" si="42"/>
        <v>123.9</v>
      </c>
    </row>
    <row r="115" spans="1:35" x14ac:dyDescent="0.25">
      <c r="A115" s="116" t="s">
        <v>135</v>
      </c>
      <c r="B115" s="76"/>
      <c r="C115" s="76">
        <v>128</v>
      </c>
      <c r="D115" s="76">
        <v>129</v>
      </c>
      <c r="E115" s="76">
        <v>130.1</v>
      </c>
      <c r="F115" s="76">
        <v>130.1</v>
      </c>
      <c r="G115" s="76">
        <v>130.1</v>
      </c>
      <c r="H115" s="76">
        <v>131</v>
      </c>
      <c r="I115" s="76">
        <v>130.5</v>
      </c>
      <c r="J115" s="76">
        <v>130.19999999999999</v>
      </c>
      <c r="K115" s="76">
        <v>128</v>
      </c>
      <c r="L115" s="76">
        <v>128</v>
      </c>
      <c r="M115" s="76">
        <v>130.30000000000001</v>
      </c>
      <c r="N115" s="76">
        <v>129.30000000000001</v>
      </c>
      <c r="O115" s="76">
        <v>128.9</v>
      </c>
      <c r="P115" s="76">
        <v>130.4</v>
      </c>
      <c r="Q115" s="76">
        <v>131.5</v>
      </c>
      <c r="R115" s="76">
        <v>129</v>
      </c>
      <c r="S115" s="76">
        <v>129</v>
      </c>
      <c r="T115" s="76">
        <v>128.4</v>
      </c>
      <c r="U115" s="76">
        <v>128.4</v>
      </c>
      <c r="V115" s="76">
        <v>129.30000000000001</v>
      </c>
      <c r="W115" s="76">
        <v>131.1</v>
      </c>
      <c r="X115" s="76">
        <v>130.19999999999999</v>
      </c>
      <c r="Y115" s="76">
        <v>130.9</v>
      </c>
      <c r="Z115" s="76">
        <v>129.4</v>
      </c>
      <c r="AA115" s="76">
        <v>128.19999999999999</v>
      </c>
      <c r="AB115" s="76">
        <v>128.30000000000001</v>
      </c>
      <c r="AC115" s="76">
        <v>128.6</v>
      </c>
      <c r="AD115" s="76">
        <v>128.69999999999999</v>
      </c>
      <c r="AE115" s="76">
        <v>127.9</v>
      </c>
      <c r="AF115" s="76">
        <v>130.6</v>
      </c>
      <c r="AG115" s="117"/>
      <c r="AH115" s="48">
        <f t="shared" si="41"/>
        <v>131.5</v>
      </c>
      <c r="AI115" s="49">
        <f t="shared" si="42"/>
        <v>127.9</v>
      </c>
    </row>
    <row r="116" spans="1:35" x14ac:dyDescent="0.25">
      <c r="A116" s="118" t="s">
        <v>136</v>
      </c>
      <c r="B116" s="76"/>
      <c r="C116" s="76">
        <v>130</v>
      </c>
      <c r="D116" s="76">
        <v>129</v>
      </c>
      <c r="E116" s="76">
        <v>130</v>
      </c>
      <c r="F116" s="76">
        <v>130</v>
      </c>
      <c r="G116" s="76">
        <v>130</v>
      </c>
      <c r="H116" s="76">
        <v>131</v>
      </c>
      <c r="I116" s="76">
        <v>130.4</v>
      </c>
      <c r="J116" s="76">
        <v>129.69999999999999</v>
      </c>
      <c r="K116" s="76">
        <v>128.19999999999999</v>
      </c>
      <c r="L116" s="76">
        <v>128.19999999999999</v>
      </c>
      <c r="M116" s="76">
        <v>132</v>
      </c>
      <c r="N116" s="76">
        <v>130.6</v>
      </c>
      <c r="O116" s="76">
        <v>131.4</v>
      </c>
      <c r="P116" s="76">
        <v>132</v>
      </c>
      <c r="Q116" s="76">
        <v>130.19999999999999</v>
      </c>
      <c r="R116" s="76">
        <v>131.19999999999999</v>
      </c>
      <c r="S116" s="76">
        <v>130.30000000000001</v>
      </c>
      <c r="T116" s="76">
        <v>130.6</v>
      </c>
      <c r="U116" s="76">
        <v>130.6</v>
      </c>
      <c r="V116" s="76">
        <v>129</v>
      </c>
      <c r="W116" s="76">
        <v>132</v>
      </c>
      <c r="X116" s="76">
        <v>133.19999999999999</v>
      </c>
      <c r="Y116" s="76">
        <v>129</v>
      </c>
      <c r="Z116" s="76">
        <v>129.5</v>
      </c>
      <c r="AA116" s="76">
        <v>128.80000000000001</v>
      </c>
      <c r="AB116" s="76">
        <v>128.5</v>
      </c>
      <c r="AC116" s="76">
        <v>129.5</v>
      </c>
      <c r="AD116" s="76">
        <v>129.9</v>
      </c>
      <c r="AE116" s="76">
        <v>128.5</v>
      </c>
      <c r="AF116" s="76">
        <v>131.1</v>
      </c>
      <c r="AG116" s="117"/>
      <c r="AH116" s="48">
        <f t="shared" si="41"/>
        <v>133.19999999999999</v>
      </c>
      <c r="AI116" s="49">
        <f t="shared" si="42"/>
        <v>128.19999999999999</v>
      </c>
    </row>
    <row r="117" spans="1:35" x14ac:dyDescent="0.25">
      <c r="A117" s="118" t="s">
        <v>137</v>
      </c>
      <c r="B117" s="119"/>
      <c r="C117" s="119">
        <v>135</v>
      </c>
      <c r="D117" s="119">
        <v>134</v>
      </c>
      <c r="E117" s="119">
        <v>134</v>
      </c>
      <c r="F117" s="119">
        <v>134</v>
      </c>
      <c r="G117" s="119">
        <v>134</v>
      </c>
      <c r="H117" s="119">
        <v>132.4</v>
      </c>
      <c r="I117" s="119">
        <v>131.9</v>
      </c>
      <c r="J117" s="119">
        <v>130.30000000000001</v>
      </c>
      <c r="K117" s="119">
        <v>132.80000000000001</v>
      </c>
      <c r="L117" s="119">
        <v>132.80000000000001</v>
      </c>
      <c r="M117" s="119">
        <v>130.4</v>
      </c>
      <c r="N117" s="119">
        <v>135.1</v>
      </c>
      <c r="O117" s="119">
        <v>134.1</v>
      </c>
      <c r="P117" s="119">
        <v>129.69999999999999</v>
      </c>
      <c r="Q117" s="119">
        <v>135.69999999999999</v>
      </c>
      <c r="R117" s="119">
        <v>135.19999999999999</v>
      </c>
      <c r="S117" s="119">
        <v>133.6</v>
      </c>
      <c r="T117" s="119">
        <v>131.30000000000001</v>
      </c>
      <c r="U117" s="119">
        <v>131.30000000000001</v>
      </c>
      <c r="V117" s="119">
        <v>132.9</v>
      </c>
      <c r="W117" s="119">
        <v>136.19999999999999</v>
      </c>
      <c r="X117" s="119">
        <v>135.30000000000001</v>
      </c>
      <c r="Y117" s="119">
        <v>132</v>
      </c>
      <c r="Z117" s="119">
        <v>136.5</v>
      </c>
      <c r="AA117" s="119">
        <v>136</v>
      </c>
      <c r="AB117" s="119">
        <v>137.19999999999999</v>
      </c>
      <c r="AC117" s="119">
        <v>132.80000000000001</v>
      </c>
      <c r="AD117" s="119">
        <v>133.6</v>
      </c>
      <c r="AE117" s="119">
        <v>133</v>
      </c>
      <c r="AF117" s="119">
        <v>133.6</v>
      </c>
      <c r="AG117" s="120"/>
      <c r="AH117" s="48">
        <f t="shared" si="41"/>
        <v>137.19999999999999</v>
      </c>
      <c r="AI117" s="49">
        <f t="shared" si="42"/>
        <v>129.69999999999999</v>
      </c>
    </row>
    <row r="118" spans="1:35" x14ac:dyDescent="0.25">
      <c r="A118" s="116" t="s">
        <v>138</v>
      </c>
      <c r="B118" s="76"/>
      <c r="C118" s="76">
        <v>122</v>
      </c>
      <c r="D118" s="76">
        <v>128</v>
      </c>
      <c r="E118" s="76">
        <v>125</v>
      </c>
      <c r="F118" s="76">
        <v>125</v>
      </c>
      <c r="G118" s="76">
        <v>125</v>
      </c>
      <c r="H118" s="76">
        <v>132.5</v>
      </c>
      <c r="I118" s="76">
        <v>132.4</v>
      </c>
      <c r="J118" s="76">
        <v>128.30000000000001</v>
      </c>
      <c r="K118" s="76">
        <v>131.30000000000001</v>
      </c>
      <c r="L118" s="76">
        <v>131.30000000000001</v>
      </c>
      <c r="M118" s="76">
        <v>128.6</v>
      </c>
      <c r="N118" s="76">
        <v>129.4</v>
      </c>
      <c r="O118" s="76">
        <v>127.6</v>
      </c>
      <c r="P118" s="76">
        <v>119.2</v>
      </c>
      <c r="Q118" s="76">
        <v>131.4</v>
      </c>
      <c r="R118" s="76">
        <v>131.80000000000001</v>
      </c>
      <c r="S118" s="76">
        <v>130.5</v>
      </c>
      <c r="T118" s="76">
        <v>124.4</v>
      </c>
      <c r="U118" s="76">
        <v>124.4</v>
      </c>
      <c r="V118" s="76">
        <v>124.5</v>
      </c>
      <c r="W118" s="76">
        <v>133.80000000000001</v>
      </c>
      <c r="X118" s="76">
        <v>135.1</v>
      </c>
      <c r="Y118" s="76">
        <v>122</v>
      </c>
      <c r="Z118" s="76">
        <v>129.19999999999999</v>
      </c>
      <c r="AA118" s="76">
        <v>134.19999999999999</v>
      </c>
      <c r="AB118" s="76">
        <v>131.1</v>
      </c>
      <c r="AC118" s="76">
        <v>119</v>
      </c>
      <c r="AD118" s="76">
        <v>122.7</v>
      </c>
      <c r="AE118" s="76">
        <v>119</v>
      </c>
      <c r="AF118" s="76">
        <v>124.5</v>
      </c>
      <c r="AG118" s="117"/>
      <c r="AH118" s="48">
        <f t="shared" si="41"/>
        <v>135.1</v>
      </c>
      <c r="AI118" s="49">
        <f t="shared" si="42"/>
        <v>119</v>
      </c>
    </row>
    <row r="119" spans="1:35" ht="15.75" thickBot="1" x14ac:dyDescent="0.3">
      <c r="A119" s="116" t="s">
        <v>139</v>
      </c>
      <c r="B119" s="105"/>
      <c r="C119" s="105">
        <v>64.7</v>
      </c>
      <c r="D119" s="105">
        <v>64.900000000000006</v>
      </c>
      <c r="E119" s="105">
        <v>65.5</v>
      </c>
      <c r="F119" s="105">
        <v>65.5</v>
      </c>
      <c r="G119" s="105">
        <v>65.5</v>
      </c>
      <c r="H119" s="105">
        <v>65</v>
      </c>
      <c r="I119" s="105">
        <v>63.5</v>
      </c>
      <c r="J119" s="105">
        <v>63.6</v>
      </c>
      <c r="K119" s="105">
        <v>63.4</v>
      </c>
      <c r="L119" s="105">
        <v>63.4</v>
      </c>
      <c r="M119" s="105">
        <v>62.9</v>
      </c>
      <c r="N119" s="105">
        <v>63.1</v>
      </c>
      <c r="O119" s="105">
        <v>63.2</v>
      </c>
      <c r="P119" s="105">
        <v>63</v>
      </c>
      <c r="Q119" s="105">
        <v>63.4</v>
      </c>
      <c r="R119" s="105">
        <v>63.4</v>
      </c>
      <c r="S119" s="105">
        <v>63.2</v>
      </c>
      <c r="T119" s="105">
        <v>63</v>
      </c>
      <c r="U119" s="105">
        <v>63</v>
      </c>
      <c r="V119" s="105">
        <v>62.4</v>
      </c>
      <c r="W119" s="105">
        <v>63.4</v>
      </c>
      <c r="X119" s="105">
        <v>63.3</v>
      </c>
      <c r="Y119" s="105">
        <v>63.7</v>
      </c>
      <c r="Z119" s="105">
        <v>64.099999999999994</v>
      </c>
      <c r="AA119" s="105">
        <v>64</v>
      </c>
      <c r="AB119" s="105">
        <v>64.5</v>
      </c>
      <c r="AC119" s="105">
        <v>64.7</v>
      </c>
      <c r="AD119" s="105">
        <v>64.7</v>
      </c>
      <c r="AE119" s="105">
        <v>64.400000000000006</v>
      </c>
      <c r="AF119" s="105">
        <v>65</v>
      </c>
      <c r="AG119" s="121"/>
      <c r="AH119" s="48">
        <f t="shared" si="41"/>
        <v>65.5</v>
      </c>
      <c r="AI119" s="49">
        <f t="shared" si="42"/>
        <v>62.4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1"/>
        <v>0</v>
      </c>
      <c r="AI120" s="49">
        <f t="shared" si="42"/>
        <v>0</v>
      </c>
    </row>
    <row r="121" spans="1:35" ht="15.75" thickBot="1" x14ac:dyDescent="0.3">
      <c r="A121" s="123" t="s">
        <v>141</v>
      </c>
      <c r="B121" s="124">
        <f t="shared" ref="B121:O121" si="68">SUM(B25,B31,B34:B35,B69,B71:B72,B74,B76,B122:B126,B158,B164,B170,B179,B181,B193,B200,B203:B204,B211,B213,B215,B219:B221,B223:B225,B230,B236:B237,B239:B241,B249,B254)</f>
        <v>0.94</v>
      </c>
      <c r="C121" s="124">
        <v>243.74</v>
      </c>
      <c r="D121" s="124">
        <v>243.74</v>
      </c>
      <c r="E121" s="124">
        <f t="shared" si="68"/>
        <v>159.74</v>
      </c>
      <c r="F121" s="124">
        <f t="shared" ref="F121:G121" si="69">SUM(F25,F31,F34:F35,F69,F71:F72,F74,F76,F122:F126,F158,F164,F170,F179,F181,F193,F200,F203:F204,F211,F213,F215,F219:F221,F223:F225,F230,F236:F237,F239:F241,F249,F254)</f>
        <v>134.73999999999995</v>
      </c>
      <c r="G121" s="124">
        <f t="shared" si="69"/>
        <v>123.73999999999997</v>
      </c>
      <c r="H121" s="124">
        <f t="shared" si="68"/>
        <v>177.14</v>
      </c>
      <c r="I121" s="124">
        <f t="shared" si="68"/>
        <v>197.73999999999998</v>
      </c>
      <c r="J121" s="124">
        <f t="shared" si="68"/>
        <v>224.74</v>
      </c>
      <c r="K121" s="124">
        <f t="shared" si="68"/>
        <v>225.83999999999997</v>
      </c>
      <c r="L121" s="124">
        <f t="shared" si="68"/>
        <v>281.44</v>
      </c>
      <c r="M121" s="124">
        <f t="shared" si="68"/>
        <v>317.24</v>
      </c>
      <c r="N121" s="124">
        <f t="shared" si="68"/>
        <v>256.64</v>
      </c>
      <c r="O121" s="124">
        <f t="shared" si="68"/>
        <v>246.33999999999997</v>
      </c>
      <c r="P121" s="124">
        <v>42</v>
      </c>
      <c r="Q121" s="124">
        <f t="shared" ref="Q121:X121" si="70">SUM(Q25,Q31,Q34:Q35,Q69,Q71:Q72,Q74,Q76,Q122:Q126,Q158,Q164,Q170,Q179,Q181,Q193,Q200,Q203:Q204,Q211,Q213,Q215,Q219:Q221,Q223:Q225,Q230,Q236:Q237,Q239:Q241,Q249,Q254)</f>
        <v>266.94</v>
      </c>
      <c r="R121" s="124">
        <f t="shared" si="70"/>
        <v>294.03999999999996</v>
      </c>
      <c r="S121" s="124">
        <f t="shared" si="70"/>
        <v>231.58</v>
      </c>
      <c r="T121" s="124">
        <f t="shared" si="70"/>
        <v>242.05</v>
      </c>
      <c r="U121" s="124">
        <f t="shared" si="70"/>
        <v>242.46999999999997</v>
      </c>
      <c r="V121" s="124">
        <f t="shared" si="70"/>
        <v>211.37</v>
      </c>
      <c r="W121" s="124">
        <f t="shared" si="70"/>
        <v>210.40999999999994</v>
      </c>
      <c r="X121" s="124">
        <f t="shared" si="70"/>
        <v>201.84000000000003</v>
      </c>
      <c r="Y121" s="124">
        <f>SUM(Y23,Y29,Y40:Y41,Y69,Y71:Y72,Y74,Y76,Y122:Y126,Y151,Y157,Y163,Y172,Y174,Y186,Y193,Y196:Y197,Y204,Y206,Y208,Y212:Y214,Y216:Y218,Y223,Y229:Y230,Y232:Y234,Y242,Y247)</f>
        <v>219.7</v>
      </c>
      <c r="Z121" s="124">
        <f>SUM(Z23,Z29,Z40:Z41,Z69,Z71:Z72,Z74,Z76,Z122:Z126,Z151,Z157,Z163,Z172,Z174,Z186,Z193,Z196:Z197,Z204,Z206,Z208,Z212:Z214,Z216:Z218,Z223,Z229:Z230,Z232:Z234,Z242,Z247)</f>
        <v>252</v>
      </c>
      <c r="AA121" s="124">
        <f t="shared" ref="AA121:AF121" si="71">SUM(AA25,AA31,AA34:AA35,AA69,AA71:AA72,AA74,AA76,AA122:AA126,AA158,AA164,AA170,AA179,AA181,AA193,AA200,AA203:AA204,AA211,AA213,AA215,AA219:AA221,AA223:AA225,AA230,AA236:AA237,AA239:AA241,AA249,AA254)</f>
        <v>256.44</v>
      </c>
      <c r="AB121" s="124">
        <f t="shared" si="71"/>
        <v>200.14</v>
      </c>
      <c r="AC121" s="124">
        <f t="shared" si="71"/>
        <v>179.44</v>
      </c>
      <c r="AD121" s="124">
        <f t="shared" si="71"/>
        <v>166.93999999999997</v>
      </c>
      <c r="AE121" s="124">
        <f t="shared" si="71"/>
        <v>218.23999999999995</v>
      </c>
      <c r="AF121" s="124">
        <f t="shared" si="71"/>
        <v>130.33999999999997</v>
      </c>
      <c r="AG121" s="125"/>
      <c r="AH121" s="48">
        <f t="shared" si="41"/>
        <v>317.24</v>
      </c>
      <c r="AI121" s="49">
        <f t="shared" si="42"/>
        <v>0.94</v>
      </c>
    </row>
    <row r="122" spans="1:35" x14ac:dyDescent="0.25">
      <c r="A122" s="126" t="s">
        <v>142</v>
      </c>
      <c r="B122" s="127"/>
      <c r="C122" s="127">
        <v>51</v>
      </c>
      <c r="D122" s="127">
        <v>55</v>
      </c>
      <c r="E122" s="127">
        <v>-2.2999999999999998</v>
      </c>
      <c r="F122" s="127">
        <v>-2.2999999999999998</v>
      </c>
      <c r="G122" s="127">
        <v>-2.2999999999999998</v>
      </c>
      <c r="H122" s="127">
        <v>25</v>
      </c>
      <c r="I122" s="127">
        <v>34.700000000000003</v>
      </c>
      <c r="J122" s="127">
        <v>28.9</v>
      </c>
      <c r="K122" s="127">
        <v>30</v>
      </c>
      <c r="L122" s="127">
        <v>44.5</v>
      </c>
      <c r="M122" s="127">
        <v>58.8</v>
      </c>
      <c r="N122" s="127">
        <v>39.200000000000003</v>
      </c>
      <c r="O122" s="127">
        <v>53</v>
      </c>
      <c r="P122" s="127">
        <v>43.3</v>
      </c>
      <c r="Q122" s="127">
        <v>44.8</v>
      </c>
      <c r="R122" s="127">
        <v>44.8</v>
      </c>
      <c r="S122" s="127">
        <v>50.4</v>
      </c>
      <c r="T122" s="127">
        <v>56</v>
      </c>
      <c r="U122" s="127">
        <v>58</v>
      </c>
      <c r="V122" s="127">
        <v>66.5</v>
      </c>
      <c r="W122" s="127">
        <v>72.099999999999994</v>
      </c>
      <c r="X122" s="127">
        <v>67.8</v>
      </c>
      <c r="Y122" s="127">
        <v>51</v>
      </c>
      <c r="Z122" s="127">
        <v>72.400000000000006</v>
      </c>
      <c r="AA122" s="127">
        <v>69</v>
      </c>
      <c r="AB122" s="127">
        <v>43.5</v>
      </c>
      <c r="AC122" s="127">
        <v>39.200000000000003</v>
      </c>
      <c r="AD122" s="127">
        <v>29.8</v>
      </c>
      <c r="AE122" s="127">
        <v>44.5</v>
      </c>
      <c r="AF122" s="127">
        <v>39.799999999999997</v>
      </c>
      <c r="AG122" s="128">
        <v>75</v>
      </c>
      <c r="AH122" s="48">
        <f t="shared" si="41"/>
        <v>72.400000000000006</v>
      </c>
      <c r="AI122" s="49">
        <f t="shared" si="42"/>
        <v>-2.2999999999999998</v>
      </c>
    </row>
    <row r="123" spans="1:35" x14ac:dyDescent="0.25">
      <c r="A123" s="129" t="s">
        <v>143</v>
      </c>
      <c r="B123" s="130"/>
      <c r="C123" s="130">
        <v>33</v>
      </c>
      <c r="D123" s="130">
        <v>35</v>
      </c>
      <c r="E123" s="130">
        <v>1.7</v>
      </c>
      <c r="F123" s="130">
        <v>1.7</v>
      </c>
      <c r="G123" s="130">
        <v>1.7</v>
      </c>
      <c r="H123" s="130">
        <v>40</v>
      </c>
      <c r="I123" s="130">
        <v>52.2</v>
      </c>
      <c r="J123" s="130">
        <v>43.5</v>
      </c>
      <c r="K123" s="130">
        <v>43.5</v>
      </c>
      <c r="L123" s="130">
        <v>66.099999999999994</v>
      </c>
      <c r="M123" s="130">
        <v>88</v>
      </c>
      <c r="N123" s="130">
        <v>62</v>
      </c>
      <c r="O123" s="130">
        <v>80.599999999999994</v>
      </c>
      <c r="P123" s="130">
        <v>67</v>
      </c>
      <c r="Q123" s="130">
        <v>70.3</v>
      </c>
      <c r="R123" s="130">
        <v>71.5</v>
      </c>
      <c r="S123" s="130">
        <v>78</v>
      </c>
      <c r="T123" s="130">
        <v>85</v>
      </c>
      <c r="U123" s="130">
        <v>85</v>
      </c>
      <c r="V123" s="130">
        <v>96.2</v>
      </c>
      <c r="W123" s="130">
        <v>102.9</v>
      </c>
      <c r="X123" s="130">
        <v>96.4</v>
      </c>
      <c r="Y123" s="130">
        <v>81</v>
      </c>
      <c r="Z123" s="130">
        <v>103.4</v>
      </c>
      <c r="AA123" s="130">
        <v>98.3</v>
      </c>
      <c r="AB123" s="130">
        <v>67</v>
      </c>
      <c r="AC123" s="130">
        <v>61</v>
      </c>
      <c r="AD123" s="130">
        <v>50.3</v>
      </c>
      <c r="AE123" s="130">
        <v>71.3</v>
      </c>
      <c r="AF123" s="130">
        <v>65.900000000000006</v>
      </c>
      <c r="AG123" s="128">
        <v>240</v>
      </c>
      <c r="AH123" s="48">
        <f t="shared" si="41"/>
        <v>103.4</v>
      </c>
      <c r="AI123" s="49">
        <f t="shared" si="42"/>
        <v>1.7</v>
      </c>
    </row>
    <row r="124" spans="1:35" x14ac:dyDescent="0.25">
      <c r="A124" s="129" t="s">
        <v>144</v>
      </c>
      <c r="B124" s="130"/>
      <c r="C124" s="130">
        <v>-109</v>
      </c>
      <c r="D124" s="130">
        <v>-120</v>
      </c>
      <c r="E124" s="130">
        <v>-103</v>
      </c>
      <c r="F124" s="130">
        <v>-103</v>
      </c>
      <c r="G124" s="130">
        <v>-103</v>
      </c>
      <c r="H124" s="130">
        <v>-105</v>
      </c>
      <c r="I124" s="130">
        <v>-106</v>
      </c>
      <c r="J124" s="130">
        <v>-91</v>
      </c>
      <c r="K124" s="130">
        <v>-91</v>
      </c>
      <c r="L124" s="130">
        <v>-96</v>
      </c>
      <c r="M124" s="130">
        <v>-90</v>
      </c>
      <c r="N124" s="130">
        <v>-100</v>
      </c>
      <c r="O124" s="130">
        <v>-146.6</v>
      </c>
      <c r="P124" s="130">
        <v>-108</v>
      </c>
      <c r="Q124" s="130">
        <v>-130</v>
      </c>
      <c r="R124" s="130">
        <v>-95</v>
      </c>
      <c r="S124" s="130">
        <v>-105</v>
      </c>
      <c r="T124" s="130">
        <v>-105</v>
      </c>
      <c r="U124" s="130">
        <v>-105</v>
      </c>
      <c r="V124" s="130">
        <v>-121</v>
      </c>
      <c r="W124" s="130">
        <v>-130.6</v>
      </c>
      <c r="X124" s="130">
        <v>-131</v>
      </c>
      <c r="Y124" s="130">
        <v>-105</v>
      </c>
      <c r="Z124" s="130">
        <v>-121</v>
      </c>
      <c r="AA124" s="130">
        <v>-105</v>
      </c>
      <c r="AB124" s="130">
        <v>-131</v>
      </c>
      <c r="AC124" s="130">
        <v>-130.80000000000001</v>
      </c>
      <c r="AD124" s="130">
        <v>-130</v>
      </c>
      <c r="AE124" s="130">
        <v>-138</v>
      </c>
      <c r="AF124" s="130">
        <v>-148</v>
      </c>
      <c r="AG124" s="128">
        <v>240</v>
      </c>
      <c r="AH124" s="48">
        <f t="shared" si="41"/>
        <v>-90</v>
      </c>
      <c r="AI124" s="49">
        <f t="shared" si="42"/>
        <v>-148</v>
      </c>
    </row>
    <row r="125" spans="1:35" ht="15.75" thickBot="1" x14ac:dyDescent="0.3">
      <c r="A125" s="129" t="s">
        <v>145</v>
      </c>
      <c r="B125" s="130"/>
      <c r="C125" s="130">
        <v>19</v>
      </c>
      <c r="D125" s="130">
        <v>5</v>
      </c>
      <c r="E125" s="130">
        <v>5.2</v>
      </c>
      <c r="F125" s="130">
        <v>5.2</v>
      </c>
      <c r="G125" s="130">
        <v>5.2</v>
      </c>
      <c r="H125" s="130">
        <v>-15</v>
      </c>
      <c r="I125" s="130">
        <v>-8.4</v>
      </c>
      <c r="J125" s="130">
        <v>-5.3</v>
      </c>
      <c r="K125" s="130">
        <v>-5.3</v>
      </c>
      <c r="L125" s="130">
        <v>35</v>
      </c>
      <c r="M125" s="130">
        <v>37</v>
      </c>
      <c r="N125" s="130">
        <v>35</v>
      </c>
      <c r="O125" s="130">
        <v>38.5</v>
      </c>
      <c r="P125" s="130">
        <v>38</v>
      </c>
      <c r="Q125" s="130">
        <v>44.8</v>
      </c>
      <c r="R125" s="130">
        <v>43.5</v>
      </c>
      <c r="S125" s="130">
        <v>42.4</v>
      </c>
      <c r="T125" s="130">
        <v>44</v>
      </c>
      <c r="U125" s="130">
        <v>44</v>
      </c>
      <c r="V125" s="130">
        <v>12.8</v>
      </c>
      <c r="W125" s="130">
        <v>11</v>
      </c>
      <c r="X125" s="130">
        <v>10.3</v>
      </c>
      <c r="Y125" s="130">
        <v>12.2</v>
      </c>
      <c r="Z125" s="130">
        <v>17</v>
      </c>
      <c r="AA125" s="130">
        <v>37</v>
      </c>
      <c r="AB125" s="130">
        <v>38.5</v>
      </c>
      <c r="AC125" s="130">
        <v>28.3</v>
      </c>
      <c r="AD125" s="130">
        <v>35.1</v>
      </c>
      <c r="AE125" s="130">
        <v>9</v>
      </c>
      <c r="AF125" s="130">
        <v>4.3</v>
      </c>
      <c r="AG125" s="128">
        <v>60</v>
      </c>
      <c r="AH125" s="48">
        <f t="shared" si="41"/>
        <v>44.8</v>
      </c>
      <c r="AI125" s="49">
        <f t="shared" si="42"/>
        <v>-15</v>
      </c>
    </row>
    <row r="126" spans="1:35" x14ac:dyDescent="0.25">
      <c r="A126" s="126" t="s">
        <v>146</v>
      </c>
      <c r="B126" s="131"/>
      <c r="C126" s="131">
        <v>75</v>
      </c>
      <c r="D126" s="131">
        <v>70</v>
      </c>
      <c r="E126" s="131">
        <v>76</v>
      </c>
      <c r="F126" s="131">
        <v>76</v>
      </c>
      <c r="G126" s="131">
        <v>76</v>
      </c>
      <c r="H126" s="131">
        <v>75</v>
      </c>
      <c r="I126" s="131">
        <v>73.5</v>
      </c>
      <c r="J126" s="131">
        <v>92.2</v>
      </c>
      <c r="K126" s="131">
        <v>92.2</v>
      </c>
      <c r="L126" s="131">
        <v>75.400000000000006</v>
      </c>
      <c r="M126" s="131">
        <v>67</v>
      </c>
      <c r="N126" s="131">
        <v>64</v>
      </c>
      <c r="O126" s="131">
        <v>51.1</v>
      </c>
      <c r="P126" s="131">
        <v>59</v>
      </c>
      <c r="Q126" s="131">
        <v>65.8</v>
      </c>
      <c r="R126" s="131">
        <v>58</v>
      </c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>
        <v>49.7</v>
      </c>
      <c r="AF126" s="131">
        <v>47</v>
      </c>
      <c r="AG126" s="132">
        <v>120</v>
      </c>
      <c r="AH126" s="48">
        <f t="shared" si="41"/>
        <v>92.2</v>
      </c>
      <c r="AI126" s="49">
        <f t="shared" si="42"/>
        <v>47</v>
      </c>
    </row>
    <row r="127" spans="1:35" x14ac:dyDescent="0.25">
      <c r="A127" s="129" t="s">
        <v>147</v>
      </c>
      <c r="B127" s="131"/>
      <c r="C127" s="131">
        <v>104</v>
      </c>
      <c r="D127" s="131">
        <v>89</v>
      </c>
      <c r="E127" s="131">
        <v>92</v>
      </c>
      <c r="F127" s="131">
        <v>92</v>
      </c>
      <c r="G127" s="131">
        <v>92</v>
      </c>
      <c r="H127" s="131">
        <v>83</v>
      </c>
      <c r="I127" s="131">
        <v>84</v>
      </c>
      <c r="J127" s="131">
        <v>93.2</v>
      </c>
      <c r="K127" s="131">
        <v>93.2</v>
      </c>
      <c r="L127" s="131">
        <v>83</v>
      </c>
      <c r="M127" s="131">
        <v>91</v>
      </c>
      <c r="N127" s="131">
        <v>92</v>
      </c>
      <c r="O127" s="131">
        <v>84.1</v>
      </c>
      <c r="P127" s="131">
        <v>89</v>
      </c>
      <c r="Q127" s="131">
        <v>92.6</v>
      </c>
      <c r="R127" s="131">
        <v>90.2</v>
      </c>
      <c r="S127" s="131">
        <v>89</v>
      </c>
      <c r="T127" s="131">
        <v>88</v>
      </c>
      <c r="U127" s="131">
        <v>88</v>
      </c>
      <c r="V127" s="131">
        <v>92.6</v>
      </c>
      <c r="W127" s="131">
        <v>89.3</v>
      </c>
      <c r="X127" s="131">
        <v>93.6</v>
      </c>
      <c r="Y127" s="131">
        <v>100</v>
      </c>
      <c r="Z127" s="131">
        <v>92.3</v>
      </c>
      <c r="AA127" s="131">
        <v>90.2</v>
      </c>
      <c r="AB127" s="131">
        <v>87.3</v>
      </c>
      <c r="AC127" s="131">
        <v>93.6</v>
      </c>
      <c r="AD127" s="131">
        <v>91.4</v>
      </c>
      <c r="AE127" s="131">
        <v>90.1</v>
      </c>
      <c r="AF127" s="131">
        <v>90</v>
      </c>
      <c r="AG127" s="132"/>
      <c r="AH127" s="48">
        <f t="shared" si="41"/>
        <v>104</v>
      </c>
      <c r="AI127" s="49">
        <f t="shared" si="42"/>
        <v>83</v>
      </c>
    </row>
    <row r="128" spans="1:35" x14ac:dyDescent="0.25">
      <c r="A128" s="129" t="s">
        <v>148</v>
      </c>
      <c r="B128" s="131"/>
      <c r="C128" s="131">
        <v>32</v>
      </c>
      <c r="D128" s="131">
        <v>74</v>
      </c>
      <c r="E128" s="131">
        <v>79</v>
      </c>
      <c r="F128" s="131">
        <v>79</v>
      </c>
      <c r="G128" s="131">
        <v>79</v>
      </c>
      <c r="H128" s="131">
        <v>20</v>
      </c>
      <c r="I128" s="131">
        <v>23.2</v>
      </c>
      <c r="J128" s="131">
        <v>26.2</v>
      </c>
      <c r="K128" s="131">
        <v>26.2</v>
      </c>
      <c r="L128" s="131">
        <v>-12</v>
      </c>
      <c r="M128" s="131">
        <v>8.9</v>
      </c>
      <c r="N128" s="131">
        <v>9.8000000000000007</v>
      </c>
      <c r="O128" s="131">
        <v>-7.8</v>
      </c>
      <c r="P128" s="131">
        <v>11</v>
      </c>
      <c r="Q128" s="131">
        <v>2.1</v>
      </c>
      <c r="R128" s="131">
        <v>7.2</v>
      </c>
      <c r="S128" s="131">
        <v>4</v>
      </c>
      <c r="T128" s="131">
        <v>0.1</v>
      </c>
      <c r="U128" s="131">
        <v>0.1</v>
      </c>
      <c r="V128" s="131">
        <v>1.2</v>
      </c>
      <c r="W128" s="131">
        <v>-5</v>
      </c>
      <c r="X128" s="131">
        <v>1.1000000000000001</v>
      </c>
      <c r="Y128" s="131">
        <v>3.4</v>
      </c>
      <c r="Z128" s="131">
        <v>-15.3</v>
      </c>
      <c r="AA128" s="131">
        <v>-28.9</v>
      </c>
      <c r="AB128" s="131">
        <v>-18.899999999999999</v>
      </c>
      <c r="AC128" s="131">
        <v>6.5</v>
      </c>
      <c r="AD128" s="131">
        <v>8.3000000000000007</v>
      </c>
      <c r="AE128" s="131">
        <v>60.3</v>
      </c>
      <c r="AF128" s="131">
        <v>66.099999999999994</v>
      </c>
      <c r="AG128" s="132"/>
      <c r="AH128" s="48">
        <f t="shared" si="41"/>
        <v>79</v>
      </c>
      <c r="AI128" s="49">
        <f t="shared" si="42"/>
        <v>-28.9</v>
      </c>
    </row>
    <row r="129" spans="1:37" ht="15.75" thickBot="1" x14ac:dyDescent="0.3">
      <c r="A129" s="129" t="s">
        <v>149</v>
      </c>
      <c r="B129" s="131"/>
      <c r="C129" s="131">
        <v>42</v>
      </c>
      <c r="D129" s="131">
        <v>54</v>
      </c>
      <c r="E129" s="131">
        <v>52</v>
      </c>
      <c r="F129" s="131">
        <v>52</v>
      </c>
      <c r="G129" s="131">
        <v>52</v>
      </c>
      <c r="H129" s="131">
        <v>41</v>
      </c>
      <c r="I129" s="131">
        <v>66.400000000000006</v>
      </c>
      <c r="J129" s="131">
        <v>78.2</v>
      </c>
      <c r="K129" s="131">
        <v>78.2</v>
      </c>
      <c r="L129" s="131">
        <v>60</v>
      </c>
      <c r="M129" s="131">
        <v>78</v>
      </c>
      <c r="N129" s="131">
        <v>68</v>
      </c>
      <c r="O129" s="131">
        <v>28.8</v>
      </c>
      <c r="P129" s="131">
        <v>38</v>
      </c>
      <c r="Q129" s="131">
        <v>37.4</v>
      </c>
      <c r="R129" s="131">
        <v>35</v>
      </c>
      <c r="S129" s="131">
        <v>34</v>
      </c>
      <c r="T129" s="131">
        <v>34</v>
      </c>
      <c r="U129" s="131">
        <v>34</v>
      </c>
      <c r="V129" s="131">
        <v>39</v>
      </c>
      <c r="W129" s="131">
        <v>33.200000000000003</v>
      </c>
      <c r="X129" s="131">
        <v>32.4</v>
      </c>
      <c r="Y129" s="131">
        <v>43</v>
      </c>
      <c r="Z129" s="131">
        <v>27</v>
      </c>
      <c r="AA129" s="131">
        <v>20</v>
      </c>
      <c r="AB129" s="131">
        <v>19.399999999999999</v>
      </c>
      <c r="AC129" s="131">
        <v>43.3</v>
      </c>
      <c r="AD129" s="131">
        <v>26</v>
      </c>
      <c r="AE129" s="131">
        <v>39.700000000000003</v>
      </c>
      <c r="AF129" s="131">
        <v>40.700000000000003</v>
      </c>
      <c r="AG129" s="128"/>
      <c r="AH129" s="48">
        <f>MAX(B129:AF129)</f>
        <v>78.2</v>
      </c>
      <c r="AI129" s="49">
        <f>MIN(B129:AF129)</f>
        <v>19.399999999999999</v>
      </c>
    </row>
    <row r="130" spans="1:37" x14ac:dyDescent="0.25">
      <c r="A130" s="126" t="s">
        <v>150</v>
      </c>
      <c r="B130" s="131"/>
      <c r="C130" s="131">
        <v>-385</v>
      </c>
      <c r="D130" s="131">
        <v>-347</v>
      </c>
      <c r="E130" s="131">
        <v>-345</v>
      </c>
      <c r="F130" s="131">
        <v>-345</v>
      </c>
      <c r="G130" s="131">
        <v>-345</v>
      </c>
      <c r="H130" s="131">
        <v>-344</v>
      </c>
      <c r="I130" s="131">
        <v>-343</v>
      </c>
      <c r="J130" s="131">
        <v>-333</v>
      </c>
      <c r="K130" s="131">
        <v>-333</v>
      </c>
      <c r="L130" s="131">
        <v>-343</v>
      </c>
      <c r="M130" s="131">
        <v>-343</v>
      </c>
      <c r="N130" s="131">
        <v>-346</v>
      </c>
      <c r="O130" s="131">
        <v>-357</v>
      </c>
      <c r="P130" s="131">
        <v>-352</v>
      </c>
      <c r="Q130" s="131">
        <v>-350.5</v>
      </c>
      <c r="R130" s="131">
        <v>-346</v>
      </c>
      <c r="S130" s="131">
        <v>-356</v>
      </c>
      <c r="T130" s="131">
        <v>-357</v>
      </c>
      <c r="U130" s="131">
        <v>-357</v>
      </c>
      <c r="V130" s="131">
        <v>-354</v>
      </c>
      <c r="W130" s="131">
        <v>-356</v>
      </c>
      <c r="X130" s="131">
        <v>-358</v>
      </c>
      <c r="Y130" s="131">
        <v>-345</v>
      </c>
      <c r="Z130" s="131">
        <v>-355</v>
      </c>
      <c r="AA130" s="131">
        <v>-356</v>
      </c>
      <c r="AB130" s="131">
        <v>-358.9</v>
      </c>
      <c r="AC130" s="131">
        <v>-350.1</v>
      </c>
      <c r="AD130" s="131">
        <v>-358.6</v>
      </c>
      <c r="AE130" s="131">
        <v>-357.6</v>
      </c>
      <c r="AF130" s="131">
        <v>-358.4</v>
      </c>
      <c r="AG130" s="128"/>
      <c r="AH130" s="48">
        <f>MAX(B130:AF130)</f>
        <v>-333</v>
      </c>
      <c r="AI130" s="49">
        <f>MIN(B130:AF130)</f>
        <v>-385</v>
      </c>
    </row>
    <row r="131" spans="1:37" x14ac:dyDescent="0.25">
      <c r="A131" s="129" t="s">
        <v>151</v>
      </c>
      <c r="B131" s="119"/>
      <c r="C131" s="119">
        <v>82</v>
      </c>
      <c r="D131" s="119">
        <v>98</v>
      </c>
      <c r="E131" s="119">
        <v>88</v>
      </c>
      <c r="F131" s="119">
        <v>88</v>
      </c>
      <c r="G131" s="119">
        <v>88</v>
      </c>
      <c r="H131" s="119">
        <v>90</v>
      </c>
      <c r="I131" s="119">
        <v>88.4</v>
      </c>
      <c r="J131" s="119">
        <v>86.1</v>
      </c>
      <c r="K131" s="119">
        <v>86.1</v>
      </c>
      <c r="L131" s="119">
        <v>78</v>
      </c>
      <c r="M131" s="119">
        <v>76</v>
      </c>
      <c r="N131" s="119">
        <v>68</v>
      </c>
      <c r="O131" s="119">
        <v>66.2</v>
      </c>
      <c r="P131" s="119">
        <v>72</v>
      </c>
      <c r="Q131" s="119">
        <v>72.099999999999994</v>
      </c>
      <c r="R131" s="119">
        <v>83</v>
      </c>
      <c r="S131" s="119">
        <v>73</v>
      </c>
      <c r="T131" s="119">
        <v>78</v>
      </c>
      <c r="U131" s="119">
        <v>78</v>
      </c>
      <c r="V131" s="119">
        <v>76.3</v>
      </c>
      <c r="W131" s="119">
        <v>60</v>
      </c>
      <c r="X131" s="119">
        <v>63.3</v>
      </c>
      <c r="Y131" s="119">
        <v>67</v>
      </c>
      <c r="Z131" s="119">
        <v>77</v>
      </c>
      <c r="AA131" s="119">
        <v>79.3</v>
      </c>
      <c r="AB131" s="119">
        <v>87.9</v>
      </c>
      <c r="AC131" s="119">
        <v>90.1</v>
      </c>
      <c r="AD131" s="119">
        <v>91.1</v>
      </c>
      <c r="AE131" s="119">
        <v>81.8</v>
      </c>
      <c r="AF131" s="119">
        <v>80.5</v>
      </c>
      <c r="AG131" s="128"/>
      <c r="AH131" s="48">
        <f>MAX(B131:AF131)</f>
        <v>98</v>
      </c>
      <c r="AI131" s="49">
        <f>MIN(B131:AF131)</f>
        <v>60</v>
      </c>
    </row>
    <row r="132" spans="1:37" x14ac:dyDescent="0.25">
      <c r="A132" s="129" t="s">
        <v>152</v>
      </c>
      <c r="B132" s="119"/>
      <c r="C132" s="119">
        <v>21</v>
      </c>
      <c r="D132" s="119">
        <v>-26</v>
      </c>
      <c r="E132" s="119">
        <v>-25</v>
      </c>
      <c r="F132" s="119">
        <v>-25</v>
      </c>
      <c r="G132" s="119">
        <v>-25</v>
      </c>
      <c r="H132" s="119">
        <v>-23</v>
      </c>
      <c r="I132" s="119">
        <v>-25.8</v>
      </c>
      <c r="J132" s="119">
        <v>-27</v>
      </c>
      <c r="K132" s="119">
        <v>-27</v>
      </c>
      <c r="L132" s="119">
        <v>-19</v>
      </c>
      <c r="M132" s="119">
        <v>-18</v>
      </c>
      <c r="N132" s="119">
        <v>-20</v>
      </c>
      <c r="O132" s="119">
        <v>-23.2</v>
      </c>
      <c r="P132" s="119">
        <v>20.9</v>
      </c>
      <c r="Q132" s="119">
        <v>-1.8</v>
      </c>
      <c r="R132" s="119"/>
      <c r="S132" s="119"/>
      <c r="T132" s="119">
        <v>-23</v>
      </c>
      <c r="U132" s="119">
        <v>-23</v>
      </c>
      <c r="V132" s="119">
        <v>-28</v>
      </c>
      <c r="W132" s="119">
        <v>-28</v>
      </c>
      <c r="X132" s="119">
        <v>-28.3</v>
      </c>
      <c r="Y132" s="119">
        <v>-31</v>
      </c>
      <c r="Z132" s="119">
        <v>-26.2</v>
      </c>
      <c r="AA132" s="119">
        <v>-23</v>
      </c>
      <c r="AB132" s="119">
        <v>-24.2</v>
      </c>
      <c r="AC132" s="119">
        <v>-24.2</v>
      </c>
      <c r="AD132" s="119">
        <v>-22.5</v>
      </c>
      <c r="AE132" s="119">
        <v>-23.2</v>
      </c>
      <c r="AF132" s="119">
        <v>-24.2</v>
      </c>
      <c r="AG132" s="128"/>
      <c r="AH132" s="48">
        <f>MAX(B132:AF132)</f>
        <v>21</v>
      </c>
      <c r="AI132" s="49">
        <f>MIN(B132:AF132)</f>
        <v>-31</v>
      </c>
    </row>
    <row r="133" spans="1:37" ht="15.75" thickBot="1" x14ac:dyDescent="0.3">
      <c r="A133" s="129" t="s">
        <v>153</v>
      </c>
      <c r="B133" s="119"/>
      <c r="C133" s="119">
        <v>44</v>
      </c>
      <c r="D133" s="119">
        <v>40</v>
      </c>
      <c r="E133" s="119">
        <v>45</v>
      </c>
      <c r="F133" s="119">
        <v>45</v>
      </c>
      <c r="G133" s="119">
        <v>45</v>
      </c>
      <c r="H133" s="119">
        <v>43</v>
      </c>
      <c r="I133" s="119">
        <v>45</v>
      </c>
      <c r="J133" s="119">
        <v>44</v>
      </c>
      <c r="K133" s="119">
        <v>44</v>
      </c>
      <c r="L133" s="119">
        <v>48</v>
      </c>
      <c r="M133" s="119">
        <v>47</v>
      </c>
      <c r="N133" s="119">
        <v>50</v>
      </c>
      <c r="O133" s="119">
        <v>52.8</v>
      </c>
      <c r="P133" s="119">
        <v>28</v>
      </c>
      <c r="Q133" s="119">
        <v>38</v>
      </c>
      <c r="R133" s="119">
        <v>40</v>
      </c>
      <c r="S133" s="119">
        <v>46.2</v>
      </c>
      <c r="T133" s="119">
        <v>51</v>
      </c>
      <c r="U133" s="119">
        <v>51</v>
      </c>
      <c r="V133" s="119">
        <v>46.3</v>
      </c>
      <c r="W133" s="119">
        <v>50.1</v>
      </c>
      <c r="X133" s="119">
        <v>49.7</v>
      </c>
      <c r="Y133" s="119">
        <v>48</v>
      </c>
      <c r="Z133" s="119">
        <v>50.2</v>
      </c>
      <c r="AA133" s="119">
        <v>53</v>
      </c>
      <c r="AB133" s="119">
        <v>51.1</v>
      </c>
      <c r="AC133" s="119">
        <v>49.9</v>
      </c>
      <c r="AD133" s="119">
        <v>52.1</v>
      </c>
      <c r="AE133" s="119">
        <v>50.7</v>
      </c>
      <c r="AF133" s="119">
        <v>50.1</v>
      </c>
      <c r="AG133" s="128"/>
      <c r="AH133" s="48">
        <f>MAX(B133:AF133)</f>
        <v>53</v>
      </c>
      <c r="AI133" s="49">
        <f>MIN(B133:AF133)</f>
        <v>28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72">SUM(B142:B246)</f>
        <v>0</v>
      </c>
      <c r="C247" s="161">
        <f t="shared" si="72"/>
        <v>0</v>
      </c>
      <c r="D247" s="161">
        <f t="shared" si="72"/>
        <v>0</v>
      </c>
      <c r="E247" s="161">
        <f t="shared" si="72"/>
        <v>0</v>
      </c>
      <c r="F247" s="161">
        <f t="shared" si="72"/>
        <v>0</v>
      </c>
      <c r="G247" s="161">
        <f t="shared" si="72"/>
        <v>0</v>
      </c>
      <c r="H247" s="161">
        <f t="shared" si="72"/>
        <v>0</v>
      </c>
      <c r="I247" s="161">
        <f t="shared" si="72"/>
        <v>0</v>
      </c>
      <c r="J247" s="161">
        <f t="shared" si="72"/>
        <v>0</v>
      </c>
      <c r="K247" s="161">
        <f t="shared" si="72"/>
        <v>0</v>
      </c>
      <c r="L247" s="161">
        <f t="shared" si="72"/>
        <v>0</v>
      </c>
      <c r="M247" s="161">
        <f t="shared" si="72"/>
        <v>0</v>
      </c>
      <c r="N247" s="161">
        <f t="shared" si="72"/>
        <v>0</v>
      </c>
      <c r="O247" s="161">
        <f t="shared" si="72"/>
        <v>0</v>
      </c>
      <c r="P247" s="161">
        <f t="shared" si="72"/>
        <v>0</v>
      </c>
      <c r="Q247" s="161">
        <f t="shared" si="72"/>
        <v>0</v>
      </c>
      <c r="R247" s="161">
        <f t="shared" si="72"/>
        <v>0</v>
      </c>
      <c r="S247" s="161">
        <f t="shared" si="72"/>
        <v>0</v>
      </c>
      <c r="T247" s="161">
        <f t="shared" si="72"/>
        <v>0</v>
      </c>
      <c r="U247" s="161">
        <f t="shared" si="72"/>
        <v>0</v>
      </c>
      <c r="V247" s="161">
        <f t="shared" si="72"/>
        <v>0</v>
      </c>
      <c r="W247" s="161">
        <f t="shared" si="72"/>
        <v>0</v>
      </c>
      <c r="X247" s="161">
        <f t="shared" si="72"/>
        <v>0</v>
      </c>
      <c r="Y247" s="161">
        <f t="shared" si="72"/>
        <v>0</v>
      </c>
      <c r="Z247" s="161">
        <f t="shared" si="72"/>
        <v>0</v>
      </c>
      <c r="AA247" s="161">
        <f t="shared" si="72"/>
        <v>0</v>
      </c>
      <c r="AB247" s="161">
        <f t="shared" si="72"/>
        <v>0</v>
      </c>
      <c r="AC247" s="161">
        <f t="shared" si="72"/>
        <v>0</v>
      </c>
      <c r="AD247" s="161">
        <f t="shared" si="72"/>
        <v>0</v>
      </c>
      <c r="AE247" s="161">
        <f t="shared" si="72"/>
        <v>0</v>
      </c>
      <c r="AF247" s="162">
        <f t="shared" si="72"/>
        <v>0</v>
      </c>
      <c r="AG247" s="163">
        <f t="shared" si="72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73">AF249</f>
        <v>0.3</v>
      </c>
      <c r="C249" s="166">
        <v>0.3</v>
      </c>
      <c r="D249" s="166">
        <f t="shared" ref="D249:S254" si="74">C249</f>
        <v>0.3</v>
      </c>
      <c r="E249" s="166">
        <f t="shared" si="74"/>
        <v>0.3</v>
      </c>
      <c r="F249" s="166">
        <f t="shared" si="74"/>
        <v>0.3</v>
      </c>
      <c r="G249" s="166">
        <f t="shared" si="74"/>
        <v>0.3</v>
      </c>
      <c r="H249" s="166">
        <f t="shared" si="74"/>
        <v>0.3</v>
      </c>
      <c r="I249" s="166">
        <f t="shared" si="74"/>
        <v>0.3</v>
      </c>
      <c r="J249" s="166">
        <f t="shared" si="74"/>
        <v>0.3</v>
      </c>
      <c r="K249" s="166">
        <f t="shared" si="74"/>
        <v>0.3</v>
      </c>
      <c r="L249" s="166">
        <f t="shared" si="74"/>
        <v>0.3</v>
      </c>
      <c r="M249" s="166">
        <f t="shared" si="74"/>
        <v>0.3</v>
      </c>
      <c r="N249" s="166">
        <f t="shared" si="74"/>
        <v>0.3</v>
      </c>
      <c r="O249" s="166">
        <f t="shared" si="74"/>
        <v>0.3</v>
      </c>
      <c r="P249" s="166">
        <f t="shared" si="74"/>
        <v>0.3</v>
      </c>
      <c r="Q249" s="166">
        <f t="shared" si="74"/>
        <v>0.3</v>
      </c>
      <c r="R249" s="166">
        <f t="shared" si="74"/>
        <v>0.3</v>
      </c>
      <c r="S249" s="166">
        <f t="shared" si="74"/>
        <v>0.3</v>
      </c>
      <c r="T249" s="166">
        <f t="shared" ref="T249:AF254" si="75">S249</f>
        <v>0.3</v>
      </c>
      <c r="U249" s="166">
        <f t="shared" si="75"/>
        <v>0.3</v>
      </c>
      <c r="V249" s="166">
        <f t="shared" si="75"/>
        <v>0.3</v>
      </c>
      <c r="W249" s="166">
        <f t="shared" si="75"/>
        <v>0.3</v>
      </c>
      <c r="X249" s="166">
        <f t="shared" si="75"/>
        <v>0.3</v>
      </c>
      <c r="Y249" s="166">
        <f t="shared" si="75"/>
        <v>0.3</v>
      </c>
      <c r="Z249" s="166">
        <f t="shared" si="75"/>
        <v>0.3</v>
      </c>
      <c r="AA249" s="166">
        <f t="shared" si="75"/>
        <v>0.3</v>
      </c>
      <c r="AB249" s="166">
        <f t="shared" si="75"/>
        <v>0.3</v>
      </c>
      <c r="AC249" s="166">
        <f t="shared" si="75"/>
        <v>0.3</v>
      </c>
      <c r="AD249" s="166">
        <f t="shared" si="75"/>
        <v>0.3</v>
      </c>
      <c r="AE249" s="166">
        <f t="shared" si="75"/>
        <v>0.3</v>
      </c>
      <c r="AF249" s="166">
        <f t="shared" si="75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73"/>
        <v>0.4</v>
      </c>
      <c r="C250" s="152">
        <v>0.4</v>
      </c>
      <c r="D250" s="152">
        <f t="shared" si="74"/>
        <v>0.4</v>
      </c>
      <c r="E250" s="152">
        <f t="shared" si="74"/>
        <v>0.4</v>
      </c>
      <c r="F250" s="152">
        <f t="shared" si="74"/>
        <v>0.4</v>
      </c>
      <c r="G250" s="152">
        <f t="shared" si="74"/>
        <v>0.4</v>
      </c>
      <c r="H250" s="152">
        <f t="shared" si="74"/>
        <v>0.4</v>
      </c>
      <c r="I250" s="152">
        <f t="shared" si="74"/>
        <v>0.4</v>
      </c>
      <c r="J250" s="152">
        <f t="shared" si="74"/>
        <v>0.4</v>
      </c>
      <c r="K250" s="152">
        <f t="shared" si="74"/>
        <v>0.4</v>
      </c>
      <c r="L250" s="152">
        <f t="shared" si="74"/>
        <v>0.4</v>
      </c>
      <c r="M250" s="152">
        <f t="shared" si="74"/>
        <v>0.4</v>
      </c>
      <c r="N250" s="152">
        <f t="shared" si="74"/>
        <v>0.4</v>
      </c>
      <c r="O250" s="152">
        <f t="shared" si="74"/>
        <v>0.4</v>
      </c>
      <c r="P250" s="152">
        <f t="shared" si="74"/>
        <v>0.4</v>
      </c>
      <c r="Q250" s="152">
        <f t="shared" si="74"/>
        <v>0.4</v>
      </c>
      <c r="R250" s="152">
        <f t="shared" si="74"/>
        <v>0.4</v>
      </c>
      <c r="S250" s="152">
        <f t="shared" si="74"/>
        <v>0.4</v>
      </c>
      <c r="T250" s="152">
        <f t="shared" si="75"/>
        <v>0.4</v>
      </c>
      <c r="U250" s="152">
        <f t="shared" si="75"/>
        <v>0.4</v>
      </c>
      <c r="V250" s="152">
        <f t="shared" si="75"/>
        <v>0.4</v>
      </c>
      <c r="W250" s="152">
        <f t="shared" si="75"/>
        <v>0.4</v>
      </c>
      <c r="X250" s="152">
        <f t="shared" si="75"/>
        <v>0.4</v>
      </c>
      <c r="Y250" s="152">
        <f t="shared" si="75"/>
        <v>0.4</v>
      </c>
      <c r="Z250" s="152">
        <f t="shared" si="75"/>
        <v>0.4</v>
      </c>
      <c r="AA250" s="152">
        <f t="shared" si="75"/>
        <v>0.4</v>
      </c>
      <c r="AB250" s="152">
        <f t="shared" si="75"/>
        <v>0.4</v>
      </c>
      <c r="AC250" s="152">
        <f t="shared" si="75"/>
        <v>0.4</v>
      </c>
      <c r="AD250" s="152">
        <f t="shared" si="75"/>
        <v>0.4</v>
      </c>
      <c r="AE250" s="152">
        <f t="shared" si="75"/>
        <v>0.4</v>
      </c>
      <c r="AF250" s="152">
        <f t="shared" si="75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73"/>
        <v>1.5</v>
      </c>
      <c r="C251" s="152">
        <v>1.5</v>
      </c>
      <c r="D251" s="152">
        <f t="shared" si="74"/>
        <v>1.5</v>
      </c>
      <c r="E251" s="152">
        <f t="shared" si="74"/>
        <v>1.5</v>
      </c>
      <c r="F251" s="152">
        <f t="shared" si="74"/>
        <v>1.5</v>
      </c>
      <c r="G251" s="152">
        <f t="shared" si="74"/>
        <v>1.5</v>
      </c>
      <c r="H251" s="152">
        <f t="shared" si="74"/>
        <v>1.5</v>
      </c>
      <c r="I251" s="152">
        <f t="shared" si="74"/>
        <v>1.5</v>
      </c>
      <c r="J251" s="152">
        <f t="shared" si="74"/>
        <v>1.5</v>
      </c>
      <c r="K251" s="152">
        <f t="shared" si="74"/>
        <v>1.5</v>
      </c>
      <c r="L251" s="152">
        <f t="shared" si="74"/>
        <v>1.5</v>
      </c>
      <c r="M251" s="152">
        <f t="shared" si="74"/>
        <v>1.5</v>
      </c>
      <c r="N251" s="152">
        <f t="shared" si="74"/>
        <v>1.5</v>
      </c>
      <c r="O251" s="152">
        <f t="shared" si="74"/>
        <v>1.5</v>
      </c>
      <c r="P251" s="152">
        <f t="shared" si="74"/>
        <v>1.5</v>
      </c>
      <c r="Q251" s="152">
        <f t="shared" si="74"/>
        <v>1.5</v>
      </c>
      <c r="R251" s="152">
        <f t="shared" si="74"/>
        <v>1.5</v>
      </c>
      <c r="S251" s="152">
        <f t="shared" si="74"/>
        <v>1.5</v>
      </c>
      <c r="T251" s="152">
        <f t="shared" si="75"/>
        <v>1.5</v>
      </c>
      <c r="U251" s="152">
        <f t="shared" si="75"/>
        <v>1.5</v>
      </c>
      <c r="V251" s="152">
        <f t="shared" si="75"/>
        <v>1.5</v>
      </c>
      <c r="W251" s="152">
        <f t="shared" si="75"/>
        <v>1.5</v>
      </c>
      <c r="X251" s="152">
        <f t="shared" si="75"/>
        <v>1.5</v>
      </c>
      <c r="Y251" s="152">
        <f t="shared" si="75"/>
        <v>1.5</v>
      </c>
      <c r="Z251" s="152">
        <f t="shared" si="75"/>
        <v>1.5</v>
      </c>
      <c r="AA251" s="152">
        <f t="shared" si="75"/>
        <v>1.5</v>
      </c>
      <c r="AB251" s="152">
        <f t="shared" si="75"/>
        <v>1.5</v>
      </c>
      <c r="AC251" s="152">
        <f t="shared" si="75"/>
        <v>1.5</v>
      </c>
      <c r="AD251" s="152">
        <f t="shared" si="75"/>
        <v>1.5</v>
      </c>
      <c r="AE251" s="152">
        <f t="shared" si="75"/>
        <v>1.5</v>
      </c>
      <c r="AF251" s="152">
        <f t="shared" si="75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73"/>
        <v>0.3</v>
      </c>
      <c r="C252" s="152">
        <v>0.3</v>
      </c>
      <c r="D252" s="152">
        <f t="shared" si="74"/>
        <v>0.3</v>
      </c>
      <c r="E252" s="152">
        <f t="shared" si="74"/>
        <v>0.3</v>
      </c>
      <c r="F252" s="152">
        <f t="shared" si="74"/>
        <v>0.3</v>
      </c>
      <c r="G252" s="152">
        <f t="shared" si="74"/>
        <v>0.3</v>
      </c>
      <c r="H252" s="152">
        <f t="shared" si="74"/>
        <v>0.3</v>
      </c>
      <c r="I252" s="152">
        <f t="shared" si="74"/>
        <v>0.3</v>
      </c>
      <c r="J252" s="152">
        <f t="shared" si="74"/>
        <v>0.3</v>
      </c>
      <c r="K252" s="152">
        <f t="shared" si="74"/>
        <v>0.3</v>
      </c>
      <c r="L252" s="152">
        <f t="shared" si="74"/>
        <v>0.3</v>
      </c>
      <c r="M252" s="152">
        <f t="shared" si="74"/>
        <v>0.3</v>
      </c>
      <c r="N252" s="152">
        <f t="shared" si="74"/>
        <v>0.3</v>
      </c>
      <c r="O252" s="152">
        <f t="shared" si="74"/>
        <v>0.3</v>
      </c>
      <c r="P252" s="152">
        <f t="shared" si="74"/>
        <v>0.3</v>
      </c>
      <c r="Q252" s="152">
        <f t="shared" si="74"/>
        <v>0.3</v>
      </c>
      <c r="R252" s="152">
        <f t="shared" si="74"/>
        <v>0.3</v>
      </c>
      <c r="S252" s="152">
        <f t="shared" si="74"/>
        <v>0.3</v>
      </c>
      <c r="T252" s="152">
        <f t="shared" si="75"/>
        <v>0.3</v>
      </c>
      <c r="U252" s="152">
        <f t="shared" si="75"/>
        <v>0.3</v>
      </c>
      <c r="V252" s="152">
        <f t="shared" si="75"/>
        <v>0.3</v>
      </c>
      <c r="W252" s="152">
        <f t="shared" si="75"/>
        <v>0.3</v>
      </c>
      <c r="X252" s="152">
        <f t="shared" si="75"/>
        <v>0.3</v>
      </c>
      <c r="Y252" s="152">
        <f t="shared" si="75"/>
        <v>0.3</v>
      </c>
      <c r="Z252" s="152">
        <f t="shared" si="75"/>
        <v>0.3</v>
      </c>
      <c r="AA252" s="152">
        <f t="shared" si="75"/>
        <v>0.3</v>
      </c>
      <c r="AB252" s="152">
        <f t="shared" si="75"/>
        <v>0.3</v>
      </c>
      <c r="AC252" s="152">
        <f t="shared" si="75"/>
        <v>0.3</v>
      </c>
      <c r="AD252" s="152">
        <f t="shared" si="75"/>
        <v>0.3</v>
      </c>
      <c r="AE252" s="152">
        <f t="shared" si="75"/>
        <v>0.3</v>
      </c>
      <c r="AF252" s="152">
        <f t="shared" si="75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73"/>
        <v>0.4</v>
      </c>
      <c r="C253" s="152">
        <v>0.4</v>
      </c>
      <c r="D253" s="152">
        <f t="shared" si="74"/>
        <v>0.4</v>
      </c>
      <c r="E253" s="152">
        <f t="shared" si="74"/>
        <v>0.4</v>
      </c>
      <c r="F253" s="152">
        <f t="shared" si="74"/>
        <v>0.4</v>
      </c>
      <c r="G253" s="152">
        <f t="shared" si="74"/>
        <v>0.4</v>
      </c>
      <c r="H253" s="152">
        <f t="shared" si="74"/>
        <v>0.4</v>
      </c>
      <c r="I253" s="152">
        <f t="shared" si="74"/>
        <v>0.4</v>
      </c>
      <c r="J253" s="152">
        <f t="shared" si="74"/>
        <v>0.4</v>
      </c>
      <c r="K253" s="152">
        <f t="shared" si="74"/>
        <v>0.4</v>
      </c>
      <c r="L253" s="152">
        <f t="shared" si="74"/>
        <v>0.4</v>
      </c>
      <c r="M253" s="152">
        <f t="shared" si="74"/>
        <v>0.4</v>
      </c>
      <c r="N253" s="152">
        <f t="shared" si="74"/>
        <v>0.4</v>
      </c>
      <c r="O253" s="152">
        <f t="shared" si="74"/>
        <v>0.4</v>
      </c>
      <c r="P253" s="152">
        <f t="shared" si="74"/>
        <v>0.4</v>
      </c>
      <c r="Q253" s="152">
        <f t="shared" si="74"/>
        <v>0.4</v>
      </c>
      <c r="R253" s="152">
        <f t="shared" si="74"/>
        <v>0.4</v>
      </c>
      <c r="S253" s="152">
        <f t="shared" si="74"/>
        <v>0.4</v>
      </c>
      <c r="T253" s="152">
        <f t="shared" si="75"/>
        <v>0.4</v>
      </c>
      <c r="U253" s="152">
        <f t="shared" si="75"/>
        <v>0.4</v>
      </c>
      <c r="V253" s="152">
        <f t="shared" si="75"/>
        <v>0.4</v>
      </c>
      <c r="W253" s="152">
        <f t="shared" si="75"/>
        <v>0.4</v>
      </c>
      <c r="X253" s="152">
        <f t="shared" si="75"/>
        <v>0.4</v>
      </c>
      <c r="Y253" s="152">
        <f t="shared" si="75"/>
        <v>0.4</v>
      </c>
      <c r="Z253" s="152">
        <f t="shared" si="75"/>
        <v>0.4</v>
      </c>
      <c r="AA253" s="152">
        <f t="shared" si="75"/>
        <v>0.4</v>
      </c>
      <c r="AB253" s="152">
        <f t="shared" si="75"/>
        <v>0.4</v>
      </c>
      <c r="AC253" s="152">
        <f t="shared" si="75"/>
        <v>0.4</v>
      </c>
      <c r="AD253" s="152">
        <f t="shared" si="75"/>
        <v>0.4</v>
      </c>
      <c r="AE253" s="152">
        <f t="shared" si="75"/>
        <v>0.4</v>
      </c>
      <c r="AF253" s="152">
        <f t="shared" si="75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73"/>
        <v>0.64</v>
      </c>
      <c r="C254" s="157">
        <v>0.64</v>
      </c>
      <c r="D254" s="157">
        <f t="shared" si="74"/>
        <v>0.64</v>
      </c>
      <c r="E254" s="157">
        <f t="shared" si="74"/>
        <v>0.64</v>
      </c>
      <c r="F254" s="157">
        <f t="shared" si="74"/>
        <v>0.64</v>
      </c>
      <c r="G254" s="157">
        <f t="shared" si="74"/>
        <v>0.64</v>
      </c>
      <c r="H254" s="157">
        <f t="shared" si="74"/>
        <v>0.64</v>
      </c>
      <c r="I254" s="157">
        <f t="shared" si="74"/>
        <v>0.64</v>
      </c>
      <c r="J254" s="157">
        <f t="shared" si="74"/>
        <v>0.64</v>
      </c>
      <c r="K254" s="157">
        <f t="shared" si="74"/>
        <v>0.64</v>
      </c>
      <c r="L254" s="157">
        <f t="shared" si="74"/>
        <v>0.64</v>
      </c>
      <c r="M254" s="157">
        <f t="shared" si="74"/>
        <v>0.64</v>
      </c>
      <c r="N254" s="157">
        <f t="shared" si="74"/>
        <v>0.64</v>
      </c>
      <c r="O254" s="157">
        <f t="shared" si="74"/>
        <v>0.64</v>
      </c>
      <c r="P254" s="157">
        <f t="shared" si="74"/>
        <v>0.64</v>
      </c>
      <c r="Q254" s="157">
        <f t="shared" si="74"/>
        <v>0.64</v>
      </c>
      <c r="R254" s="157">
        <f t="shared" si="74"/>
        <v>0.64</v>
      </c>
      <c r="S254" s="157">
        <f t="shared" si="74"/>
        <v>0.64</v>
      </c>
      <c r="T254" s="157">
        <f t="shared" si="75"/>
        <v>0.64</v>
      </c>
      <c r="U254" s="157">
        <f t="shared" si="75"/>
        <v>0.64</v>
      </c>
      <c r="V254" s="157">
        <f t="shared" si="75"/>
        <v>0.64</v>
      </c>
      <c r="W254" s="157">
        <f t="shared" si="75"/>
        <v>0.64</v>
      </c>
      <c r="X254" s="157">
        <f t="shared" si="75"/>
        <v>0.64</v>
      </c>
      <c r="Y254" s="157">
        <f t="shared" si="75"/>
        <v>0.64</v>
      </c>
      <c r="Z254" s="157">
        <f t="shared" si="75"/>
        <v>0.64</v>
      </c>
      <c r="AA254" s="157">
        <f t="shared" si="75"/>
        <v>0.64</v>
      </c>
      <c r="AB254" s="157">
        <f t="shared" si="75"/>
        <v>0.64</v>
      </c>
      <c r="AC254" s="157">
        <f t="shared" si="75"/>
        <v>0.64</v>
      </c>
      <c r="AD254" s="157">
        <f t="shared" si="75"/>
        <v>0.64</v>
      </c>
      <c r="AE254" s="157">
        <f t="shared" si="75"/>
        <v>0.64</v>
      </c>
      <c r="AF254" s="157">
        <f t="shared" si="75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76">SUM(B249:B254)</f>
        <v>3.54</v>
      </c>
      <c r="C255" s="161">
        <f t="shared" si="76"/>
        <v>3.54</v>
      </c>
      <c r="D255" s="161">
        <f t="shared" si="76"/>
        <v>3.54</v>
      </c>
      <c r="E255" s="161">
        <f t="shared" si="76"/>
        <v>3.54</v>
      </c>
      <c r="F255" s="161">
        <f t="shared" si="76"/>
        <v>3.54</v>
      </c>
      <c r="G255" s="161">
        <f t="shared" si="76"/>
        <v>3.54</v>
      </c>
      <c r="H255" s="161">
        <f t="shared" si="76"/>
        <v>3.54</v>
      </c>
      <c r="I255" s="161">
        <f t="shared" si="76"/>
        <v>3.54</v>
      </c>
      <c r="J255" s="161">
        <f t="shared" si="76"/>
        <v>3.54</v>
      </c>
      <c r="K255" s="161">
        <f t="shared" si="76"/>
        <v>3.54</v>
      </c>
      <c r="L255" s="161">
        <f t="shared" si="76"/>
        <v>3.54</v>
      </c>
      <c r="M255" s="161">
        <f t="shared" si="76"/>
        <v>3.54</v>
      </c>
      <c r="N255" s="161">
        <f t="shared" si="76"/>
        <v>3.54</v>
      </c>
      <c r="O255" s="161">
        <f t="shared" si="76"/>
        <v>3.54</v>
      </c>
      <c r="P255" s="161">
        <f t="shared" si="76"/>
        <v>3.54</v>
      </c>
      <c r="Q255" s="161">
        <f t="shared" si="76"/>
        <v>3.54</v>
      </c>
      <c r="R255" s="161">
        <f t="shared" si="76"/>
        <v>3.54</v>
      </c>
      <c r="S255" s="161">
        <f t="shared" si="76"/>
        <v>3.54</v>
      </c>
      <c r="T255" s="161">
        <f t="shared" si="76"/>
        <v>3.54</v>
      </c>
      <c r="U255" s="161">
        <f t="shared" si="76"/>
        <v>3.54</v>
      </c>
      <c r="V255" s="161">
        <f t="shared" si="76"/>
        <v>3.54</v>
      </c>
      <c r="W255" s="161">
        <f t="shared" si="76"/>
        <v>3.54</v>
      </c>
      <c r="X255" s="161">
        <f t="shared" si="76"/>
        <v>3.54</v>
      </c>
      <c r="Y255" s="161">
        <f t="shared" si="76"/>
        <v>3.54</v>
      </c>
      <c r="Z255" s="161">
        <f t="shared" si="76"/>
        <v>3.54</v>
      </c>
      <c r="AA255" s="161">
        <f t="shared" si="76"/>
        <v>3.54</v>
      </c>
      <c r="AB255" s="161">
        <f t="shared" si="76"/>
        <v>3.54</v>
      </c>
      <c r="AC255" s="161">
        <f t="shared" si="76"/>
        <v>3.54</v>
      </c>
      <c r="AD255" s="161">
        <f t="shared" si="76"/>
        <v>3.54</v>
      </c>
      <c r="AE255" s="161">
        <f t="shared" si="76"/>
        <v>3.54</v>
      </c>
      <c r="AF255" s="161">
        <f t="shared" si="76"/>
        <v>3.54</v>
      </c>
      <c r="AG255" s="171">
        <f t="shared" si="76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2322.4399999999996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2080/10/31)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N90:AN91"/>
    <mergeCell ref="AB9:AB10"/>
    <mergeCell ref="AC9:AC10"/>
    <mergeCell ref="AD9:AD10"/>
    <mergeCell ref="AE9:AE10"/>
    <mergeCell ref="AF9:AF10"/>
    <mergeCell ref="AG9:AG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506" priority="80">
      <formula>$AH11=0</formula>
    </cfRule>
  </conditionalFormatting>
  <conditionalFormatting sqref="A89">
    <cfRule type="expression" dxfId="505" priority="138">
      <formula>$AH94=0</formula>
    </cfRule>
  </conditionalFormatting>
  <conditionalFormatting sqref="A90:A94">
    <cfRule type="expression" dxfId="504" priority="81">
      <formula>$AH89=0</formula>
    </cfRule>
  </conditionalFormatting>
  <conditionalFormatting sqref="B8">
    <cfRule type="expression" dxfId="503" priority="134">
      <formula>AND(C$9&gt;=14/24,C$9&lt;20/24)</formula>
    </cfRule>
    <cfRule type="expression" dxfId="502" priority="135">
      <formula>AND(C$9&gt;=8/24,C$9&lt;14/24)</formula>
    </cfRule>
    <cfRule type="expression" dxfId="501" priority="136">
      <formula>C$9&lt;8/24</formula>
    </cfRule>
    <cfRule type="expression" dxfId="500" priority="137">
      <formula>C$9&gt;=20/24</formula>
    </cfRule>
  </conditionalFormatting>
  <conditionalFormatting sqref="B9:AF10 O11:AF14 B11:N23 O15:X23 AF15:AF29 Y15:AE57 B24:X57 AC31:AF31 AF31:AF57 H62:AB64 B62:G77 C64:H64 H66:P77 Q69:AF77 M72:R77 B80:AF102 B104:AF120 B122:AF140 B247:AF247 B249:B255">
    <cfRule type="expression" dxfId="499" priority="42">
      <formula>AND(B$9&gt;=14/24,B$9&lt;20/24)</formula>
    </cfRule>
    <cfRule type="expression" dxfId="498" priority="43">
      <formula>AND(B$9&gt;=8/24,B$9&lt;14/24)</formula>
    </cfRule>
    <cfRule type="expression" dxfId="497" priority="44">
      <formula>B$9&lt;8/24</formula>
    </cfRule>
  </conditionalFormatting>
  <conditionalFormatting sqref="B58:AF60">
    <cfRule type="expression" dxfId="496" priority="37">
      <formula>B$9&gt;=20/24</formula>
    </cfRule>
    <cfRule type="expression" dxfId="495" priority="38">
      <formula>AND(B$9&gt;=14/24,B$9&lt;20/24)</formula>
    </cfRule>
    <cfRule type="expression" dxfId="494" priority="39">
      <formula>AND(B$9&gt;=8/24,B$9&lt;14/24)</formula>
    </cfRule>
    <cfRule type="expression" dxfId="493" priority="49">
      <formula>B$9&lt;8/24</formula>
    </cfRule>
  </conditionalFormatting>
  <conditionalFormatting sqref="D249:AF255">
    <cfRule type="expression" dxfId="492" priority="119">
      <formula>D$9&gt;=20/24</formula>
    </cfRule>
    <cfRule type="expression" dxfId="491" priority="120">
      <formula>AND(D$9&gt;=14/24,D$9&lt;20/24)</formula>
    </cfRule>
    <cfRule type="expression" dxfId="490" priority="121">
      <formula>AND(D$9&gt;=8/24,D$9&lt;14/24)</formula>
    </cfRule>
    <cfRule type="expression" dxfId="489" priority="122">
      <formula>D$9&lt;8/24</formula>
    </cfRule>
  </conditionalFormatting>
  <conditionalFormatting sqref="H66:P68">
    <cfRule type="expression" dxfId="488" priority="72">
      <formula>H$9&gt;=20/24</formula>
    </cfRule>
    <cfRule type="expression" dxfId="487" priority="73">
      <formula>AND(H$9&gt;=14/24,H$9&lt;20/24)</formula>
    </cfRule>
    <cfRule type="expression" dxfId="486" priority="74">
      <formula>AND(H$9&gt;=8/24,H$9&lt;14/24)</formula>
    </cfRule>
    <cfRule type="expression" dxfId="485" priority="75">
      <formula>H$9&lt;8/24</formula>
    </cfRule>
  </conditionalFormatting>
  <conditionalFormatting sqref="H66:P70 Q69:AF70">
    <cfRule type="expression" dxfId="484" priority="50">
      <formula>H$9&gt;=20/24</formula>
    </cfRule>
    <cfRule type="expression" dxfId="483" priority="51">
      <formula>AND(H$9&gt;=14/24,H$9&lt;20/24)</formula>
    </cfRule>
    <cfRule type="expression" dxfId="482" priority="52">
      <formula>AND(H$9&gt;=8/24,H$9&lt;14/24)</formula>
    </cfRule>
    <cfRule type="expression" dxfId="481" priority="53">
      <formula>H$9&lt;8/24</formula>
    </cfRule>
  </conditionalFormatting>
  <conditionalFormatting sqref="H62:AF64 C64:H64 C65:AG65">
    <cfRule type="expression" dxfId="480" priority="60">
      <formula>C$9&gt;=20/24</formula>
    </cfRule>
    <cfRule type="expression" dxfId="479" priority="61">
      <formula>AND(C$9&gt;=14/24,C$9&lt;20/24)</formula>
    </cfRule>
    <cfRule type="expression" dxfId="478" priority="62">
      <formula>AND(C$9&gt;=8/24,C$9&lt;14/24)</formula>
    </cfRule>
    <cfRule type="expression" dxfId="477" priority="63">
      <formula>C$9&lt;8/24</formula>
    </cfRule>
  </conditionalFormatting>
  <conditionalFormatting sqref="H71:AF71">
    <cfRule type="expression" dxfId="476" priority="45">
      <formula>H$9&gt;=20/24</formula>
    </cfRule>
    <cfRule type="expression" dxfId="475" priority="46">
      <formula>AND(H$9&gt;=14/24,H$9&lt;20/24)</formula>
    </cfRule>
    <cfRule type="expression" dxfId="474" priority="47">
      <formula>AND(H$9&gt;=8/24,H$9&lt;14/24)</formula>
    </cfRule>
    <cfRule type="expression" dxfId="473" priority="48">
      <formula>H$9&lt;8/24</formula>
    </cfRule>
  </conditionalFormatting>
  <conditionalFormatting sqref="M8 S8 AB8">
    <cfRule type="expression" dxfId="472" priority="126">
      <formula>AND(N$9&gt;=14/24,N$9&lt;20/24)</formula>
    </cfRule>
    <cfRule type="expression" dxfId="471" priority="127">
      <formula>AND(N$9&gt;=8/24,N$9&lt;14/24)</formula>
    </cfRule>
    <cfRule type="expression" dxfId="470" priority="128">
      <formula>N$9&lt;8/24</formula>
    </cfRule>
  </conditionalFormatting>
  <conditionalFormatting sqref="M66:AA70 AB69:AF70">
    <cfRule type="expression" dxfId="469" priority="76">
      <formula>M$9&gt;=20/24</formula>
    </cfRule>
    <cfRule type="expression" dxfId="468" priority="77">
      <formula>AND(M$9&gt;=14/24,M$9&lt;20/24)</formula>
    </cfRule>
    <cfRule type="expression" dxfId="467" priority="78">
      <formula>AND(M$9&gt;=8/24,M$9&lt;14/24)</formula>
    </cfRule>
    <cfRule type="expression" dxfId="466" priority="79">
      <formula>M$9&lt;8/24</formula>
    </cfRule>
  </conditionalFormatting>
  <conditionalFormatting sqref="M71:AF71">
    <cfRule type="expression" dxfId="465" priority="68">
      <formula>M$9&gt;=20/24</formula>
    </cfRule>
    <cfRule type="expression" dxfId="464" priority="69">
      <formula>AND(M$9&gt;=14/24,M$9&lt;20/24)</formula>
    </cfRule>
    <cfRule type="expression" dxfId="463" priority="70">
      <formula>AND(M$9&gt;=8/24,M$9&lt;14/24)</formula>
    </cfRule>
    <cfRule type="expression" dxfId="462" priority="71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O11:AF14 B11:N23 O15:X23 AF15:AF29 Y15:AE57 B24:X57 AC31:AF31 AF31:AF57 H62:AB64 B62:G77 C64:H64 H66:P77 Q69:AF77 M72:R77 B80:AF102 B9:AF10 B104:AF120 B122:AF140 B247:AF247 B249:B255">
    <cfRule type="expression" dxfId="461" priority="41">
      <formula>B$9&gt;=20/24</formula>
    </cfRule>
  </conditionalFormatting>
  <conditionalFormatting sqref="S8 AB8 M8">
    <cfRule type="expression" dxfId="460" priority="125">
      <formula>N$9&gt;=20/24</formula>
    </cfRule>
  </conditionalFormatting>
  <conditionalFormatting sqref="S8">
    <cfRule type="expression" dxfId="459" priority="112">
      <formula>U$9&gt;=20/24</formula>
    </cfRule>
    <cfRule type="expression" dxfId="458" priority="113">
      <formula>AND(U$9&gt;=14/24,U$9&lt;20/24)</formula>
    </cfRule>
    <cfRule type="expression" dxfId="457" priority="114">
      <formula>AND(U$9&gt;=8/24,U$9&lt;14/24)</formula>
    </cfRule>
    <cfRule type="expression" dxfId="456" priority="115">
      <formula>U$9&lt;8/24</formula>
    </cfRule>
  </conditionalFormatting>
  <conditionalFormatting sqref="S15:AF60 B24:R83 O11:AF14 B11:N23 O15:R23 I34:X34 AA61:AG61 S61:Z64 AA62:AF64 AB65:AG65 S65:AA83 AB66:AF83 AG83">
    <cfRule type="expression" dxfId="455" priority="40">
      <formula>B11&gt;$AG11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54" priority="108">
      <formula>AD$9&gt;=20/24</formula>
    </cfRule>
    <cfRule type="expression" dxfId="453" priority="109">
      <formula>AND(AD$9&gt;=14/24,AD$9&lt;20/24)</formula>
    </cfRule>
    <cfRule type="expression" dxfId="452" priority="110">
      <formula>AND(AD$9&gt;=8/24,AD$9&lt;14/24)</formula>
    </cfRule>
    <cfRule type="expression" dxfId="451" priority="111">
      <formula>AD$9&lt;8/24</formula>
    </cfRule>
  </conditionalFormatting>
  <conditionalFormatting sqref="AB66:AF71">
    <cfRule type="expression" dxfId="450" priority="64">
      <formula>AB$9&gt;=20/24</formula>
    </cfRule>
    <cfRule type="expression" dxfId="449" priority="65">
      <formula>AND(AB$9&gt;=14/24,AB$9&lt;20/24)</formula>
    </cfRule>
    <cfRule type="expression" dxfId="448" priority="66">
      <formula>AND(AB$9&gt;=8/24,AB$9&lt;14/24)</formula>
    </cfRule>
    <cfRule type="expression" dxfId="447" priority="67">
      <formula>AB$9&lt;8/24</formula>
    </cfRule>
  </conditionalFormatting>
  <conditionalFormatting sqref="AF30:AF57">
    <cfRule type="expression" dxfId="446" priority="55">
      <formula>AF$9&gt;=20/24</formula>
    </cfRule>
    <cfRule type="expression" dxfId="445" priority="56">
      <formula>AND(AF$9&gt;=14/24,AF$9&lt;20/24)</formula>
    </cfRule>
    <cfRule type="expression" dxfId="444" priority="57">
      <formula>AND(AF$9&gt;=8/24,AF$9&lt;14/24)</formula>
    </cfRule>
    <cfRule type="expression" dxfId="443" priority="58">
      <formula>AF$9&lt;8/24</formula>
    </cfRule>
  </conditionalFormatting>
  <conditionalFormatting sqref="AG78:AG79">
    <cfRule type="expression" dxfId="442" priority="82">
      <formula>AG78&gt;$AG78</formula>
    </cfRule>
  </conditionalFormatting>
  <conditionalFormatting sqref="AG83">
    <cfRule type="expression" dxfId="441" priority="83">
      <formula>AG$9&gt;=20/24</formula>
    </cfRule>
    <cfRule type="expression" dxfId="440" priority="84">
      <formula>AND(AG$9&gt;=14/24,AG$9&lt;20/24)</formula>
    </cfRule>
    <cfRule type="expression" dxfId="439" priority="85">
      <formula>AND(AG$9&gt;=8/24,AG$9&lt;14/24)</formula>
    </cfRule>
    <cfRule type="expression" dxfId="438" priority="86">
      <formula>AG$9&lt;8/24</formula>
    </cfRule>
  </conditionalFormatting>
  <conditionalFormatting sqref="AG100">
    <cfRule type="expression" dxfId="437" priority="104">
      <formula>AG$9&gt;=20/24</formula>
    </cfRule>
    <cfRule type="expression" dxfId="436" priority="105">
      <formula>AND(AG$9&gt;=14/24,AG$9&lt;20/24)</formula>
    </cfRule>
    <cfRule type="expression" dxfId="435" priority="106">
      <formula>AND(AG$9&gt;=8/24,AG$9&lt;14/24)</formula>
    </cfRule>
    <cfRule type="expression" dxfId="43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433" priority="129">
      <formula>AJ$9&gt;=20/24</formula>
    </cfRule>
    <cfRule type="expression" dxfId="432" priority="130">
      <formula>AND(AJ$9&gt;=14/24,AJ$9&lt;20/24)</formula>
    </cfRule>
    <cfRule type="expression" dxfId="431" priority="131">
      <formula>AND(AJ$9&gt;=8/24,AJ$9&lt;14/24)</formula>
    </cfRule>
    <cfRule type="expression" dxfId="430" priority="132">
      <formula>AJ$9&lt;8/24</formula>
    </cfRule>
  </conditionalFormatting>
  <conditionalFormatting sqref="AL86:AN86 AL92:AN92">
    <cfRule type="expression" dxfId="429" priority="97">
      <formula>AL$9&gt;=20/24</formula>
    </cfRule>
    <cfRule type="expression" dxfId="428" priority="98">
      <formula>AND(AL$9&gt;=14/24,AL$9&lt;20/24)</formula>
    </cfRule>
    <cfRule type="expression" dxfId="427" priority="99">
      <formula>AND(AL$9&gt;=8/24,AL$9&lt;14/24)</formula>
    </cfRule>
    <cfRule type="expression" dxfId="426" priority="100">
      <formula>AL$9&lt;8/24</formula>
    </cfRule>
  </conditionalFormatting>
  <conditionalFormatting sqref="AM15:AM21 AN16:AR21">
    <cfRule type="expression" dxfId="425" priority="13">
      <formula>AX$9&gt;=20/24</formula>
    </cfRule>
    <cfRule type="expression" dxfId="424" priority="14">
      <formula>AND(AX$9&gt;=14/24,AX$9&lt;20/24)</formula>
    </cfRule>
    <cfRule type="expression" dxfId="423" priority="15">
      <formula>AND(AX$9&gt;=8/24,AX$9&lt;14/24)</formula>
    </cfRule>
    <cfRule type="expression" dxfId="422" priority="16">
      <formula>AX$9&lt;8/24</formula>
    </cfRule>
  </conditionalFormatting>
  <conditionalFormatting sqref="AN87:AN90">
    <cfRule type="expression" dxfId="421" priority="93">
      <formula>AN$9&gt;=20/24</formula>
    </cfRule>
    <cfRule type="expression" dxfId="420" priority="94">
      <formula>AND(AN$9&gt;=14/24,AN$9&lt;20/24)</formula>
    </cfRule>
    <cfRule type="expression" dxfId="419" priority="95">
      <formula>AND(AN$9&gt;=8/24,AN$9&lt;14/24)</formula>
    </cfRule>
    <cfRule type="expression" dxfId="418" priority="96">
      <formula>AN$9&lt;8/24</formula>
    </cfRule>
  </conditionalFormatting>
  <conditionalFormatting sqref="AN15:AR15">
    <cfRule type="expression" dxfId="417" priority="1">
      <formula>U$9&gt;=20/24</formula>
    </cfRule>
    <cfRule type="expression" dxfId="416" priority="2">
      <formula>AND(U$9&gt;=14/24,U$9&lt;20/24)</formula>
    </cfRule>
    <cfRule type="expression" dxfId="415" priority="3">
      <formula>AND(U$9&gt;=8/24,U$9&lt;14/24)</formula>
    </cfRule>
    <cfRule type="expression" dxfId="414" priority="4">
      <formula>U$9&lt;8/24</formula>
    </cfRule>
  </conditionalFormatting>
  <conditionalFormatting sqref="AS15">
    <cfRule type="expression" dxfId="413" priority="9">
      <formula>AA$9&gt;=20/24</formula>
    </cfRule>
    <cfRule type="expression" dxfId="412" priority="10">
      <formula>AND(AA$9&gt;=14/24,AA$9&lt;20/24)</formula>
    </cfRule>
    <cfRule type="expression" dxfId="411" priority="11">
      <formula>AND(AA$9&gt;=8/24,AA$9&lt;14/24)</formula>
    </cfRule>
    <cfRule type="expression" dxfId="410" priority="12">
      <formula>AA$9&lt;8/24</formula>
    </cfRule>
  </conditionalFormatting>
  <conditionalFormatting sqref="AS16:AS21">
    <cfRule type="expression" dxfId="409" priority="17">
      <formula>BE$9&gt;=20/24</formula>
    </cfRule>
    <cfRule type="expression" dxfId="408" priority="18">
      <formula>AND(BE$9&gt;=14/24,BE$9&lt;20/24)</formula>
    </cfRule>
    <cfRule type="expression" dxfId="407" priority="19">
      <formula>AND(BE$9&gt;=8/24,BE$9&lt;14/24)</formula>
    </cfRule>
    <cfRule type="expression" dxfId="406" priority="20">
      <formula>BE$9&lt;8/24</formula>
    </cfRule>
  </conditionalFormatting>
  <conditionalFormatting sqref="AT15 AX15:BJ15">
    <cfRule type="expression" dxfId="405" priority="21">
      <formula>AC$9&gt;=20/24</formula>
    </cfRule>
    <cfRule type="expression" dxfId="404" priority="22">
      <formula>AND(AC$9&gt;=14/24,AC$9&lt;20/24)</formula>
    </cfRule>
    <cfRule type="expression" dxfId="403" priority="23">
      <formula>AND(AC$9&gt;=8/24,AC$9&lt;14/24)</formula>
    </cfRule>
    <cfRule type="expression" dxfId="402" priority="24">
      <formula>AC$9&lt;8/24</formula>
    </cfRule>
  </conditionalFormatting>
  <conditionalFormatting sqref="AT16:AT21">
    <cfRule type="expression" dxfId="401" priority="25">
      <formula>BG$9&gt;=20/24</formula>
    </cfRule>
    <cfRule type="expression" dxfId="400" priority="26">
      <formula>AND(BG$9&gt;=14/24,BG$9&lt;20/24)</formula>
    </cfRule>
    <cfRule type="expression" dxfId="399" priority="27">
      <formula>AND(BG$9&gt;=8/24,BG$9&lt;14/24)</formula>
    </cfRule>
    <cfRule type="expression" dxfId="398" priority="28">
      <formula>BG$9&lt;8/24</formula>
    </cfRule>
  </conditionalFormatting>
  <conditionalFormatting sqref="AU15:AV15">
    <cfRule type="expression" dxfId="397" priority="29">
      <formula>AE$9&gt;=20/24</formula>
    </cfRule>
    <cfRule type="expression" dxfId="396" priority="30">
      <formula>AND(AE$9&gt;=14/24,AE$9&lt;20/24)</formula>
    </cfRule>
    <cfRule type="expression" dxfId="395" priority="31">
      <formula>AND(AE$9&gt;=8/24,AE$9&lt;14/24)</formula>
    </cfRule>
    <cfRule type="expression" dxfId="394" priority="32">
      <formula>AE$9&lt;8/24</formula>
    </cfRule>
  </conditionalFormatting>
  <conditionalFormatting sqref="AU16:BJ21">
    <cfRule type="expression" dxfId="393" priority="33">
      <formula>BI$9&gt;=20/24</formula>
    </cfRule>
    <cfRule type="expression" dxfId="392" priority="34">
      <formula>AND(BI$9&gt;=14/24,BI$9&lt;20/24)</formula>
    </cfRule>
    <cfRule type="expression" dxfId="391" priority="35">
      <formula>AND(BI$9&gt;=8/24,BI$9&lt;14/24)</formula>
    </cfRule>
    <cfRule type="expression" dxfId="390" priority="36">
      <formula>BI$9&lt;8/24</formula>
    </cfRule>
  </conditionalFormatting>
  <conditionalFormatting sqref="AW15">
    <cfRule type="expression" dxfId="389" priority="5">
      <formula>B$9&gt;=20/24</formula>
    </cfRule>
    <cfRule type="expression" dxfId="388" priority="6">
      <formula>AND(B$9&gt;=14/24,B$9&lt;20/24)</formula>
    </cfRule>
    <cfRule type="expression" dxfId="387" priority="7">
      <formula>AND(B$9&gt;=8/24,B$9&lt;14/24)</formula>
    </cfRule>
    <cfRule type="expression" dxfId="38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3AA8-9AE1-4AE7-8CA5-903A7063BF1B}">
  <dimension ref="A1:CJ297"/>
  <sheetViews>
    <sheetView zoomScale="106" workbookViewId="0">
      <pane xSplit="1" ySplit="10" topLeftCell="B40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O135" sqref="O13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str">
        <f ca="1">"2080/"&amp;"10/"&amp;INT(MID(CELL("filename",D6),FIND("]",CELL("filename",D6))+1,200))</f>
        <v>2080/10/45383</v>
      </c>
      <c r="C4" s="189"/>
      <c r="D4" s="189"/>
      <c r="E4" s="190" t="str">
        <f ca="1">"2080/"&amp;"10/"&amp;INT(MID(CELL("filename",G6),FIND("]",CELL("filename",G6))+1,200))</f>
        <v>2080/10/45383</v>
      </c>
      <c r="F4" s="190"/>
      <c r="G4" s="190"/>
      <c r="H4" s="190" t="str">
        <f ca="1">TEXT(E4,"dddd")</f>
        <v>2080/10/45383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2186MW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Load=304</v>
      </c>
      <c r="B7" s="35">
        <f t="shared" ref="B7:AF7" si="1">B103</f>
        <v>1573.94</v>
      </c>
      <c r="C7" s="35">
        <f t="shared" si="1"/>
        <v>1544.24</v>
      </c>
      <c r="D7" s="35">
        <f t="shared" si="1"/>
        <v>1532.54</v>
      </c>
      <c r="E7" s="35">
        <f t="shared" si="1"/>
        <v>1471.7399999999998</v>
      </c>
      <c r="F7" s="35">
        <f t="shared" si="1"/>
        <v>1453.8399999999997</v>
      </c>
      <c r="G7" s="35">
        <f t="shared" si="1"/>
        <v>1441.54</v>
      </c>
      <c r="H7" s="35">
        <f t="shared" si="1"/>
        <v>1343.54</v>
      </c>
      <c r="I7" s="35">
        <f t="shared" si="1"/>
        <v>1375.7399999999998</v>
      </c>
      <c r="J7" s="35">
        <f t="shared" si="1"/>
        <v>1429.8400000000001</v>
      </c>
      <c r="K7" s="35">
        <f t="shared" si="1"/>
        <v>1443.7400000000002</v>
      </c>
      <c r="L7" s="35">
        <f t="shared" si="1"/>
        <v>1472.2399999999996</v>
      </c>
      <c r="M7" s="35">
        <f t="shared" si="1"/>
        <v>1510.54</v>
      </c>
      <c r="N7" s="35">
        <f t="shared" si="1"/>
        <v>303.54000000000002</v>
      </c>
      <c r="O7" s="35">
        <f t="shared" si="1"/>
        <v>303.54000000000002</v>
      </c>
      <c r="P7" s="35">
        <f t="shared" si="1"/>
        <v>303.54000000000002</v>
      </c>
      <c r="Q7" s="35">
        <f t="shared" si="1"/>
        <v>303.54000000000002</v>
      </c>
      <c r="R7" s="35">
        <f t="shared" si="1"/>
        <v>303.54000000000002</v>
      </c>
      <c r="S7" s="35">
        <f t="shared" si="1"/>
        <v>303.54000000000002</v>
      </c>
      <c r="T7" s="35">
        <f t="shared" si="1"/>
        <v>303.54000000000002</v>
      </c>
      <c r="U7" s="35">
        <f t="shared" si="1"/>
        <v>303.54000000000002</v>
      </c>
      <c r="V7" s="35">
        <f t="shared" si="1"/>
        <v>303.54000000000002</v>
      </c>
      <c r="W7" s="35">
        <f t="shared" si="1"/>
        <v>303.54000000000002</v>
      </c>
      <c r="X7" s="35">
        <f t="shared" si="1"/>
        <v>303.54000000000002</v>
      </c>
      <c r="Y7" s="35">
        <f t="shared" si="1"/>
        <v>303.5</v>
      </c>
      <c r="Z7" s="35">
        <f t="shared" si="1"/>
        <v>305.5</v>
      </c>
      <c r="AA7" s="35">
        <f t="shared" si="1"/>
        <v>303.54000000000002</v>
      </c>
      <c r="AB7" s="35">
        <f t="shared" si="1"/>
        <v>303.54000000000002</v>
      </c>
      <c r="AC7" s="35">
        <f t="shared" si="1"/>
        <v>303.54000000000002</v>
      </c>
      <c r="AD7" s="35">
        <f t="shared" si="1"/>
        <v>303.54000000000002</v>
      </c>
      <c r="AE7" s="35">
        <f t="shared" si="1"/>
        <v>303.54000000000002</v>
      </c>
      <c r="AF7" s="35">
        <f t="shared" si="1"/>
        <v>303.54000000000002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2287.54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1573.94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90</v>
      </c>
      <c r="C11" s="46">
        <v>90</v>
      </c>
      <c r="D11" s="46">
        <v>90</v>
      </c>
      <c r="E11" s="46">
        <v>82</v>
      </c>
      <c r="F11" s="46">
        <v>82.5</v>
      </c>
      <c r="G11" s="46">
        <v>82.5</v>
      </c>
      <c r="H11" s="46">
        <v>82.5</v>
      </c>
      <c r="I11" s="46">
        <v>82.5</v>
      </c>
      <c r="J11" s="46">
        <v>82.9</v>
      </c>
      <c r="K11" s="46">
        <v>90.3</v>
      </c>
      <c r="L11" s="46">
        <v>90.2</v>
      </c>
      <c r="M11" s="46">
        <v>90.2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86</v>
      </c>
      <c r="AH11" s="48">
        <f t="shared" ref="AH11:AH74" si="2">MAX(B11:AF11)</f>
        <v>90.3</v>
      </c>
      <c r="AI11" s="49">
        <f t="shared" ref="AI11:AI74" si="3">MIN(B11:AF11)</f>
        <v>82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>
        <v>83</v>
      </c>
      <c r="C12" s="46">
        <v>83</v>
      </c>
      <c r="D12" s="46">
        <v>72</v>
      </c>
      <c r="E12" s="46">
        <v>58</v>
      </c>
      <c r="F12" s="46">
        <v>57.6</v>
      </c>
      <c r="G12" s="46">
        <v>63.8</v>
      </c>
      <c r="H12" s="46">
        <v>56</v>
      </c>
      <c r="I12" s="46">
        <v>56</v>
      </c>
      <c r="J12" s="46">
        <v>58</v>
      </c>
      <c r="K12" s="46">
        <v>57</v>
      </c>
      <c r="L12" s="46">
        <v>54.2</v>
      </c>
      <c r="M12" s="46">
        <v>54.2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50">
        <v>77</v>
      </c>
      <c r="AH12" s="48">
        <f t="shared" si="2"/>
        <v>83</v>
      </c>
      <c r="AI12" s="49">
        <f t="shared" si="3"/>
        <v>54.2</v>
      </c>
      <c r="AK12" s="51"/>
      <c r="AL12" s="52" t="str">
        <f ca="1">MID(CELL("filename",C7),FIND("]",CELL("filename",C7))+1,600)</f>
        <v>4-01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>
        <v>15</v>
      </c>
      <c r="C13" s="46">
        <v>15</v>
      </c>
      <c r="D13" s="46">
        <v>15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50">
        <v>73</v>
      </c>
      <c r="AH13" s="48">
        <f t="shared" si="2"/>
        <v>15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2080/10/45383)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>
        <v>13.3</v>
      </c>
      <c r="C14" s="46">
        <v>13.3</v>
      </c>
      <c r="D14" s="46">
        <v>12.3</v>
      </c>
      <c r="E14" s="46">
        <v>13.7</v>
      </c>
      <c r="F14" s="46">
        <v>13.7</v>
      </c>
      <c r="G14" s="46">
        <v>15.7</v>
      </c>
      <c r="H14" s="46">
        <v>15.7</v>
      </c>
      <c r="I14" s="46">
        <v>5.7</v>
      </c>
      <c r="J14" s="46">
        <v>0</v>
      </c>
      <c r="K14" s="46">
        <v>0</v>
      </c>
      <c r="L14" s="46">
        <v>0</v>
      </c>
      <c r="M14" s="46">
        <v>0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50">
        <v>71</v>
      </c>
      <c r="AH14" s="48">
        <f t="shared" si="2"/>
        <v>15.7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56.3</v>
      </c>
      <c r="C15" s="46">
        <v>32.9</v>
      </c>
      <c r="D15" s="46">
        <v>32.9</v>
      </c>
      <c r="E15" s="46">
        <v>43</v>
      </c>
      <c r="F15" s="46">
        <v>30</v>
      </c>
      <c r="G15" s="46">
        <v>31.2</v>
      </c>
      <c r="H15" s="46">
        <v>26</v>
      </c>
      <c r="I15" s="46">
        <v>34</v>
      </c>
      <c r="J15" s="46">
        <v>33</v>
      </c>
      <c r="K15" s="46">
        <v>40</v>
      </c>
      <c r="L15" s="46">
        <v>54</v>
      </c>
      <c r="M15" s="46">
        <v>39.1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50">
        <v>54</v>
      </c>
      <c r="AH15" s="48">
        <f t="shared" si="2"/>
        <v>56.3</v>
      </c>
      <c r="AI15" s="49">
        <f t="shared" si="3"/>
        <v>26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50">
        <v>54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B61</f>
        <v>1336.2</v>
      </c>
      <c r="AN16" s="59">
        <f t="shared" si="4"/>
        <v>1275.0999999999999</v>
      </c>
      <c r="AO16" s="59">
        <f t="shared" si="4"/>
        <v>1275.7</v>
      </c>
      <c r="AP16" s="59">
        <f t="shared" si="4"/>
        <v>1210.6999999999998</v>
      </c>
      <c r="AQ16" s="59">
        <f t="shared" si="4"/>
        <v>1235.7999999999997</v>
      </c>
      <c r="AR16" s="59">
        <f t="shared" si="4"/>
        <v>1229.8</v>
      </c>
      <c r="AS16" s="59">
        <f>I61</f>
        <v>1207.3</v>
      </c>
      <c r="AT16" s="59">
        <f>K61</f>
        <v>1222.8</v>
      </c>
      <c r="AU16" s="59">
        <f t="shared" ref="AU16:BD16" si="5">M61</f>
        <v>1258.7</v>
      </c>
      <c r="AV16" s="59">
        <f t="shared" si="5"/>
        <v>300</v>
      </c>
      <c r="AW16" s="59">
        <f t="shared" si="5"/>
        <v>300</v>
      </c>
      <c r="AX16" s="59">
        <f t="shared" si="5"/>
        <v>300</v>
      </c>
      <c r="AY16" s="59">
        <f t="shared" si="5"/>
        <v>300</v>
      </c>
      <c r="AZ16" s="59">
        <f t="shared" si="5"/>
        <v>300</v>
      </c>
      <c r="BA16" s="59">
        <f t="shared" si="5"/>
        <v>300</v>
      </c>
      <c r="BB16" s="59">
        <f t="shared" si="5"/>
        <v>300</v>
      </c>
      <c r="BC16" s="59">
        <f t="shared" si="5"/>
        <v>300</v>
      </c>
      <c r="BD16" s="59">
        <f t="shared" si="5"/>
        <v>300</v>
      </c>
      <c r="BE16" s="60">
        <f>X61</f>
        <v>300</v>
      </c>
      <c r="BF16" s="60">
        <f>Z61</f>
        <v>300</v>
      </c>
      <c r="BG16" s="60">
        <f>AB61</f>
        <v>300</v>
      </c>
      <c r="BH16" s="60">
        <f>AD61</f>
        <v>300</v>
      </c>
      <c r="BI16" s="60">
        <f>AE61</f>
        <v>300</v>
      </c>
      <c r="BJ16" s="60">
        <f>AF61</f>
        <v>300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56</v>
      </c>
      <c r="C17" s="46">
        <v>56</v>
      </c>
      <c r="D17" s="46">
        <v>56</v>
      </c>
      <c r="E17" s="46">
        <v>56</v>
      </c>
      <c r="F17" s="46">
        <v>56</v>
      </c>
      <c r="G17" s="46">
        <v>56</v>
      </c>
      <c r="H17" s="46">
        <v>56</v>
      </c>
      <c r="I17" s="46">
        <v>56</v>
      </c>
      <c r="J17" s="46">
        <v>56</v>
      </c>
      <c r="K17" s="46">
        <v>56</v>
      </c>
      <c r="L17" s="46">
        <v>56</v>
      </c>
      <c r="M17" s="46">
        <v>56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7">
        <v>52.4</v>
      </c>
      <c r="AH17" s="48">
        <f t="shared" si="2"/>
        <v>56</v>
      </c>
      <c r="AI17" s="49">
        <f t="shared" si="3"/>
        <v>56</v>
      </c>
      <c r="AK17" s="51"/>
      <c r="AL17" s="54" t="s">
        <v>27</v>
      </c>
      <c r="AM17" s="59">
        <f t="shared" ref="AM17:AR17" si="6">B65</f>
        <v>539.4</v>
      </c>
      <c r="AN17" s="59">
        <f t="shared" si="6"/>
        <v>539.4</v>
      </c>
      <c r="AO17" s="59">
        <f t="shared" si="6"/>
        <v>539.4</v>
      </c>
      <c r="AP17" s="59">
        <f t="shared" si="6"/>
        <v>538.1</v>
      </c>
      <c r="AQ17" s="59">
        <f t="shared" si="6"/>
        <v>538.1</v>
      </c>
      <c r="AR17" s="59">
        <f t="shared" si="6"/>
        <v>538.1</v>
      </c>
      <c r="AS17" s="59">
        <f>I65</f>
        <v>538.1</v>
      </c>
      <c r="AT17" s="59">
        <f>K65</f>
        <v>538.1</v>
      </c>
      <c r="AU17" s="59">
        <f t="shared" ref="AU17:BD17" si="7">M65</f>
        <v>538.1</v>
      </c>
      <c r="AV17" s="59">
        <f t="shared" si="7"/>
        <v>0</v>
      </c>
      <c r="AW17" s="59">
        <f t="shared" si="7"/>
        <v>0</v>
      </c>
      <c r="AX17" s="59">
        <f t="shared" si="7"/>
        <v>0</v>
      </c>
      <c r="AY17" s="59">
        <f t="shared" si="7"/>
        <v>0</v>
      </c>
      <c r="AZ17" s="59">
        <f t="shared" si="7"/>
        <v>0</v>
      </c>
      <c r="BA17" s="59">
        <f t="shared" si="7"/>
        <v>0</v>
      </c>
      <c r="BB17" s="59">
        <f t="shared" si="7"/>
        <v>0</v>
      </c>
      <c r="BC17" s="59">
        <f t="shared" si="7"/>
        <v>0</v>
      </c>
      <c r="BD17" s="59">
        <f t="shared" si="7"/>
        <v>0</v>
      </c>
      <c r="BE17" s="60">
        <f>X65</f>
        <v>0</v>
      </c>
      <c r="BF17" s="60">
        <f>Z65</f>
        <v>0</v>
      </c>
      <c r="BG17" s="60">
        <f>AB65</f>
        <v>0</v>
      </c>
      <c r="BH17" s="60">
        <f>AD65</f>
        <v>0</v>
      </c>
      <c r="BI17" s="60">
        <f>AE65</f>
        <v>0</v>
      </c>
      <c r="BJ17" s="60">
        <f>AF65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50.1</v>
      </c>
      <c r="C18" s="46">
        <v>50.1</v>
      </c>
      <c r="D18" s="46">
        <v>50.1</v>
      </c>
      <c r="E18" s="46">
        <v>50.5</v>
      </c>
      <c r="F18" s="46">
        <v>50.5</v>
      </c>
      <c r="G18" s="46">
        <v>50.5</v>
      </c>
      <c r="H18" s="46">
        <v>0</v>
      </c>
      <c r="I18" s="46">
        <v>49.5</v>
      </c>
      <c r="J18" s="46">
        <v>50.5</v>
      </c>
      <c r="K18" s="46">
        <v>50.5</v>
      </c>
      <c r="L18" s="46">
        <v>50.5</v>
      </c>
      <c r="M18" s="46">
        <v>50.5</v>
      </c>
      <c r="N18" s="46"/>
      <c r="O18" s="46"/>
      <c r="P18" s="46"/>
      <c r="Q18" s="46"/>
      <c r="R18" s="46"/>
      <c r="S18" s="46"/>
      <c r="T18" s="46"/>
      <c r="U18" s="46"/>
      <c r="V18" s="46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0">
        <v>50</v>
      </c>
      <c r="AH18" s="48">
        <f t="shared" si="2"/>
        <v>50.5</v>
      </c>
      <c r="AI18" s="49">
        <f t="shared" si="3"/>
        <v>0</v>
      </c>
      <c r="AK18" s="51"/>
      <c r="AL18" s="54" t="s">
        <v>29</v>
      </c>
      <c r="AM18" s="59">
        <f t="shared" ref="AM18:AR18" si="8">B79</f>
        <v>411.94000000000005</v>
      </c>
      <c r="AN18" s="59">
        <f t="shared" si="8"/>
        <v>411.94000000000005</v>
      </c>
      <c r="AO18" s="59">
        <f t="shared" si="8"/>
        <v>411.94000000000005</v>
      </c>
      <c r="AP18" s="59">
        <f t="shared" si="8"/>
        <v>394.93999999999994</v>
      </c>
      <c r="AQ18" s="59">
        <f t="shared" si="8"/>
        <v>394.93999999999994</v>
      </c>
      <c r="AR18" s="59">
        <f t="shared" si="8"/>
        <v>396.63999999999993</v>
      </c>
      <c r="AS18" s="59">
        <f>I79</f>
        <v>382.33999999999992</v>
      </c>
      <c r="AT18" s="59">
        <f>K79</f>
        <v>378.84</v>
      </c>
      <c r="AU18" s="59">
        <f t="shared" ref="AU18:BD18" si="9">M79</f>
        <v>378.73999999999995</v>
      </c>
      <c r="AV18" s="59">
        <f t="shared" si="9"/>
        <v>3.54</v>
      </c>
      <c r="AW18" s="59">
        <f t="shared" si="9"/>
        <v>3.54</v>
      </c>
      <c r="AX18" s="59">
        <f t="shared" si="9"/>
        <v>3.54</v>
      </c>
      <c r="AY18" s="59">
        <f t="shared" si="9"/>
        <v>3.54</v>
      </c>
      <c r="AZ18" s="59">
        <f t="shared" si="9"/>
        <v>3.54</v>
      </c>
      <c r="BA18" s="59">
        <f t="shared" si="9"/>
        <v>3.54</v>
      </c>
      <c r="BB18" s="59">
        <f t="shared" si="9"/>
        <v>3.54</v>
      </c>
      <c r="BC18" s="59">
        <f t="shared" si="9"/>
        <v>3.54</v>
      </c>
      <c r="BD18" s="59">
        <f t="shared" si="9"/>
        <v>3.54</v>
      </c>
      <c r="BE18" s="60">
        <f>X79</f>
        <v>3.54</v>
      </c>
      <c r="BF18" s="60">
        <f>Z79</f>
        <v>5.5</v>
      </c>
      <c r="BG18" s="60">
        <f>AB79</f>
        <v>3.54</v>
      </c>
      <c r="BH18" s="60">
        <f>AD79</f>
        <v>3.54</v>
      </c>
      <c r="BI18" s="60">
        <f>AE79</f>
        <v>3.54</v>
      </c>
      <c r="BJ18" s="60">
        <f>AF79</f>
        <v>3.54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44</v>
      </c>
      <c r="C20" s="46">
        <v>44</v>
      </c>
      <c r="D20" s="46">
        <v>44</v>
      </c>
      <c r="E20" s="46">
        <v>44</v>
      </c>
      <c r="F20" s="46">
        <v>44</v>
      </c>
      <c r="G20" s="46">
        <v>44</v>
      </c>
      <c r="H20" s="46">
        <v>44</v>
      </c>
      <c r="I20" s="46">
        <v>44</v>
      </c>
      <c r="J20" s="46">
        <v>44</v>
      </c>
      <c r="K20" s="46">
        <v>44</v>
      </c>
      <c r="L20" s="46">
        <v>44</v>
      </c>
      <c r="M20" s="46">
        <v>44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50">
        <v>44</v>
      </c>
      <c r="AH20" s="48">
        <f t="shared" si="2"/>
        <v>44</v>
      </c>
      <c r="AI20" s="49">
        <f t="shared" si="3"/>
        <v>44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27.9</v>
      </c>
      <c r="C22" s="46">
        <v>27.9</v>
      </c>
      <c r="D22" s="46">
        <v>27.9</v>
      </c>
      <c r="E22" s="46">
        <v>27</v>
      </c>
      <c r="F22" s="46">
        <v>27</v>
      </c>
      <c r="G22" s="46">
        <v>27</v>
      </c>
      <c r="H22" s="46">
        <v>27</v>
      </c>
      <c r="I22" s="46">
        <v>27</v>
      </c>
      <c r="J22" s="46">
        <v>27</v>
      </c>
      <c r="K22" s="46">
        <v>27</v>
      </c>
      <c r="L22" s="46">
        <v>27</v>
      </c>
      <c r="M22" s="46">
        <v>27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50">
        <v>38.46</v>
      </c>
      <c r="AH22" s="48">
        <f t="shared" si="2"/>
        <v>27.9</v>
      </c>
      <c r="AI22" s="49">
        <f t="shared" si="3"/>
        <v>27</v>
      </c>
      <c r="AK22" s="51"/>
      <c r="AL22" s="62" t="s">
        <v>37</v>
      </c>
      <c r="AM22" s="63">
        <f t="shared" ref="AM22:BJ22" si="16">SUM(AM16:AM21)</f>
        <v>2287.54</v>
      </c>
      <c r="AN22" s="63">
        <f t="shared" si="16"/>
        <v>2226.44</v>
      </c>
      <c r="AO22" s="63">
        <f t="shared" si="16"/>
        <v>2227.04</v>
      </c>
      <c r="AP22" s="63">
        <f t="shared" si="16"/>
        <v>2143.7399999999998</v>
      </c>
      <c r="AQ22" s="63">
        <f t="shared" si="16"/>
        <v>2168.8399999999997</v>
      </c>
      <c r="AR22" s="63">
        <f t="shared" si="16"/>
        <v>2164.54</v>
      </c>
      <c r="AS22" s="63">
        <f t="shared" si="16"/>
        <v>2127.7399999999998</v>
      </c>
      <c r="AT22" s="63">
        <f t="shared" si="16"/>
        <v>2139.7400000000002</v>
      </c>
      <c r="AU22" s="63">
        <f t="shared" si="16"/>
        <v>2175.54</v>
      </c>
      <c r="AV22" s="63">
        <f t="shared" si="16"/>
        <v>303.54000000000002</v>
      </c>
      <c r="AW22" s="63">
        <f t="shared" si="16"/>
        <v>303.54000000000002</v>
      </c>
      <c r="AX22" s="63">
        <f t="shared" si="16"/>
        <v>303.54000000000002</v>
      </c>
      <c r="AY22" s="63">
        <f t="shared" si="16"/>
        <v>303.54000000000002</v>
      </c>
      <c r="AZ22" s="63">
        <f t="shared" si="16"/>
        <v>303.54000000000002</v>
      </c>
      <c r="BA22" s="63">
        <f t="shared" si="16"/>
        <v>303.54000000000002</v>
      </c>
      <c r="BB22" s="63">
        <f t="shared" si="16"/>
        <v>303.54000000000002</v>
      </c>
      <c r="BC22" s="63">
        <f t="shared" si="16"/>
        <v>303.54000000000002</v>
      </c>
      <c r="BD22" s="63">
        <f t="shared" si="16"/>
        <v>303.54000000000002</v>
      </c>
      <c r="BE22" s="63">
        <f t="shared" si="16"/>
        <v>303.54000000000002</v>
      </c>
      <c r="BF22" s="63">
        <f t="shared" si="16"/>
        <v>305.5</v>
      </c>
      <c r="BG22" s="63">
        <f t="shared" si="16"/>
        <v>303.54000000000002</v>
      </c>
      <c r="BH22" s="63">
        <f t="shared" si="16"/>
        <v>303.54000000000002</v>
      </c>
      <c r="BI22" s="63">
        <f t="shared" si="16"/>
        <v>303.54000000000002</v>
      </c>
      <c r="BJ22" s="63">
        <f t="shared" si="16"/>
        <v>303.54000000000002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37.700000000000003</v>
      </c>
      <c r="C23" s="46">
        <v>0</v>
      </c>
      <c r="D23" s="46">
        <v>0</v>
      </c>
      <c r="E23" s="46">
        <v>0</v>
      </c>
      <c r="F23" s="46">
        <v>38</v>
      </c>
      <c r="G23" s="46">
        <v>38</v>
      </c>
      <c r="H23" s="46">
        <v>38</v>
      </c>
      <c r="I23" s="46">
        <v>38</v>
      </c>
      <c r="J23" s="46">
        <v>38</v>
      </c>
      <c r="K23" s="46">
        <v>38</v>
      </c>
      <c r="L23" s="46">
        <v>38</v>
      </c>
      <c r="M23" s="46">
        <v>38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50">
        <v>38.46</v>
      </c>
      <c r="AH23" s="48">
        <f t="shared" si="2"/>
        <v>38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-713.59999999999991</v>
      </c>
      <c r="AN23" s="63">
        <f t="shared" si="17"/>
        <v>-682.2</v>
      </c>
      <c r="AO23" s="63">
        <f t="shared" si="17"/>
        <v>-694.5</v>
      </c>
      <c r="AP23" s="63">
        <f t="shared" si="17"/>
        <v>-672</v>
      </c>
      <c r="AQ23" s="63">
        <f t="shared" si="17"/>
        <v>-715</v>
      </c>
      <c r="AR23" s="63">
        <f t="shared" si="17"/>
        <v>-723</v>
      </c>
      <c r="AS23" s="63">
        <f>I110*-1</f>
        <v>-752</v>
      </c>
      <c r="AT23" s="63">
        <f>K110*-1</f>
        <v>-696</v>
      </c>
      <c r="AU23" s="63">
        <f t="shared" ref="AU23:BD23" si="18">M110*-1</f>
        <v>-665</v>
      </c>
      <c r="AV23" s="63">
        <f t="shared" si="18"/>
        <v>0</v>
      </c>
      <c r="AW23" s="63">
        <f t="shared" si="18"/>
        <v>0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0</v>
      </c>
      <c r="BG23" s="63">
        <f>AB110*-1</f>
        <v>0</v>
      </c>
      <c r="BH23" s="63">
        <f>AD110*-1</f>
        <v>0</v>
      </c>
      <c r="BI23" s="63">
        <f>AE110*-1</f>
        <v>0</v>
      </c>
      <c r="BJ23" s="63">
        <f>AF110*-1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0</v>
      </c>
      <c r="C24" s="46">
        <v>0</v>
      </c>
      <c r="D24" s="46">
        <v>12</v>
      </c>
      <c r="E24" s="46">
        <v>22</v>
      </c>
      <c r="F24" s="46">
        <v>22</v>
      </c>
      <c r="G24" s="46">
        <v>12</v>
      </c>
      <c r="H24" s="46">
        <v>12</v>
      </c>
      <c r="I24" s="46">
        <v>12</v>
      </c>
      <c r="J24" s="46">
        <v>0</v>
      </c>
      <c r="K24" s="46">
        <v>0</v>
      </c>
      <c r="L24" s="46">
        <v>0</v>
      </c>
      <c r="M24" s="46">
        <v>0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50">
        <v>36</v>
      </c>
      <c r="AH24" s="48">
        <f t="shared" si="2"/>
        <v>22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1573.94</v>
      </c>
      <c r="AN24" s="63">
        <f t="shared" si="19"/>
        <v>1544.24</v>
      </c>
      <c r="AO24" s="63">
        <f t="shared" si="19"/>
        <v>1532.54</v>
      </c>
      <c r="AP24" s="63">
        <f t="shared" si="19"/>
        <v>1471.7399999999998</v>
      </c>
      <c r="AQ24" s="63">
        <f t="shared" si="19"/>
        <v>1453.8399999999997</v>
      </c>
      <c r="AR24" s="63">
        <f t="shared" si="19"/>
        <v>1441.54</v>
      </c>
      <c r="AS24" s="63">
        <f t="shared" si="19"/>
        <v>1375.7399999999998</v>
      </c>
      <c r="AT24" s="63">
        <f t="shared" si="19"/>
        <v>1443.7400000000002</v>
      </c>
      <c r="AU24" s="63">
        <f t="shared" si="19"/>
        <v>1510.54</v>
      </c>
      <c r="AV24" s="63">
        <f t="shared" si="19"/>
        <v>303.54000000000002</v>
      </c>
      <c r="AW24" s="63">
        <f t="shared" si="19"/>
        <v>303.54000000000002</v>
      </c>
      <c r="AX24" s="63">
        <f t="shared" si="19"/>
        <v>303.54000000000002</v>
      </c>
      <c r="AY24" s="63">
        <f t="shared" si="19"/>
        <v>303.54000000000002</v>
      </c>
      <c r="AZ24" s="63">
        <f t="shared" si="19"/>
        <v>303.54000000000002</v>
      </c>
      <c r="BA24" s="63">
        <f t="shared" si="19"/>
        <v>303.54000000000002</v>
      </c>
      <c r="BB24" s="63">
        <f t="shared" si="19"/>
        <v>303.54000000000002</v>
      </c>
      <c r="BC24" s="63">
        <f t="shared" si="19"/>
        <v>303.54000000000002</v>
      </c>
      <c r="BD24" s="63">
        <f t="shared" si="19"/>
        <v>303.54000000000002</v>
      </c>
      <c r="BE24" s="63">
        <f t="shared" si="19"/>
        <v>303.54000000000002</v>
      </c>
      <c r="BF24" s="63">
        <f t="shared" si="19"/>
        <v>305.5</v>
      </c>
      <c r="BG24" s="63">
        <f t="shared" si="19"/>
        <v>303.54000000000002</v>
      </c>
      <c r="BH24" s="63">
        <f t="shared" si="19"/>
        <v>303.54000000000002</v>
      </c>
      <c r="BI24" s="63">
        <f t="shared" si="19"/>
        <v>303.54000000000002</v>
      </c>
      <c r="BJ24" s="63">
        <f t="shared" si="19"/>
        <v>303.54000000000002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30.1</v>
      </c>
      <c r="C25" s="46">
        <v>30.1</v>
      </c>
      <c r="D25" s="46">
        <v>30.1</v>
      </c>
      <c r="E25" s="46">
        <v>15.9</v>
      </c>
      <c r="F25" s="46">
        <v>15.9</v>
      </c>
      <c r="G25" s="46">
        <v>15</v>
      </c>
      <c r="H25" s="46">
        <v>15</v>
      </c>
      <c r="I25" s="46">
        <v>5</v>
      </c>
      <c r="J25" s="46">
        <v>30</v>
      </c>
      <c r="K25" s="46">
        <v>30</v>
      </c>
      <c r="L25" s="46">
        <v>29</v>
      </c>
      <c r="M25" s="46">
        <v>29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61">
        <v>30</v>
      </c>
      <c r="AH25" s="48">
        <f t="shared" si="2"/>
        <v>30.1</v>
      </c>
      <c r="AI25" s="49">
        <f t="shared" si="3"/>
        <v>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33</v>
      </c>
      <c r="C26" s="46">
        <v>33</v>
      </c>
      <c r="D26" s="46">
        <v>33</v>
      </c>
      <c r="E26" s="46">
        <v>25</v>
      </c>
      <c r="F26" s="46">
        <v>25</v>
      </c>
      <c r="G26" s="46">
        <v>20.5</v>
      </c>
      <c r="H26" s="46">
        <v>24</v>
      </c>
      <c r="I26" s="46">
        <v>24</v>
      </c>
      <c r="J26" s="46">
        <v>33</v>
      </c>
      <c r="K26" s="46">
        <v>33</v>
      </c>
      <c r="L26" s="46">
        <v>33</v>
      </c>
      <c r="M26" s="46">
        <v>33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50">
        <v>24.2</v>
      </c>
      <c r="AH26" s="48">
        <f t="shared" si="2"/>
        <v>33</v>
      </c>
      <c r="AI26" s="49">
        <f t="shared" si="3"/>
        <v>20.5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27.3</v>
      </c>
      <c r="C27" s="46">
        <v>27.3</v>
      </c>
      <c r="D27" s="46">
        <v>27.3</v>
      </c>
      <c r="E27" s="46">
        <v>27.3</v>
      </c>
      <c r="F27" s="46">
        <v>27.3</v>
      </c>
      <c r="G27" s="46">
        <v>27.3</v>
      </c>
      <c r="H27" s="46">
        <v>27.3</v>
      </c>
      <c r="I27" s="46">
        <v>27.3</v>
      </c>
      <c r="J27" s="46">
        <v>0</v>
      </c>
      <c r="K27" s="46">
        <v>0</v>
      </c>
      <c r="L27" s="46">
        <v>28.7</v>
      </c>
      <c r="M27" s="46">
        <v>28.7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50">
        <v>28</v>
      </c>
      <c r="AH27" s="48">
        <f t="shared" si="2"/>
        <v>28.7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0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61">
        <v>30</v>
      </c>
      <c r="AH28" s="48">
        <f t="shared" si="2"/>
        <v>0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25</v>
      </c>
      <c r="C29" s="46">
        <v>25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50">
        <v>25</v>
      </c>
      <c r="AH29" s="48">
        <f t="shared" si="2"/>
        <v>25</v>
      </c>
      <c r="AI29" s="49">
        <f t="shared" si="3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12</v>
      </c>
      <c r="C30" s="46">
        <v>12</v>
      </c>
      <c r="D30" s="46">
        <v>12</v>
      </c>
      <c r="E30" s="46">
        <v>12</v>
      </c>
      <c r="F30" s="46">
        <v>12</v>
      </c>
      <c r="G30" s="46">
        <v>12</v>
      </c>
      <c r="H30" s="46">
        <v>12</v>
      </c>
      <c r="I30" s="46">
        <v>12</v>
      </c>
      <c r="J30" s="46">
        <v>12</v>
      </c>
      <c r="K30" s="46">
        <v>12</v>
      </c>
      <c r="L30" s="46">
        <v>12</v>
      </c>
      <c r="M30" s="46">
        <v>12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50">
        <v>25</v>
      </c>
      <c r="AH30" s="48">
        <f t="shared" si="2"/>
        <v>12</v>
      </c>
      <c r="AI30" s="49">
        <f t="shared" si="3"/>
        <v>12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25</v>
      </c>
      <c r="C31" s="46">
        <v>25</v>
      </c>
      <c r="D31" s="46">
        <v>25</v>
      </c>
      <c r="E31" s="46">
        <v>25</v>
      </c>
      <c r="F31" s="46">
        <v>25</v>
      </c>
      <c r="G31" s="46">
        <v>25</v>
      </c>
      <c r="H31" s="46">
        <v>25</v>
      </c>
      <c r="I31" s="46">
        <v>25</v>
      </c>
      <c r="J31" s="46">
        <v>25</v>
      </c>
      <c r="K31" s="46">
        <v>25</v>
      </c>
      <c r="L31" s="46">
        <v>25</v>
      </c>
      <c r="M31" s="46">
        <v>25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>
        <v>25</v>
      </c>
      <c r="AH31" s="48">
        <f t="shared" si="2"/>
        <v>25</v>
      </c>
      <c r="AI31" s="49">
        <f t="shared" si="3"/>
        <v>25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</v>
      </c>
      <c r="C32" s="46">
        <v>25</v>
      </c>
      <c r="D32" s="46">
        <v>25.6</v>
      </c>
      <c r="E32" s="46">
        <v>10.8</v>
      </c>
      <c r="F32" s="46">
        <v>10.8</v>
      </c>
      <c r="G32" s="46">
        <v>10.8</v>
      </c>
      <c r="H32" s="46">
        <v>10.8</v>
      </c>
      <c r="I32" s="46">
        <v>10.8</v>
      </c>
      <c r="J32" s="46">
        <v>21.5</v>
      </c>
      <c r="K32" s="46">
        <v>21.5</v>
      </c>
      <c r="L32" s="46">
        <v>21.5</v>
      </c>
      <c r="M32" s="46">
        <v>21.5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50">
        <v>25</v>
      </c>
      <c r="AH32" s="48">
        <f t="shared" si="2"/>
        <v>25.6</v>
      </c>
      <c r="AI32" s="49">
        <f t="shared" si="3"/>
        <v>10.8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24.7</v>
      </c>
      <c r="C33" s="46">
        <v>24.7</v>
      </c>
      <c r="D33" s="46">
        <v>24.7</v>
      </c>
      <c r="E33" s="46">
        <v>24.7</v>
      </c>
      <c r="F33" s="46">
        <v>24.7</v>
      </c>
      <c r="G33" s="46">
        <v>24.7</v>
      </c>
      <c r="H33" s="46">
        <v>24.7</v>
      </c>
      <c r="I33" s="46">
        <v>24.7</v>
      </c>
      <c r="J33" s="46">
        <v>24.7</v>
      </c>
      <c r="K33" s="46">
        <v>24.7</v>
      </c>
      <c r="L33" s="46">
        <v>24.7</v>
      </c>
      <c r="M33" s="46">
        <v>24.7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50">
        <v>23.5</v>
      </c>
      <c r="AH33" s="48">
        <f t="shared" si="2"/>
        <v>24.7</v>
      </c>
      <c r="AI33" s="49">
        <f t="shared" si="3"/>
        <v>24.7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50">
        <v>22.2</v>
      </c>
      <c r="AH34" s="48">
        <f t="shared" si="2"/>
        <v>11</v>
      </c>
      <c r="AI34" s="49">
        <f t="shared" si="3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22</v>
      </c>
      <c r="C35" s="46">
        <v>22</v>
      </c>
      <c r="D35" s="46">
        <v>22</v>
      </c>
      <c r="E35" s="46">
        <v>22</v>
      </c>
      <c r="F35" s="46">
        <v>22</v>
      </c>
      <c r="G35" s="46">
        <v>22</v>
      </c>
      <c r="H35" s="46">
        <v>22</v>
      </c>
      <c r="I35" s="46">
        <v>22</v>
      </c>
      <c r="J35" s="46">
        <v>22</v>
      </c>
      <c r="K35" s="46">
        <v>22</v>
      </c>
      <c r="L35" s="46">
        <v>22</v>
      </c>
      <c r="M35" s="46">
        <v>22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50">
        <v>22.1</v>
      </c>
      <c r="AH35" s="48">
        <f t="shared" si="2"/>
        <v>22</v>
      </c>
      <c r="AI35" s="49">
        <f t="shared" si="3"/>
        <v>22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22</v>
      </c>
      <c r="C36" s="46">
        <v>22</v>
      </c>
      <c r="D36" s="46">
        <v>22</v>
      </c>
      <c r="E36" s="46">
        <v>22</v>
      </c>
      <c r="F36" s="46">
        <v>22</v>
      </c>
      <c r="G36" s="46">
        <v>22</v>
      </c>
      <c r="H36" s="46">
        <v>22</v>
      </c>
      <c r="I36" s="46">
        <v>22</v>
      </c>
      <c r="J36" s="46">
        <v>22</v>
      </c>
      <c r="K36" s="46">
        <v>22</v>
      </c>
      <c r="L36" s="46">
        <v>22</v>
      </c>
      <c r="M36" s="46">
        <v>22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50">
        <v>22</v>
      </c>
      <c r="AH36" s="48">
        <f t="shared" si="2"/>
        <v>22</v>
      </c>
      <c r="AI36" s="49">
        <f t="shared" si="3"/>
        <v>22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22</v>
      </c>
      <c r="C37" s="46">
        <v>22</v>
      </c>
      <c r="D37" s="46">
        <v>22</v>
      </c>
      <c r="E37" s="46">
        <v>22</v>
      </c>
      <c r="F37" s="46">
        <v>22</v>
      </c>
      <c r="G37" s="46">
        <v>22</v>
      </c>
      <c r="H37" s="46">
        <v>22</v>
      </c>
      <c r="I37" s="46">
        <v>22</v>
      </c>
      <c r="J37" s="46">
        <v>22</v>
      </c>
      <c r="K37" s="46">
        <v>22</v>
      </c>
      <c r="L37" s="46">
        <v>22</v>
      </c>
      <c r="M37" s="46">
        <v>22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50">
        <v>22</v>
      </c>
      <c r="AH37" s="48">
        <f t="shared" si="2"/>
        <v>22</v>
      </c>
      <c r="AI37" s="49">
        <f t="shared" si="3"/>
        <v>22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11.3</v>
      </c>
      <c r="C38" s="46">
        <v>11.3</v>
      </c>
      <c r="D38" s="46">
        <v>11.3</v>
      </c>
      <c r="E38" s="46">
        <v>11.3</v>
      </c>
      <c r="F38" s="46">
        <v>11.3</v>
      </c>
      <c r="G38" s="46">
        <v>11.3</v>
      </c>
      <c r="H38" s="46">
        <v>11.3</v>
      </c>
      <c r="I38" s="46">
        <v>11.3</v>
      </c>
      <c r="J38" s="46">
        <v>11.3</v>
      </c>
      <c r="K38" s="46">
        <v>11.3</v>
      </c>
      <c r="L38" s="46">
        <v>11.3</v>
      </c>
      <c r="M38" s="46">
        <v>11.3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50">
        <v>20</v>
      </c>
      <c r="AH38" s="48">
        <f t="shared" si="2"/>
        <v>11.3</v>
      </c>
      <c r="AI38" s="49">
        <f t="shared" si="3"/>
        <v>11.3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18</v>
      </c>
      <c r="C39" s="46">
        <v>18</v>
      </c>
      <c r="D39" s="46">
        <v>18</v>
      </c>
      <c r="E39" s="46">
        <v>18</v>
      </c>
      <c r="F39" s="46">
        <v>18</v>
      </c>
      <c r="G39" s="46">
        <v>18</v>
      </c>
      <c r="H39" s="46">
        <v>18</v>
      </c>
      <c r="I39" s="46">
        <v>18</v>
      </c>
      <c r="J39" s="46">
        <v>18</v>
      </c>
      <c r="K39" s="46">
        <v>18</v>
      </c>
      <c r="L39" s="46">
        <v>18</v>
      </c>
      <c r="M39" s="46">
        <v>18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50">
        <v>20</v>
      </c>
      <c r="AH39" s="48">
        <f t="shared" si="2"/>
        <v>18</v>
      </c>
      <c r="AI39" s="49">
        <f t="shared" si="3"/>
        <v>18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16.8</v>
      </c>
      <c r="C40" s="46">
        <v>16.8</v>
      </c>
      <c r="D40" s="46">
        <v>16.8</v>
      </c>
      <c r="E40" s="46">
        <v>16.8</v>
      </c>
      <c r="F40" s="46">
        <v>16.8</v>
      </c>
      <c r="G40" s="46">
        <v>16.8</v>
      </c>
      <c r="H40" s="46">
        <v>16.8</v>
      </c>
      <c r="I40" s="46">
        <v>16.8</v>
      </c>
      <c r="J40" s="46">
        <v>16.8</v>
      </c>
      <c r="K40" s="46">
        <v>16.8</v>
      </c>
      <c r="L40" s="46">
        <v>16.8</v>
      </c>
      <c r="M40" s="46">
        <v>16.8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50">
        <v>18</v>
      </c>
      <c r="AH40" s="48">
        <f t="shared" si="2"/>
        <v>16.8</v>
      </c>
      <c r="AI40" s="49">
        <f t="shared" si="3"/>
        <v>16.8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16</v>
      </c>
      <c r="C41" s="46">
        <v>16</v>
      </c>
      <c r="D41" s="46">
        <v>16</v>
      </c>
      <c r="E41" s="46">
        <v>16</v>
      </c>
      <c r="F41" s="46">
        <v>16</v>
      </c>
      <c r="G41" s="46">
        <v>16</v>
      </c>
      <c r="H41" s="46">
        <v>16</v>
      </c>
      <c r="I41" s="46">
        <v>16</v>
      </c>
      <c r="J41" s="46">
        <v>16</v>
      </c>
      <c r="K41" s="46">
        <v>16</v>
      </c>
      <c r="L41" s="46">
        <v>16</v>
      </c>
      <c r="M41" s="46">
        <v>16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50">
        <v>15.33</v>
      </c>
      <c r="AH41" s="48">
        <f t="shared" si="2"/>
        <v>16</v>
      </c>
      <c r="AI41" s="49">
        <f t="shared" si="3"/>
        <v>16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>
        <v>14</v>
      </c>
      <c r="C43" s="46">
        <v>14</v>
      </c>
      <c r="D43" s="46">
        <v>14</v>
      </c>
      <c r="E43" s="46">
        <v>14</v>
      </c>
      <c r="F43" s="46">
        <v>14</v>
      </c>
      <c r="G43" s="46">
        <v>14</v>
      </c>
      <c r="H43" s="46">
        <v>14</v>
      </c>
      <c r="I43" s="46">
        <v>14</v>
      </c>
      <c r="J43" s="46">
        <v>14</v>
      </c>
      <c r="K43" s="46">
        <v>14</v>
      </c>
      <c r="L43" s="46">
        <v>14</v>
      </c>
      <c r="M43" s="46">
        <v>14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50">
        <v>14.9</v>
      </c>
      <c r="AH43" s="48">
        <f t="shared" si="2"/>
        <v>14</v>
      </c>
      <c r="AI43" s="49">
        <f t="shared" si="3"/>
        <v>14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12</v>
      </c>
      <c r="C44" s="46">
        <v>12</v>
      </c>
      <c r="D44" s="46">
        <v>12</v>
      </c>
      <c r="E44" s="46">
        <v>12</v>
      </c>
      <c r="F44" s="46">
        <v>12</v>
      </c>
      <c r="G44" s="46">
        <v>12</v>
      </c>
      <c r="H44" s="46">
        <v>12</v>
      </c>
      <c r="I44" s="46">
        <v>12</v>
      </c>
      <c r="J44" s="46">
        <v>12</v>
      </c>
      <c r="K44" s="46">
        <v>12</v>
      </c>
      <c r="L44" s="46">
        <v>12</v>
      </c>
      <c r="M44" s="46">
        <v>12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50">
        <v>14.8</v>
      </c>
      <c r="AH44" s="48">
        <f t="shared" si="2"/>
        <v>12</v>
      </c>
      <c r="AI44" s="49">
        <f t="shared" si="3"/>
        <v>12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>
        <v>14</v>
      </c>
      <c r="C45" s="46">
        <v>14</v>
      </c>
      <c r="D45" s="46">
        <v>14</v>
      </c>
      <c r="E45" s="46">
        <v>14</v>
      </c>
      <c r="F45" s="46">
        <v>14</v>
      </c>
      <c r="G45" s="46">
        <v>14</v>
      </c>
      <c r="H45" s="46">
        <v>14</v>
      </c>
      <c r="I45" s="46">
        <v>14</v>
      </c>
      <c r="J45" s="46">
        <v>14</v>
      </c>
      <c r="K45" s="46">
        <v>14</v>
      </c>
      <c r="L45" s="46">
        <v>14</v>
      </c>
      <c r="M45" s="46">
        <v>14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14</v>
      </c>
      <c r="AI45" s="49">
        <f t="shared" si="3"/>
        <v>14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7</v>
      </c>
      <c r="C46" s="46">
        <v>7</v>
      </c>
      <c r="D46" s="46">
        <v>7</v>
      </c>
      <c r="E46" s="46">
        <v>7</v>
      </c>
      <c r="F46" s="46">
        <v>7</v>
      </c>
      <c r="G46" s="46">
        <v>7</v>
      </c>
      <c r="H46" s="46">
        <v>7</v>
      </c>
      <c r="I46" s="46">
        <v>7</v>
      </c>
      <c r="J46" s="46">
        <v>7</v>
      </c>
      <c r="K46" s="46">
        <v>7</v>
      </c>
      <c r="L46" s="46">
        <v>7</v>
      </c>
      <c r="M46" s="46">
        <v>7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50">
        <v>14</v>
      </c>
      <c r="AH46" s="48">
        <f t="shared" si="2"/>
        <v>7</v>
      </c>
      <c r="AI46" s="49">
        <f t="shared" si="3"/>
        <v>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8</v>
      </c>
      <c r="C47" s="46">
        <v>8</v>
      </c>
      <c r="D47" s="46">
        <v>8</v>
      </c>
      <c r="E47" s="46">
        <v>8</v>
      </c>
      <c r="F47" s="46">
        <v>8</v>
      </c>
      <c r="G47" s="46">
        <v>8</v>
      </c>
      <c r="H47" s="46">
        <v>8</v>
      </c>
      <c r="I47" s="46">
        <v>8</v>
      </c>
      <c r="J47" s="46">
        <v>8</v>
      </c>
      <c r="K47" s="46">
        <v>8</v>
      </c>
      <c r="L47" s="46">
        <v>8</v>
      </c>
      <c r="M47" s="46">
        <v>8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50">
        <v>13.6</v>
      </c>
      <c r="AH47" s="48">
        <f t="shared" si="2"/>
        <v>8</v>
      </c>
      <c r="AI47" s="49">
        <f t="shared" si="3"/>
        <v>8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12</v>
      </c>
      <c r="C48" s="46">
        <v>12</v>
      </c>
      <c r="D48" s="46">
        <v>12</v>
      </c>
      <c r="E48" s="46">
        <v>12</v>
      </c>
      <c r="F48" s="46">
        <v>12</v>
      </c>
      <c r="G48" s="46">
        <v>12</v>
      </c>
      <c r="H48" s="46">
        <v>12</v>
      </c>
      <c r="I48" s="46">
        <v>12</v>
      </c>
      <c r="J48" s="46">
        <v>12</v>
      </c>
      <c r="K48" s="46">
        <v>12</v>
      </c>
      <c r="L48" s="46">
        <v>12</v>
      </c>
      <c r="M48" s="46">
        <v>12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50">
        <v>13</v>
      </c>
      <c r="AH48" s="48">
        <f t="shared" si="2"/>
        <v>12</v>
      </c>
      <c r="AI48" s="49">
        <f t="shared" si="3"/>
        <v>12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12</v>
      </c>
      <c r="C49" s="46">
        <v>12</v>
      </c>
      <c r="D49" s="46">
        <v>12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12</v>
      </c>
      <c r="M49" s="46">
        <v>12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50">
        <v>12</v>
      </c>
      <c r="AH49" s="48">
        <f t="shared" si="2"/>
        <v>12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12</v>
      </c>
      <c r="C51" s="46">
        <v>12</v>
      </c>
      <c r="D51" s="46">
        <v>12</v>
      </c>
      <c r="E51" s="46">
        <v>12</v>
      </c>
      <c r="F51" s="46">
        <v>12</v>
      </c>
      <c r="G51" s="46">
        <v>12</v>
      </c>
      <c r="H51" s="46">
        <v>12</v>
      </c>
      <c r="I51" s="46">
        <v>12</v>
      </c>
      <c r="J51" s="46">
        <v>12</v>
      </c>
      <c r="K51" s="46">
        <v>12</v>
      </c>
      <c r="L51" s="46">
        <v>12</v>
      </c>
      <c r="M51" s="46">
        <v>12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50">
        <v>12</v>
      </c>
      <c r="AH51" s="48">
        <f t="shared" si="2"/>
        <v>12</v>
      </c>
      <c r="AI51" s="49">
        <f t="shared" si="3"/>
        <v>12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12</v>
      </c>
      <c r="C52" s="46">
        <v>12</v>
      </c>
      <c r="D52" s="46">
        <v>12</v>
      </c>
      <c r="E52" s="46">
        <v>12</v>
      </c>
      <c r="F52" s="46">
        <v>12</v>
      </c>
      <c r="G52" s="46">
        <v>12</v>
      </c>
      <c r="H52" s="46">
        <v>12</v>
      </c>
      <c r="I52" s="46">
        <v>12</v>
      </c>
      <c r="J52" s="46">
        <v>12</v>
      </c>
      <c r="K52" s="46">
        <v>12</v>
      </c>
      <c r="L52" s="46">
        <v>12</v>
      </c>
      <c r="M52" s="46">
        <v>12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64">
        <v>22</v>
      </c>
      <c r="AH52" s="48">
        <f t="shared" si="2"/>
        <v>12</v>
      </c>
      <c r="AI52" s="49">
        <f t="shared" si="3"/>
        <v>12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11</v>
      </c>
      <c r="C53" s="46">
        <v>11</v>
      </c>
      <c r="D53" s="46">
        <v>11</v>
      </c>
      <c r="E53" s="46">
        <v>11</v>
      </c>
      <c r="F53" s="46">
        <v>11</v>
      </c>
      <c r="G53" s="46">
        <v>11</v>
      </c>
      <c r="H53" s="46">
        <v>11</v>
      </c>
      <c r="I53" s="46">
        <v>11</v>
      </c>
      <c r="J53" s="46">
        <v>11</v>
      </c>
      <c r="K53" s="46">
        <v>11</v>
      </c>
      <c r="L53" s="46">
        <v>11</v>
      </c>
      <c r="M53" s="46">
        <v>11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61">
        <v>11.88</v>
      </c>
      <c r="AH53" s="48">
        <f t="shared" si="2"/>
        <v>11</v>
      </c>
      <c r="AI53" s="49">
        <f t="shared" si="3"/>
        <v>11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11</v>
      </c>
      <c r="C54" s="46">
        <v>11</v>
      </c>
      <c r="D54" s="46">
        <v>11</v>
      </c>
      <c r="E54" s="46">
        <v>11</v>
      </c>
      <c r="F54" s="46">
        <v>11</v>
      </c>
      <c r="G54" s="46">
        <v>11</v>
      </c>
      <c r="H54" s="46">
        <v>11</v>
      </c>
      <c r="I54" s="46">
        <v>11</v>
      </c>
      <c r="J54" s="46">
        <v>11</v>
      </c>
      <c r="K54" s="46">
        <v>11</v>
      </c>
      <c r="L54" s="46">
        <v>11</v>
      </c>
      <c r="M54" s="46">
        <v>11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66">
        <v>11</v>
      </c>
      <c r="AH54" s="48">
        <f t="shared" si="2"/>
        <v>11</v>
      </c>
      <c r="AI54" s="49">
        <f t="shared" si="3"/>
        <v>11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11.7</v>
      </c>
      <c r="C55" s="46">
        <v>11.7</v>
      </c>
      <c r="D55" s="46">
        <v>11.7</v>
      </c>
      <c r="E55" s="46">
        <v>11.7</v>
      </c>
      <c r="F55" s="46">
        <v>11.7</v>
      </c>
      <c r="G55" s="46">
        <v>11.7</v>
      </c>
      <c r="H55" s="46">
        <v>11.7</v>
      </c>
      <c r="I55" s="46">
        <v>11.7</v>
      </c>
      <c r="J55" s="46">
        <v>11.7</v>
      </c>
      <c r="K55" s="46">
        <v>11.7</v>
      </c>
      <c r="L55" s="46">
        <v>11.7</v>
      </c>
      <c r="M55" s="46">
        <v>11.7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66">
        <v>11</v>
      </c>
      <c r="AH55" s="48">
        <f t="shared" si="2"/>
        <v>11.7</v>
      </c>
      <c r="AI55" s="49">
        <f t="shared" si="3"/>
        <v>11.7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9</v>
      </c>
      <c r="C56" s="46">
        <v>9</v>
      </c>
      <c r="D56" s="46">
        <v>9</v>
      </c>
      <c r="E56" s="46">
        <v>9</v>
      </c>
      <c r="F56" s="46">
        <v>9</v>
      </c>
      <c r="G56" s="46">
        <v>9</v>
      </c>
      <c r="H56" s="46">
        <v>9</v>
      </c>
      <c r="I56" s="46">
        <v>9</v>
      </c>
      <c r="J56" s="46">
        <v>9</v>
      </c>
      <c r="K56" s="46">
        <v>9</v>
      </c>
      <c r="L56" s="46">
        <v>9</v>
      </c>
      <c r="M56" s="46">
        <v>9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66">
        <v>11</v>
      </c>
      <c r="AH56" s="48">
        <f t="shared" si="2"/>
        <v>9</v>
      </c>
      <c r="AI56" s="49">
        <f t="shared" si="3"/>
        <v>9</v>
      </c>
      <c r="AK56" s="51"/>
    </row>
    <row r="57" spans="1:88" x14ac:dyDescent="0.25">
      <c r="A57" s="65" t="s">
        <v>69</v>
      </c>
      <c r="B57" s="46">
        <v>9</v>
      </c>
      <c r="C57" s="46">
        <v>9</v>
      </c>
      <c r="D57" s="46">
        <v>9</v>
      </c>
      <c r="E57" s="46">
        <v>9</v>
      </c>
      <c r="F57" s="46">
        <v>9</v>
      </c>
      <c r="G57" s="46">
        <v>9</v>
      </c>
      <c r="H57" s="46">
        <v>9</v>
      </c>
      <c r="I57" s="46">
        <v>9</v>
      </c>
      <c r="J57" s="46">
        <v>9</v>
      </c>
      <c r="K57" s="46">
        <v>9</v>
      </c>
      <c r="L57" s="46">
        <v>9</v>
      </c>
      <c r="M57" s="46">
        <v>9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66">
        <v>10</v>
      </c>
      <c r="AH57" s="48">
        <f t="shared" si="2"/>
        <v>9</v>
      </c>
      <c r="AI57" s="49">
        <f t="shared" si="3"/>
        <v>9</v>
      </c>
      <c r="AK57" s="51"/>
    </row>
    <row r="58" spans="1:88" x14ac:dyDescent="0.25">
      <c r="A58" s="65" t="s">
        <v>70</v>
      </c>
      <c r="B58" s="46">
        <v>10</v>
      </c>
      <c r="C58" s="46">
        <v>10</v>
      </c>
      <c r="D58" s="46">
        <v>10</v>
      </c>
      <c r="E58" s="46">
        <v>10</v>
      </c>
      <c r="F58" s="46">
        <v>10</v>
      </c>
      <c r="G58" s="46">
        <v>10</v>
      </c>
      <c r="H58" s="46">
        <v>10</v>
      </c>
      <c r="I58" s="46">
        <v>10</v>
      </c>
      <c r="J58" s="46">
        <v>10</v>
      </c>
      <c r="K58" s="46">
        <v>10</v>
      </c>
      <c r="L58" s="46">
        <v>10</v>
      </c>
      <c r="M58" s="46">
        <v>10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66">
        <v>10</v>
      </c>
      <c r="AH58" s="48">
        <f t="shared" si="2"/>
        <v>10</v>
      </c>
      <c r="AI58" s="49">
        <f t="shared" si="3"/>
        <v>10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>
        <v>152</v>
      </c>
      <c r="C60" s="68">
        <v>171</v>
      </c>
      <c r="D60" s="68">
        <v>171</v>
      </c>
      <c r="E60" s="68">
        <v>167</v>
      </c>
      <c r="F60" s="68">
        <v>169</v>
      </c>
      <c r="G60" s="68">
        <v>169</v>
      </c>
      <c r="H60" s="68">
        <v>164</v>
      </c>
      <c r="I60" s="68">
        <v>164</v>
      </c>
      <c r="J60" s="68">
        <v>165</v>
      </c>
      <c r="K60" s="68">
        <v>168</v>
      </c>
      <c r="L60" s="68">
        <v>167</v>
      </c>
      <c r="M60" s="53">
        <f>102.7+59.9</f>
        <v>162.6</v>
      </c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68"/>
      <c r="Z60" s="68"/>
      <c r="AA60" s="68"/>
      <c r="AB60" s="68"/>
      <c r="AC60" s="68"/>
      <c r="AD60" s="68"/>
      <c r="AE60" s="68"/>
      <c r="AF60" s="68"/>
      <c r="AG60" s="66">
        <v>240</v>
      </c>
      <c r="AH60" s="48">
        <f t="shared" si="2"/>
        <v>171</v>
      </c>
      <c r="AI60" s="49">
        <f t="shared" si="3"/>
        <v>152</v>
      </c>
      <c r="AK60" s="51"/>
    </row>
    <row r="61" spans="1:88" ht="15.75" thickBot="1" x14ac:dyDescent="0.3">
      <c r="A61" s="70" t="s">
        <v>75</v>
      </c>
      <c r="B61" s="71">
        <f>SUM(B11:B59)</f>
        <v>1336.2</v>
      </c>
      <c r="C61" s="71">
        <f t="shared" ref="C61:AG61" si="20">SUM(C11:C59)</f>
        <v>1275.0999999999999</v>
      </c>
      <c r="D61" s="71">
        <f t="shared" si="20"/>
        <v>1275.7</v>
      </c>
      <c r="E61" s="71">
        <f t="shared" si="20"/>
        <v>1210.6999999999998</v>
      </c>
      <c r="F61" s="71">
        <f t="shared" si="20"/>
        <v>1235.7999999999997</v>
      </c>
      <c r="G61" s="71">
        <f t="shared" si="20"/>
        <v>1229.8</v>
      </c>
      <c r="H61" s="71">
        <f t="shared" si="20"/>
        <v>1169.8</v>
      </c>
      <c r="I61" s="71">
        <f t="shared" si="20"/>
        <v>1207.3</v>
      </c>
      <c r="J61" s="71">
        <f t="shared" si="20"/>
        <v>1209.4000000000001</v>
      </c>
      <c r="K61" s="71">
        <f t="shared" si="20"/>
        <v>1222.8</v>
      </c>
      <c r="L61" s="71">
        <f t="shared" si="20"/>
        <v>1273.5999999999999</v>
      </c>
      <c r="M61" s="71">
        <f t="shared" si="20"/>
        <v>1258.7</v>
      </c>
      <c r="N61" s="71">
        <f t="shared" si="20"/>
        <v>300</v>
      </c>
      <c r="O61" s="71">
        <f t="shared" si="20"/>
        <v>300</v>
      </c>
      <c r="P61" s="71">
        <f t="shared" si="20"/>
        <v>300</v>
      </c>
      <c r="Q61" s="71">
        <f t="shared" si="20"/>
        <v>300</v>
      </c>
      <c r="R61" s="71">
        <f t="shared" si="20"/>
        <v>300</v>
      </c>
      <c r="S61" s="71">
        <f t="shared" si="20"/>
        <v>300</v>
      </c>
      <c r="T61" s="71">
        <f t="shared" si="20"/>
        <v>300</v>
      </c>
      <c r="U61" s="71">
        <f t="shared" si="20"/>
        <v>300</v>
      </c>
      <c r="V61" s="71">
        <f t="shared" si="20"/>
        <v>300</v>
      </c>
      <c r="W61" s="71">
        <f t="shared" si="20"/>
        <v>300</v>
      </c>
      <c r="X61" s="71">
        <f t="shared" si="20"/>
        <v>300</v>
      </c>
      <c r="Y61" s="71">
        <f t="shared" si="20"/>
        <v>300</v>
      </c>
      <c r="Z61" s="71">
        <f t="shared" si="20"/>
        <v>300</v>
      </c>
      <c r="AA61" s="71">
        <f t="shared" si="20"/>
        <v>300</v>
      </c>
      <c r="AB61" s="71">
        <f t="shared" si="20"/>
        <v>300</v>
      </c>
      <c r="AC61" s="71">
        <f t="shared" si="20"/>
        <v>300</v>
      </c>
      <c r="AD61" s="71">
        <f t="shared" si="20"/>
        <v>300</v>
      </c>
      <c r="AE61" s="71">
        <f t="shared" si="20"/>
        <v>300</v>
      </c>
      <c r="AF61" s="71">
        <f t="shared" si="20"/>
        <v>300</v>
      </c>
      <c r="AG61" s="71">
        <f t="shared" si="20"/>
        <v>1466.0300000000002</v>
      </c>
      <c r="AH61" s="48">
        <f t="shared" si="2"/>
        <v>1336.2</v>
      </c>
      <c r="AI61" s="49">
        <f t="shared" si="3"/>
        <v>300</v>
      </c>
      <c r="AK61" s="51"/>
    </row>
    <row r="62" spans="1:88" x14ac:dyDescent="0.25">
      <c r="A62" s="73" t="s">
        <v>76</v>
      </c>
      <c r="B62" s="46">
        <v>455.8</v>
      </c>
      <c r="C62" s="46">
        <v>455.8</v>
      </c>
      <c r="D62" s="46">
        <v>455.8</v>
      </c>
      <c r="E62" s="46">
        <v>455.6</v>
      </c>
      <c r="F62" s="46">
        <v>455.6</v>
      </c>
      <c r="G62" s="46">
        <v>455.6</v>
      </c>
      <c r="H62" s="46">
        <v>455.6</v>
      </c>
      <c r="I62" s="46">
        <v>455.6</v>
      </c>
      <c r="J62" s="46">
        <v>455.6</v>
      </c>
      <c r="K62" s="46">
        <v>455.6</v>
      </c>
      <c r="L62" s="46">
        <v>455.6</v>
      </c>
      <c r="M62" s="46">
        <v>455.6</v>
      </c>
      <c r="N62" s="74"/>
      <c r="O62" s="74"/>
      <c r="P62" s="74"/>
      <c r="Q62" s="74"/>
      <c r="R62" s="74"/>
      <c r="S62" s="74"/>
      <c r="T62" s="74"/>
      <c r="U62" s="74"/>
      <c r="V62" s="74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61">
        <v>456</v>
      </c>
      <c r="AH62" s="48">
        <f t="shared" si="2"/>
        <v>455.8</v>
      </c>
      <c r="AI62" s="49">
        <f t="shared" si="3"/>
        <v>455.6</v>
      </c>
      <c r="AK62" s="51"/>
    </row>
    <row r="63" spans="1:88" x14ac:dyDescent="0.25">
      <c r="A63" s="75" t="s">
        <v>77</v>
      </c>
      <c r="B63" s="76">
        <v>61.2</v>
      </c>
      <c r="C63" s="76">
        <v>61.2</v>
      </c>
      <c r="D63" s="76">
        <v>61.2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66">
        <v>60</v>
      </c>
      <c r="AH63" s="48">
        <f t="shared" si="2"/>
        <v>61.2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22.4</v>
      </c>
      <c r="C64" s="78">
        <v>22.4</v>
      </c>
      <c r="D64" s="78">
        <v>22.4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9">
        <v>22.1</v>
      </c>
      <c r="AH64" s="48">
        <f t="shared" si="2"/>
        <v>22.5</v>
      </c>
      <c r="AI64" s="49">
        <f t="shared" si="3"/>
        <v>22.4</v>
      </c>
      <c r="AK64" s="51"/>
    </row>
    <row r="65" spans="1:75" ht="15.75" thickBot="1" x14ac:dyDescent="0.3">
      <c r="A65" s="80" t="s">
        <v>79</v>
      </c>
      <c r="B65" s="71">
        <f t="shared" ref="B65:AG65" si="21">SUM(B62:B64)</f>
        <v>539.4</v>
      </c>
      <c r="C65" s="71">
        <f t="shared" si="21"/>
        <v>539.4</v>
      </c>
      <c r="D65" s="71">
        <f t="shared" si="21"/>
        <v>539.4</v>
      </c>
      <c r="E65" s="71">
        <f t="shared" si="21"/>
        <v>538.1</v>
      </c>
      <c r="F65" s="71">
        <f t="shared" si="21"/>
        <v>538.1</v>
      </c>
      <c r="G65" s="71">
        <f t="shared" si="21"/>
        <v>538.1</v>
      </c>
      <c r="H65" s="71">
        <f t="shared" si="21"/>
        <v>538.1</v>
      </c>
      <c r="I65" s="71">
        <f t="shared" si="21"/>
        <v>538.1</v>
      </c>
      <c r="J65" s="71">
        <f t="shared" si="21"/>
        <v>538.1</v>
      </c>
      <c r="K65" s="71">
        <f t="shared" si="21"/>
        <v>538.1</v>
      </c>
      <c r="L65" s="71">
        <f t="shared" si="21"/>
        <v>538.1</v>
      </c>
      <c r="M65" s="71">
        <f t="shared" si="21"/>
        <v>538.1</v>
      </c>
      <c r="N65" s="71">
        <f t="shared" si="21"/>
        <v>0</v>
      </c>
      <c r="O65" s="71">
        <f t="shared" si="21"/>
        <v>0</v>
      </c>
      <c r="P65" s="71">
        <f t="shared" si="21"/>
        <v>0</v>
      </c>
      <c r="Q65" s="71">
        <f t="shared" si="21"/>
        <v>0</v>
      </c>
      <c r="R65" s="71">
        <f t="shared" si="21"/>
        <v>0</v>
      </c>
      <c r="S65" s="71">
        <f t="shared" si="21"/>
        <v>0</v>
      </c>
      <c r="T65" s="71">
        <f t="shared" si="21"/>
        <v>0</v>
      </c>
      <c r="U65" s="71">
        <f>SUM(U62:U64)</f>
        <v>0</v>
      </c>
      <c r="V65" s="71">
        <f t="shared" si="21"/>
        <v>0</v>
      </c>
      <c r="W65" s="71">
        <f t="shared" si="21"/>
        <v>0</v>
      </c>
      <c r="X65" s="71">
        <f t="shared" si="21"/>
        <v>0</v>
      </c>
      <c r="Y65" s="71">
        <f t="shared" si="21"/>
        <v>0</v>
      </c>
      <c r="Z65" s="71">
        <f t="shared" si="21"/>
        <v>0</v>
      </c>
      <c r="AA65" s="71">
        <f t="shared" si="21"/>
        <v>0</v>
      </c>
      <c r="AB65" s="71">
        <f t="shared" si="21"/>
        <v>0</v>
      </c>
      <c r="AC65" s="71">
        <f t="shared" si="21"/>
        <v>0</v>
      </c>
      <c r="AD65" s="71">
        <f t="shared" si="21"/>
        <v>0</v>
      </c>
      <c r="AE65" s="71">
        <f t="shared" si="21"/>
        <v>0</v>
      </c>
      <c r="AF65" s="71">
        <f t="shared" si="21"/>
        <v>0</v>
      </c>
      <c r="AG65" s="72">
        <f t="shared" si="21"/>
        <v>538.1</v>
      </c>
      <c r="AH65" s="48">
        <f t="shared" si="2"/>
        <v>539.4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133.9</v>
      </c>
      <c r="C66" s="46">
        <v>133.9</v>
      </c>
      <c r="D66" s="46">
        <v>133.9</v>
      </c>
      <c r="E66" s="46">
        <v>132.6</v>
      </c>
      <c r="F66" s="46">
        <v>132.6</v>
      </c>
      <c r="G66" s="46">
        <v>132.6</v>
      </c>
      <c r="H66" s="46">
        <v>132.6</v>
      </c>
      <c r="I66" s="46">
        <v>132.6</v>
      </c>
      <c r="J66" s="46">
        <v>132.6</v>
      </c>
      <c r="K66" s="46">
        <v>132.6</v>
      </c>
      <c r="L66" s="46">
        <v>132.6</v>
      </c>
      <c r="M66" s="46">
        <v>132.6</v>
      </c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61">
        <v>144</v>
      </c>
      <c r="AH66" s="48">
        <f t="shared" si="2"/>
        <v>133.9</v>
      </c>
      <c r="AI66" s="49">
        <f t="shared" si="3"/>
        <v>132.6</v>
      </c>
      <c r="AK66" s="51"/>
      <c r="AY66" s="1" t="s">
        <v>86</v>
      </c>
      <c r="AZ66" s="82">
        <f>ROUND(C84,0)</f>
        <v>-15</v>
      </c>
      <c r="BA66" s="81">
        <f t="shared" ref="BA66:BD70" si="22">D84</f>
        <v>-36.5</v>
      </c>
      <c r="BB66" s="81">
        <f t="shared" si="22"/>
        <v>-16.5</v>
      </c>
      <c r="BC66" s="81">
        <f t="shared" si="22"/>
        <v>-55</v>
      </c>
      <c r="BD66" s="81">
        <f t="shared" si="22"/>
        <v>-58</v>
      </c>
      <c r="BE66" s="82">
        <f>I84</f>
        <v>-66</v>
      </c>
      <c r="BF66" s="82">
        <f>K84</f>
        <v>-60</v>
      </c>
      <c r="BG66" s="82">
        <f t="shared" ref="BG66:BP70" si="23">M84</f>
        <v>-54</v>
      </c>
      <c r="BH66" s="82">
        <f t="shared" si="23"/>
        <v>0</v>
      </c>
      <c r="BI66" s="82">
        <f t="shared" si="23"/>
        <v>0</v>
      </c>
      <c r="BJ66" s="82">
        <f t="shared" si="23"/>
        <v>0</v>
      </c>
      <c r="BK66" s="82">
        <f t="shared" si="23"/>
        <v>0</v>
      </c>
      <c r="BL66" s="82">
        <f t="shared" si="23"/>
        <v>0</v>
      </c>
      <c r="BM66" s="82">
        <f t="shared" si="23"/>
        <v>0</v>
      </c>
      <c r="BN66" s="82">
        <f t="shared" si="23"/>
        <v>0</v>
      </c>
      <c r="BO66" s="82">
        <f t="shared" si="23"/>
        <v>0</v>
      </c>
      <c r="BP66" s="82">
        <f t="shared" si="23"/>
        <v>0</v>
      </c>
      <c r="BQ66" s="82">
        <f>X84</f>
        <v>0</v>
      </c>
      <c r="BR66" s="82">
        <f>Z84</f>
        <v>0</v>
      </c>
      <c r="BS66" s="81">
        <f>AB84</f>
        <v>0</v>
      </c>
      <c r="BT66" s="81">
        <f t="shared" ref="BT66:BV70" si="24">AD84</f>
        <v>0</v>
      </c>
      <c r="BU66" s="81">
        <f t="shared" si="24"/>
        <v>0</v>
      </c>
      <c r="BV66" s="81">
        <f t="shared" si="24"/>
        <v>0</v>
      </c>
      <c r="BW66" s="81">
        <f>B84</f>
        <v>-44.8</v>
      </c>
    </row>
    <row r="67" spans="1:75" x14ac:dyDescent="0.25">
      <c r="A67" s="65" t="s">
        <v>81</v>
      </c>
      <c r="B67" s="76">
        <v>69</v>
      </c>
      <c r="C67" s="76">
        <v>69</v>
      </c>
      <c r="D67" s="76">
        <v>69</v>
      </c>
      <c r="E67" s="76">
        <v>69</v>
      </c>
      <c r="F67" s="76">
        <v>69</v>
      </c>
      <c r="G67" s="76">
        <v>69</v>
      </c>
      <c r="H67" s="76">
        <v>69</v>
      </c>
      <c r="I67" s="76">
        <v>69</v>
      </c>
      <c r="J67" s="76">
        <v>69</v>
      </c>
      <c r="K67" s="76">
        <v>69</v>
      </c>
      <c r="L67" s="76">
        <v>69</v>
      </c>
      <c r="M67" s="76">
        <v>69</v>
      </c>
      <c r="N67" s="76"/>
      <c r="O67" s="76"/>
      <c r="P67" s="76"/>
      <c r="Q67" s="76"/>
      <c r="R67" s="76"/>
      <c r="S67" s="76"/>
      <c r="T67" s="76"/>
      <c r="U67" s="76"/>
      <c r="V67" s="7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66">
        <v>70</v>
      </c>
      <c r="AH67" s="48">
        <f t="shared" si="2"/>
        <v>69</v>
      </c>
      <c r="AI67" s="49">
        <f t="shared" si="3"/>
        <v>69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>
        <v>64.7</v>
      </c>
      <c r="C68" s="76">
        <v>64.7</v>
      </c>
      <c r="D68" s="76">
        <v>64.7</v>
      </c>
      <c r="E68" s="76">
        <v>62.8</v>
      </c>
      <c r="F68" s="76">
        <v>62.8</v>
      </c>
      <c r="G68" s="76">
        <v>62.8</v>
      </c>
      <c r="H68" s="76">
        <v>62.8</v>
      </c>
      <c r="I68" s="76">
        <v>62.8</v>
      </c>
      <c r="J68" s="76">
        <v>62.8</v>
      </c>
      <c r="K68" s="76">
        <v>62.8</v>
      </c>
      <c r="L68" s="76">
        <v>62.8</v>
      </c>
      <c r="M68" s="76">
        <v>62.8</v>
      </c>
      <c r="N68" s="76"/>
      <c r="O68" s="76"/>
      <c r="P68" s="76"/>
      <c r="Q68" s="76"/>
      <c r="R68" s="76"/>
      <c r="S68" s="76"/>
      <c r="T68" s="76"/>
      <c r="U68" s="76"/>
      <c r="V68" s="7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66">
        <v>69</v>
      </c>
      <c r="AH68" s="48">
        <f t="shared" si="2"/>
        <v>64.7</v>
      </c>
      <c r="AI68" s="49">
        <f t="shared" si="3"/>
        <v>62.8</v>
      </c>
      <c r="AK68" s="51"/>
      <c r="AL68" s="83"/>
      <c r="AO68" s="83"/>
      <c r="AY68" s="1" t="s">
        <v>90</v>
      </c>
      <c r="AZ68" s="82">
        <f>ROUND(C86,0)</f>
        <v>-667</v>
      </c>
      <c r="BA68" s="81">
        <f t="shared" si="22"/>
        <v>-658</v>
      </c>
      <c r="BB68" s="81">
        <f t="shared" si="22"/>
        <v>-655.5</v>
      </c>
      <c r="BC68" s="81">
        <f t="shared" si="22"/>
        <v>-660</v>
      </c>
      <c r="BD68" s="81">
        <f t="shared" si="22"/>
        <v>-665</v>
      </c>
      <c r="BE68" s="82">
        <f>I86</f>
        <v>-686</v>
      </c>
      <c r="BF68" s="82">
        <f>K86</f>
        <v>-636</v>
      </c>
      <c r="BG68" s="82">
        <f t="shared" si="23"/>
        <v>-611</v>
      </c>
      <c r="BH68" s="82">
        <f t="shared" si="23"/>
        <v>0</v>
      </c>
      <c r="BI68" s="82">
        <f t="shared" si="23"/>
        <v>0</v>
      </c>
      <c r="BJ68" s="82">
        <f t="shared" si="23"/>
        <v>0</v>
      </c>
      <c r="BK68" s="82">
        <f t="shared" si="23"/>
        <v>0</v>
      </c>
      <c r="BL68" s="82">
        <f t="shared" si="23"/>
        <v>0</v>
      </c>
      <c r="BM68" s="82">
        <f t="shared" si="23"/>
        <v>0</v>
      </c>
      <c r="BN68" s="82">
        <f t="shared" si="23"/>
        <v>0</v>
      </c>
      <c r="BO68" s="82">
        <f t="shared" si="23"/>
        <v>0</v>
      </c>
      <c r="BP68" s="82">
        <f t="shared" si="23"/>
        <v>0</v>
      </c>
      <c r="BQ68" s="82">
        <f>X86</f>
        <v>0</v>
      </c>
      <c r="BR68" s="82">
        <f>Z86</f>
        <v>0</v>
      </c>
      <c r="BS68" s="81">
        <f>AB86</f>
        <v>0</v>
      </c>
      <c r="BT68" s="81">
        <f t="shared" si="24"/>
        <v>0</v>
      </c>
      <c r="BU68" s="81">
        <f t="shared" si="24"/>
        <v>0</v>
      </c>
      <c r="BV68" s="81">
        <f t="shared" si="24"/>
        <v>0</v>
      </c>
      <c r="BW68" s="81">
        <f>B86</f>
        <v>-668.8</v>
      </c>
    </row>
    <row r="69" spans="1:75" s="83" customFormat="1" x14ac:dyDescent="0.25">
      <c r="A69" s="65" t="s">
        <v>83</v>
      </c>
      <c r="B69" s="76">
        <v>60.4</v>
      </c>
      <c r="C69" s="76">
        <v>60.4</v>
      </c>
      <c r="D69" s="76">
        <v>60.4</v>
      </c>
      <c r="E69" s="76">
        <v>59.5</v>
      </c>
      <c r="F69" s="76">
        <v>59.5</v>
      </c>
      <c r="G69" s="76">
        <v>61.2</v>
      </c>
      <c r="H69" s="76">
        <v>61.2</v>
      </c>
      <c r="I69" s="76">
        <v>61.2</v>
      </c>
      <c r="J69" s="76">
        <v>61.2</v>
      </c>
      <c r="K69" s="76">
        <v>61.2</v>
      </c>
      <c r="L69" s="76">
        <v>61.2</v>
      </c>
      <c r="M69" s="76">
        <v>61.2</v>
      </c>
      <c r="N69" s="76"/>
      <c r="O69" s="76"/>
      <c r="P69" s="76"/>
      <c r="Q69" s="76"/>
      <c r="R69" s="76"/>
      <c r="S69" s="76"/>
      <c r="T69" s="76"/>
      <c r="U69" s="76"/>
      <c r="V69" s="7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66">
        <v>60</v>
      </c>
      <c r="AH69" s="48">
        <f t="shared" si="2"/>
        <v>61.2</v>
      </c>
      <c r="AI69" s="49">
        <f t="shared" si="3"/>
        <v>59.5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>
        <v>27.5</v>
      </c>
      <c r="C70" s="46">
        <v>27.5</v>
      </c>
      <c r="D70" s="46">
        <v>27.5</v>
      </c>
      <c r="E70" s="76">
        <v>27.3</v>
      </c>
      <c r="F70" s="76">
        <v>27.3</v>
      </c>
      <c r="G70" s="76">
        <v>27.3</v>
      </c>
      <c r="H70" s="76">
        <v>27.3</v>
      </c>
      <c r="I70" s="76">
        <v>27.3</v>
      </c>
      <c r="J70" s="76">
        <v>27.3</v>
      </c>
      <c r="K70" s="76">
        <v>27.3</v>
      </c>
      <c r="L70" s="76">
        <v>27.3</v>
      </c>
      <c r="M70" s="76">
        <v>27.3</v>
      </c>
      <c r="N70" s="76"/>
      <c r="O70" s="76"/>
      <c r="P70" s="76"/>
      <c r="Q70" s="76"/>
      <c r="R70" s="76"/>
      <c r="S70" s="76"/>
      <c r="T70" s="76"/>
      <c r="U70" s="76"/>
      <c r="V70" s="7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66">
        <v>30</v>
      </c>
      <c r="AH70" s="48">
        <f t="shared" si="2"/>
        <v>27.5</v>
      </c>
      <c r="AI70" s="49">
        <f t="shared" si="3"/>
        <v>27.3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8.6999999999999993</v>
      </c>
      <c r="N71" s="76"/>
      <c r="O71" s="76"/>
      <c r="P71" s="76"/>
      <c r="Q71" s="76"/>
      <c r="R71" s="76"/>
      <c r="S71" s="76"/>
      <c r="T71" s="76"/>
      <c r="U71" s="76"/>
      <c r="V71" s="7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66">
        <v>25</v>
      </c>
      <c r="AH71" s="48">
        <f t="shared" si="2"/>
        <v>8.6999999999999993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</v>
      </c>
      <c r="C72" s="76">
        <v>14</v>
      </c>
      <c r="D72" s="76">
        <v>14</v>
      </c>
      <c r="E72" s="76">
        <v>11.5</v>
      </c>
      <c r="F72" s="76">
        <v>11.5</v>
      </c>
      <c r="G72" s="76">
        <v>11.5</v>
      </c>
      <c r="H72" s="76">
        <v>11.5</v>
      </c>
      <c r="I72" s="76">
        <v>5.4</v>
      </c>
      <c r="J72" s="76">
        <v>5.4</v>
      </c>
      <c r="K72" s="76">
        <v>4.5</v>
      </c>
      <c r="L72" s="76">
        <v>0</v>
      </c>
      <c r="M72" s="76">
        <v>0</v>
      </c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66">
        <v>24</v>
      </c>
      <c r="AH72" s="48">
        <f t="shared" si="2"/>
        <v>14</v>
      </c>
      <c r="AI72" s="49">
        <f t="shared" si="3"/>
        <v>0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3.3</v>
      </c>
      <c r="C73" s="76">
        <v>3.3</v>
      </c>
      <c r="D73" s="76">
        <v>3.3</v>
      </c>
      <c r="E73" s="76">
        <v>2.4</v>
      </c>
      <c r="F73" s="76">
        <v>2.4</v>
      </c>
      <c r="G73" s="76">
        <v>2.4</v>
      </c>
      <c r="H73" s="76">
        <v>2.4</v>
      </c>
      <c r="I73" s="76">
        <v>2.4</v>
      </c>
      <c r="J73" s="76">
        <v>2.4</v>
      </c>
      <c r="K73" s="76">
        <v>2.4</v>
      </c>
      <c r="L73" s="76">
        <v>2.4</v>
      </c>
      <c r="M73" s="76">
        <v>2.4</v>
      </c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66">
        <v>15</v>
      </c>
      <c r="AH73" s="48">
        <f t="shared" si="2"/>
        <v>3.3</v>
      </c>
      <c r="AI73" s="49">
        <f t="shared" si="3"/>
        <v>2.4</v>
      </c>
      <c r="AK73" s="51"/>
      <c r="AZ73" s="82">
        <f t="shared" ref="AZ73:BW78" si="26">VALUE(AZ66)</f>
        <v>-15</v>
      </c>
      <c r="BA73" s="82">
        <f t="shared" si="26"/>
        <v>-36.5</v>
      </c>
      <c r="BB73" s="82">
        <f t="shared" si="26"/>
        <v>-16.5</v>
      </c>
      <c r="BC73" s="82">
        <f t="shared" si="26"/>
        <v>-55</v>
      </c>
      <c r="BD73" s="82">
        <f t="shared" si="26"/>
        <v>-58</v>
      </c>
      <c r="BE73" s="82">
        <f t="shared" si="26"/>
        <v>-66</v>
      </c>
      <c r="BF73" s="82">
        <f t="shared" si="26"/>
        <v>-60</v>
      </c>
      <c r="BG73" s="82">
        <f t="shared" si="26"/>
        <v>-54</v>
      </c>
      <c r="BH73" s="82">
        <f t="shared" si="26"/>
        <v>0</v>
      </c>
      <c r="BI73" s="82">
        <f t="shared" si="26"/>
        <v>0</v>
      </c>
      <c r="BJ73" s="82">
        <f t="shared" si="26"/>
        <v>0</v>
      </c>
      <c r="BK73" s="82">
        <f t="shared" si="26"/>
        <v>0</v>
      </c>
      <c r="BL73" s="82">
        <f t="shared" si="26"/>
        <v>0</v>
      </c>
      <c r="BM73" s="82">
        <f t="shared" si="26"/>
        <v>0</v>
      </c>
      <c r="BN73" s="82">
        <f t="shared" si="26"/>
        <v>0</v>
      </c>
      <c r="BO73" s="82">
        <f t="shared" si="26"/>
        <v>0</v>
      </c>
      <c r="BP73" s="82">
        <f t="shared" si="26"/>
        <v>0</v>
      </c>
      <c r="BQ73" s="82">
        <f t="shared" si="26"/>
        <v>0</v>
      </c>
      <c r="BR73" s="82">
        <f t="shared" si="26"/>
        <v>0</v>
      </c>
      <c r="BS73" s="82">
        <f t="shared" si="26"/>
        <v>0</v>
      </c>
      <c r="BT73" s="82">
        <f t="shared" si="26"/>
        <v>0</v>
      </c>
      <c r="BU73" s="82">
        <f t="shared" si="26"/>
        <v>0</v>
      </c>
      <c r="BV73" s="82">
        <f t="shared" si="26"/>
        <v>0</v>
      </c>
      <c r="BW73" s="82">
        <f t="shared" si="26"/>
        <v>-44.8</v>
      </c>
    </row>
    <row r="74" spans="1:75" x14ac:dyDescent="0.25">
      <c r="A74" s="65" t="s">
        <v>91</v>
      </c>
      <c r="B74" s="76">
        <v>8.6</v>
      </c>
      <c r="C74" s="76">
        <v>8.6</v>
      </c>
      <c r="D74" s="76">
        <v>8.6</v>
      </c>
      <c r="E74" s="76">
        <v>9.4</v>
      </c>
      <c r="F74" s="76">
        <v>9.4</v>
      </c>
      <c r="G74" s="76">
        <v>9.4</v>
      </c>
      <c r="H74" s="76">
        <v>9.4</v>
      </c>
      <c r="I74" s="76">
        <v>6.9</v>
      </c>
      <c r="J74" s="76">
        <v>6.9</v>
      </c>
      <c r="K74" s="76">
        <v>4.3</v>
      </c>
      <c r="L74" s="76">
        <v>4.2</v>
      </c>
      <c r="M74" s="76">
        <v>0</v>
      </c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66">
        <v>14.1</v>
      </c>
      <c r="AH74" s="48">
        <f t="shared" si="2"/>
        <v>9.4</v>
      </c>
      <c r="AI74" s="49">
        <f t="shared" si="3"/>
        <v>0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>
        <v>11</v>
      </c>
      <c r="C75" s="76">
        <v>11</v>
      </c>
      <c r="D75" s="76">
        <v>11</v>
      </c>
      <c r="E75" s="76">
        <v>10.9</v>
      </c>
      <c r="F75" s="76">
        <v>10.9</v>
      </c>
      <c r="G75" s="76">
        <v>10.9</v>
      </c>
      <c r="H75" s="76">
        <v>10.9</v>
      </c>
      <c r="I75" s="76">
        <v>5.2</v>
      </c>
      <c r="J75" s="76">
        <v>5.2</v>
      </c>
      <c r="K75" s="76">
        <v>5.2</v>
      </c>
      <c r="L75" s="76">
        <v>5.2</v>
      </c>
      <c r="M75" s="76">
        <v>5.2</v>
      </c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66">
        <v>14</v>
      </c>
      <c r="AH75" s="48">
        <f t="shared" ref="AH75:AH128" si="27">MAX(B75:AF75)</f>
        <v>11</v>
      </c>
      <c r="AI75" s="49">
        <f t="shared" ref="AI75:AI128" si="28">MIN(B75:AF75)</f>
        <v>5.2</v>
      </c>
      <c r="AK75" s="51"/>
      <c r="AZ75" s="82">
        <f t="shared" si="26"/>
        <v>-667</v>
      </c>
      <c r="BA75" s="82">
        <f t="shared" si="26"/>
        <v>-658</v>
      </c>
      <c r="BB75" s="82">
        <f t="shared" si="26"/>
        <v>-655.5</v>
      </c>
      <c r="BC75" s="82">
        <f t="shared" si="26"/>
        <v>-660</v>
      </c>
      <c r="BD75" s="82">
        <f t="shared" si="26"/>
        <v>-665</v>
      </c>
      <c r="BE75" s="82">
        <f t="shared" si="26"/>
        <v>-686</v>
      </c>
      <c r="BF75" s="82">
        <f t="shared" si="26"/>
        <v>-636</v>
      </c>
      <c r="BG75" s="82">
        <f t="shared" si="26"/>
        <v>-611</v>
      </c>
      <c r="BH75" s="82">
        <f t="shared" si="26"/>
        <v>0</v>
      </c>
      <c r="BI75" s="82">
        <f t="shared" si="26"/>
        <v>0</v>
      </c>
      <c r="BJ75" s="82">
        <f t="shared" si="26"/>
        <v>0</v>
      </c>
      <c r="BK75" s="82">
        <f t="shared" si="26"/>
        <v>0</v>
      </c>
      <c r="BL75" s="82">
        <f t="shared" si="26"/>
        <v>0</v>
      </c>
      <c r="BM75" s="82">
        <f t="shared" si="26"/>
        <v>0</v>
      </c>
      <c r="BN75" s="82">
        <f t="shared" si="26"/>
        <v>0</v>
      </c>
      <c r="BO75" s="82">
        <f t="shared" si="26"/>
        <v>0</v>
      </c>
      <c r="BP75" s="82">
        <f t="shared" si="26"/>
        <v>0</v>
      </c>
      <c r="BQ75" s="82">
        <f t="shared" si="26"/>
        <v>0</v>
      </c>
      <c r="BR75" s="82">
        <f t="shared" si="26"/>
        <v>0</v>
      </c>
      <c r="BS75" s="82">
        <f t="shared" si="26"/>
        <v>0</v>
      </c>
      <c r="BT75" s="82">
        <f t="shared" si="26"/>
        <v>0</v>
      </c>
      <c r="BU75" s="82">
        <f t="shared" si="26"/>
        <v>0</v>
      </c>
      <c r="BV75" s="82">
        <f t="shared" si="26"/>
        <v>0</v>
      </c>
      <c r="BW75" s="82">
        <f t="shared" si="26"/>
        <v>-668.8</v>
      </c>
    </row>
    <row r="76" spans="1:75" x14ac:dyDescent="0.25">
      <c r="A76" s="65" t="s">
        <v>95</v>
      </c>
      <c r="B76" s="76">
        <v>10</v>
      </c>
      <c r="C76" s="76">
        <v>10</v>
      </c>
      <c r="D76" s="76">
        <v>10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66">
        <v>10.050000000000001</v>
      </c>
      <c r="AH76" s="48">
        <f t="shared" si="27"/>
        <v>10</v>
      </c>
      <c r="AI76" s="49">
        <f t="shared" si="28"/>
        <v>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>
        <v>6</v>
      </c>
      <c r="C77" s="76">
        <v>6</v>
      </c>
      <c r="D77" s="76">
        <v>6</v>
      </c>
      <c r="E77" s="76">
        <v>6</v>
      </c>
      <c r="F77" s="76">
        <v>6</v>
      </c>
      <c r="G77" s="76">
        <v>6</v>
      </c>
      <c r="H77" s="76">
        <v>6</v>
      </c>
      <c r="I77" s="76">
        <v>6</v>
      </c>
      <c r="J77" s="76">
        <v>6</v>
      </c>
      <c r="K77" s="76">
        <v>6</v>
      </c>
      <c r="L77" s="76">
        <v>6</v>
      </c>
      <c r="M77" s="76">
        <v>6</v>
      </c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66">
        <v>6.2</v>
      </c>
      <c r="AH77" s="48">
        <f t="shared" si="27"/>
        <v>6</v>
      </c>
      <c r="AI77" s="49">
        <f t="shared" si="28"/>
        <v>6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 t="shared" ref="B79:AG79" si="29">SUM(B66:B78)</f>
        <v>411.94000000000005</v>
      </c>
      <c r="C79" s="71">
        <f t="shared" si="29"/>
        <v>411.94000000000005</v>
      </c>
      <c r="D79" s="71">
        <f t="shared" si="29"/>
        <v>411.94000000000005</v>
      </c>
      <c r="E79" s="71">
        <f t="shared" si="29"/>
        <v>394.93999999999994</v>
      </c>
      <c r="F79" s="71">
        <f t="shared" si="29"/>
        <v>394.93999999999994</v>
      </c>
      <c r="G79" s="71">
        <f t="shared" si="29"/>
        <v>396.63999999999993</v>
      </c>
      <c r="H79" s="71">
        <f t="shared" si="29"/>
        <v>396.63999999999993</v>
      </c>
      <c r="I79" s="71">
        <f t="shared" si="29"/>
        <v>382.33999999999992</v>
      </c>
      <c r="J79" s="71">
        <f t="shared" si="29"/>
        <v>382.33999999999992</v>
      </c>
      <c r="K79" s="71">
        <f t="shared" si="29"/>
        <v>378.84</v>
      </c>
      <c r="L79" s="71">
        <f t="shared" si="29"/>
        <v>374.23999999999995</v>
      </c>
      <c r="M79" s="71">
        <f t="shared" si="29"/>
        <v>378.73999999999995</v>
      </c>
      <c r="N79" s="71">
        <f t="shared" si="29"/>
        <v>3.54</v>
      </c>
      <c r="O79" s="71">
        <f t="shared" si="29"/>
        <v>3.54</v>
      </c>
      <c r="P79" s="71">
        <f t="shared" si="29"/>
        <v>3.54</v>
      </c>
      <c r="Q79" s="71">
        <f t="shared" si="29"/>
        <v>3.54</v>
      </c>
      <c r="R79" s="71">
        <f t="shared" si="29"/>
        <v>3.54</v>
      </c>
      <c r="S79" s="71">
        <f t="shared" si="29"/>
        <v>3.54</v>
      </c>
      <c r="T79" s="71">
        <f t="shared" si="29"/>
        <v>3.54</v>
      </c>
      <c r="U79" s="71">
        <f t="shared" si="29"/>
        <v>3.54</v>
      </c>
      <c r="V79" s="71">
        <f t="shared" si="29"/>
        <v>3.54</v>
      </c>
      <c r="W79" s="71">
        <f t="shared" si="29"/>
        <v>3.54</v>
      </c>
      <c r="X79" s="71">
        <f t="shared" si="29"/>
        <v>3.54</v>
      </c>
      <c r="Y79" s="71">
        <f t="shared" si="29"/>
        <v>3.5</v>
      </c>
      <c r="Z79" s="71">
        <f t="shared" si="29"/>
        <v>5.5</v>
      </c>
      <c r="AA79" s="71">
        <f t="shared" si="29"/>
        <v>3.54</v>
      </c>
      <c r="AB79" s="71">
        <f t="shared" si="29"/>
        <v>3.54</v>
      </c>
      <c r="AC79" s="71">
        <f t="shared" si="29"/>
        <v>3.54</v>
      </c>
      <c r="AD79" s="71">
        <f t="shared" si="29"/>
        <v>3.54</v>
      </c>
      <c r="AE79" s="71">
        <f t="shared" si="29"/>
        <v>3.54</v>
      </c>
      <c r="AF79" s="71">
        <f t="shared" si="29"/>
        <v>3.54</v>
      </c>
      <c r="AG79" s="72">
        <f t="shared" si="29"/>
        <v>489.91</v>
      </c>
      <c r="AH79" s="48">
        <f t="shared" si="27"/>
        <v>411.94000000000005</v>
      </c>
      <c r="AI79" s="49">
        <f t="shared" si="28"/>
        <v>3.5</v>
      </c>
      <c r="AK79" s="51"/>
      <c r="AY79" s="82"/>
    </row>
    <row r="80" spans="1:75" x14ac:dyDescent="0.25">
      <c r="A80" s="45" t="s">
        <v>100</v>
      </c>
      <c r="B80" s="46">
        <v>0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27"/>
        <v>0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27"/>
        <v>0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27"/>
        <v>0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-15</v>
      </c>
      <c r="BH82" s="82">
        <v>0</v>
      </c>
      <c r="BI82" s="82">
        <v>-667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0">B80+B81+B82</f>
        <v>0</v>
      </c>
      <c r="C83" s="71">
        <f t="shared" si="30"/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0</v>
      </c>
      <c r="N83" s="71">
        <f t="shared" si="30"/>
        <v>0</v>
      </c>
      <c r="O83" s="71">
        <f t="shared" si="30"/>
        <v>0</v>
      </c>
      <c r="P83" s="71">
        <f t="shared" si="30"/>
        <v>0</v>
      </c>
      <c r="Q83" s="71">
        <f t="shared" si="30"/>
        <v>0</v>
      </c>
      <c r="R83" s="71">
        <f t="shared" si="30"/>
        <v>0</v>
      </c>
      <c r="S83" s="71">
        <f t="shared" si="30"/>
        <v>0</v>
      </c>
      <c r="T83" s="71">
        <f t="shared" si="30"/>
        <v>0</v>
      </c>
      <c r="U83" s="71">
        <f t="shared" si="30"/>
        <v>0</v>
      </c>
      <c r="V83" s="71">
        <f t="shared" si="30"/>
        <v>0</v>
      </c>
      <c r="W83" s="71">
        <f t="shared" si="30"/>
        <v>0</v>
      </c>
      <c r="X83" s="71">
        <f t="shared" si="30"/>
        <v>0</v>
      </c>
      <c r="Y83" s="71">
        <f t="shared" si="30"/>
        <v>0</v>
      </c>
      <c r="Z83" s="71">
        <f t="shared" si="30"/>
        <v>0</v>
      </c>
      <c r="AA83" s="71">
        <f t="shared" si="30"/>
        <v>0</v>
      </c>
      <c r="AB83" s="71">
        <f t="shared" si="30"/>
        <v>0</v>
      </c>
      <c r="AC83" s="71">
        <f t="shared" si="30"/>
        <v>0</v>
      </c>
      <c r="AD83" s="71">
        <f t="shared" si="30"/>
        <v>0</v>
      </c>
      <c r="AE83" s="71">
        <f t="shared" si="30"/>
        <v>0</v>
      </c>
      <c r="AF83" s="71">
        <f t="shared" si="30"/>
        <v>0</v>
      </c>
      <c r="AG83" s="72">
        <f>SUM(AG80:AG82)</f>
        <v>106</v>
      </c>
      <c r="AH83" s="48">
        <f t="shared" si="27"/>
        <v>0</v>
      </c>
      <c r="AI83" s="49">
        <f t="shared" si="28"/>
        <v>0</v>
      </c>
      <c r="AK83" s="51"/>
      <c r="AY83" s="82"/>
      <c r="BF83" s="81"/>
      <c r="BG83" s="82">
        <v>-36.5</v>
      </c>
      <c r="BH83" s="82">
        <v>0</v>
      </c>
      <c r="BI83" s="82">
        <v>-658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-44.8</v>
      </c>
      <c r="C84" s="46">
        <v>-15</v>
      </c>
      <c r="D84" s="46">
        <v>-36.5</v>
      </c>
      <c r="E84" s="46">
        <v>-16.5</v>
      </c>
      <c r="F84" s="46">
        <v>-55</v>
      </c>
      <c r="G84" s="46">
        <v>-58</v>
      </c>
      <c r="H84" s="46">
        <v>-64</v>
      </c>
      <c r="I84" s="46">
        <v>-66</v>
      </c>
      <c r="J84" s="46">
        <v>-60</v>
      </c>
      <c r="K84" s="46">
        <v>-60</v>
      </c>
      <c r="L84" s="46">
        <v>-61.7</v>
      </c>
      <c r="M84" s="46">
        <v>-54</v>
      </c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61"/>
      <c r="AH84" s="48">
        <f t="shared" si="27"/>
        <v>-15</v>
      </c>
      <c r="AI84" s="49">
        <f t="shared" si="28"/>
        <v>-66</v>
      </c>
      <c r="AK84" s="51"/>
      <c r="AY84" s="82"/>
      <c r="BF84" s="81"/>
      <c r="BG84" s="82">
        <v>-16.5</v>
      </c>
      <c r="BH84" s="82">
        <v>0</v>
      </c>
      <c r="BI84" s="82">
        <v>-655.5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-55</v>
      </c>
      <c r="BH85" s="82">
        <v>0</v>
      </c>
      <c r="BI85" s="82">
        <v>-660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-668.8</v>
      </c>
      <c r="C86" s="76">
        <v>-667.2</v>
      </c>
      <c r="D86" s="76">
        <v>-658</v>
      </c>
      <c r="E86" s="76">
        <v>-655.5</v>
      </c>
      <c r="F86" s="76">
        <v>-660</v>
      </c>
      <c r="G86" s="76">
        <v>-665</v>
      </c>
      <c r="H86" s="76">
        <v>-697</v>
      </c>
      <c r="I86" s="76">
        <v>-686</v>
      </c>
      <c r="J86" s="76">
        <v>-640</v>
      </c>
      <c r="K86" s="76">
        <v>-636</v>
      </c>
      <c r="L86" s="76">
        <v>-652</v>
      </c>
      <c r="M86" s="76">
        <v>-611</v>
      </c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88"/>
      <c r="AH86" s="48">
        <f t="shared" si="27"/>
        <v>-611</v>
      </c>
      <c r="AI86" s="49">
        <f t="shared" si="28"/>
        <v>-697</v>
      </c>
      <c r="AK86" s="92"/>
      <c r="AL86" s="93"/>
      <c r="AM86" s="93"/>
      <c r="AN86" s="94"/>
      <c r="AY86" s="82"/>
      <c r="BF86" s="82"/>
      <c r="BG86" s="82">
        <v>-58</v>
      </c>
      <c r="BH86" s="82">
        <v>0</v>
      </c>
      <c r="BI86" s="82">
        <v>-665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-66</v>
      </c>
      <c r="BH87" s="82">
        <v>0</v>
      </c>
      <c r="BI87" s="82">
        <v>-686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-60</v>
      </c>
      <c r="BH88" s="82">
        <v>0</v>
      </c>
      <c r="BI88" s="82">
        <v>-636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28"/>
        <v>0</v>
      </c>
      <c r="AK89" s="99"/>
      <c r="AL89" s="46"/>
      <c r="AM89" s="46"/>
      <c r="AN89" s="100"/>
      <c r="AY89" s="82"/>
      <c r="BF89" s="82"/>
      <c r="BG89" s="82">
        <v>-54</v>
      </c>
      <c r="BH89" s="82">
        <v>0</v>
      </c>
      <c r="BI89" s="82">
        <v>-611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4"/>
      <c r="AY90" s="82"/>
      <c r="BF90" s="82"/>
      <c r="BG90" s="82">
        <v>0</v>
      </c>
      <c r="BH90" s="82">
        <v>0</v>
      </c>
      <c r="BI90" s="82">
        <v>0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5"/>
      <c r="BF91" s="82"/>
      <c r="BG91" s="82">
        <v>0</v>
      </c>
      <c r="BH91" s="82">
        <v>0</v>
      </c>
      <c r="BI91" s="82">
        <v>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31">SUMIF(D84:D94,"&gt;0")</f>
        <v>0</v>
      </c>
      <c r="E95" s="71">
        <f t="shared" si="31"/>
        <v>0</v>
      </c>
      <c r="F95" s="71">
        <f t="shared" si="31"/>
        <v>0</v>
      </c>
      <c r="G95" s="71">
        <f t="shared" si="31"/>
        <v>0</v>
      </c>
      <c r="H95" s="71">
        <f t="shared" si="31"/>
        <v>0</v>
      </c>
      <c r="I95" s="71">
        <f t="shared" si="31"/>
        <v>0</v>
      </c>
      <c r="J95" s="71">
        <f t="shared" si="31"/>
        <v>0</v>
      </c>
      <c r="K95" s="71">
        <f t="shared" si="31"/>
        <v>0</v>
      </c>
      <c r="L95" s="71">
        <f t="shared" si="31"/>
        <v>0</v>
      </c>
      <c r="M95" s="71">
        <f t="shared" si="31"/>
        <v>0</v>
      </c>
      <c r="N95" s="71">
        <f t="shared" si="31"/>
        <v>0</v>
      </c>
      <c r="O95" s="71">
        <f t="shared" si="31"/>
        <v>0</v>
      </c>
      <c r="P95" s="71">
        <f t="shared" si="31"/>
        <v>0</v>
      </c>
      <c r="Q95" s="71">
        <f t="shared" si="31"/>
        <v>0</v>
      </c>
      <c r="R95" s="71">
        <f t="shared" si="31"/>
        <v>0</v>
      </c>
      <c r="S95" s="71">
        <f t="shared" si="31"/>
        <v>0</v>
      </c>
      <c r="T95" s="71">
        <f t="shared" si="31"/>
        <v>0</v>
      </c>
      <c r="U95" s="71">
        <f>SUMIF(U84:U94,"&gt;0")</f>
        <v>0</v>
      </c>
      <c r="V95" s="71">
        <f t="shared" si="31"/>
        <v>0</v>
      </c>
      <c r="W95" s="71">
        <f t="shared" si="31"/>
        <v>0</v>
      </c>
      <c r="X95" s="71">
        <f t="shared" si="31"/>
        <v>0</v>
      </c>
      <c r="Y95" s="71">
        <f t="shared" si="31"/>
        <v>0</v>
      </c>
      <c r="Z95" s="71">
        <f t="shared" si="31"/>
        <v>0</v>
      </c>
      <c r="AA95" s="71">
        <f t="shared" si="31"/>
        <v>0</v>
      </c>
      <c r="AB95" s="71">
        <f t="shared" si="31"/>
        <v>0</v>
      </c>
      <c r="AC95" s="71">
        <f t="shared" si="31"/>
        <v>0</v>
      </c>
      <c r="AD95" s="71">
        <f t="shared" si="31"/>
        <v>0</v>
      </c>
      <c r="AE95" s="71">
        <f t="shared" si="31"/>
        <v>0</v>
      </c>
      <c r="AF95" s="71">
        <f t="shared" si="31"/>
        <v>0</v>
      </c>
      <c r="AG95" s="101">
        <f>SUM(AG84:AG94)</f>
        <v>0</v>
      </c>
      <c r="AH95" s="48">
        <f t="shared" si="27"/>
        <v>0</v>
      </c>
      <c r="AI95" s="49">
        <f t="shared" si="28"/>
        <v>0</v>
      </c>
      <c r="BF95" s="82"/>
      <c r="BG95" s="82"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2">B61+B65+B83+B79+B95+B99</f>
        <v>2287.54</v>
      </c>
      <c r="C100" s="108">
        <f t="shared" si="32"/>
        <v>2226.44</v>
      </c>
      <c r="D100" s="108">
        <f t="shared" si="32"/>
        <v>2227.04</v>
      </c>
      <c r="E100" s="108">
        <f t="shared" si="32"/>
        <v>2143.7399999999998</v>
      </c>
      <c r="F100" s="108">
        <f t="shared" si="32"/>
        <v>2168.8399999999997</v>
      </c>
      <c r="G100" s="108">
        <f t="shared" si="32"/>
        <v>2164.54</v>
      </c>
      <c r="H100" s="108">
        <f t="shared" si="32"/>
        <v>2104.54</v>
      </c>
      <c r="I100" s="108">
        <f t="shared" si="32"/>
        <v>2127.7399999999998</v>
      </c>
      <c r="J100" s="108">
        <f t="shared" si="32"/>
        <v>2129.84</v>
      </c>
      <c r="K100" s="108">
        <f t="shared" si="32"/>
        <v>2139.7400000000002</v>
      </c>
      <c r="L100" s="108">
        <f t="shared" si="32"/>
        <v>2185.9399999999996</v>
      </c>
      <c r="M100" s="108">
        <f t="shared" si="32"/>
        <v>2175.54</v>
      </c>
      <c r="N100" s="108">
        <f t="shared" si="32"/>
        <v>303.54000000000002</v>
      </c>
      <c r="O100" s="108">
        <f t="shared" si="32"/>
        <v>303.54000000000002</v>
      </c>
      <c r="P100" s="108">
        <f t="shared" si="32"/>
        <v>303.54000000000002</v>
      </c>
      <c r="Q100" s="108">
        <f t="shared" si="32"/>
        <v>303.54000000000002</v>
      </c>
      <c r="R100" s="108">
        <f t="shared" si="32"/>
        <v>303.54000000000002</v>
      </c>
      <c r="S100" s="108">
        <f t="shared" si="32"/>
        <v>303.54000000000002</v>
      </c>
      <c r="T100" s="108">
        <f t="shared" si="32"/>
        <v>303.54000000000002</v>
      </c>
      <c r="U100" s="108">
        <f t="shared" si="32"/>
        <v>303.54000000000002</v>
      </c>
      <c r="V100" s="108">
        <f t="shared" si="32"/>
        <v>303.54000000000002</v>
      </c>
      <c r="W100" s="108">
        <f t="shared" si="32"/>
        <v>303.54000000000002</v>
      </c>
      <c r="X100" s="108">
        <f t="shared" si="32"/>
        <v>303.54000000000002</v>
      </c>
      <c r="Y100" s="108">
        <f t="shared" si="32"/>
        <v>303.5</v>
      </c>
      <c r="Z100" s="108">
        <f t="shared" si="32"/>
        <v>305.5</v>
      </c>
      <c r="AA100" s="108">
        <f t="shared" si="32"/>
        <v>303.54000000000002</v>
      </c>
      <c r="AB100" s="108">
        <f t="shared" si="32"/>
        <v>303.54000000000002</v>
      </c>
      <c r="AC100" s="108">
        <f t="shared" si="32"/>
        <v>303.54000000000002</v>
      </c>
      <c r="AD100" s="108">
        <f t="shared" si="32"/>
        <v>303.54000000000002</v>
      </c>
      <c r="AE100" s="108">
        <f t="shared" si="32"/>
        <v>303.54000000000002</v>
      </c>
      <c r="AF100" s="108">
        <f t="shared" si="32"/>
        <v>303.54000000000002</v>
      </c>
      <c r="AG100" s="72">
        <f t="shared" si="32"/>
        <v>2655.44</v>
      </c>
      <c r="AH100" s="48">
        <f t="shared" si="27"/>
        <v>2287.54</v>
      </c>
      <c r="AI100" s="49">
        <f t="shared" si="28"/>
        <v>303.5</v>
      </c>
      <c r="BF100" s="81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7"/>
        <v>0</v>
      </c>
      <c r="AI101" s="49">
        <f t="shared" si="28"/>
        <v>0</v>
      </c>
      <c r="BF101" s="81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2287.54</v>
      </c>
      <c r="C102" s="108">
        <f t="shared" ref="C102:AF102" si="33">C100+C101</f>
        <v>2226.44</v>
      </c>
      <c r="D102" s="108">
        <f t="shared" si="33"/>
        <v>2227.04</v>
      </c>
      <c r="E102" s="108">
        <f t="shared" si="33"/>
        <v>2143.7399999999998</v>
      </c>
      <c r="F102" s="108">
        <f t="shared" si="33"/>
        <v>2168.8399999999997</v>
      </c>
      <c r="G102" s="108">
        <f t="shared" si="33"/>
        <v>2164.54</v>
      </c>
      <c r="H102" s="108">
        <f t="shared" si="33"/>
        <v>2104.54</v>
      </c>
      <c r="I102" s="108">
        <f t="shared" si="33"/>
        <v>2127.7399999999998</v>
      </c>
      <c r="J102" s="108">
        <f t="shared" si="33"/>
        <v>2129.84</v>
      </c>
      <c r="K102" s="108">
        <f t="shared" si="33"/>
        <v>2139.7400000000002</v>
      </c>
      <c r="L102" s="108">
        <f t="shared" si="33"/>
        <v>2185.9399999999996</v>
      </c>
      <c r="M102" s="108">
        <f t="shared" si="33"/>
        <v>2175.54</v>
      </c>
      <c r="N102" s="108">
        <f t="shared" si="33"/>
        <v>303.54000000000002</v>
      </c>
      <c r="O102" s="108">
        <f t="shared" si="33"/>
        <v>303.54000000000002</v>
      </c>
      <c r="P102" s="108">
        <f t="shared" si="33"/>
        <v>303.54000000000002</v>
      </c>
      <c r="Q102" s="108">
        <f t="shared" si="33"/>
        <v>303.54000000000002</v>
      </c>
      <c r="R102" s="108">
        <f t="shared" si="33"/>
        <v>303.54000000000002</v>
      </c>
      <c r="S102" s="108">
        <f t="shared" si="33"/>
        <v>303.54000000000002</v>
      </c>
      <c r="T102" s="108">
        <f t="shared" si="33"/>
        <v>303.54000000000002</v>
      </c>
      <c r="U102" s="108">
        <f t="shared" si="33"/>
        <v>303.54000000000002</v>
      </c>
      <c r="V102" s="108">
        <f t="shared" si="33"/>
        <v>303.54000000000002</v>
      </c>
      <c r="W102" s="108">
        <f t="shared" si="33"/>
        <v>303.54000000000002</v>
      </c>
      <c r="X102" s="108">
        <f t="shared" si="33"/>
        <v>303.54000000000002</v>
      </c>
      <c r="Y102" s="108">
        <f t="shared" si="33"/>
        <v>303.5</v>
      </c>
      <c r="Z102" s="108">
        <f t="shared" si="33"/>
        <v>305.5</v>
      </c>
      <c r="AA102" s="108">
        <f t="shared" si="33"/>
        <v>303.54000000000002</v>
      </c>
      <c r="AB102" s="108">
        <f t="shared" si="33"/>
        <v>303.54000000000002</v>
      </c>
      <c r="AC102" s="108">
        <f t="shared" si="33"/>
        <v>303.54000000000002</v>
      </c>
      <c r="AD102" s="108">
        <f t="shared" si="33"/>
        <v>303.54000000000002</v>
      </c>
      <c r="AE102" s="108">
        <f t="shared" si="33"/>
        <v>303.54000000000002</v>
      </c>
      <c r="AF102" s="108">
        <f t="shared" si="33"/>
        <v>303.54000000000002</v>
      </c>
      <c r="AG102" s="101">
        <f>AG99+AG95+AG83+AG79+AG61+AG101</f>
        <v>2117.34</v>
      </c>
      <c r="AH102" s="48">
        <f t="shared" si="27"/>
        <v>2287.54</v>
      </c>
      <c r="AI102" s="49">
        <f t="shared" si="28"/>
        <v>303.5</v>
      </c>
      <c r="BF102" s="81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1573.94</v>
      </c>
      <c r="C103" s="108">
        <f t="shared" ref="C103:AF103" si="34">C102-(C110)</f>
        <v>1544.24</v>
      </c>
      <c r="D103" s="108">
        <f t="shared" si="34"/>
        <v>1532.54</v>
      </c>
      <c r="E103" s="108">
        <f t="shared" si="34"/>
        <v>1471.7399999999998</v>
      </c>
      <c r="F103" s="108">
        <f t="shared" si="34"/>
        <v>1453.8399999999997</v>
      </c>
      <c r="G103" s="108">
        <f t="shared" si="34"/>
        <v>1441.54</v>
      </c>
      <c r="H103" s="108">
        <f t="shared" si="34"/>
        <v>1343.54</v>
      </c>
      <c r="I103" s="108">
        <f t="shared" si="34"/>
        <v>1375.7399999999998</v>
      </c>
      <c r="J103" s="108">
        <f t="shared" si="34"/>
        <v>1429.8400000000001</v>
      </c>
      <c r="K103" s="108">
        <f t="shared" si="34"/>
        <v>1443.7400000000002</v>
      </c>
      <c r="L103" s="108">
        <f t="shared" si="34"/>
        <v>1472.2399999999996</v>
      </c>
      <c r="M103" s="108">
        <f t="shared" si="34"/>
        <v>1510.54</v>
      </c>
      <c r="N103" s="108">
        <f t="shared" si="34"/>
        <v>303.54000000000002</v>
      </c>
      <c r="O103" s="108">
        <f t="shared" si="34"/>
        <v>303.54000000000002</v>
      </c>
      <c r="P103" s="108">
        <f t="shared" si="34"/>
        <v>303.54000000000002</v>
      </c>
      <c r="Q103" s="108">
        <f t="shared" si="34"/>
        <v>303.54000000000002</v>
      </c>
      <c r="R103" s="108">
        <f t="shared" si="34"/>
        <v>303.54000000000002</v>
      </c>
      <c r="S103" s="108">
        <f t="shared" si="34"/>
        <v>303.54000000000002</v>
      </c>
      <c r="T103" s="108">
        <f t="shared" si="34"/>
        <v>303.54000000000002</v>
      </c>
      <c r="U103" s="108">
        <f t="shared" si="34"/>
        <v>303.54000000000002</v>
      </c>
      <c r="V103" s="108">
        <f t="shared" si="34"/>
        <v>303.54000000000002</v>
      </c>
      <c r="W103" s="108">
        <f t="shared" si="34"/>
        <v>303.54000000000002</v>
      </c>
      <c r="X103" s="108">
        <f t="shared" si="34"/>
        <v>303.54000000000002</v>
      </c>
      <c r="Y103" s="108">
        <f t="shared" si="34"/>
        <v>303.5</v>
      </c>
      <c r="Z103" s="108">
        <f t="shared" si="34"/>
        <v>305.5</v>
      </c>
      <c r="AA103" s="108">
        <f t="shared" si="34"/>
        <v>303.54000000000002</v>
      </c>
      <c r="AB103" s="108">
        <f t="shared" si="34"/>
        <v>303.54000000000002</v>
      </c>
      <c r="AC103" s="108">
        <f t="shared" si="34"/>
        <v>303.54000000000002</v>
      </c>
      <c r="AD103" s="108">
        <f t="shared" si="34"/>
        <v>303.54000000000002</v>
      </c>
      <c r="AE103" s="108">
        <f t="shared" si="34"/>
        <v>303.54000000000002</v>
      </c>
      <c r="AF103" s="108">
        <f t="shared" si="34"/>
        <v>303.54000000000002</v>
      </c>
      <c r="AG103" s="101"/>
      <c r="AH103" s="48">
        <f t="shared" si="27"/>
        <v>1573.94</v>
      </c>
      <c r="AI103" s="49">
        <f t="shared" si="28"/>
        <v>303.5</v>
      </c>
      <c r="BF103" s="81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AF109" si="35">IF(B84&lt;0,B84*-1,0)</f>
        <v>44.8</v>
      </c>
      <c r="C104" s="89">
        <f t="shared" si="35"/>
        <v>15</v>
      </c>
      <c r="D104" s="89">
        <f t="shared" si="35"/>
        <v>36.5</v>
      </c>
      <c r="E104" s="89">
        <f t="shared" si="35"/>
        <v>16.5</v>
      </c>
      <c r="F104" s="89">
        <f t="shared" si="35"/>
        <v>55</v>
      </c>
      <c r="G104" s="89">
        <f t="shared" si="35"/>
        <v>58</v>
      </c>
      <c r="H104" s="89">
        <f t="shared" si="35"/>
        <v>64</v>
      </c>
      <c r="I104" s="89">
        <f t="shared" si="35"/>
        <v>66</v>
      </c>
      <c r="J104" s="89">
        <f t="shared" si="35"/>
        <v>60</v>
      </c>
      <c r="K104" s="89">
        <f t="shared" si="35"/>
        <v>60</v>
      </c>
      <c r="L104" s="89">
        <f t="shared" si="35"/>
        <v>61.7</v>
      </c>
      <c r="M104" s="89">
        <f t="shared" si="35"/>
        <v>54</v>
      </c>
      <c r="N104" s="89">
        <f t="shared" si="35"/>
        <v>0</v>
      </c>
      <c r="O104" s="89">
        <f t="shared" si="35"/>
        <v>0</v>
      </c>
      <c r="P104" s="89">
        <f t="shared" si="35"/>
        <v>0</v>
      </c>
      <c r="Q104" s="89">
        <f t="shared" si="35"/>
        <v>0</v>
      </c>
      <c r="R104" s="89">
        <f t="shared" si="35"/>
        <v>0</v>
      </c>
      <c r="S104" s="89">
        <f t="shared" si="35"/>
        <v>0</v>
      </c>
      <c r="T104" s="89">
        <f t="shared" si="35"/>
        <v>0</v>
      </c>
      <c r="U104" s="89">
        <f t="shared" si="35"/>
        <v>0</v>
      </c>
      <c r="V104" s="89">
        <f t="shared" si="35"/>
        <v>0</v>
      </c>
      <c r="W104" s="89">
        <f t="shared" si="35"/>
        <v>0</v>
      </c>
      <c r="X104" s="89">
        <f t="shared" si="35"/>
        <v>0</v>
      </c>
      <c r="Y104" s="89">
        <f t="shared" si="35"/>
        <v>0</v>
      </c>
      <c r="Z104" s="89">
        <f t="shared" si="35"/>
        <v>0</v>
      </c>
      <c r="AA104" s="89">
        <f t="shared" si="35"/>
        <v>0</v>
      </c>
      <c r="AB104" s="89">
        <f t="shared" si="35"/>
        <v>0</v>
      </c>
      <c r="AC104" s="89">
        <f t="shared" si="35"/>
        <v>0</v>
      </c>
      <c r="AD104" s="89">
        <f t="shared" si="35"/>
        <v>0</v>
      </c>
      <c r="AE104" s="89">
        <f t="shared" si="35"/>
        <v>0</v>
      </c>
      <c r="AF104" s="89">
        <f t="shared" si="35"/>
        <v>0</v>
      </c>
      <c r="AG104" s="61"/>
      <c r="AH104" s="48">
        <f t="shared" si="27"/>
        <v>66</v>
      </c>
      <c r="AI104" s="49">
        <f t="shared" si="28"/>
        <v>0</v>
      </c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5"/>
        <v>0</v>
      </c>
      <c r="C105" s="89">
        <f t="shared" si="35"/>
        <v>0</v>
      </c>
      <c r="D105" s="89">
        <f t="shared" si="35"/>
        <v>0</v>
      </c>
      <c r="E105" s="89">
        <f t="shared" si="35"/>
        <v>0</v>
      </c>
      <c r="F105" s="89">
        <f t="shared" si="35"/>
        <v>0</v>
      </c>
      <c r="G105" s="89">
        <f t="shared" si="35"/>
        <v>0</v>
      </c>
      <c r="H105" s="89">
        <f t="shared" si="35"/>
        <v>0</v>
      </c>
      <c r="I105" s="89">
        <f t="shared" si="35"/>
        <v>0</v>
      </c>
      <c r="J105" s="89">
        <f t="shared" si="35"/>
        <v>0</v>
      </c>
      <c r="K105" s="89">
        <f t="shared" si="35"/>
        <v>0</v>
      </c>
      <c r="L105" s="89">
        <f t="shared" si="35"/>
        <v>0</v>
      </c>
      <c r="M105" s="89">
        <f t="shared" si="35"/>
        <v>0</v>
      </c>
      <c r="N105" s="89">
        <f t="shared" si="35"/>
        <v>0</v>
      </c>
      <c r="O105" s="89">
        <f t="shared" si="35"/>
        <v>0</v>
      </c>
      <c r="P105" s="89">
        <f t="shared" si="35"/>
        <v>0</v>
      </c>
      <c r="Q105" s="89">
        <f t="shared" si="35"/>
        <v>0</v>
      </c>
      <c r="R105" s="89">
        <f t="shared" si="35"/>
        <v>0</v>
      </c>
      <c r="S105" s="89">
        <f t="shared" si="35"/>
        <v>0</v>
      </c>
      <c r="T105" s="89">
        <f t="shared" si="35"/>
        <v>0</v>
      </c>
      <c r="U105" s="89">
        <f t="shared" si="35"/>
        <v>0</v>
      </c>
      <c r="V105" s="89">
        <f t="shared" si="35"/>
        <v>0</v>
      </c>
      <c r="W105" s="89">
        <f t="shared" si="35"/>
        <v>0</v>
      </c>
      <c r="X105" s="89">
        <f t="shared" si="35"/>
        <v>0</v>
      </c>
      <c r="Y105" s="89">
        <f t="shared" si="35"/>
        <v>0</v>
      </c>
      <c r="Z105" s="89">
        <f t="shared" si="35"/>
        <v>0</v>
      </c>
      <c r="AA105" s="89">
        <f t="shared" si="35"/>
        <v>0</v>
      </c>
      <c r="AB105" s="89">
        <f t="shared" si="35"/>
        <v>0</v>
      </c>
      <c r="AC105" s="89">
        <f t="shared" si="35"/>
        <v>0</v>
      </c>
      <c r="AD105" s="89">
        <f t="shared" si="35"/>
        <v>0</v>
      </c>
      <c r="AE105" s="89">
        <f t="shared" si="35"/>
        <v>0</v>
      </c>
      <c r="AF105" s="89">
        <f t="shared" si="35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-44.8</v>
      </c>
      <c r="BH105" s="82">
        <v>0</v>
      </c>
      <c r="BI105" s="82">
        <v>-668.8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5"/>
        <v>668.8</v>
      </c>
      <c r="C106" s="89">
        <f t="shared" si="35"/>
        <v>667.2</v>
      </c>
      <c r="D106" s="89">
        <f t="shared" si="35"/>
        <v>658</v>
      </c>
      <c r="E106" s="89">
        <f t="shared" si="35"/>
        <v>655.5</v>
      </c>
      <c r="F106" s="89">
        <f t="shared" si="35"/>
        <v>660</v>
      </c>
      <c r="G106" s="89">
        <f t="shared" si="35"/>
        <v>665</v>
      </c>
      <c r="H106" s="89">
        <f t="shared" si="35"/>
        <v>697</v>
      </c>
      <c r="I106" s="89">
        <f t="shared" si="35"/>
        <v>686</v>
      </c>
      <c r="J106" s="89">
        <f t="shared" si="35"/>
        <v>640</v>
      </c>
      <c r="K106" s="89">
        <f t="shared" si="35"/>
        <v>636</v>
      </c>
      <c r="L106" s="89">
        <f t="shared" si="35"/>
        <v>652</v>
      </c>
      <c r="M106" s="89">
        <f t="shared" si="35"/>
        <v>611</v>
      </c>
      <c r="N106" s="89">
        <f t="shared" si="35"/>
        <v>0</v>
      </c>
      <c r="O106" s="89">
        <f t="shared" si="35"/>
        <v>0</v>
      </c>
      <c r="P106" s="89">
        <f t="shared" si="35"/>
        <v>0</v>
      </c>
      <c r="Q106" s="89">
        <f t="shared" si="35"/>
        <v>0</v>
      </c>
      <c r="R106" s="89">
        <f t="shared" si="35"/>
        <v>0</v>
      </c>
      <c r="S106" s="89">
        <f t="shared" si="35"/>
        <v>0</v>
      </c>
      <c r="T106" s="89">
        <f t="shared" si="35"/>
        <v>0</v>
      </c>
      <c r="U106" s="89">
        <f t="shared" si="35"/>
        <v>0</v>
      </c>
      <c r="V106" s="89">
        <f t="shared" si="35"/>
        <v>0</v>
      </c>
      <c r="W106" s="89">
        <f t="shared" si="35"/>
        <v>0</v>
      </c>
      <c r="X106" s="89">
        <f t="shared" si="35"/>
        <v>0</v>
      </c>
      <c r="Y106" s="89">
        <f t="shared" si="35"/>
        <v>0</v>
      </c>
      <c r="Z106" s="89">
        <f t="shared" si="35"/>
        <v>0</v>
      </c>
      <c r="AA106" s="89">
        <f t="shared" si="35"/>
        <v>0</v>
      </c>
      <c r="AB106" s="89">
        <f t="shared" si="35"/>
        <v>0</v>
      </c>
      <c r="AC106" s="89">
        <f t="shared" si="35"/>
        <v>0</v>
      </c>
      <c r="AD106" s="89">
        <f t="shared" si="35"/>
        <v>0</v>
      </c>
      <c r="AE106" s="89">
        <f t="shared" si="35"/>
        <v>0</v>
      </c>
      <c r="AF106" s="89">
        <f t="shared" si="35"/>
        <v>0</v>
      </c>
      <c r="AG106" s="111"/>
      <c r="AH106" s="48">
        <f t="shared" si="27"/>
        <v>697</v>
      </c>
      <c r="AI106" s="49">
        <f t="shared" si="28"/>
        <v>0</v>
      </c>
    </row>
    <row r="107" spans="1:64" x14ac:dyDescent="0.25">
      <c r="A107" s="97" t="s">
        <v>107</v>
      </c>
      <c r="B107" s="89">
        <f t="shared" si="35"/>
        <v>0</v>
      </c>
      <c r="C107" s="89">
        <f t="shared" si="35"/>
        <v>0</v>
      </c>
      <c r="D107" s="89">
        <f t="shared" si="35"/>
        <v>0</v>
      </c>
      <c r="E107" s="89">
        <f t="shared" si="35"/>
        <v>0</v>
      </c>
      <c r="F107" s="89">
        <f t="shared" si="35"/>
        <v>0</v>
      </c>
      <c r="G107" s="89">
        <f t="shared" si="35"/>
        <v>0</v>
      </c>
      <c r="H107" s="89">
        <f t="shared" si="35"/>
        <v>0</v>
      </c>
      <c r="I107" s="89">
        <f t="shared" si="35"/>
        <v>0</v>
      </c>
      <c r="J107" s="89">
        <f t="shared" si="35"/>
        <v>0</v>
      </c>
      <c r="K107" s="89">
        <f t="shared" si="35"/>
        <v>0</v>
      </c>
      <c r="L107" s="89">
        <f t="shared" si="35"/>
        <v>0</v>
      </c>
      <c r="M107" s="89">
        <f t="shared" si="35"/>
        <v>0</v>
      </c>
      <c r="N107" s="89">
        <f t="shared" si="35"/>
        <v>0</v>
      </c>
      <c r="O107" s="89">
        <f t="shared" si="35"/>
        <v>0</v>
      </c>
      <c r="P107" s="89">
        <f t="shared" si="35"/>
        <v>0</v>
      </c>
      <c r="Q107" s="89">
        <f t="shared" si="35"/>
        <v>0</v>
      </c>
      <c r="R107" s="89">
        <f t="shared" si="35"/>
        <v>0</v>
      </c>
      <c r="S107" s="89">
        <f t="shared" si="35"/>
        <v>0</v>
      </c>
      <c r="T107" s="89">
        <f t="shared" si="35"/>
        <v>0</v>
      </c>
      <c r="U107" s="89">
        <f t="shared" si="35"/>
        <v>0</v>
      </c>
      <c r="V107" s="89">
        <f t="shared" si="35"/>
        <v>0</v>
      </c>
      <c r="W107" s="89">
        <f t="shared" si="35"/>
        <v>0</v>
      </c>
      <c r="X107" s="89">
        <f t="shared" si="35"/>
        <v>0</v>
      </c>
      <c r="Y107" s="89">
        <f t="shared" si="35"/>
        <v>0</v>
      </c>
      <c r="Z107" s="89">
        <f t="shared" si="35"/>
        <v>0</v>
      </c>
      <c r="AA107" s="89">
        <f t="shared" si="35"/>
        <v>0</v>
      </c>
      <c r="AB107" s="89">
        <f t="shared" si="35"/>
        <v>0</v>
      </c>
      <c r="AC107" s="89">
        <f t="shared" si="35"/>
        <v>0</v>
      </c>
      <c r="AD107" s="89">
        <f t="shared" si="35"/>
        <v>0</v>
      </c>
      <c r="AE107" s="89">
        <f t="shared" si="35"/>
        <v>0</v>
      </c>
      <c r="AF107" s="89">
        <f t="shared" si="35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35"/>
        <v>0</v>
      </c>
      <c r="C108" s="89">
        <f t="shared" si="35"/>
        <v>0</v>
      </c>
      <c r="D108" s="89">
        <f t="shared" si="35"/>
        <v>0</v>
      </c>
      <c r="E108" s="89">
        <f t="shared" si="35"/>
        <v>0</v>
      </c>
      <c r="F108" s="89">
        <f t="shared" si="35"/>
        <v>0</v>
      </c>
      <c r="G108" s="89">
        <f t="shared" si="35"/>
        <v>0</v>
      </c>
      <c r="H108" s="89">
        <f t="shared" si="35"/>
        <v>0</v>
      </c>
      <c r="I108" s="89">
        <f t="shared" si="35"/>
        <v>0</v>
      </c>
      <c r="J108" s="89">
        <f t="shared" si="35"/>
        <v>0</v>
      </c>
      <c r="K108" s="89">
        <f t="shared" si="35"/>
        <v>0</v>
      </c>
      <c r="L108" s="89">
        <f t="shared" si="35"/>
        <v>0</v>
      </c>
      <c r="M108" s="89">
        <f t="shared" si="35"/>
        <v>0</v>
      </c>
      <c r="N108" s="89">
        <f t="shared" si="35"/>
        <v>0</v>
      </c>
      <c r="O108" s="89">
        <f t="shared" si="35"/>
        <v>0</v>
      </c>
      <c r="P108" s="89">
        <f t="shared" si="35"/>
        <v>0</v>
      </c>
      <c r="Q108" s="89">
        <f t="shared" si="35"/>
        <v>0</v>
      </c>
      <c r="R108" s="89">
        <f t="shared" si="35"/>
        <v>0</v>
      </c>
      <c r="S108" s="89">
        <f t="shared" si="35"/>
        <v>0</v>
      </c>
      <c r="T108" s="89">
        <f t="shared" si="35"/>
        <v>0</v>
      </c>
      <c r="U108" s="89">
        <f t="shared" si="35"/>
        <v>0</v>
      </c>
      <c r="V108" s="89">
        <f t="shared" si="35"/>
        <v>0</v>
      </c>
      <c r="W108" s="89">
        <f t="shared" si="35"/>
        <v>0</v>
      </c>
      <c r="X108" s="89">
        <f t="shared" si="35"/>
        <v>0</v>
      </c>
      <c r="Y108" s="89">
        <f t="shared" si="35"/>
        <v>0</v>
      </c>
      <c r="Z108" s="89">
        <f t="shared" si="35"/>
        <v>0</v>
      </c>
      <c r="AA108" s="89">
        <f t="shared" si="35"/>
        <v>0</v>
      </c>
      <c r="AB108" s="89">
        <f t="shared" si="35"/>
        <v>0</v>
      </c>
      <c r="AC108" s="89">
        <f t="shared" si="35"/>
        <v>0</v>
      </c>
      <c r="AD108" s="89">
        <f t="shared" si="35"/>
        <v>0</v>
      </c>
      <c r="AE108" s="89">
        <f t="shared" si="35"/>
        <v>0</v>
      </c>
      <c r="AF108" s="89">
        <f t="shared" si="35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35"/>
        <v>0</v>
      </c>
      <c r="C109" s="89">
        <f t="shared" si="35"/>
        <v>0</v>
      </c>
      <c r="D109" s="89">
        <f t="shared" si="35"/>
        <v>0</v>
      </c>
      <c r="E109" s="89">
        <f t="shared" si="35"/>
        <v>0</v>
      </c>
      <c r="F109" s="89">
        <f t="shared" si="35"/>
        <v>0</v>
      </c>
      <c r="G109" s="89">
        <f t="shared" si="35"/>
        <v>0</v>
      </c>
      <c r="H109" s="89">
        <f t="shared" si="35"/>
        <v>0</v>
      </c>
      <c r="I109" s="89">
        <f t="shared" si="35"/>
        <v>0</v>
      </c>
      <c r="J109" s="89">
        <f t="shared" si="35"/>
        <v>0</v>
      </c>
      <c r="K109" s="89">
        <f t="shared" si="35"/>
        <v>0</v>
      </c>
      <c r="L109" s="89">
        <f t="shared" si="35"/>
        <v>0</v>
      </c>
      <c r="M109" s="89">
        <f t="shared" si="35"/>
        <v>0</v>
      </c>
      <c r="N109" s="89">
        <f t="shared" si="35"/>
        <v>0</v>
      </c>
      <c r="O109" s="89">
        <f t="shared" si="35"/>
        <v>0</v>
      </c>
      <c r="P109" s="89">
        <f t="shared" si="35"/>
        <v>0</v>
      </c>
      <c r="Q109" s="89">
        <f t="shared" si="35"/>
        <v>0</v>
      </c>
      <c r="R109" s="89">
        <f t="shared" si="35"/>
        <v>0</v>
      </c>
      <c r="S109" s="89">
        <f t="shared" si="35"/>
        <v>0</v>
      </c>
      <c r="T109" s="89">
        <f t="shared" si="35"/>
        <v>0</v>
      </c>
      <c r="U109" s="89">
        <f t="shared" si="35"/>
        <v>0</v>
      </c>
      <c r="V109" s="89">
        <f t="shared" si="35"/>
        <v>0</v>
      </c>
      <c r="W109" s="89">
        <f t="shared" si="35"/>
        <v>0</v>
      </c>
      <c r="X109" s="89">
        <f t="shared" si="35"/>
        <v>0</v>
      </c>
      <c r="Y109" s="89">
        <f t="shared" si="35"/>
        <v>0</v>
      </c>
      <c r="Z109" s="89">
        <f t="shared" si="35"/>
        <v>0</v>
      </c>
      <c r="AA109" s="89">
        <f t="shared" si="35"/>
        <v>0</v>
      </c>
      <c r="AB109" s="89">
        <f t="shared" si="35"/>
        <v>0</v>
      </c>
      <c r="AC109" s="89">
        <f t="shared" si="35"/>
        <v>0</v>
      </c>
      <c r="AD109" s="89">
        <f t="shared" si="35"/>
        <v>0</v>
      </c>
      <c r="AE109" s="89">
        <f t="shared" si="35"/>
        <v>0</v>
      </c>
      <c r="AF109" s="89">
        <f t="shared" si="35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>SUM(B104:B109)</f>
        <v>713.59999999999991</v>
      </c>
      <c r="C110" s="71">
        <f t="shared" ref="C110:AF110" si="36">SUM(C104:C109)</f>
        <v>682.2</v>
      </c>
      <c r="D110" s="71">
        <f t="shared" si="36"/>
        <v>694.5</v>
      </c>
      <c r="E110" s="71">
        <f t="shared" si="36"/>
        <v>672</v>
      </c>
      <c r="F110" s="71">
        <f t="shared" si="36"/>
        <v>715</v>
      </c>
      <c r="G110" s="71">
        <f t="shared" si="36"/>
        <v>723</v>
      </c>
      <c r="H110" s="71">
        <f t="shared" si="36"/>
        <v>761</v>
      </c>
      <c r="I110" s="71">
        <f t="shared" si="36"/>
        <v>752</v>
      </c>
      <c r="J110" s="71">
        <f t="shared" si="36"/>
        <v>700</v>
      </c>
      <c r="K110" s="71">
        <f t="shared" si="36"/>
        <v>696</v>
      </c>
      <c r="L110" s="71">
        <f t="shared" si="36"/>
        <v>713.7</v>
      </c>
      <c r="M110" s="71">
        <f t="shared" si="36"/>
        <v>665</v>
      </c>
      <c r="N110" s="71">
        <f t="shared" si="36"/>
        <v>0</v>
      </c>
      <c r="O110" s="71">
        <f t="shared" si="36"/>
        <v>0</v>
      </c>
      <c r="P110" s="71">
        <f t="shared" si="36"/>
        <v>0</v>
      </c>
      <c r="Q110" s="71">
        <f t="shared" si="36"/>
        <v>0</v>
      </c>
      <c r="R110" s="71">
        <f t="shared" si="36"/>
        <v>0</v>
      </c>
      <c r="S110" s="71">
        <f t="shared" si="36"/>
        <v>0</v>
      </c>
      <c r="T110" s="71">
        <f t="shared" si="36"/>
        <v>0</v>
      </c>
      <c r="U110" s="71">
        <f t="shared" si="36"/>
        <v>0</v>
      </c>
      <c r="V110" s="71">
        <f t="shared" si="36"/>
        <v>0</v>
      </c>
      <c r="W110" s="71">
        <f t="shared" si="36"/>
        <v>0</v>
      </c>
      <c r="X110" s="71">
        <f t="shared" si="36"/>
        <v>0</v>
      </c>
      <c r="Y110" s="71">
        <f t="shared" si="36"/>
        <v>0</v>
      </c>
      <c r="Z110" s="71">
        <f t="shared" si="36"/>
        <v>0</v>
      </c>
      <c r="AA110" s="71">
        <f t="shared" si="36"/>
        <v>0</v>
      </c>
      <c r="AB110" s="71">
        <f t="shared" si="36"/>
        <v>0</v>
      </c>
      <c r="AC110" s="71">
        <f t="shared" si="36"/>
        <v>0</v>
      </c>
      <c r="AD110" s="71">
        <f t="shared" si="36"/>
        <v>0</v>
      </c>
      <c r="AE110" s="71">
        <f t="shared" si="36"/>
        <v>0</v>
      </c>
      <c r="AF110" s="71">
        <f t="shared" si="36"/>
        <v>0</v>
      </c>
      <c r="AG110" s="101"/>
      <c r="AH110" s="48">
        <f t="shared" si="27"/>
        <v>761</v>
      </c>
      <c r="AI110" s="49">
        <f t="shared" si="28"/>
        <v>0</v>
      </c>
    </row>
    <row r="111" spans="1:64" ht="15.75" thickBot="1" x14ac:dyDescent="0.3">
      <c r="A111" s="87" t="s">
        <v>131</v>
      </c>
      <c r="B111" s="71">
        <f t="shared" ref="B111:AF111" si="37">B95-B110</f>
        <v>-713.59999999999991</v>
      </c>
      <c r="C111" s="71">
        <f t="shared" si="37"/>
        <v>-682.2</v>
      </c>
      <c r="D111" s="71">
        <f t="shared" si="37"/>
        <v>-694.5</v>
      </c>
      <c r="E111" s="71">
        <f t="shared" si="37"/>
        <v>-672</v>
      </c>
      <c r="F111" s="71">
        <f t="shared" si="37"/>
        <v>-715</v>
      </c>
      <c r="G111" s="71">
        <f t="shared" si="37"/>
        <v>-723</v>
      </c>
      <c r="H111" s="71">
        <f t="shared" si="37"/>
        <v>-761</v>
      </c>
      <c r="I111" s="71">
        <f t="shared" si="37"/>
        <v>-752</v>
      </c>
      <c r="J111" s="71">
        <f t="shared" si="37"/>
        <v>-700</v>
      </c>
      <c r="K111" s="71">
        <f t="shared" si="37"/>
        <v>-696</v>
      </c>
      <c r="L111" s="71">
        <f t="shared" si="37"/>
        <v>-713.7</v>
      </c>
      <c r="M111" s="71">
        <f t="shared" si="37"/>
        <v>-665</v>
      </c>
      <c r="N111" s="71">
        <f t="shared" si="37"/>
        <v>0</v>
      </c>
      <c r="O111" s="71">
        <f t="shared" si="37"/>
        <v>0</v>
      </c>
      <c r="P111" s="71">
        <f t="shared" si="37"/>
        <v>0</v>
      </c>
      <c r="Q111" s="71">
        <f t="shared" si="37"/>
        <v>0</v>
      </c>
      <c r="R111" s="71">
        <f t="shared" si="37"/>
        <v>0</v>
      </c>
      <c r="S111" s="71">
        <f t="shared" si="37"/>
        <v>0</v>
      </c>
      <c r="T111" s="71">
        <f t="shared" si="37"/>
        <v>0</v>
      </c>
      <c r="U111" s="71">
        <f t="shared" si="37"/>
        <v>0</v>
      </c>
      <c r="V111" s="71">
        <f t="shared" si="37"/>
        <v>0</v>
      </c>
      <c r="W111" s="71">
        <f t="shared" si="37"/>
        <v>0</v>
      </c>
      <c r="X111" s="71">
        <f t="shared" si="37"/>
        <v>0</v>
      </c>
      <c r="Y111" s="71">
        <f t="shared" si="37"/>
        <v>0</v>
      </c>
      <c r="Z111" s="71">
        <f t="shared" si="37"/>
        <v>0</v>
      </c>
      <c r="AA111" s="71">
        <f t="shared" si="37"/>
        <v>0</v>
      </c>
      <c r="AB111" s="71">
        <f t="shared" si="37"/>
        <v>0</v>
      </c>
      <c r="AC111" s="71">
        <f t="shared" si="37"/>
        <v>0</v>
      </c>
      <c r="AD111" s="71">
        <f t="shared" si="37"/>
        <v>0</v>
      </c>
      <c r="AE111" s="71">
        <f t="shared" si="37"/>
        <v>0</v>
      </c>
      <c r="AF111" s="71">
        <f t="shared" si="37"/>
        <v>0</v>
      </c>
      <c r="AG111" s="101"/>
      <c r="AH111" s="48">
        <f t="shared" si="27"/>
        <v>0</v>
      </c>
      <c r="AI111" s="49">
        <f t="shared" si="28"/>
        <v>-761</v>
      </c>
    </row>
    <row r="112" spans="1:64" x14ac:dyDescent="0.25">
      <c r="A112" s="113" t="s">
        <v>132</v>
      </c>
      <c r="B112" s="114">
        <v>50.048000000000002</v>
      </c>
      <c r="C112" s="114">
        <v>50.017000000000003</v>
      </c>
      <c r="D112" s="114">
        <v>50.009</v>
      </c>
      <c r="E112" s="114">
        <v>50.02</v>
      </c>
      <c r="F112" s="114">
        <v>50.011000000000003</v>
      </c>
      <c r="G112" s="114">
        <v>49.933999999999997</v>
      </c>
      <c r="H112" s="114">
        <v>49.95</v>
      </c>
      <c r="I112" s="114">
        <v>50</v>
      </c>
      <c r="J112" s="114">
        <v>49.95</v>
      </c>
      <c r="K112" s="114">
        <v>50</v>
      </c>
      <c r="L112" s="114">
        <v>50.32</v>
      </c>
      <c r="M112" s="114">
        <v>50.024999999999999</v>
      </c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5"/>
      <c r="AH112" s="48">
        <f t="shared" si="27"/>
        <v>50.32</v>
      </c>
      <c r="AI112" s="49">
        <f t="shared" si="28"/>
        <v>49.933999999999997</v>
      </c>
    </row>
    <row r="113" spans="1:35" x14ac:dyDescent="0.25">
      <c r="A113" s="116" t="s">
        <v>133</v>
      </c>
      <c r="B113" s="76">
        <v>122.5</v>
      </c>
      <c r="C113" s="76">
        <v>123.2</v>
      </c>
      <c r="D113" s="76">
        <v>124.4</v>
      </c>
      <c r="E113" s="76">
        <v>125</v>
      </c>
      <c r="F113" s="76">
        <v>125</v>
      </c>
      <c r="G113" s="76">
        <v>125</v>
      </c>
      <c r="H113" s="76">
        <v>125</v>
      </c>
      <c r="I113" s="76">
        <v>125</v>
      </c>
      <c r="J113" s="76">
        <v>125</v>
      </c>
      <c r="K113" s="76">
        <v>125</v>
      </c>
      <c r="L113" s="76">
        <v>124</v>
      </c>
      <c r="M113" s="76">
        <v>123.1</v>
      </c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27"/>
        <v>125</v>
      </c>
      <c r="AI113" s="49">
        <f t="shared" si="28"/>
        <v>122.5</v>
      </c>
    </row>
    <row r="114" spans="1:35" x14ac:dyDescent="0.25">
      <c r="A114" s="116" t="s">
        <v>134</v>
      </c>
      <c r="B114" s="76">
        <v>127</v>
      </c>
      <c r="C114" s="76">
        <v>128</v>
      </c>
      <c r="D114" s="76">
        <v>128.6</v>
      </c>
      <c r="E114" s="76">
        <v>129.6</v>
      </c>
      <c r="F114" s="76">
        <v>129.6</v>
      </c>
      <c r="G114" s="76">
        <v>129.6</v>
      </c>
      <c r="H114" s="76">
        <v>129.6</v>
      </c>
      <c r="I114" s="76">
        <v>129.6</v>
      </c>
      <c r="J114" s="76">
        <v>129.6</v>
      </c>
      <c r="K114" s="76">
        <v>129.6</v>
      </c>
      <c r="L114" s="76">
        <v>125.8</v>
      </c>
      <c r="M114" s="76">
        <v>125</v>
      </c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117"/>
      <c r="AH114" s="48">
        <f t="shared" si="27"/>
        <v>129.6</v>
      </c>
      <c r="AI114" s="49">
        <f t="shared" si="28"/>
        <v>125</v>
      </c>
    </row>
    <row r="115" spans="1:35" x14ac:dyDescent="0.25">
      <c r="A115" s="116" t="s">
        <v>135</v>
      </c>
      <c r="B115" s="76">
        <v>128.6</v>
      </c>
      <c r="C115" s="76">
        <v>130.30000000000001</v>
      </c>
      <c r="D115" s="76">
        <v>129.9</v>
      </c>
      <c r="E115" s="76">
        <v>130.69999999999999</v>
      </c>
      <c r="F115" s="76">
        <v>130.69999999999999</v>
      </c>
      <c r="G115" s="76">
        <v>130.69999999999999</v>
      </c>
      <c r="H115" s="76">
        <v>130.69999999999999</v>
      </c>
      <c r="I115" s="76">
        <v>130.69999999999999</v>
      </c>
      <c r="J115" s="76">
        <v>130.69999999999999</v>
      </c>
      <c r="K115" s="76">
        <v>130.69999999999999</v>
      </c>
      <c r="L115" s="76">
        <v>130.80000000000001</v>
      </c>
      <c r="M115" s="76">
        <v>129.80000000000001</v>
      </c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117"/>
      <c r="AH115" s="48">
        <f t="shared" si="27"/>
        <v>130.80000000000001</v>
      </c>
      <c r="AI115" s="49">
        <f t="shared" si="28"/>
        <v>128.6</v>
      </c>
    </row>
    <row r="116" spans="1:35" x14ac:dyDescent="0.25">
      <c r="A116" s="118" t="s">
        <v>136</v>
      </c>
      <c r="B116" s="76">
        <v>129.5</v>
      </c>
      <c r="C116" s="76">
        <v>130.69999999999999</v>
      </c>
      <c r="D116" s="76">
        <v>130.9</v>
      </c>
      <c r="E116" s="76">
        <v>131.6</v>
      </c>
      <c r="F116" s="76">
        <v>131.6</v>
      </c>
      <c r="G116" s="76">
        <v>131.6</v>
      </c>
      <c r="H116" s="76">
        <v>131.6</v>
      </c>
      <c r="I116" s="76">
        <v>131.6</v>
      </c>
      <c r="J116" s="76">
        <v>131.6</v>
      </c>
      <c r="K116" s="76">
        <v>131.6</v>
      </c>
      <c r="L116" s="76">
        <v>131</v>
      </c>
      <c r="M116" s="76">
        <v>129.4</v>
      </c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117"/>
      <c r="AH116" s="48">
        <f t="shared" si="27"/>
        <v>131.6</v>
      </c>
      <c r="AI116" s="49">
        <f t="shared" si="28"/>
        <v>129.4</v>
      </c>
    </row>
    <row r="117" spans="1:35" x14ac:dyDescent="0.25">
      <c r="A117" s="118" t="s">
        <v>137</v>
      </c>
      <c r="B117" s="119">
        <v>132.4</v>
      </c>
      <c r="C117" s="119">
        <v>135.1</v>
      </c>
      <c r="D117" s="119">
        <v>131.9</v>
      </c>
      <c r="E117" s="119">
        <v>131.80000000000001</v>
      </c>
      <c r="F117" s="119">
        <v>131.80000000000001</v>
      </c>
      <c r="G117" s="119">
        <v>131.80000000000001</v>
      </c>
      <c r="H117" s="119">
        <v>131.80000000000001</v>
      </c>
      <c r="I117" s="119">
        <v>131.80000000000001</v>
      </c>
      <c r="J117" s="119">
        <v>131.80000000000001</v>
      </c>
      <c r="K117" s="119">
        <v>131.80000000000001</v>
      </c>
      <c r="L117" s="119">
        <v>133</v>
      </c>
      <c r="M117" s="119">
        <v>135.19999999999999</v>
      </c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135.19999999999999</v>
      </c>
      <c r="AI117" s="49">
        <f t="shared" si="28"/>
        <v>131.80000000000001</v>
      </c>
    </row>
    <row r="118" spans="1:35" x14ac:dyDescent="0.25">
      <c r="A118" s="116" t="s">
        <v>138</v>
      </c>
      <c r="B118" s="76">
        <v>119.1</v>
      </c>
      <c r="C118" s="76">
        <v>128.30000000000001</v>
      </c>
      <c r="D118" s="76">
        <v>117.5</v>
      </c>
      <c r="E118" s="76">
        <v>125</v>
      </c>
      <c r="F118" s="76">
        <v>125</v>
      </c>
      <c r="G118" s="76">
        <v>125</v>
      </c>
      <c r="H118" s="76">
        <v>125</v>
      </c>
      <c r="I118" s="76">
        <v>125</v>
      </c>
      <c r="J118" s="76">
        <v>125</v>
      </c>
      <c r="K118" s="76">
        <v>125</v>
      </c>
      <c r="L118" s="76">
        <v>131.80000000000001</v>
      </c>
      <c r="M118" s="76">
        <v>131.5</v>
      </c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117"/>
      <c r="AH118" s="48">
        <f t="shared" si="27"/>
        <v>131.80000000000001</v>
      </c>
      <c r="AI118" s="49">
        <f t="shared" si="28"/>
        <v>117.5</v>
      </c>
    </row>
    <row r="119" spans="1:35" ht="15.75" thickBot="1" x14ac:dyDescent="0.3">
      <c r="A119" s="116" t="s">
        <v>139</v>
      </c>
      <c r="B119" s="105">
        <v>64.2</v>
      </c>
      <c r="C119" s="105">
        <v>64.599999999999994</v>
      </c>
      <c r="D119" s="105">
        <v>65.099999999999994</v>
      </c>
      <c r="E119" s="105">
        <v>65.599999999999994</v>
      </c>
      <c r="F119" s="105">
        <v>65.599999999999994</v>
      </c>
      <c r="G119" s="105">
        <v>65.599999999999994</v>
      </c>
      <c r="H119" s="105">
        <v>65.599999999999994</v>
      </c>
      <c r="I119" s="105">
        <v>65.599999999999994</v>
      </c>
      <c r="J119" s="105">
        <v>65.599999999999994</v>
      </c>
      <c r="K119" s="105">
        <v>65.599999999999994</v>
      </c>
      <c r="L119" s="105">
        <v>62.9</v>
      </c>
      <c r="M119" s="105">
        <v>62.8</v>
      </c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21"/>
      <c r="AH119" s="48">
        <f t="shared" si="27"/>
        <v>65.599999999999994</v>
      </c>
      <c r="AI119" s="49">
        <f t="shared" si="28"/>
        <v>62.8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 t="shared" ref="B121:O121" si="38">SUM(B25,B31,B34:B35,B69,B71:B72,B74,B76,B122:B126,B158,B164,B170,B179,B181,B193,B200,B203:B204,B211,B213,B215,B219:B221,B223:B225,B230,B236:B237,B239:B241,B249,B254)</f>
        <v>149.93999999999997</v>
      </c>
      <c r="C121" s="124">
        <f t="shared" si="38"/>
        <v>153.13999999999999</v>
      </c>
      <c r="D121" s="124">
        <f t="shared" si="38"/>
        <v>121.63999999999999</v>
      </c>
      <c r="E121" s="124">
        <f t="shared" si="38"/>
        <v>82.74</v>
      </c>
      <c r="F121" s="124">
        <f t="shared" si="38"/>
        <v>77.139999999999986</v>
      </c>
      <c r="G121" s="124">
        <f t="shared" si="38"/>
        <v>107.13999999999997</v>
      </c>
      <c r="H121" s="124">
        <f t="shared" si="38"/>
        <v>120.84000000000003</v>
      </c>
      <c r="I121" s="124">
        <f t="shared" si="38"/>
        <v>140.94</v>
      </c>
      <c r="J121" s="124">
        <f t="shared" si="38"/>
        <v>183.94</v>
      </c>
      <c r="K121" s="124">
        <f t="shared" si="38"/>
        <v>217.64</v>
      </c>
      <c r="L121" s="124">
        <f t="shared" si="38"/>
        <v>246.34</v>
      </c>
      <c r="M121" s="124">
        <f t="shared" si="38"/>
        <v>279.14</v>
      </c>
      <c r="N121" s="124">
        <f t="shared" si="38"/>
        <v>0.94</v>
      </c>
      <c r="O121" s="124">
        <f t="shared" si="38"/>
        <v>0.94</v>
      </c>
      <c r="P121" s="124">
        <v>42</v>
      </c>
      <c r="Q121" s="124">
        <f t="shared" ref="Q121:X121" si="39">SUM(Q25,Q31,Q34:Q35,Q69,Q71:Q72,Q74,Q76,Q122:Q126,Q158,Q164,Q170,Q179,Q181,Q193,Q200,Q203:Q204,Q211,Q213,Q215,Q219:Q221,Q223:Q225,Q230,Q236:Q237,Q239:Q241,Q249,Q254)</f>
        <v>0.94</v>
      </c>
      <c r="R121" s="124">
        <f t="shared" si="39"/>
        <v>0.94</v>
      </c>
      <c r="S121" s="124">
        <f t="shared" si="39"/>
        <v>0.94</v>
      </c>
      <c r="T121" s="124">
        <f t="shared" si="39"/>
        <v>0.94</v>
      </c>
      <c r="U121" s="124">
        <f t="shared" si="39"/>
        <v>0.94</v>
      </c>
      <c r="V121" s="124">
        <f t="shared" si="39"/>
        <v>0.94</v>
      </c>
      <c r="W121" s="124">
        <f t="shared" si="39"/>
        <v>0.94</v>
      </c>
      <c r="X121" s="124">
        <f t="shared" si="39"/>
        <v>0.94</v>
      </c>
      <c r="Y121" s="124">
        <f>SUM(Y23,Y29,Y40:Y41,Y69,Y71:Y72,Y74,Y76,Y122:Y126,Y151,Y157,Y163,Y172,Y174,Y186,Y193,Y196:Y197,Y204,Y206,Y208,Y212:Y214,Y216:Y218,Y223,Y229:Y230,Y232:Y234,Y242,Y247)</f>
        <v>0</v>
      </c>
      <c r="Z121" s="124">
        <f>SUM(Z23,Z29,Z40:Z41,Z69,Z71:Z72,Z74,Z76,Z122:Z126,Z151,Z157,Z163,Z172,Z174,Z186,Z193,Z196:Z197,Z204,Z206,Z208,Z212:Z214,Z216:Z218,Z223,Z229:Z230,Z232:Z234,Z242,Z247)</f>
        <v>0</v>
      </c>
      <c r="AA121" s="124">
        <f t="shared" ref="AA121:AF121" si="40">SUM(AA25,AA31,AA34:AA35,AA69,AA71:AA72,AA74,AA76,AA122:AA126,AA158,AA164,AA170,AA179,AA181,AA193,AA200,AA203:AA204,AA211,AA213,AA215,AA219:AA221,AA223:AA225,AA230,AA236:AA237,AA239:AA241,AA249,AA254)</f>
        <v>0.94</v>
      </c>
      <c r="AB121" s="124">
        <f t="shared" si="40"/>
        <v>0.94</v>
      </c>
      <c r="AC121" s="124">
        <f t="shared" si="40"/>
        <v>0.94</v>
      </c>
      <c r="AD121" s="124">
        <f t="shared" si="40"/>
        <v>0.94</v>
      </c>
      <c r="AE121" s="124">
        <f t="shared" si="40"/>
        <v>0.94</v>
      </c>
      <c r="AF121" s="124">
        <f t="shared" si="40"/>
        <v>0.94</v>
      </c>
      <c r="AG121" s="125"/>
      <c r="AH121" s="48">
        <f t="shared" si="27"/>
        <v>279.14</v>
      </c>
      <c r="AI121" s="49">
        <f t="shared" si="28"/>
        <v>0</v>
      </c>
    </row>
    <row r="122" spans="1:35" x14ac:dyDescent="0.25">
      <c r="A122" s="126" t="s">
        <v>142</v>
      </c>
      <c r="B122" s="127">
        <v>42.8</v>
      </c>
      <c r="C122" s="127">
        <v>38.4</v>
      </c>
      <c r="D122" s="127">
        <v>36.700000000000003</v>
      </c>
      <c r="E122" s="127">
        <v>36.200000000000003</v>
      </c>
      <c r="F122" s="127">
        <v>38.6</v>
      </c>
      <c r="G122" s="127">
        <v>48.9</v>
      </c>
      <c r="H122" s="127">
        <v>51.4</v>
      </c>
      <c r="I122" s="127">
        <v>50.5</v>
      </c>
      <c r="J122" s="127">
        <v>51.5</v>
      </c>
      <c r="K122" s="127">
        <v>53.9</v>
      </c>
      <c r="L122" s="127">
        <v>55.9</v>
      </c>
      <c r="M122" s="127">
        <v>45.4</v>
      </c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8">
        <v>75</v>
      </c>
      <c r="AH122" s="48">
        <f t="shared" si="27"/>
        <v>55.9</v>
      </c>
      <c r="AI122" s="49">
        <f t="shared" si="28"/>
        <v>36.200000000000003</v>
      </c>
    </row>
    <row r="123" spans="1:35" x14ac:dyDescent="0.25">
      <c r="A123" s="129" t="s">
        <v>143</v>
      </c>
      <c r="B123" s="130">
        <v>68.2</v>
      </c>
      <c r="C123" s="130">
        <v>61.3</v>
      </c>
      <c r="D123" s="130">
        <v>61.4</v>
      </c>
      <c r="E123" s="130">
        <v>58.9</v>
      </c>
      <c r="F123" s="130">
        <v>61.6</v>
      </c>
      <c r="G123" s="130">
        <v>74.900000000000006</v>
      </c>
      <c r="H123" s="130">
        <v>74.599999999999994</v>
      </c>
      <c r="I123" s="130">
        <v>75.8</v>
      </c>
      <c r="J123" s="130">
        <v>77</v>
      </c>
      <c r="K123" s="130">
        <v>80.3</v>
      </c>
      <c r="L123" s="130">
        <v>83.2</v>
      </c>
      <c r="M123" s="130">
        <v>69.400000000000006</v>
      </c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28">
        <v>240</v>
      </c>
      <c r="AH123" s="48">
        <f t="shared" si="27"/>
        <v>83.2</v>
      </c>
      <c r="AI123" s="49">
        <f t="shared" si="28"/>
        <v>58.9</v>
      </c>
    </row>
    <row r="124" spans="1:35" x14ac:dyDescent="0.25">
      <c r="A124" s="129" t="s">
        <v>144</v>
      </c>
      <c r="B124" s="130">
        <v>-166.5</v>
      </c>
      <c r="C124" s="130">
        <v>-164</v>
      </c>
      <c r="D124" s="130">
        <v>-167.9</v>
      </c>
      <c r="E124" s="130">
        <v>-166.9</v>
      </c>
      <c r="F124" s="130">
        <v>-170</v>
      </c>
      <c r="G124" s="130">
        <v>-167</v>
      </c>
      <c r="H124" s="130">
        <v>-160</v>
      </c>
      <c r="I124" s="130">
        <v>-140</v>
      </c>
      <c r="J124" s="130">
        <v>-130</v>
      </c>
      <c r="K124" s="130">
        <v>-120</v>
      </c>
      <c r="L124" s="130">
        <v>-112</v>
      </c>
      <c r="M124" s="130">
        <f>-42-45.9</f>
        <v>-87.9</v>
      </c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28">
        <v>240</v>
      </c>
      <c r="AH124" s="48">
        <f t="shared" si="27"/>
        <v>-87.9</v>
      </c>
      <c r="AI124" s="49">
        <f t="shared" si="28"/>
        <v>-170</v>
      </c>
    </row>
    <row r="125" spans="1:35" ht="15.75" thickBot="1" x14ac:dyDescent="0.3">
      <c r="A125" s="129" t="s">
        <v>145</v>
      </c>
      <c r="B125" s="130">
        <v>-6.7</v>
      </c>
      <c r="C125" s="130">
        <v>-7.4</v>
      </c>
      <c r="D125" s="130">
        <v>-8.5</v>
      </c>
      <c r="E125" s="130">
        <v>-7.9</v>
      </c>
      <c r="F125" s="130">
        <v>-8.9</v>
      </c>
      <c r="G125" s="130">
        <v>-5.7</v>
      </c>
      <c r="H125" s="130">
        <v>-2.6</v>
      </c>
      <c r="I125" s="130">
        <v>2</v>
      </c>
      <c r="J125" s="130">
        <v>3</v>
      </c>
      <c r="K125" s="130">
        <v>9.5</v>
      </c>
      <c r="L125" s="130">
        <v>11.9</v>
      </c>
      <c r="M125" s="130">
        <v>15.7</v>
      </c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28">
        <v>60</v>
      </c>
      <c r="AH125" s="48">
        <f t="shared" si="27"/>
        <v>15.7</v>
      </c>
      <c r="AI125" s="49">
        <f t="shared" si="28"/>
        <v>-8.9</v>
      </c>
    </row>
    <row r="126" spans="1:35" x14ac:dyDescent="0.25">
      <c r="A126" s="126" t="s">
        <v>146</v>
      </c>
      <c r="B126" s="131">
        <v>30.1</v>
      </c>
      <c r="C126" s="131">
        <v>42.8</v>
      </c>
      <c r="D126" s="131">
        <v>17.899999999999999</v>
      </c>
      <c r="E126" s="131">
        <v>7.2</v>
      </c>
      <c r="F126" s="131">
        <v>0.6</v>
      </c>
      <c r="G126" s="131"/>
      <c r="H126" s="131">
        <v>1.4</v>
      </c>
      <c r="I126" s="131">
        <v>15.2</v>
      </c>
      <c r="J126" s="131">
        <v>20</v>
      </c>
      <c r="K126" s="131">
        <v>35</v>
      </c>
      <c r="L126" s="131">
        <v>54</v>
      </c>
      <c r="M126" s="131">
        <v>78.7</v>
      </c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78.7</v>
      </c>
      <c r="AI126" s="49">
        <f t="shared" si="28"/>
        <v>0.6</v>
      </c>
    </row>
    <row r="127" spans="1:35" x14ac:dyDescent="0.25">
      <c r="A127" s="129" t="s">
        <v>147</v>
      </c>
      <c r="B127" s="131">
        <v>76.400000000000006</v>
      </c>
      <c r="C127" s="131">
        <v>72.5</v>
      </c>
      <c r="D127" s="131">
        <v>74.2</v>
      </c>
      <c r="E127" s="131">
        <v>72.8</v>
      </c>
      <c r="F127" s="131">
        <v>72.5</v>
      </c>
      <c r="G127" s="131">
        <v>65</v>
      </c>
      <c r="H127" s="131">
        <v>66.5</v>
      </c>
      <c r="I127" s="131">
        <v>71.3</v>
      </c>
      <c r="J127" s="131">
        <v>74</v>
      </c>
      <c r="K127" s="131">
        <v>77.3</v>
      </c>
      <c r="L127" s="131">
        <v>82</v>
      </c>
      <c r="M127" s="131">
        <v>93.9</v>
      </c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2"/>
      <c r="AH127" s="48">
        <f t="shared" si="27"/>
        <v>93.9</v>
      </c>
      <c r="AI127" s="49">
        <f t="shared" si="28"/>
        <v>65</v>
      </c>
    </row>
    <row r="128" spans="1:35" x14ac:dyDescent="0.25">
      <c r="A128" s="129" t="s">
        <v>148</v>
      </c>
      <c r="B128" s="131">
        <v>43.7</v>
      </c>
      <c r="C128" s="131">
        <v>49.7</v>
      </c>
      <c r="D128" s="131">
        <v>56.3</v>
      </c>
      <c r="E128" s="131">
        <v>49.4</v>
      </c>
      <c r="F128" s="131">
        <v>51.8</v>
      </c>
      <c r="G128" s="131">
        <v>29.4</v>
      </c>
      <c r="H128" s="131">
        <v>22.9</v>
      </c>
      <c r="I128" s="131">
        <v>11.3</v>
      </c>
      <c r="J128" s="131">
        <v>5</v>
      </c>
      <c r="K128" s="131">
        <v>-1</v>
      </c>
      <c r="L128" s="131">
        <v>-6.9</v>
      </c>
      <c r="M128" s="131">
        <v>-1</v>
      </c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2"/>
      <c r="AH128" s="48">
        <f t="shared" si="27"/>
        <v>56.3</v>
      </c>
      <c r="AI128" s="49">
        <f t="shared" si="28"/>
        <v>-6.9</v>
      </c>
    </row>
    <row r="129" spans="1:37" ht="15.75" thickBot="1" x14ac:dyDescent="0.3">
      <c r="A129" s="129" t="s">
        <v>149</v>
      </c>
      <c r="B129" s="131">
        <v>31.8</v>
      </c>
      <c r="C129" s="131">
        <v>40.9</v>
      </c>
      <c r="D129" s="131">
        <v>34.299999999999997</v>
      </c>
      <c r="E129" s="131">
        <v>24.5</v>
      </c>
      <c r="F129" s="131">
        <v>22.4</v>
      </c>
      <c r="G129" s="131">
        <v>19</v>
      </c>
      <c r="H129" s="131">
        <v>11.5</v>
      </c>
      <c r="I129" s="131">
        <v>13.5</v>
      </c>
      <c r="J129" s="131">
        <v>17.5</v>
      </c>
      <c r="K129" s="131">
        <v>26.3</v>
      </c>
      <c r="L129" s="131">
        <v>32.5</v>
      </c>
      <c r="M129" s="131">
        <v>53.1</v>
      </c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28"/>
      <c r="AH129" s="48">
        <f>MAX(B129:AF129)</f>
        <v>53.1</v>
      </c>
      <c r="AI129" s="49">
        <f>MIN(B129:AF129)</f>
        <v>11.5</v>
      </c>
    </row>
    <row r="130" spans="1:37" x14ac:dyDescent="0.25">
      <c r="A130" s="126" t="s">
        <v>150</v>
      </c>
      <c r="B130" s="131">
        <v>-363.9</v>
      </c>
      <c r="C130" s="131">
        <v>-351.6</v>
      </c>
      <c r="D130" s="131">
        <v>-353</v>
      </c>
      <c r="E130" s="131">
        <v>-353</v>
      </c>
      <c r="F130" s="131">
        <v>-352.5</v>
      </c>
      <c r="G130" s="131">
        <v>-346.7</v>
      </c>
      <c r="H130" s="131">
        <v>-348.5</v>
      </c>
      <c r="I130" s="131">
        <v>-344.8</v>
      </c>
      <c r="J130" s="131">
        <v>-342</v>
      </c>
      <c r="K130" s="131">
        <v>-328.2</v>
      </c>
      <c r="L130" s="131">
        <v>-338</v>
      </c>
      <c r="M130" s="131">
        <v>-316.8</v>
      </c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28"/>
      <c r="AH130" s="48">
        <f>MAX(B130:AF130)</f>
        <v>-316.8</v>
      </c>
      <c r="AI130" s="49">
        <f>MIN(B130:AF130)</f>
        <v>-363.9</v>
      </c>
    </row>
    <row r="131" spans="1:37" x14ac:dyDescent="0.25">
      <c r="A131" s="129" t="s">
        <v>151</v>
      </c>
      <c r="B131" s="119">
        <v>97.1</v>
      </c>
      <c r="C131" s="119">
        <v>104.1</v>
      </c>
      <c r="D131" s="119">
        <v>104.9</v>
      </c>
      <c r="E131" s="119">
        <v>102.6</v>
      </c>
      <c r="F131" s="119">
        <v>105</v>
      </c>
      <c r="G131" s="119">
        <v>106</v>
      </c>
      <c r="H131" s="119">
        <v>113.9</v>
      </c>
      <c r="I131" s="119">
        <v>104</v>
      </c>
      <c r="J131" s="119">
        <v>106</v>
      </c>
      <c r="K131" s="119">
        <v>108</v>
      </c>
      <c r="L131" s="119">
        <v>100</v>
      </c>
      <c r="M131" s="119">
        <v>100.1</v>
      </c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28"/>
      <c r="AH131" s="48">
        <f>MAX(B131:AF131)</f>
        <v>113.9</v>
      </c>
      <c r="AI131" s="49">
        <f>MIN(B131:AF131)</f>
        <v>97.1</v>
      </c>
    </row>
    <row r="132" spans="1:37" x14ac:dyDescent="0.25">
      <c r="A132" s="129" t="s">
        <v>152</v>
      </c>
      <c r="B132" s="119">
        <v>-26.3</v>
      </c>
      <c r="C132" s="119">
        <v>-34</v>
      </c>
      <c r="D132" s="119">
        <v>-28.5</v>
      </c>
      <c r="E132" s="119">
        <v>-25</v>
      </c>
      <c r="F132" s="119">
        <v>-22</v>
      </c>
      <c r="G132" s="119">
        <v>-21.6</v>
      </c>
      <c r="H132" s="119">
        <v>-27.6</v>
      </c>
      <c r="I132" s="119">
        <v>-28.9</v>
      </c>
      <c r="J132" s="119">
        <v>-31</v>
      </c>
      <c r="K132" s="119">
        <v>-33.5</v>
      </c>
      <c r="L132" s="119">
        <v>-32.9</v>
      </c>
      <c r="M132" s="119">
        <v>-34.1</v>
      </c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28"/>
      <c r="AH132" s="48">
        <f>MAX(B132:AF132)</f>
        <v>-21.6</v>
      </c>
      <c r="AI132" s="49">
        <f>MIN(B132:AF132)</f>
        <v>-34.1</v>
      </c>
    </row>
    <row r="133" spans="1:37" ht="15.75" thickBot="1" x14ac:dyDescent="0.3">
      <c r="A133" s="129" t="s">
        <v>153</v>
      </c>
      <c r="B133" s="119">
        <v>46</v>
      </c>
      <c r="C133" s="119">
        <v>41.8</v>
      </c>
      <c r="D133" s="119">
        <v>48</v>
      </c>
      <c r="E133" s="119">
        <v>46.7</v>
      </c>
      <c r="F133" s="119">
        <v>48.4</v>
      </c>
      <c r="G133" s="119">
        <v>47.7</v>
      </c>
      <c r="H133" s="119">
        <v>45.4</v>
      </c>
      <c r="I133" s="119">
        <v>44</v>
      </c>
      <c r="J133" s="119">
        <v>44</v>
      </c>
      <c r="K133" s="119">
        <v>43.5</v>
      </c>
      <c r="L133" s="119">
        <v>43.9</v>
      </c>
      <c r="M133" s="119">
        <v>39.700000000000003</v>
      </c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28"/>
      <c r="AH133" s="48">
        <f>MAX(B133:AF133)</f>
        <v>48.4</v>
      </c>
      <c r="AI133" s="49">
        <f>MIN(B133:AF133)</f>
        <v>39.700000000000003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1502.55</v>
      </c>
      <c r="C140" s="142"/>
      <c r="D140" s="142"/>
      <c r="E140" s="142">
        <v>1502.59</v>
      </c>
      <c r="F140" s="142">
        <v>1502.6</v>
      </c>
      <c r="G140" s="142"/>
      <c r="H140" s="142"/>
      <c r="I140" s="142">
        <v>1502.63</v>
      </c>
      <c r="J140" s="142"/>
      <c r="K140" s="142">
        <v>1502.64</v>
      </c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1">SUM(B142:B246)</f>
        <v>0</v>
      </c>
      <c r="C247" s="161">
        <f t="shared" si="41"/>
        <v>0</v>
      </c>
      <c r="D247" s="161">
        <f t="shared" si="41"/>
        <v>0</v>
      </c>
      <c r="E247" s="161">
        <f t="shared" si="41"/>
        <v>0</v>
      </c>
      <c r="F247" s="161">
        <f t="shared" si="41"/>
        <v>0</v>
      </c>
      <c r="G247" s="161">
        <f t="shared" si="41"/>
        <v>0</v>
      </c>
      <c r="H247" s="161">
        <f t="shared" si="41"/>
        <v>0</v>
      </c>
      <c r="I247" s="161">
        <f t="shared" si="41"/>
        <v>0</v>
      </c>
      <c r="J247" s="161">
        <f t="shared" si="41"/>
        <v>0</v>
      </c>
      <c r="K247" s="161">
        <f t="shared" si="41"/>
        <v>0</v>
      </c>
      <c r="L247" s="161">
        <f t="shared" si="41"/>
        <v>0</v>
      </c>
      <c r="M247" s="161">
        <f t="shared" si="41"/>
        <v>0</v>
      </c>
      <c r="N247" s="161">
        <f t="shared" si="41"/>
        <v>0</v>
      </c>
      <c r="O247" s="161">
        <f t="shared" si="41"/>
        <v>0</v>
      </c>
      <c r="P247" s="161">
        <f t="shared" si="41"/>
        <v>0</v>
      </c>
      <c r="Q247" s="161">
        <f t="shared" si="41"/>
        <v>0</v>
      </c>
      <c r="R247" s="161">
        <f t="shared" si="41"/>
        <v>0</v>
      </c>
      <c r="S247" s="161">
        <f t="shared" si="41"/>
        <v>0</v>
      </c>
      <c r="T247" s="161">
        <f t="shared" si="41"/>
        <v>0</v>
      </c>
      <c r="U247" s="161">
        <f t="shared" si="41"/>
        <v>0</v>
      </c>
      <c r="V247" s="161">
        <f t="shared" si="41"/>
        <v>0</v>
      </c>
      <c r="W247" s="161">
        <f t="shared" si="41"/>
        <v>0</v>
      </c>
      <c r="X247" s="161">
        <f t="shared" si="41"/>
        <v>0</v>
      </c>
      <c r="Y247" s="161">
        <f t="shared" si="41"/>
        <v>0</v>
      </c>
      <c r="Z247" s="161">
        <f t="shared" si="41"/>
        <v>0</v>
      </c>
      <c r="AA247" s="161">
        <f t="shared" si="41"/>
        <v>0</v>
      </c>
      <c r="AB247" s="161">
        <f t="shared" si="41"/>
        <v>0</v>
      </c>
      <c r="AC247" s="161">
        <f t="shared" si="41"/>
        <v>0</v>
      </c>
      <c r="AD247" s="161">
        <f t="shared" si="41"/>
        <v>0</v>
      </c>
      <c r="AE247" s="161">
        <f t="shared" si="41"/>
        <v>0</v>
      </c>
      <c r="AF247" s="162">
        <f t="shared" si="41"/>
        <v>0</v>
      </c>
      <c r="AG247" s="163">
        <f t="shared" si="41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2">AF249</f>
        <v>0.3</v>
      </c>
      <c r="C249" s="166">
        <v>0.3</v>
      </c>
      <c r="D249" s="166">
        <f t="shared" ref="D249:S254" si="43">C249</f>
        <v>0.3</v>
      </c>
      <c r="E249" s="166">
        <f t="shared" si="43"/>
        <v>0.3</v>
      </c>
      <c r="F249" s="166">
        <f t="shared" si="43"/>
        <v>0.3</v>
      </c>
      <c r="G249" s="166">
        <f t="shared" si="43"/>
        <v>0.3</v>
      </c>
      <c r="H249" s="166">
        <f t="shared" si="43"/>
        <v>0.3</v>
      </c>
      <c r="I249" s="166">
        <f t="shared" si="43"/>
        <v>0.3</v>
      </c>
      <c r="J249" s="166">
        <f t="shared" si="43"/>
        <v>0.3</v>
      </c>
      <c r="K249" s="166">
        <f t="shared" si="43"/>
        <v>0.3</v>
      </c>
      <c r="L249" s="166">
        <f t="shared" si="43"/>
        <v>0.3</v>
      </c>
      <c r="M249" s="166">
        <f t="shared" si="43"/>
        <v>0.3</v>
      </c>
      <c r="N249" s="166">
        <f t="shared" si="43"/>
        <v>0.3</v>
      </c>
      <c r="O249" s="166">
        <f t="shared" si="43"/>
        <v>0.3</v>
      </c>
      <c r="P249" s="166">
        <f t="shared" si="43"/>
        <v>0.3</v>
      </c>
      <c r="Q249" s="166">
        <f t="shared" si="43"/>
        <v>0.3</v>
      </c>
      <c r="R249" s="166">
        <f t="shared" si="43"/>
        <v>0.3</v>
      </c>
      <c r="S249" s="166">
        <f t="shared" si="43"/>
        <v>0.3</v>
      </c>
      <c r="T249" s="166">
        <f t="shared" ref="T249:AF254" si="44">S249</f>
        <v>0.3</v>
      </c>
      <c r="U249" s="166">
        <f t="shared" si="44"/>
        <v>0.3</v>
      </c>
      <c r="V249" s="166">
        <f t="shared" si="44"/>
        <v>0.3</v>
      </c>
      <c r="W249" s="166">
        <f t="shared" si="44"/>
        <v>0.3</v>
      </c>
      <c r="X249" s="166">
        <f t="shared" si="44"/>
        <v>0.3</v>
      </c>
      <c r="Y249" s="166">
        <f t="shared" si="44"/>
        <v>0.3</v>
      </c>
      <c r="Z249" s="166">
        <f t="shared" si="44"/>
        <v>0.3</v>
      </c>
      <c r="AA249" s="166">
        <f t="shared" si="44"/>
        <v>0.3</v>
      </c>
      <c r="AB249" s="166">
        <f t="shared" si="44"/>
        <v>0.3</v>
      </c>
      <c r="AC249" s="166">
        <f t="shared" si="44"/>
        <v>0.3</v>
      </c>
      <c r="AD249" s="166">
        <f t="shared" si="44"/>
        <v>0.3</v>
      </c>
      <c r="AE249" s="166">
        <f t="shared" si="44"/>
        <v>0.3</v>
      </c>
      <c r="AF249" s="166">
        <f t="shared" si="44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2"/>
        <v>0.4</v>
      </c>
      <c r="C250" s="152">
        <v>0.4</v>
      </c>
      <c r="D250" s="152">
        <f t="shared" si="43"/>
        <v>0.4</v>
      </c>
      <c r="E250" s="152">
        <f t="shared" si="43"/>
        <v>0.4</v>
      </c>
      <c r="F250" s="152">
        <f t="shared" si="43"/>
        <v>0.4</v>
      </c>
      <c r="G250" s="152">
        <f t="shared" si="43"/>
        <v>0.4</v>
      </c>
      <c r="H250" s="152">
        <f t="shared" si="43"/>
        <v>0.4</v>
      </c>
      <c r="I250" s="152">
        <f t="shared" si="43"/>
        <v>0.4</v>
      </c>
      <c r="J250" s="152">
        <f t="shared" si="43"/>
        <v>0.4</v>
      </c>
      <c r="K250" s="152">
        <f t="shared" si="43"/>
        <v>0.4</v>
      </c>
      <c r="L250" s="152">
        <f t="shared" si="43"/>
        <v>0.4</v>
      </c>
      <c r="M250" s="152">
        <f t="shared" si="43"/>
        <v>0.4</v>
      </c>
      <c r="N250" s="152">
        <f t="shared" si="43"/>
        <v>0.4</v>
      </c>
      <c r="O250" s="152">
        <f t="shared" si="43"/>
        <v>0.4</v>
      </c>
      <c r="P250" s="152">
        <f t="shared" si="43"/>
        <v>0.4</v>
      </c>
      <c r="Q250" s="152">
        <f t="shared" si="43"/>
        <v>0.4</v>
      </c>
      <c r="R250" s="152">
        <f t="shared" si="43"/>
        <v>0.4</v>
      </c>
      <c r="S250" s="152">
        <f t="shared" si="43"/>
        <v>0.4</v>
      </c>
      <c r="T250" s="152">
        <f t="shared" si="44"/>
        <v>0.4</v>
      </c>
      <c r="U250" s="152">
        <f t="shared" si="44"/>
        <v>0.4</v>
      </c>
      <c r="V250" s="152">
        <f t="shared" si="44"/>
        <v>0.4</v>
      </c>
      <c r="W250" s="152">
        <f t="shared" si="44"/>
        <v>0.4</v>
      </c>
      <c r="X250" s="152">
        <f t="shared" si="44"/>
        <v>0.4</v>
      </c>
      <c r="Y250" s="152">
        <f t="shared" si="44"/>
        <v>0.4</v>
      </c>
      <c r="Z250" s="152">
        <f t="shared" si="44"/>
        <v>0.4</v>
      </c>
      <c r="AA250" s="152">
        <f t="shared" si="44"/>
        <v>0.4</v>
      </c>
      <c r="AB250" s="152">
        <f t="shared" si="44"/>
        <v>0.4</v>
      </c>
      <c r="AC250" s="152">
        <f t="shared" si="44"/>
        <v>0.4</v>
      </c>
      <c r="AD250" s="152">
        <f t="shared" si="44"/>
        <v>0.4</v>
      </c>
      <c r="AE250" s="152">
        <f t="shared" si="44"/>
        <v>0.4</v>
      </c>
      <c r="AF250" s="152">
        <f t="shared" si="44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2"/>
        <v>1.5</v>
      </c>
      <c r="C251" s="152">
        <v>1.5</v>
      </c>
      <c r="D251" s="152">
        <f t="shared" si="43"/>
        <v>1.5</v>
      </c>
      <c r="E251" s="152">
        <f t="shared" si="43"/>
        <v>1.5</v>
      </c>
      <c r="F251" s="152">
        <f t="shared" si="43"/>
        <v>1.5</v>
      </c>
      <c r="G251" s="152">
        <f t="shared" si="43"/>
        <v>1.5</v>
      </c>
      <c r="H251" s="152">
        <f t="shared" si="43"/>
        <v>1.5</v>
      </c>
      <c r="I251" s="152">
        <f t="shared" si="43"/>
        <v>1.5</v>
      </c>
      <c r="J251" s="152">
        <f t="shared" si="43"/>
        <v>1.5</v>
      </c>
      <c r="K251" s="152">
        <f t="shared" si="43"/>
        <v>1.5</v>
      </c>
      <c r="L251" s="152">
        <f t="shared" si="43"/>
        <v>1.5</v>
      </c>
      <c r="M251" s="152">
        <f t="shared" si="43"/>
        <v>1.5</v>
      </c>
      <c r="N251" s="152">
        <f t="shared" si="43"/>
        <v>1.5</v>
      </c>
      <c r="O251" s="152">
        <f t="shared" si="43"/>
        <v>1.5</v>
      </c>
      <c r="P251" s="152">
        <f t="shared" si="43"/>
        <v>1.5</v>
      </c>
      <c r="Q251" s="152">
        <f t="shared" si="43"/>
        <v>1.5</v>
      </c>
      <c r="R251" s="152">
        <f t="shared" si="43"/>
        <v>1.5</v>
      </c>
      <c r="S251" s="152">
        <f t="shared" si="43"/>
        <v>1.5</v>
      </c>
      <c r="T251" s="152">
        <f t="shared" si="44"/>
        <v>1.5</v>
      </c>
      <c r="U251" s="152">
        <f t="shared" si="44"/>
        <v>1.5</v>
      </c>
      <c r="V251" s="152">
        <f t="shared" si="44"/>
        <v>1.5</v>
      </c>
      <c r="W251" s="152">
        <f t="shared" si="44"/>
        <v>1.5</v>
      </c>
      <c r="X251" s="152">
        <f t="shared" si="44"/>
        <v>1.5</v>
      </c>
      <c r="Y251" s="152">
        <f t="shared" si="44"/>
        <v>1.5</v>
      </c>
      <c r="Z251" s="152">
        <f t="shared" si="44"/>
        <v>1.5</v>
      </c>
      <c r="AA251" s="152">
        <f t="shared" si="44"/>
        <v>1.5</v>
      </c>
      <c r="AB251" s="152">
        <f t="shared" si="44"/>
        <v>1.5</v>
      </c>
      <c r="AC251" s="152">
        <f t="shared" si="44"/>
        <v>1.5</v>
      </c>
      <c r="AD251" s="152">
        <f t="shared" si="44"/>
        <v>1.5</v>
      </c>
      <c r="AE251" s="152">
        <f t="shared" si="44"/>
        <v>1.5</v>
      </c>
      <c r="AF251" s="152">
        <f t="shared" si="44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2"/>
        <v>0.3</v>
      </c>
      <c r="C252" s="152">
        <v>0.3</v>
      </c>
      <c r="D252" s="152">
        <f t="shared" si="43"/>
        <v>0.3</v>
      </c>
      <c r="E252" s="152">
        <f t="shared" si="43"/>
        <v>0.3</v>
      </c>
      <c r="F252" s="152">
        <f t="shared" si="43"/>
        <v>0.3</v>
      </c>
      <c r="G252" s="152">
        <f t="shared" si="43"/>
        <v>0.3</v>
      </c>
      <c r="H252" s="152">
        <f t="shared" si="43"/>
        <v>0.3</v>
      </c>
      <c r="I252" s="152">
        <f t="shared" si="43"/>
        <v>0.3</v>
      </c>
      <c r="J252" s="152">
        <f t="shared" si="43"/>
        <v>0.3</v>
      </c>
      <c r="K252" s="152">
        <f t="shared" si="43"/>
        <v>0.3</v>
      </c>
      <c r="L252" s="152">
        <f t="shared" si="43"/>
        <v>0.3</v>
      </c>
      <c r="M252" s="152">
        <f t="shared" si="43"/>
        <v>0.3</v>
      </c>
      <c r="N252" s="152">
        <f t="shared" si="43"/>
        <v>0.3</v>
      </c>
      <c r="O252" s="152">
        <f t="shared" si="43"/>
        <v>0.3</v>
      </c>
      <c r="P252" s="152">
        <f t="shared" si="43"/>
        <v>0.3</v>
      </c>
      <c r="Q252" s="152">
        <f t="shared" si="43"/>
        <v>0.3</v>
      </c>
      <c r="R252" s="152">
        <f t="shared" si="43"/>
        <v>0.3</v>
      </c>
      <c r="S252" s="152">
        <f t="shared" si="43"/>
        <v>0.3</v>
      </c>
      <c r="T252" s="152">
        <f t="shared" si="44"/>
        <v>0.3</v>
      </c>
      <c r="U252" s="152">
        <f t="shared" si="44"/>
        <v>0.3</v>
      </c>
      <c r="V252" s="152">
        <f t="shared" si="44"/>
        <v>0.3</v>
      </c>
      <c r="W252" s="152">
        <f t="shared" si="44"/>
        <v>0.3</v>
      </c>
      <c r="X252" s="152">
        <f t="shared" si="44"/>
        <v>0.3</v>
      </c>
      <c r="Y252" s="152">
        <f t="shared" si="44"/>
        <v>0.3</v>
      </c>
      <c r="Z252" s="152">
        <f t="shared" si="44"/>
        <v>0.3</v>
      </c>
      <c r="AA252" s="152">
        <f t="shared" si="44"/>
        <v>0.3</v>
      </c>
      <c r="AB252" s="152">
        <f t="shared" si="44"/>
        <v>0.3</v>
      </c>
      <c r="AC252" s="152">
        <f t="shared" si="44"/>
        <v>0.3</v>
      </c>
      <c r="AD252" s="152">
        <f t="shared" si="44"/>
        <v>0.3</v>
      </c>
      <c r="AE252" s="152">
        <f t="shared" si="44"/>
        <v>0.3</v>
      </c>
      <c r="AF252" s="152">
        <f t="shared" si="44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2"/>
        <v>0.4</v>
      </c>
      <c r="C253" s="152">
        <v>0.4</v>
      </c>
      <c r="D253" s="152">
        <f t="shared" si="43"/>
        <v>0.4</v>
      </c>
      <c r="E253" s="152">
        <f t="shared" si="43"/>
        <v>0.4</v>
      </c>
      <c r="F253" s="152">
        <f t="shared" si="43"/>
        <v>0.4</v>
      </c>
      <c r="G253" s="152">
        <f t="shared" si="43"/>
        <v>0.4</v>
      </c>
      <c r="H253" s="152">
        <f t="shared" si="43"/>
        <v>0.4</v>
      </c>
      <c r="I253" s="152">
        <f t="shared" si="43"/>
        <v>0.4</v>
      </c>
      <c r="J253" s="152">
        <f t="shared" si="43"/>
        <v>0.4</v>
      </c>
      <c r="K253" s="152">
        <f t="shared" si="43"/>
        <v>0.4</v>
      </c>
      <c r="L253" s="152">
        <f t="shared" si="43"/>
        <v>0.4</v>
      </c>
      <c r="M253" s="152">
        <f t="shared" si="43"/>
        <v>0.4</v>
      </c>
      <c r="N253" s="152">
        <f t="shared" si="43"/>
        <v>0.4</v>
      </c>
      <c r="O253" s="152">
        <f t="shared" si="43"/>
        <v>0.4</v>
      </c>
      <c r="P253" s="152">
        <f t="shared" si="43"/>
        <v>0.4</v>
      </c>
      <c r="Q253" s="152">
        <f t="shared" si="43"/>
        <v>0.4</v>
      </c>
      <c r="R253" s="152">
        <f t="shared" si="43"/>
        <v>0.4</v>
      </c>
      <c r="S253" s="152">
        <f t="shared" si="43"/>
        <v>0.4</v>
      </c>
      <c r="T253" s="152">
        <f t="shared" si="44"/>
        <v>0.4</v>
      </c>
      <c r="U253" s="152">
        <f t="shared" si="44"/>
        <v>0.4</v>
      </c>
      <c r="V253" s="152">
        <f t="shared" si="44"/>
        <v>0.4</v>
      </c>
      <c r="W253" s="152">
        <f t="shared" si="44"/>
        <v>0.4</v>
      </c>
      <c r="X253" s="152">
        <f t="shared" si="44"/>
        <v>0.4</v>
      </c>
      <c r="Y253" s="152">
        <f t="shared" si="44"/>
        <v>0.4</v>
      </c>
      <c r="Z253" s="152">
        <f t="shared" si="44"/>
        <v>0.4</v>
      </c>
      <c r="AA253" s="152">
        <f t="shared" si="44"/>
        <v>0.4</v>
      </c>
      <c r="AB253" s="152">
        <f t="shared" si="44"/>
        <v>0.4</v>
      </c>
      <c r="AC253" s="152">
        <f t="shared" si="44"/>
        <v>0.4</v>
      </c>
      <c r="AD253" s="152">
        <f t="shared" si="44"/>
        <v>0.4</v>
      </c>
      <c r="AE253" s="152">
        <f t="shared" si="44"/>
        <v>0.4</v>
      </c>
      <c r="AF253" s="152">
        <f t="shared" si="44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2"/>
        <v>0.64</v>
      </c>
      <c r="C254" s="157">
        <v>0.64</v>
      </c>
      <c r="D254" s="157">
        <f t="shared" si="43"/>
        <v>0.64</v>
      </c>
      <c r="E254" s="157">
        <f t="shared" si="43"/>
        <v>0.64</v>
      </c>
      <c r="F254" s="157">
        <f t="shared" si="43"/>
        <v>0.64</v>
      </c>
      <c r="G254" s="157">
        <f t="shared" si="43"/>
        <v>0.64</v>
      </c>
      <c r="H254" s="157">
        <f t="shared" si="43"/>
        <v>0.64</v>
      </c>
      <c r="I254" s="157">
        <f t="shared" si="43"/>
        <v>0.64</v>
      </c>
      <c r="J254" s="157">
        <f t="shared" si="43"/>
        <v>0.64</v>
      </c>
      <c r="K254" s="157">
        <f t="shared" si="43"/>
        <v>0.64</v>
      </c>
      <c r="L254" s="157">
        <f t="shared" si="43"/>
        <v>0.64</v>
      </c>
      <c r="M254" s="157">
        <f t="shared" si="43"/>
        <v>0.64</v>
      </c>
      <c r="N254" s="157">
        <f t="shared" si="43"/>
        <v>0.64</v>
      </c>
      <c r="O254" s="157">
        <f t="shared" si="43"/>
        <v>0.64</v>
      </c>
      <c r="P254" s="157">
        <f t="shared" si="43"/>
        <v>0.64</v>
      </c>
      <c r="Q254" s="157">
        <f t="shared" si="43"/>
        <v>0.64</v>
      </c>
      <c r="R254" s="157">
        <f t="shared" si="43"/>
        <v>0.64</v>
      </c>
      <c r="S254" s="157">
        <f t="shared" si="43"/>
        <v>0.64</v>
      </c>
      <c r="T254" s="157">
        <f t="shared" si="44"/>
        <v>0.64</v>
      </c>
      <c r="U254" s="157">
        <f t="shared" si="44"/>
        <v>0.64</v>
      </c>
      <c r="V254" s="157">
        <f t="shared" si="44"/>
        <v>0.64</v>
      </c>
      <c r="W254" s="157">
        <f t="shared" si="44"/>
        <v>0.64</v>
      </c>
      <c r="X254" s="157">
        <f t="shared" si="44"/>
        <v>0.64</v>
      </c>
      <c r="Y254" s="157">
        <f t="shared" si="44"/>
        <v>0.64</v>
      </c>
      <c r="Z254" s="157">
        <f t="shared" si="44"/>
        <v>0.64</v>
      </c>
      <c r="AA254" s="157">
        <f t="shared" si="44"/>
        <v>0.64</v>
      </c>
      <c r="AB254" s="157">
        <f t="shared" si="44"/>
        <v>0.64</v>
      </c>
      <c r="AC254" s="157">
        <f t="shared" si="44"/>
        <v>0.64</v>
      </c>
      <c r="AD254" s="157">
        <f t="shared" si="44"/>
        <v>0.64</v>
      </c>
      <c r="AE254" s="157">
        <f t="shared" si="44"/>
        <v>0.64</v>
      </c>
      <c r="AF254" s="157">
        <f t="shared" si="44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5">SUM(B249:B254)</f>
        <v>3.54</v>
      </c>
      <c r="C255" s="161">
        <f t="shared" si="45"/>
        <v>3.54</v>
      </c>
      <c r="D255" s="161">
        <f t="shared" si="45"/>
        <v>3.54</v>
      </c>
      <c r="E255" s="161">
        <f t="shared" si="45"/>
        <v>3.54</v>
      </c>
      <c r="F255" s="161">
        <f t="shared" si="45"/>
        <v>3.54</v>
      </c>
      <c r="G255" s="161">
        <f t="shared" si="45"/>
        <v>3.54</v>
      </c>
      <c r="H255" s="161">
        <f t="shared" si="45"/>
        <v>3.54</v>
      </c>
      <c r="I255" s="161">
        <f t="shared" si="45"/>
        <v>3.54</v>
      </c>
      <c r="J255" s="161">
        <f t="shared" si="45"/>
        <v>3.54</v>
      </c>
      <c r="K255" s="161">
        <f t="shared" si="45"/>
        <v>3.54</v>
      </c>
      <c r="L255" s="161">
        <f t="shared" si="45"/>
        <v>3.54</v>
      </c>
      <c r="M255" s="161">
        <f t="shared" si="45"/>
        <v>3.54</v>
      </c>
      <c r="N255" s="161">
        <f t="shared" si="45"/>
        <v>3.54</v>
      </c>
      <c r="O255" s="161">
        <f t="shared" si="45"/>
        <v>3.54</v>
      </c>
      <c r="P255" s="161">
        <f t="shared" si="45"/>
        <v>3.54</v>
      </c>
      <c r="Q255" s="161">
        <f t="shared" si="45"/>
        <v>3.54</v>
      </c>
      <c r="R255" s="161">
        <f t="shared" si="45"/>
        <v>3.54</v>
      </c>
      <c r="S255" s="161">
        <f t="shared" si="45"/>
        <v>3.54</v>
      </c>
      <c r="T255" s="161">
        <f t="shared" si="45"/>
        <v>3.54</v>
      </c>
      <c r="U255" s="161">
        <f t="shared" si="45"/>
        <v>3.54</v>
      </c>
      <c r="V255" s="161">
        <f t="shared" si="45"/>
        <v>3.54</v>
      </c>
      <c r="W255" s="161">
        <f t="shared" si="45"/>
        <v>3.54</v>
      </c>
      <c r="X255" s="161">
        <f t="shared" si="45"/>
        <v>3.54</v>
      </c>
      <c r="Y255" s="161">
        <f t="shared" si="45"/>
        <v>3.54</v>
      </c>
      <c r="Z255" s="161">
        <f t="shared" si="45"/>
        <v>3.54</v>
      </c>
      <c r="AA255" s="161">
        <f t="shared" si="45"/>
        <v>3.54</v>
      </c>
      <c r="AB255" s="161">
        <f t="shared" si="45"/>
        <v>3.54</v>
      </c>
      <c r="AC255" s="161">
        <f t="shared" si="45"/>
        <v>3.54</v>
      </c>
      <c r="AD255" s="161">
        <f t="shared" si="45"/>
        <v>3.54</v>
      </c>
      <c r="AE255" s="161">
        <f t="shared" si="45"/>
        <v>3.54</v>
      </c>
      <c r="AF255" s="161">
        <f t="shared" si="45"/>
        <v>3.54</v>
      </c>
      <c r="AG255" s="171">
        <f t="shared" si="45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2185.9399999999996</v>
      </c>
      <c r="C259" s="174">
        <f>INDEX(G9:N9,1,MATCH(MAX(G102:N102),G102:N102,0))</f>
        <v>0.3125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str">
        <f ca="1">"Pie Chart of Daily Peak Demand(Inclusive of Export) of Nepal ("&amp;A4&amp;" "&amp;B4&amp;")"</f>
        <v>Pie Chart of Daily Peak Demand(Inclusive of Export) of Nepal (Nepali Date: 2080/10/45383)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N90:AN91"/>
    <mergeCell ref="AB9:AB10"/>
    <mergeCell ref="AC9:AC10"/>
    <mergeCell ref="AD9:AD10"/>
    <mergeCell ref="AE9:AE10"/>
    <mergeCell ref="AF9:AF10"/>
    <mergeCell ref="AG9:AG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385" priority="80">
      <formula>$AH11=0</formula>
    </cfRule>
  </conditionalFormatting>
  <conditionalFormatting sqref="A89">
    <cfRule type="expression" dxfId="384" priority="138">
      <formula>$AH94=0</formula>
    </cfRule>
  </conditionalFormatting>
  <conditionalFormatting sqref="A90:A94">
    <cfRule type="expression" dxfId="383" priority="81">
      <formula>$AH89=0</formula>
    </cfRule>
  </conditionalFormatting>
  <conditionalFormatting sqref="B8">
    <cfRule type="expression" dxfId="382" priority="134">
      <formula>AND(C$9&gt;=14/24,C$9&lt;20/24)</formula>
    </cfRule>
    <cfRule type="expression" dxfId="381" priority="135">
      <formula>AND(C$9&gt;=8/24,C$9&lt;14/24)</formula>
    </cfRule>
    <cfRule type="expression" dxfId="380" priority="136">
      <formula>C$9&lt;8/24</formula>
    </cfRule>
    <cfRule type="expression" dxfId="379" priority="137">
      <formula>C$9&gt;=20/24</formula>
    </cfRule>
  </conditionalFormatting>
  <conditionalFormatting sqref="B11:D60 Y15:AF59 M16:M58 I26:I60 E27:H60 J27:L60 N43:X58 M59:X60 AA60:AF60 E11 E12:J15 K15:V15 W15:X42 G16:L19 E16:F26 N16:V42 G20:J25 K20:L26 G26:H26 J26 B61:AG61 B62:AF64 B65:AG65 B66:AF83 AG83">
    <cfRule type="expression" dxfId="378" priority="40">
      <formula>B11&gt;$AG11</formula>
    </cfRule>
  </conditionalFormatting>
  <conditionalFormatting sqref="B9:AF10 E11 B11:D57 E12:J15 K15:X15 E16:X57 B62:D71 B72:AF77 B80:AF102 B104:AF120 B122:AF140 B247:AF247 B249:B255">
    <cfRule type="expression" dxfId="377" priority="42">
      <formula>AND(B$9&gt;=14/24,B$9&lt;20/24)</formula>
    </cfRule>
    <cfRule type="expression" dxfId="376" priority="43">
      <formula>AND(B$9&gt;=8/24,B$9&lt;14/24)</formula>
    </cfRule>
    <cfRule type="expression" dxfId="375" priority="44">
      <formula>B$9&lt;8/24</formula>
    </cfRule>
  </conditionalFormatting>
  <conditionalFormatting sqref="B58:AF60">
    <cfRule type="expression" dxfId="374" priority="37">
      <formula>B$9&gt;=20/24</formula>
    </cfRule>
    <cfRule type="expression" dxfId="373" priority="38">
      <formula>AND(B$9&gt;=14/24,B$9&lt;20/24)</formula>
    </cfRule>
    <cfRule type="expression" dxfId="372" priority="39">
      <formula>AND(B$9&gt;=8/24,B$9&lt;14/24)</formula>
    </cfRule>
    <cfRule type="expression" dxfId="371" priority="49">
      <formula>B$9&lt;8/24</formula>
    </cfRule>
  </conditionalFormatting>
  <conditionalFormatting sqref="D249:AF255">
    <cfRule type="expression" dxfId="370" priority="119">
      <formula>D$9&gt;=20/24</formula>
    </cfRule>
    <cfRule type="expression" dxfId="369" priority="120">
      <formula>AND(D$9&gt;=14/24,D$9&lt;20/24)</formula>
    </cfRule>
    <cfRule type="expression" dxfId="368" priority="121">
      <formula>AND(D$9&gt;=8/24,D$9&lt;14/24)</formula>
    </cfRule>
    <cfRule type="expression" dxfId="367" priority="122">
      <formula>D$9&lt;8/24</formula>
    </cfRule>
  </conditionalFormatting>
  <conditionalFormatting sqref="E11 B11:D57 E12:J15 K15:X15 E16:X57 B62:D71 B72:AF77 B80:AF102 B9:AF10 B104:AF120 B122:AF140 B247:AF247 B249:B255">
    <cfRule type="expression" dxfId="366" priority="41">
      <formula>B$9&gt;=20/24</formula>
    </cfRule>
  </conditionalFormatting>
  <conditionalFormatting sqref="E66:M71">
    <cfRule type="expression" dxfId="365" priority="45">
      <formula>E$9&gt;=20/24</formula>
    </cfRule>
    <cfRule type="expression" dxfId="364" priority="46">
      <formula>AND(E$9&gt;=14/24,E$9&lt;20/24)</formula>
    </cfRule>
    <cfRule type="expression" dxfId="363" priority="47">
      <formula>AND(E$9&gt;=8/24,E$9&lt;14/24)</formula>
    </cfRule>
    <cfRule type="expression" dxfId="362" priority="48">
      <formula>E$9&lt;8/24</formula>
    </cfRule>
  </conditionalFormatting>
  <conditionalFormatting sqref="E11:AF11 K12:AF14 Y15:AF57">
    <cfRule type="expression" dxfId="361" priority="55">
      <formula>E$9&gt;=20/24</formula>
    </cfRule>
    <cfRule type="expression" dxfId="360" priority="56">
      <formula>AND(E$9&gt;=14/24,E$9&lt;20/24)</formula>
    </cfRule>
    <cfRule type="expression" dxfId="359" priority="57">
      <formula>AND(E$9&gt;=8/24,E$9&lt;14/24)</formula>
    </cfRule>
    <cfRule type="expression" dxfId="358" priority="58">
      <formula>E$9&lt;8/24</formula>
    </cfRule>
  </conditionalFormatting>
  <conditionalFormatting sqref="E11:AF11 K12:AF14">
    <cfRule type="expression" dxfId="357" priority="54">
      <formula>E11&gt;$AG11</formula>
    </cfRule>
  </conditionalFormatting>
  <conditionalFormatting sqref="E62:AF65">
    <cfRule type="expression" dxfId="356" priority="60">
      <formula>E$9&gt;=20/24</formula>
    </cfRule>
    <cfRule type="expression" dxfId="355" priority="61">
      <formula>AND(E$9&gt;=14/24,E$9&lt;20/24)</formula>
    </cfRule>
    <cfRule type="expression" dxfId="354" priority="62">
      <formula>AND(E$9&gt;=8/24,E$9&lt;14/24)</formula>
    </cfRule>
    <cfRule type="expression" dxfId="353" priority="63">
      <formula>E$9&lt;8/24</formula>
    </cfRule>
  </conditionalFormatting>
  <conditionalFormatting sqref="F66:M68">
    <cfRule type="expression" dxfId="352" priority="72">
      <formula>F$9&gt;=20/24</formula>
    </cfRule>
    <cfRule type="expression" dxfId="351" priority="73">
      <formula>AND(F$9&gt;=14/24,F$9&lt;20/24)</formula>
    </cfRule>
    <cfRule type="expression" dxfId="350" priority="74">
      <formula>AND(F$9&gt;=8/24,F$9&lt;14/24)</formula>
    </cfRule>
    <cfRule type="expression" dxfId="349" priority="75">
      <formula>F$9&lt;8/24</formula>
    </cfRule>
  </conditionalFormatting>
  <conditionalFormatting sqref="L71:V71">
    <cfRule type="expression" dxfId="348" priority="68">
      <formula>L$9&gt;=20/24</formula>
    </cfRule>
    <cfRule type="expression" dxfId="347" priority="69">
      <formula>AND(L$9&gt;=14/24,L$9&lt;20/24)</formula>
    </cfRule>
    <cfRule type="expression" dxfId="346" priority="70">
      <formula>AND(L$9&gt;=8/24,L$9&lt;14/24)</formula>
    </cfRule>
    <cfRule type="expression" dxfId="345" priority="71">
      <formula>L$9&lt;8/24</formula>
    </cfRule>
  </conditionalFormatting>
  <conditionalFormatting sqref="M8 S8 AB8">
    <cfRule type="expression" dxfId="344" priority="126">
      <formula>AND(N$9&gt;=14/24,N$9&lt;20/24)</formula>
    </cfRule>
    <cfRule type="expression" dxfId="343" priority="127">
      <formula>AND(N$9&gt;=8/24,N$9&lt;14/24)</formula>
    </cfRule>
    <cfRule type="expression" dxfId="342" priority="128">
      <formula>N$9&lt;8/24</formula>
    </cfRule>
  </conditionalFormatting>
  <conditionalFormatting sqref="M66:V70">
    <cfRule type="expression" dxfId="341" priority="76">
      <formula>M$9&gt;=20/24</formula>
    </cfRule>
    <cfRule type="expression" dxfId="340" priority="77">
      <formula>AND(M$9&gt;=14/24,M$9&lt;20/24)</formula>
    </cfRule>
    <cfRule type="expression" dxfId="339" priority="78">
      <formula>AND(M$9&gt;=8/24,M$9&lt;14/24)</formula>
    </cfRule>
    <cfRule type="expression" dxfId="338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37" priority="125">
      <formula>N$9&gt;=20/24</formula>
    </cfRule>
  </conditionalFormatting>
  <conditionalFormatting sqref="S8">
    <cfRule type="expression" dxfId="336" priority="112">
      <formula>U$9&gt;=20/24</formula>
    </cfRule>
    <cfRule type="expression" dxfId="335" priority="113">
      <formula>AND(U$9&gt;=14/24,U$9&lt;20/24)</formula>
    </cfRule>
    <cfRule type="expression" dxfId="334" priority="114">
      <formula>AND(U$9&gt;=8/24,U$9&lt;14/24)</formula>
    </cfRule>
    <cfRule type="expression" dxfId="333" priority="115">
      <formula>U$9&lt;8/24</formula>
    </cfRule>
  </conditionalFormatting>
  <conditionalFormatting sqref="T66:AF71">
    <cfRule type="expression" dxfId="332" priority="64">
      <formula>T$9&gt;=20/24</formula>
    </cfRule>
    <cfRule type="expression" dxfId="331" priority="65">
      <formula>AND(T$9&gt;=14/24,T$9&lt;20/24)</formula>
    </cfRule>
    <cfRule type="expression" dxfId="330" priority="66">
      <formula>AND(T$9&gt;=8/24,T$9&lt;14/24)</formula>
    </cfRule>
    <cfRule type="expression" dxfId="329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59:Z60">
    <cfRule type="expression" dxfId="328" priority="59">
      <formula>Y59&gt;$AG59</formula>
    </cfRule>
  </conditionalFormatting>
  <conditionalFormatting sqref="AB8">
    <cfRule type="expression" dxfId="327" priority="108">
      <formula>AD$9&gt;=20/24</formula>
    </cfRule>
    <cfRule type="expression" dxfId="326" priority="109">
      <formula>AND(AD$9&gt;=14/24,AD$9&lt;20/24)</formula>
    </cfRule>
    <cfRule type="expression" dxfId="325" priority="110">
      <formula>AND(AD$9&gt;=8/24,AD$9&lt;14/24)</formula>
    </cfRule>
    <cfRule type="expression" dxfId="324" priority="111">
      <formula>AD$9&lt;8/24</formula>
    </cfRule>
  </conditionalFormatting>
  <conditionalFormatting sqref="AG65">
    <cfRule type="expression" dxfId="323" priority="87">
      <formula>AG$9&gt;=20/24</formula>
    </cfRule>
    <cfRule type="expression" dxfId="322" priority="88">
      <formula>AND(AG$9&gt;=14/24,AG$9&lt;20/24)</formula>
    </cfRule>
    <cfRule type="expression" dxfId="321" priority="89">
      <formula>AND(AG$9&gt;=8/24,AG$9&lt;14/24)</formula>
    </cfRule>
    <cfRule type="expression" dxfId="320" priority="90">
      <formula>AG$9&lt;8/24</formula>
    </cfRule>
  </conditionalFormatting>
  <conditionalFormatting sqref="AG78:AG79">
    <cfRule type="expression" dxfId="319" priority="82">
      <formula>AG78&gt;$AG78</formula>
    </cfRule>
  </conditionalFormatting>
  <conditionalFormatting sqref="AG83">
    <cfRule type="expression" dxfId="318" priority="83">
      <formula>AG$9&gt;=20/24</formula>
    </cfRule>
    <cfRule type="expression" dxfId="317" priority="84">
      <formula>AND(AG$9&gt;=14/24,AG$9&lt;20/24)</formula>
    </cfRule>
    <cfRule type="expression" dxfId="316" priority="85">
      <formula>AND(AG$9&gt;=8/24,AG$9&lt;14/24)</formula>
    </cfRule>
    <cfRule type="expression" dxfId="315" priority="86">
      <formula>AG$9&lt;8/24</formula>
    </cfRule>
  </conditionalFormatting>
  <conditionalFormatting sqref="AG100">
    <cfRule type="expression" dxfId="314" priority="104">
      <formula>AG$9&gt;=20/24</formula>
    </cfRule>
    <cfRule type="expression" dxfId="313" priority="105">
      <formula>AND(AG$9&gt;=14/24,AG$9&lt;20/24)</formula>
    </cfRule>
    <cfRule type="expression" dxfId="312" priority="106">
      <formula>AND(AG$9&gt;=8/24,AG$9&lt;14/24)</formula>
    </cfRule>
    <cfRule type="expression" dxfId="311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10" priority="129">
      <formula>AJ$9&gt;=20/24</formula>
    </cfRule>
    <cfRule type="expression" dxfId="309" priority="130">
      <formula>AND(AJ$9&gt;=14/24,AJ$9&lt;20/24)</formula>
    </cfRule>
    <cfRule type="expression" dxfId="308" priority="131">
      <formula>AND(AJ$9&gt;=8/24,AJ$9&lt;14/24)</formula>
    </cfRule>
    <cfRule type="expression" dxfId="307" priority="132">
      <formula>AJ$9&lt;8/24</formula>
    </cfRule>
  </conditionalFormatting>
  <conditionalFormatting sqref="AL86:AN86 AL92:AN92">
    <cfRule type="expression" dxfId="306" priority="97">
      <formula>AL$9&gt;=20/24</formula>
    </cfRule>
    <cfRule type="expression" dxfId="305" priority="98">
      <formula>AND(AL$9&gt;=14/24,AL$9&lt;20/24)</formula>
    </cfRule>
    <cfRule type="expression" dxfId="304" priority="99">
      <formula>AND(AL$9&gt;=8/24,AL$9&lt;14/24)</formula>
    </cfRule>
    <cfRule type="expression" dxfId="303" priority="100">
      <formula>AL$9&lt;8/24</formula>
    </cfRule>
  </conditionalFormatting>
  <conditionalFormatting sqref="AM15:AM21 AN16:AR21">
    <cfRule type="expression" dxfId="302" priority="13">
      <formula>AX$9&gt;=20/24</formula>
    </cfRule>
    <cfRule type="expression" dxfId="301" priority="14">
      <formula>AND(AX$9&gt;=14/24,AX$9&lt;20/24)</formula>
    </cfRule>
    <cfRule type="expression" dxfId="300" priority="15">
      <formula>AND(AX$9&gt;=8/24,AX$9&lt;14/24)</formula>
    </cfRule>
    <cfRule type="expression" dxfId="299" priority="16">
      <formula>AX$9&lt;8/24</formula>
    </cfRule>
  </conditionalFormatting>
  <conditionalFormatting sqref="AN87:AN90">
    <cfRule type="expression" dxfId="298" priority="93">
      <formula>AN$9&gt;=20/24</formula>
    </cfRule>
    <cfRule type="expression" dxfId="297" priority="94">
      <formula>AND(AN$9&gt;=14/24,AN$9&lt;20/24)</formula>
    </cfRule>
    <cfRule type="expression" dxfId="296" priority="95">
      <formula>AND(AN$9&gt;=8/24,AN$9&lt;14/24)</formula>
    </cfRule>
    <cfRule type="expression" dxfId="295" priority="96">
      <formula>AN$9&lt;8/24</formula>
    </cfRule>
  </conditionalFormatting>
  <conditionalFormatting sqref="AN15:AR15">
    <cfRule type="expression" dxfId="294" priority="1">
      <formula>U$9&gt;=20/24</formula>
    </cfRule>
    <cfRule type="expression" dxfId="293" priority="2">
      <formula>AND(U$9&gt;=14/24,U$9&lt;20/24)</formula>
    </cfRule>
    <cfRule type="expression" dxfId="292" priority="3">
      <formula>AND(U$9&gt;=8/24,U$9&lt;14/24)</formula>
    </cfRule>
    <cfRule type="expression" dxfId="291" priority="4">
      <formula>U$9&lt;8/24</formula>
    </cfRule>
  </conditionalFormatting>
  <conditionalFormatting sqref="AS15">
    <cfRule type="expression" dxfId="290" priority="9">
      <formula>AA$9&gt;=20/24</formula>
    </cfRule>
    <cfRule type="expression" dxfId="289" priority="10">
      <formula>AND(AA$9&gt;=14/24,AA$9&lt;20/24)</formula>
    </cfRule>
    <cfRule type="expression" dxfId="288" priority="11">
      <formula>AND(AA$9&gt;=8/24,AA$9&lt;14/24)</formula>
    </cfRule>
    <cfRule type="expression" dxfId="287" priority="12">
      <formula>AA$9&lt;8/24</formula>
    </cfRule>
  </conditionalFormatting>
  <conditionalFormatting sqref="AS16:AS21">
    <cfRule type="expression" dxfId="286" priority="17">
      <formula>BE$9&gt;=20/24</formula>
    </cfRule>
    <cfRule type="expression" dxfId="285" priority="18">
      <formula>AND(BE$9&gt;=14/24,BE$9&lt;20/24)</formula>
    </cfRule>
    <cfRule type="expression" dxfId="284" priority="19">
      <formula>AND(BE$9&gt;=8/24,BE$9&lt;14/24)</formula>
    </cfRule>
    <cfRule type="expression" dxfId="283" priority="20">
      <formula>BE$9&lt;8/24</formula>
    </cfRule>
  </conditionalFormatting>
  <conditionalFormatting sqref="AT15 AX15:BJ15">
    <cfRule type="expression" dxfId="282" priority="21">
      <formula>AC$9&gt;=20/24</formula>
    </cfRule>
    <cfRule type="expression" dxfId="281" priority="22">
      <formula>AND(AC$9&gt;=14/24,AC$9&lt;20/24)</formula>
    </cfRule>
    <cfRule type="expression" dxfId="280" priority="23">
      <formula>AND(AC$9&gt;=8/24,AC$9&lt;14/24)</formula>
    </cfRule>
    <cfRule type="expression" dxfId="279" priority="24">
      <formula>AC$9&lt;8/24</formula>
    </cfRule>
  </conditionalFormatting>
  <conditionalFormatting sqref="AT16:AT21">
    <cfRule type="expression" dxfId="278" priority="25">
      <formula>BG$9&gt;=20/24</formula>
    </cfRule>
    <cfRule type="expression" dxfId="277" priority="26">
      <formula>AND(BG$9&gt;=14/24,BG$9&lt;20/24)</formula>
    </cfRule>
    <cfRule type="expression" dxfId="276" priority="27">
      <formula>AND(BG$9&gt;=8/24,BG$9&lt;14/24)</formula>
    </cfRule>
    <cfRule type="expression" dxfId="275" priority="28">
      <formula>BG$9&lt;8/24</formula>
    </cfRule>
  </conditionalFormatting>
  <conditionalFormatting sqref="AU15:AV15">
    <cfRule type="expression" dxfId="274" priority="29">
      <formula>AE$9&gt;=20/24</formula>
    </cfRule>
    <cfRule type="expression" dxfId="273" priority="30">
      <formula>AND(AE$9&gt;=14/24,AE$9&lt;20/24)</formula>
    </cfRule>
    <cfRule type="expression" dxfId="272" priority="31">
      <formula>AND(AE$9&gt;=8/24,AE$9&lt;14/24)</formula>
    </cfRule>
    <cfRule type="expression" dxfId="271" priority="32">
      <formula>AE$9&lt;8/24</formula>
    </cfRule>
  </conditionalFormatting>
  <conditionalFormatting sqref="AU16:BJ21">
    <cfRule type="expression" dxfId="270" priority="33">
      <formula>BI$9&gt;=20/24</formula>
    </cfRule>
    <cfRule type="expression" dxfId="269" priority="34">
      <formula>AND(BI$9&gt;=14/24,BI$9&lt;20/24)</formula>
    </cfRule>
    <cfRule type="expression" dxfId="268" priority="35">
      <formula>AND(BI$9&gt;=8/24,BI$9&lt;14/24)</formula>
    </cfRule>
    <cfRule type="expression" dxfId="267" priority="36">
      <formula>BI$9&lt;8/24</formula>
    </cfRule>
  </conditionalFormatting>
  <conditionalFormatting sqref="AW15">
    <cfRule type="expression" dxfId="266" priority="5">
      <formula>B$9&gt;=20/24</formula>
    </cfRule>
    <cfRule type="expression" dxfId="265" priority="6">
      <formula>AND(B$9&gt;=14/24,B$9&lt;20/24)</formula>
    </cfRule>
    <cfRule type="expression" dxfId="264" priority="7">
      <formula>AND(B$9&gt;=8/24,B$9&lt;14/24)</formula>
    </cfRule>
    <cfRule type="expression" dxfId="26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65B8-D683-4D2E-AD16-C79868E6FA7E}">
  <sheetPr codeName="Sheet31"/>
  <dimension ref="A1:CJ297"/>
  <sheetViews>
    <sheetView zoomScale="106" workbookViewId="0">
      <pane xSplit="1" ySplit="10" topLeftCell="G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59" sqref="B59:AF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e">
        <f ca="1">"2080/"&amp;"10/"&amp;INT(MID(CELL("filename",D6),FIND("]",CELL("filename",D6))+1,200))</f>
        <v>#VALUE!</v>
      </c>
      <c r="C4" s="189"/>
      <c r="D4" s="189"/>
      <c r="E4" s="190" t="e">
        <f ca="1">"2080/"&amp;"10/"&amp;INT(MID(CELL("filename",G6),FIND("]",CELL("filename",G6))+1,200))</f>
        <v>#VALUE!</v>
      </c>
      <c r="F4" s="190"/>
      <c r="G4" s="190"/>
      <c r="H4" s="190" t="e">
        <f ca="1">TEXT(E4,"dddd")</f>
        <v>#VALUE!</v>
      </c>
      <c r="I4" s="190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304MW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Load=304</v>
      </c>
      <c r="B7" s="35">
        <f t="shared" ref="B7:AF7" si="1">B103</f>
        <v>303.54000000000002</v>
      </c>
      <c r="C7" s="35">
        <f t="shared" si="1"/>
        <v>303.54000000000002</v>
      </c>
      <c r="D7" s="35">
        <f t="shared" si="1"/>
        <v>303.54000000000002</v>
      </c>
      <c r="E7" s="35">
        <f t="shared" si="1"/>
        <v>303.54000000000002</v>
      </c>
      <c r="F7" s="35">
        <f t="shared" si="1"/>
        <v>303.54000000000002</v>
      </c>
      <c r="G7" s="35">
        <f t="shared" si="1"/>
        <v>303.54000000000002</v>
      </c>
      <c r="H7" s="35">
        <f t="shared" si="1"/>
        <v>303.54000000000002</v>
      </c>
      <c r="I7" s="35">
        <f t="shared" si="1"/>
        <v>303.54000000000002</v>
      </c>
      <c r="J7" s="35">
        <f t="shared" si="1"/>
        <v>303.54000000000002</v>
      </c>
      <c r="K7" s="35">
        <f t="shared" si="1"/>
        <v>303.54000000000002</v>
      </c>
      <c r="L7" s="35">
        <f t="shared" si="1"/>
        <v>303.54000000000002</v>
      </c>
      <c r="M7" s="35">
        <f t="shared" si="1"/>
        <v>303.54000000000002</v>
      </c>
      <c r="N7" s="35">
        <f t="shared" si="1"/>
        <v>303.54000000000002</v>
      </c>
      <c r="O7" s="35">
        <f t="shared" si="1"/>
        <v>303.54000000000002</v>
      </c>
      <c r="P7" s="35">
        <f t="shared" si="1"/>
        <v>303.54000000000002</v>
      </c>
      <c r="Q7" s="35">
        <f t="shared" si="1"/>
        <v>303.54000000000002</v>
      </c>
      <c r="R7" s="35">
        <f t="shared" si="1"/>
        <v>303.54000000000002</v>
      </c>
      <c r="S7" s="35">
        <f t="shared" si="1"/>
        <v>303.54000000000002</v>
      </c>
      <c r="T7" s="35">
        <f t="shared" si="1"/>
        <v>303.54000000000002</v>
      </c>
      <c r="U7" s="35">
        <f t="shared" si="1"/>
        <v>303.54000000000002</v>
      </c>
      <c r="V7" s="35">
        <f t="shared" si="1"/>
        <v>303.54000000000002</v>
      </c>
      <c r="W7" s="35">
        <f t="shared" si="1"/>
        <v>303.54000000000002</v>
      </c>
      <c r="X7" s="35">
        <f t="shared" si="1"/>
        <v>303.54000000000002</v>
      </c>
      <c r="Y7" s="35">
        <f t="shared" si="1"/>
        <v>303.5</v>
      </c>
      <c r="Z7" s="35">
        <f t="shared" si="1"/>
        <v>305.5</v>
      </c>
      <c r="AA7" s="35">
        <f t="shared" si="1"/>
        <v>303.54000000000002</v>
      </c>
      <c r="AB7" s="35">
        <f t="shared" si="1"/>
        <v>303.54000000000002</v>
      </c>
      <c r="AC7" s="35">
        <f t="shared" si="1"/>
        <v>303.54000000000002</v>
      </c>
      <c r="AD7" s="35">
        <f t="shared" si="1"/>
        <v>303.54000000000002</v>
      </c>
      <c r="AE7" s="35">
        <f t="shared" si="1"/>
        <v>303.54000000000002</v>
      </c>
      <c r="AF7" s="35">
        <f t="shared" si="1"/>
        <v>303.54000000000002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305.5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305.5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86</v>
      </c>
      <c r="AH11" s="48">
        <f t="shared" ref="AH11:AH74" si="2">MAX(B11:AF11)</f>
        <v>0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283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50">
        <v>77</v>
      </c>
      <c r="AH12" s="48">
        <f t="shared" si="2"/>
        <v>0</v>
      </c>
      <c r="AI12" s="49">
        <f t="shared" si="3"/>
        <v>0</v>
      </c>
      <c r="AK12" s="51"/>
      <c r="AL12" s="52" t="str">
        <f ca="1">MID(CELL("filename",C7),FIND("]",CELL("filename",C7))+1,600)</f>
        <v>NewSample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284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50">
        <v>73</v>
      </c>
      <c r="AH13" s="48">
        <f t="shared" si="2"/>
        <v>0</v>
      </c>
      <c r="AI13" s="49">
        <f t="shared" si="3"/>
        <v>0</v>
      </c>
      <c r="AK13" s="51"/>
      <c r="AL13" s="52" t="e">
        <f ca="1">"Daily Load Curve(Excluding of Export) of Nepal ("&amp;A4&amp;" "&amp;B4&amp;")"</f>
        <v>#VALUE!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285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50">
        <v>71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50">
        <v>54</v>
      </c>
      <c r="AH15" s="48">
        <f t="shared" si="2"/>
        <v>0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50">
        <v>54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B61</f>
        <v>300</v>
      </c>
      <c r="AN16" s="59">
        <f t="shared" si="4"/>
        <v>300</v>
      </c>
      <c r="AO16" s="59">
        <f t="shared" si="4"/>
        <v>300</v>
      </c>
      <c r="AP16" s="59">
        <f t="shared" si="4"/>
        <v>300</v>
      </c>
      <c r="AQ16" s="59">
        <f t="shared" si="4"/>
        <v>300</v>
      </c>
      <c r="AR16" s="59">
        <f t="shared" si="4"/>
        <v>300</v>
      </c>
      <c r="AS16" s="59">
        <f>I61</f>
        <v>300</v>
      </c>
      <c r="AT16" s="59">
        <f>K61</f>
        <v>300</v>
      </c>
      <c r="AU16" s="59">
        <f t="shared" ref="AU16:BD16" si="5">M61</f>
        <v>300</v>
      </c>
      <c r="AV16" s="59">
        <f t="shared" si="5"/>
        <v>300</v>
      </c>
      <c r="AW16" s="59">
        <f t="shared" si="5"/>
        <v>300</v>
      </c>
      <c r="AX16" s="59">
        <f t="shared" si="5"/>
        <v>300</v>
      </c>
      <c r="AY16" s="59">
        <f t="shared" si="5"/>
        <v>300</v>
      </c>
      <c r="AZ16" s="59">
        <f t="shared" si="5"/>
        <v>300</v>
      </c>
      <c r="BA16" s="59">
        <f t="shared" si="5"/>
        <v>300</v>
      </c>
      <c r="BB16" s="59">
        <f t="shared" si="5"/>
        <v>300</v>
      </c>
      <c r="BC16" s="59">
        <f t="shared" si="5"/>
        <v>300</v>
      </c>
      <c r="BD16" s="59">
        <f t="shared" si="5"/>
        <v>300</v>
      </c>
      <c r="BE16" s="60">
        <f>X61</f>
        <v>300</v>
      </c>
      <c r="BF16" s="60">
        <f>Z61</f>
        <v>300</v>
      </c>
      <c r="BG16" s="60">
        <f>AB61</f>
        <v>300</v>
      </c>
      <c r="BH16" s="60">
        <f>AD61</f>
        <v>300</v>
      </c>
      <c r="BI16" s="60">
        <f>AE61</f>
        <v>300</v>
      </c>
      <c r="BJ16" s="60">
        <f>AF61</f>
        <v>300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7">
        <v>52.4</v>
      </c>
      <c r="AH17" s="48">
        <f t="shared" si="2"/>
        <v>0</v>
      </c>
      <c r="AI17" s="49">
        <f t="shared" si="3"/>
        <v>0</v>
      </c>
      <c r="AK17" s="51"/>
      <c r="AL17" s="54" t="s">
        <v>27</v>
      </c>
      <c r="AM17" s="59">
        <f t="shared" ref="AM17:AR17" si="6">B65</f>
        <v>0</v>
      </c>
      <c r="AN17" s="59">
        <f t="shared" si="6"/>
        <v>0</v>
      </c>
      <c r="AO17" s="59">
        <f t="shared" si="6"/>
        <v>0</v>
      </c>
      <c r="AP17" s="59">
        <f t="shared" si="6"/>
        <v>0</v>
      </c>
      <c r="AQ17" s="59">
        <f t="shared" si="6"/>
        <v>0</v>
      </c>
      <c r="AR17" s="59">
        <f t="shared" si="6"/>
        <v>0</v>
      </c>
      <c r="AS17" s="59">
        <f>I65</f>
        <v>0</v>
      </c>
      <c r="AT17" s="59">
        <f>K65</f>
        <v>0</v>
      </c>
      <c r="AU17" s="59">
        <f t="shared" ref="AU17:BD17" si="7">M65</f>
        <v>0</v>
      </c>
      <c r="AV17" s="59">
        <f t="shared" si="7"/>
        <v>0</v>
      </c>
      <c r="AW17" s="59">
        <f t="shared" si="7"/>
        <v>0</v>
      </c>
      <c r="AX17" s="59">
        <f t="shared" si="7"/>
        <v>0</v>
      </c>
      <c r="AY17" s="59">
        <f t="shared" si="7"/>
        <v>0</v>
      </c>
      <c r="AZ17" s="59">
        <f t="shared" si="7"/>
        <v>0</v>
      </c>
      <c r="BA17" s="59">
        <f t="shared" si="7"/>
        <v>0</v>
      </c>
      <c r="BB17" s="59">
        <f t="shared" si="7"/>
        <v>0</v>
      </c>
      <c r="BC17" s="59">
        <f t="shared" si="7"/>
        <v>0</v>
      </c>
      <c r="BD17" s="59">
        <f t="shared" si="7"/>
        <v>0</v>
      </c>
      <c r="BE17" s="60">
        <f>X65</f>
        <v>0</v>
      </c>
      <c r="BF17" s="60">
        <f>Z65</f>
        <v>0</v>
      </c>
      <c r="BG17" s="60">
        <f>AB65</f>
        <v>0</v>
      </c>
      <c r="BH17" s="60">
        <f>AD65</f>
        <v>0</v>
      </c>
      <c r="BI17" s="60">
        <f>AE65</f>
        <v>0</v>
      </c>
      <c r="BJ17" s="60">
        <f>AF65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0">
        <v>50</v>
      </c>
      <c r="AH18" s="48">
        <f t="shared" si="2"/>
        <v>0</v>
      </c>
      <c r="AI18" s="49">
        <f t="shared" si="3"/>
        <v>0</v>
      </c>
      <c r="AK18" s="51"/>
      <c r="AL18" s="54" t="s">
        <v>29</v>
      </c>
      <c r="AM18" s="59">
        <f t="shared" ref="AM18:AR18" si="8">B79</f>
        <v>3.54</v>
      </c>
      <c r="AN18" s="59">
        <f t="shared" si="8"/>
        <v>3.54</v>
      </c>
      <c r="AO18" s="59">
        <f t="shared" si="8"/>
        <v>3.54</v>
      </c>
      <c r="AP18" s="59">
        <f t="shared" si="8"/>
        <v>3.54</v>
      </c>
      <c r="AQ18" s="59">
        <f t="shared" si="8"/>
        <v>3.54</v>
      </c>
      <c r="AR18" s="59">
        <f t="shared" si="8"/>
        <v>3.54</v>
      </c>
      <c r="AS18" s="59">
        <f>I79</f>
        <v>3.54</v>
      </c>
      <c r="AT18" s="59">
        <f>K79</f>
        <v>3.54</v>
      </c>
      <c r="AU18" s="59">
        <f t="shared" ref="AU18:BD18" si="9">M79</f>
        <v>3.54</v>
      </c>
      <c r="AV18" s="59">
        <f t="shared" si="9"/>
        <v>3.54</v>
      </c>
      <c r="AW18" s="59">
        <f t="shared" si="9"/>
        <v>3.54</v>
      </c>
      <c r="AX18" s="59">
        <f t="shared" si="9"/>
        <v>3.54</v>
      </c>
      <c r="AY18" s="59">
        <f t="shared" si="9"/>
        <v>3.54</v>
      </c>
      <c r="AZ18" s="59">
        <f t="shared" si="9"/>
        <v>3.54</v>
      </c>
      <c r="BA18" s="59">
        <f t="shared" si="9"/>
        <v>3.54</v>
      </c>
      <c r="BB18" s="59">
        <f t="shared" si="9"/>
        <v>3.54</v>
      </c>
      <c r="BC18" s="59">
        <f t="shared" si="9"/>
        <v>3.54</v>
      </c>
      <c r="BD18" s="59">
        <f t="shared" si="9"/>
        <v>3.54</v>
      </c>
      <c r="BE18" s="60">
        <f>X79</f>
        <v>3.54</v>
      </c>
      <c r="BF18" s="60">
        <f>Z79</f>
        <v>5.5</v>
      </c>
      <c r="BG18" s="60">
        <f>AB79</f>
        <v>3.54</v>
      </c>
      <c r="BH18" s="60">
        <f>AD79</f>
        <v>3.54</v>
      </c>
      <c r="BI18" s="60">
        <f>AE79</f>
        <v>3.54</v>
      </c>
      <c r="BJ18" s="60">
        <f>AF79</f>
        <v>3.54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50">
        <v>45</v>
      </c>
      <c r="AH19" s="48">
        <f t="shared" si="2"/>
        <v>0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50">
        <v>44</v>
      </c>
      <c r="AH20" s="48">
        <f t="shared" si="2"/>
        <v>0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50">
        <v>38.46</v>
      </c>
      <c r="AH22" s="48">
        <f t="shared" si="2"/>
        <v>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303.54000000000002</v>
      </c>
      <c r="AN22" s="63">
        <f t="shared" si="16"/>
        <v>303.54000000000002</v>
      </c>
      <c r="AO22" s="63">
        <f t="shared" si="16"/>
        <v>303.54000000000002</v>
      </c>
      <c r="AP22" s="63">
        <f t="shared" si="16"/>
        <v>303.54000000000002</v>
      </c>
      <c r="AQ22" s="63">
        <f t="shared" si="16"/>
        <v>303.54000000000002</v>
      </c>
      <c r="AR22" s="63">
        <f t="shared" si="16"/>
        <v>303.54000000000002</v>
      </c>
      <c r="AS22" s="63">
        <f t="shared" si="16"/>
        <v>303.54000000000002</v>
      </c>
      <c r="AT22" s="63">
        <f t="shared" si="16"/>
        <v>303.54000000000002</v>
      </c>
      <c r="AU22" s="63">
        <f t="shared" si="16"/>
        <v>303.54000000000002</v>
      </c>
      <c r="AV22" s="63">
        <f t="shared" si="16"/>
        <v>303.54000000000002</v>
      </c>
      <c r="AW22" s="63">
        <f t="shared" si="16"/>
        <v>303.54000000000002</v>
      </c>
      <c r="AX22" s="63">
        <f t="shared" si="16"/>
        <v>303.54000000000002</v>
      </c>
      <c r="AY22" s="63">
        <f t="shared" si="16"/>
        <v>303.54000000000002</v>
      </c>
      <c r="AZ22" s="63">
        <f t="shared" si="16"/>
        <v>303.54000000000002</v>
      </c>
      <c r="BA22" s="63">
        <f t="shared" si="16"/>
        <v>303.54000000000002</v>
      </c>
      <c r="BB22" s="63">
        <f t="shared" si="16"/>
        <v>303.54000000000002</v>
      </c>
      <c r="BC22" s="63">
        <f t="shared" si="16"/>
        <v>303.54000000000002</v>
      </c>
      <c r="BD22" s="63">
        <f t="shared" si="16"/>
        <v>303.54000000000002</v>
      </c>
      <c r="BE22" s="63">
        <f t="shared" si="16"/>
        <v>303.54000000000002</v>
      </c>
      <c r="BF22" s="63">
        <f t="shared" si="16"/>
        <v>305.5</v>
      </c>
      <c r="BG22" s="63">
        <f t="shared" si="16"/>
        <v>303.54000000000002</v>
      </c>
      <c r="BH22" s="63">
        <f t="shared" si="16"/>
        <v>303.54000000000002</v>
      </c>
      <c r="BI22" s="63">
        <f t="shared" si="16"/>
        <v>303.54000000000002</v>
      </c>
      <c r="BJ22" s="63">
        <f t="shared" si="16"/>
        <v>303.54000000000002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50">
        <v>38.46</v>
      </c>
      <c r="AH23" s="48">
        <f t="shared" si="2"/>
        <v>0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0</v>
      </c>
      <c r="AN23" s="63">
        <f t="shared" si="17"/>
        <v>0</v>
      </c>
      <c r="AO23" s="63">
        <f t="shared" si="17"/>
        <v>0</v>
      </c>
      <c r="AP23" s="63">
        <f t="shared" si="17"/>
        <v>0</v>
      </c>
      <c r="AQ23" s="63">
        <f t="shared" si="17"/>
        <v>0</v>
      </c>
      <c r="AR23" s="63">
        <f t="shared" si="17"/>
        <v>0</v>
      </c>
      <c r="AS23" s="63">
        <f>I110*-1</f>
        <v>0</v>
      </c>
      <c r="AT23" s="63">
        <f>K110*-1</f>
        <v>0</v>
      </c>
      <c r="AU23" s="63">
        <f t="shared" ref="AU23:BD23" si="18">M110*-1</f>
        <v>0</v>
      </c>
      <c r="AV23" s="63">
        <f t="shared" si="18"/>
        <v>0</v>
      </c>
      <c r="AW23" s="63">
        <f t="shared" si="18"/>
        <v>0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0</v>
      </c>
      <c r="BG23" s="63">
        <f>AB110*-1</f>
        <v>0</v>
      </c>
      <c r="BH23" s="63">
        <f>AD110*-1</f>
        <v>0</v>
      </c>
      <c r="BI23" s="63">
        <f>AE110*-1</f>
        <v>0</v>
      </c>
      <c r="BJ23" s="63">
        <f>AF110*-1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50">
        <v>36</v>
      </c>
      <c r="AH24" s="48">
        <f t="shared" si="2"/>
        <v>0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303.54000000000002</v>
      </c>
      <c r="AN24" s="63">
        <f t="shared" si="19"/>
        <v>303.54000000000002</v>
      </c>
      <c r="AO24" s="63">
        <f t="shared" si="19"/>
        <v>303.54000000000002</v>
      </c>
      <c r="AP24" s="63">
        <f t="shared" si="19"/>
        <v>303.54000000000002</v>
      </c>
      <c r="AQ24" s="63">
        <f t="shared" si="19"/>
        <v>303.54000000000002</v>
      </c>
      <c r="AR24" s="63">
        <f t="shared" si="19"/>
        <v>303.54000000000002</v>
      </c>
      <c r="AS24" s="63">
        <f t="shared" si="19"/>
        <v>303.54000000000002</v>
      </c>
      <c r="AT24" s="63">
        <f t="shared" si="19"/>
        <v>303.54000000000002</v>
      </c>
      <c r="AU24" s="63">
        <f t="shared" si="19"/>
        <v>303.54000000000002</v>
      </c>
      <c r="AV24" s="63">
        <f t="shared" si="19"/>
        <v>303.54000000000002</v>
      </c>
      <c r="AW24" s="63">
        <f t="shared" si="19"/>
        <v>303.54000000000002</v>
      </c>
      <c r="AX24" s="63">
        <f t="shared" si="19"/>
        <v>303.54000000000002</v>
      </c>
      <c r="AY24" s="63">
        <f t="shared" si="19"/>
        <v>303.54000000000002</v>
      </c>
      <c r="AZ24" s="63">
        <f t="shared" si="19"/>
        <v>303.54000000000002</v>
      </c>
      <c r="BA24" s="63">
        <f t="shared" si="19"/>
        <v>303.54000000000002</v>
      </c>
      <c r="BB24" s="63">
        <f t="shared" si="19"/>
        <v>303.54000000000002</v>
      </c>
      <c r="BC24" s="63">
        <f t="shared" si="19"/>
        <v>303.54000000000002</v>
      </c>
      <c r="BD24" s="63">
        <f t="shared" si="19"/>
        <v>303.54000000000002</v>
      </c>
      <c r="BE24" s="63">
        <f t="shared" si="19"/>
        <v>303.54000000000002</v>
      </c>
      <c r="BF24" s="63">
        <f t="shared" si="19"/>
        <v>305.5</v>
      </c>
      <c r="BG24" s="63">
        <f t="shared" si="19"/>
        <v>303.54000000000002</v>
      </c>
      <c r="BH24" s="63">
        <f t="shared" si="19"/>
        <v>303.54000000000002</v>
      </c>
      <c r="BI24" s="63">
        <f t="shared" si="19"/>
        <v>303.54000000000002</v>
      </c>
      <c r="BJ24" s="63">
        <f t="shared" si="19"/>
        <v>303.54000000000002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61">
        <v>30</v>
      </c>
      <c r="AH25" s="48">
        <f t="shared" si="2"/>
        <v>0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50">
        <v>24.2</v>
      </c>
      <c r="AH26" s="48">
        <f t="shared" si="2"/>
        <v>0</v>
      </c>
      <c r="AI26" s="49">
        <f t="shared" si="3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50">
        <v>28</v>
      </c>
      <c r="AH27" s="48">
        <f t="shared" si="2"/>
        <v>0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61">
        <v>30</v>
      </c>
      <c r="AH28" s="48">
        <f t="shared" si="2"/>
        <v>0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50">
        <v>25</v>
      </c>
      <c r="AH29" s="48">
        <f t="shared" si="2"/>
        <v>0</v>
      </c>
      <c r="AI29" s="49">
        <f t="shared" si="3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>
        <v>25</v>
      </c>
      <c r="AH31" s="48">
        <f t="shared" si="2"/>
        <v>0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50">
        <v>25</v>
      </c>
      <c r="AH32" s="48">
        <f t="shared" si="2"/>
        <v>0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50">
        <v>23.5</v>
      </c>
      <c r="AH33" s="48">
        <f t="shared" si="2"/>
        <v>0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50">
        <v>22.2</v>
      </c>
      <c r="AH34" s="48">
        <f t="shared" si="2"/>
        <v>0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50">
        <v>22.1</v>
      </c>
      <c r="AH35" s="48">
        <f t="shared" si="2"/>
        <v>0</v>
      </c>
      <c r="AI35" s="49">
        <f t="shared" si="3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50">
        <v>22</v>
      </c>
      <c r="AH36" s="48">
        <f t="shared" si="2"/>
        <v>0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50">
        <v>22</v>
      </c>
      <c r="AH37" s="48">
        <f t="shared" si="2"/>
        <v>0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50">
        <v>20</v>
      </c>
      <c r="AH38" s="48">
        <f t="shared" si="2"/>
        <v>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50">
        <v>20</v>
      </c>
      <c r="AH39" s="48">
        <f t="shared" si="2"/>
        <v>0</v>
      </c>
      <c r="AI39" s="49">
        <f t="shared" si="3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50">
        <v>18</v>
      </c>
      <c r="AH40" s="48">
        <f t="shared" si="2"/>
        <v>0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50">
        <v>15.33</v>
      </c>
      <c r="AH41" s="48">
        <f t="shared" si="2"/>
        <v>0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286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50">
        <v>14.9</v>
      </c>
      <c r="AH43" s="48">
        <f t="shared" si="2"/>
        <v>0</v>
      </c>
      <c r="AI43" s="49">
        <f t="shared" si="3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287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50">
        <v>14</v>
      </c>
      <c r="AH46" s="48">
        <f t="shared" si="2"/>
        <v>0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50">
        <v>13.6</v>
      </c>
      <c r="AH47" s="48">
        <f t="shared" si="2"/>
        <v>0</v>
      </c>
      <c r="AI47" s="49">
        <f t="shared" si="3"/>
        <v>0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50">
        <v>13</v>
      </c>
      <c r="AH48" s="48">
        <f t="shared" si="2"/>
        <v>0</v>
      </c>
      <c r="AI48" s="49">
        <f t="shared" si="3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50">
        <v>12</v>
      </c>
      <c r="AH49" s="48">
        <f t="shared" si="2"/>
        <v>0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50">
        <v>12</v>
      </c>
      <c r="AH51" s="48">
        <f t="shared" si="2"/>
        <v>0</v>
      </c>
      <c r="AI51" s="49">
        <f t="shared" si="3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64">
        <v>22</v>
      </c>
      <c r="AH52" s="48">
        <f t="shared" si="2"/>
        <v>0</v>
      </c>
      <c r="AI52" s="49">
        <f t="shared" si="3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61">
        <v>11.88</v>
      </c>
      <c r="AH53" s="48">
        <f t="shared" si="2"/>
        <v>0</v>
      </c>
      <c r="AI53" s="49">
        <f t="shared" si="3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66">
        <v>11</v>
      </c>
      <c r="AH54" s="48">
        <f t="shared" si="2"/>
        <v>0</v>
      </c>
      <c r="AI54" s="49">
        <f t="shared" si="3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66">
        <v>11</v>
      </c>
      <c r="AH56" s="48">
        <f t="shared" si="2"/>
        <v>0</v>
      </c>
      <c r="AI56" s="49">
        <f t="shared" si="3"/>
        <v>0</v>
      </c>
      <c r="AK56" s="51"/>
    </row>
    <row r="57" spans="1:88" x14ac:dyDescent="0.25">
      <c r="A57" s="65" t="s">
        <v>69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300</v>
      </c>
      <c r="C59" s="68">
        <v>300</v>
      </c>
      <c r="D59" s="68">
        <v>300</v>
      </c>
      <c r="E59" s="68">
        <v>300</v>
      </c>
      <c r="F59" s="68">
        <v>300</v>
      </c>
      <c r="G59" s="68">
        <v>300</v>
      </c>
      <c r="H59" s="68">
        <v>300</v>
      </c>
      <c r="I59" s="68">
        <v>300</v>
      </c>
      <c r="J59" s="68">
        <v>300</v>
      </c>
      <c r="K59" s="68">
        <v>300</v>
      </c>
      <c r="L59" s="68">
        <v>300</v>
      </c>
      <c r="M59" s="68">
        <v>300</v>
      </c>
      <c r="N59" s="68">
        <v>300</v>
      </c>
      <c r="O59" s="68">
        <v>300</v>
      </c>
      <c r="P59" s="68">
        <v>300</v>
      </c>
      <c r="Q59" s="68">
        <v>300</v>
      </c>
      <c r="R59" s="68">
        <v>300</v>
      </c>
      <c r="S59" s="68">
        <v>300</v>
      </c>
      <c r="T59" s="68">
        <v>300</v>
      </c>
      <c r="U59" s="68">
        <v>300</v>
      </c>
      <c r="V59" s="68">
        <v>300</v>
      </c>
      <c r="W59" s="68">
        <v>300</v>
      </c>
      <c r="X59" s="68">
        <v>300</v>
      </c>
      <c r="Y59" s="68">
        <v>300</v>
      </c>
      <c r="Z59" s="68">
        <v>300</v>
      </c>
      <c r="AA59" s="68">
        <v>300</v>
      </c>
      <c r="AB59" s="68">
        <v>300</v>
      </c>
      <c r="AC59" s="68">
        <v>300</v>
      </c>
      <c r="AD59" s="68">
        <v>300</v>
      </c>
      <c r="AE59" s="68">
        <v>300</v>
      </c>
      <c r="AF59" s="68">
        <v>300</v>
      </c>
      <c r="AG59" s="66">
        <v>85</v>
      </c>
      <c r="AH59" s="48">
        <f t="shared" si="2"/>
        <v>300</v>
      </c>
      <c r="AI59" s="49">
        <f t="shared" si="3"/>
        <v>300</v>
      </c>
      <c r="AK59" s="51"/>
    </row>
    <row r="60" spans="1:88" ht="15.75" thickBot="1" x14ac:dyDescent="0.3">
      <c r="A60" s="69" t="s">
        <v>74</v>
      </c>
      <c r="B60" s="68"/>
      <c r="C60" s="68"/>
      <c r="D60" s="68"/>
      <c r="E60" s="68"/>
      <c r="F60" s="68"/>
      <c r="G60" s="68"/>
      <c r="H60" s="68"/>
      <c r="I60" s="68"/>
      <c r="J60" s="68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68"/>
      <c r="Z60" s="68"/>
      <c r="AA60" s="68"/>
      <c r="AB60" s="68"/>
      <c r="AC60" s="68"/>
      <c r="AD60" s="68"/>
      <c r="AE60" s="68"/>
      <c r="AF60" s="68"/>
      <c r="AG60" s="66">
        <v>240</v>
      </c>
      <c r="AH60" s="48">
        <f t="shared" si="2"/>
        <v>0</v>
      </c>
      <c r="AI60" s="49">
        <f t="shared" si="3"/>
        <v>0</v>
      </c>
      <c r="AK60" s="51"/>
    </row>
    <row r="61" spans="1:88" ht="15.75" thickBot="1" x14ac:dyDescent="0.3">
      <c r="A61" s="70" t="s">
        <v>75</v>
      </c>
      <c r="B61" s="71">
        <f>SUM(B11:B59)</f>
        <v>300</v>
      </c>
      <c r="C61" s="71">
        <f t="shared" ref="C61:AG61" si="20">SUM(C11:C59)</f>
        <v>300</v>
      </c>
      <c r="D61" s="71">
        <f t="shared" si="20"/>
        <v>300</v>
      </c>
      <c r="E61" s="71">
        <f t="shared" si="20"/>
        <v>300</v>
      </c>
      <c r="F61" s="71">
        <f t="shared" si="20"/>
        <v>300</v>
      </c>
      <c r="G61" s="71">
        <f t="shared" si="20"/>
        <v>300</v>
      </c>
      <c r="H61" s="71">
        <f t="shared" si="20"/>
        <v>300</v>
      </c>
      <c r="I61" s="71">
        <f t="shared" si="20"/>
        <v>300</v>
      </c>
      <c r="J61" s="71">
        <f t="shared" si="20"/>
        <v>300</v>
      </c>
      <c r="K61" s="71">
        <f t="shared" si="20"/>
        <v>300</v>
      </c>
      <c r="L61" s="71">
        <f t="shared" si="20"/>
        <v>300</v>
      </c>
      <c r="M61" s="71">
        <f t="shared" si="20"/>
        <v>300</v>
      </c>
      <c r="N61" s="71">
        <f t="shared" si="20"/>
        <v>300</v>
      </c>
      <c r="O61" s="71">
        <f t="shared" si="20"/>
        <v>300</v>
      </c>
      <c r="P61" s="71">
        <f t="shared" si="20"/>
        <v>300</v>
      </c>
      <c r="Q61" s="71">
        <f t="shared" si="20"/>
        <v>300</v>
      </c>
      <c r="R61" s="71">
        <f t="shared" si="20"/>
        <v>300</v>
      </c>
      <c r="S61" s="71">
        <f t="shared" si="20"/>
        <v>300</v>
      </c>
      <c r="T61" s="71">
        <f t="shared" si="20"/>
        <v>300</v>
      </c>
      <c r="U61" s="71">
        <f t="shared" si="20"/>
        <v>300</v>
      </c>
      <c r="V61" s="71">
        <f t="shared" si="20"/>
        <v>300</v>
      </c>
      <c r="W61" s="71">
        <f t="shared" si="20"/>
        <v>300</v>
      </c>
      <c r="X61" s="71">
        <f t="shared" si="20"/>
        <v>300</v>
      </c>
      <c r="Y61" s="71">
        <f t="shared" si="20"/>
        <v>300</v>
      </c>
      <c r="Z61" s="71">
        <f t="shared" si="20"/>
        <v>300</v>
      </c>
      <c r="AA61" s="71">
        <f t="shared" si="20"/>
        <v>300</v>
      </c>
      <c r="AB61" s="71">
        <f t="shared" si="20"/>
        <v>300</v>
      </c>
      <c r="AC61" s="71">
        <f t="shared" si="20"/>
        <v>300</v>
      </c>
      <c r="AD61" s="71">
        <f t="shared" si="20"/>
        <v>300</v>
      </c>
      <c r="AE61" s="71">
        <f t="shared" si="20"/>
        <v>300</v>
      </c>
      <c r="AF61" s="71">
        <f t="shared" si="20"/>
        <v>300</v>
      </c>
      <c r="AG61" s="71">
        <f t="shared" si="20"/>
        <v>1466.0300000000002</v>
      </c>
      <c r="AH61" s="48">
        <f t="shared" si="2"/>
        <v>300</v>
      </c>
      <c r="AI61" s="49">
        <f t="shared" si="3"/>
        <v>300</v>
      </c>
      <c r="AK61" s="51"/>
    </row>
    <row r="62" spans="1:88" x14ac:dyDescent="0.25">
      <c r="A62" s="73" t="s">
        <v>76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74"/>
      <c r="O62" s="74"/>
      <c r="P62" s="74"/>
      <c r="Q62" s="74"/>
      <c r="R62" s="74"/>
      <c r="S62" s="74"/>
      <c r="T62" s="74"/>
      <c r="U62" s="74"/>
      <c r="V62" s="74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61">
        <v>456</v>
      </c>
      <c r="AH62" s="48">
        <f t="shared" si="2"/>
        <v>0</v>
      </c>
      <c r="AI62" s="49">
        <f t="shared" si="3"/>
        <v>0</v>
      </c>
      <c r="AK62" s="51"/>
    </row>
    <row r="63" spans="1:88" x14ac:dyDescent="0.25">
      <c r="A63" s="75" t="s">
        <v>77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66">
        <v>60</v>
      </c>
      <c r="AH63" s="48">
        <f t="shared" si="2"/>
        <v>0</v>
      </c>
      <c r="AI63" s="49">
        <f t="shared" si="3"/>
        <v>0</v>
      </c>
      <c r="AK63" s="51"/>
    </row>
    <row r="64" spans="1:88" ht="15.75" thickBot="1" x14ac:dyDescent="0.3">
      <c r="A64" s="77" t="s">
        <v>78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9">
        <v>22.1</v>
      </c>
      <c r="AH64" s="48">
        <f t="shared" si="2"/>
        <v>0</v>
      </c>
      <c r="AI64" s="49">
        <f t="shared" si="3"/>
        <v>0</v>
      </c>
      <c r="AK64" s="51"/>
    </row>
    <row r="65" spans="1:75" ht="15.75" thickBot="1" x14ac:dyDescent="0.3">
      <c r="A65" s="80" t="s">
        <v>79</v>
      </c>
      <c r="B65" s="71">
        <f t="shared" ref="B65:AG65" si="21">SUM(B62:B64)</f>
        <v>0</v>
      </c>
      <c r="C65" s="71">
        <f t="shared" si="21"/>
        <v>0</v>
      </c>
      <c r="D65" s="71">
        <f t="shared" si="21"/>
        <v>0</v>
      </c>
      <c r="E65" s="71">
        <f t="shared" si="21"/>
        <v>0</v>
      </c>
      <c r="F65" s="71">
        <f t="shared" si="21"/>
        <v>0</v>
      </c>
      <c r="G65" s="71">
        <f t="shared" si="21"/>
        <v>0</v>
      </c>
      <c r="H65" s="71">
        <f t="shared" si="21"/>
        <v>0</v>
      </c>
      <c r="I65" s="71">
        <f t="shared" si="21"/>
        <v>0</v>
      </c>
      <c r="J65" s="71">
        <f t="shared" si="21"/>
        <v>0</v>
      </c>
      <c r="K65" s="71">
        <f t="shared" si="21"/>
        <v>0</v>
      </c>
      <c r="L65" s="71">
        <f t="shared" si="21"/>
        <v>0</v>
      </c>
      <c r="M65" s="71">
        <f t="shared" si="21"/>
        <v>0</v>
      </c>
      <c r="N65" s="71">
        <f t="shared" si="21"/>
        <v>0</v>
      </c>
      <c r="O65" s="71">
        <f t="shared" si="21"/>
        <v>0</v>
      </c>
      <c r="P65" s="71">
        <f t="shared" si="21"/>
        <v>0</v>
      </c>
      <c r="Q65" s="71">
        <f t="shared" si="21"/>
        <v>0</v>
      </c>
      <c r="R65" s="71">
        <f t="shared" si="21"/>
        <v>0</v>
      </c>
      <c r="S65" s="71">
        <f t="shared" si="21"/>
        <v>0</v>
      </c>
      <c r="T65" s="71">
        <f t="shared" si="21"/>
        <v>0</v>
      </c>
      <c r="U65" s="71">
        <f>SUM(U62:U64)</f>
        <v>0</v>
      </c>
      <c r="V65" s="71">
        <f t="shared" si="21"/>
        <v>0</v>
      </c>
      <c r="W65" s="71">
        <f t="shared" si="21"/>
        <v>0</v>
      </c>
      <c r="X65" s="71">
        <f t="shared" si="21"/>
        <v>0</v>
      </c>
      <c r="Y65" s="71">
        <f t="shared" si="21"/>
        <v>0</v>
      </c>
      <c r="Z65" s="71">
        <f t="shared" si="21"/>
        <v>0</v>
      </c>
      <c r="AA65" s="71">
        <f t="shared" si="21"/>
        <v>0</v>
      </c>
      <c r="AB65" s="71">
        <f t="shared" si="21"/>
        <v>0</v>
      </c>
      <c r="AC65" s="71">
        <f t="shared" si="21"/>
        <v>0</v>
      </c>
      <c r="AD65" s="71">
        <f t="shared" si="21"/>
        <v>0</v>
      </c>
      <c r="AE65" s="71">
        <f t="shared" si="21"/>
        <v>0</v>
      </c>
      <c r="AF65" s="71">
        <f t="shared" si="21"/>
        <v>0</v>
      </c>
      <c r="AG65" s="72">
        <f t="shared" si="21"/>
        <v>538.1</v>
      </c>
      <c r="AH65" s="48">
        <f t="shared" si="2"/>
        <v>0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61">
        <v>144</v>
      </c>
      <c r="AH66" s="48">
        <f t="shared" si="2"/>
        <v>0</v>
      </c>
      <c r="AI66" s="49">
        <f t="shared" si="3"/>
        <v>0</v>
      </c>
      <c r="AK66" s="51"/>
      <c r="AY66" s="1" t="s">
        <v>86</v>
      </c>
      <c r="AZ66" s="82">
        <f>ROUND(C84,0)</f>
        <v>0</v>
      </c>
      <c r="BA66" s="81">
        <f t="shared" ref="BA66:BD70" si="22">D84</f>
        <v>0</v>
      </c>
      <c r="BB66" s="81">
        <f t="shared" si="22"/>
        <v>0</v>
      </c>
      <c r="BC66" s="81">
        <f t="shared" si="22"/>
        <v>0</v>
      </c>
      <c r="BD66" s="81">
        <f t="shared" si="22"/>
        <v>0</v>
      </c>
      <c r="BE66" s="82">
        <f>I84</f>
        <v>0</v>
      </c>
      <c r="BF66" s="82">
        <f>K84</f>
        <v>0</v>
      </c>
      <c r="BG66" s="82">
        <f t="shared" ref="BG66:BP70" si="23">M84</f>
        <v>0</v>
      </c>
      <c r="BH66" s="82">
        <f t="shared" si="23"/>
        <v>0</v>
      </c>
      <c r="BI66" s="82">
        <f t="shared" si="23"/>
        <v>0</v>
      </c>
      <c r="BJ66" s="82">
        <f t="shared" si="23"/>
        <v>0</v>
      </c>
      <c r="BK66" s="82">
        <f t="shared" si="23"/>
        <v>0</v>
      </c>
      <c r="BL66" s="82">
        <f t="shared" si="23"/>
        <v>0</v>
      </c>
      <c r="BM66" s="82">
        <f t="shared" si="23"/>
        <v>0</v>
      </c>
      <c r="BN66" s="82">
        <f t="shared" si="23"/>
        <v>0</v>
      </c>
      <c r="BO66" s="82">
        <f t="shared" si="23"/>
        <v>0</v>
      </c>
      <c r="BP66" s="82">
        <f t="shared" si="23"/>
        <v>0</v>
      </c>
      <c r="BQ66" s="82">
        <f>X84</f>
        <v>0</v>
      </c>
      <c r="BR66" s="82">
        <f>Z84</f>
        <v>0</v>
      </c>
      <c r="BS66" s="81">
        <f>AB84</f>
        <v>0</v>
      </c>
      <c r="BT66" s="81">
        <f t="shared" ref="BT66:BV70" si="24">AD84</f>
        <v>0</v>
      </c>
      <c r="BU66" s="81">
        <f t="shared" si="24"/>
        <v>0</v>
      </c>
      <c r="BV66" s="81">
        <f t="shared" si="24"/>
        <v>0</v>
      </c>
      <c r="BW66" s="81">
        <f>B84</f>
        <v>0</v>
      </c>
    </row>
    <row r="67" spans="1:75" x14ac:dyDescent="0.25">
      <c r="A67" s="65" t="s">
        <v>81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66">
        <v>70</v>
      </c>
      <c r="AH67" s="48">
        <f t="shared" si="2"/>
        <v>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66">
        <v>69</v>
      </c>
      <c r="AH68" s="48">
        <f t="shared" si="2"/>
        <v>0</v>
      </c>
      <c r="AI68" s="49">
        <f t="shared" si="3"/>
        <v>0</v>
      </c>
      <c r="AK68" s="51"/>
      <c r="AL68" s="83"/>
      <c r="AO68" s="83"/>
      <c r="AY68" s="1" t="s">
        <v>90</v>
      </c>
      <c r="AZ68" s="82">
        <f>ROUND(C86,0)</f>
        <v>0</v>
      </c>
      <c r="BA68" s="81">
        <f t="shared" si="22"/>
        <v>0</v>
      </c>
      <c r="BB68" s="81">
        <f t="shared" si="22"/>
        <v>0</v>
      </c>
      <c r="BC68" s="81">
        <f t="shared" si="22"/>
        <v>0</v>
      </c>
      <c r="BD68" s="81">
        <f t="shared" si="22"/>
        <v>0</v>
      </c>
      <c r="BE68" s="82">
        <f>I86</f>
        <v>0</v>
      </c>
      <c r="BF68" s="82">
        <f>K86</f>
        <v>0</v>
      </c>
      <c r="BG68" s="82">
        <f t="shared" si="23"/>
        <v>0</v>
      </c>
      <c r="BH68" s="82">
        <f t="shared" si="23"/>
        <v>0</v>
      </c>
      <c r="BI68" s="82">
        <f t="shared" si="23"/>
        <v>0</v>
      </c>
      <c r="BJ68" s="82">
        <f t="shared" si="23"/>
        <v>0</v>
      </c>
      <c r="BK68" s="82">
        <f t="shared" si="23"/>
        <v>0</v>
      </c>
      <c r="BL68" s="82">
        <f t="shared" si="23"/>
        <v>0</v>
      </c>
      <c r="BM68" s="82">
        <f t="shared" si="23"/>
        <v>0</v>
      </c>
      <c r="BN68" s="82">
        <f t="shared" si="23"/>
        <v>0</v>
      </c>
      <c r="BO68" s="82">
        <f t="shared" si="23"/>
        <v>0</v>
      </c>
      <c r="BP68" s="82">
        <f t="shared" si="23"/>
        <v>0</v>
      </c>
      <c r="BQ68" s="82">
        <f>X86</f>
        <v>0</v>
      </c>
      <c r="BR68" s="82">
        <f>Z86</f>
        <v>0</v>
      </c>
      <c r="BS68" s="81">
        <f>AB86</f>
        <v>0</v>
      </c>
      <c r="BT68" s="81">
        <f t="shared" si="24"/>
        <v>0</v>
      </c>
      <c r="BU68" s="81">
        <f t="shared" si="24"/>
        <v>0</v>
      </c>
      <c r="BV68" s="81">
        <f t="shared" si="24"/>
        <v>0</v>
      </c>
      <c r="BW68" s="81">
        <f>B86</f>
        <v>0</v>
      </c>
    </row>
    <row r="69" spans="1:75" s="83" customFormat="1" x14ac:dyDescent="0.25">
      <c r="A69" s="65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68"/>
      <c r="L69" s="68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66">
        <v>60</v>
      </c>
      <c r="AH69" s="48">
        <f t="shared" si="2"/>
        <v>0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/>
      <c r="C70" s="46"/>
      <c r="D70" s="46"/>
      <c r="E70" s="76"/>
      <c r="F70" s="76"/>
      <c r="G70" s="76"/>
      <c r="H70" s="76"/>
      <c r="I70" s="76"/>
      <c r="J70" s="76"/>
      <c r="K70" s="76"/>
      <c r="L70" s="68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66">
        <v>30</v>
      </c>
      <c r="AH70" s="48">
        <f t="shared" si="2"/>
        <v>0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66">
        <v>25</v>
      </c>
      <c r="AH71" s="48">
        <f t="shared" si="2"/>
        <v>0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66">
        <v>24</v>
      </c>
      <c r="AH72" s="48">
        <f t="shared" si="2"/>
        <v>0</v>
      </c>
      <c r="AI72" s="49">
        <f t="shared" si="3"/>
        <v>0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66">
        <v>15</v>
      </c>
      <c r="AH73" s="48">
        <f t="shared" si="2"/>
        <v>0</v>
      </c>
      <c r="AI73" s="49">
        <f t="shared" si="3"/>
        <v>0</v>
      </c>
      <c r="AK73" s="51"/>
      <c r="AZ73" s="82">
        <f t="shared" ref="AZ73:BW78" si="26">VALUE(AZ66)</f>
        <v>0</v>
      </c>
      <c r="BA73" s="82">
        <f t="shared" si="26"/>
        <v>0</v>
      </c>
      <c r="BB73" s="82">
        <f t="shared" si="26"/>
        <v>0</v>
      </c>
      <c r="BC73" s="82">
        <f t="shared" si="26"/>
        <v>0</v>
      </c>
      <c r="BD73" s="82">
        <f t="shared" si="26"/>
        <v>0</v>
      </c>
      <c r="BE73" s="82">
        <f t="shared" si="26"/>
        <v>0</v>
      </c>
      <c r="BF73" s="82">
        <f t="shared" si="26"/>
        <v>0</v>
      </c>
      <c r="BG73" s="82">
        <f t="shared" si="26"/>
        <v>0</v>
      </c>
      <c r="BH73" s="82">
        <f t="shared" si="26"/>
        <v>0</v>
      </c>
      <c r="BI73" s="82">
        <f t="shared" si="26"/>
        <v>0</v>
      </c>
      <c r="BJ73" s="82">
        <f t="shared" si="26"/>
        <v>0</v>
      </c>
      <c r="BK73" s="82">
        <f t="shared" si="26"/>
        <v>0</v>
      </c>
      <c r="BL73" s="82">
        <f t="shared" si="26"/>
        <v>0</v>
      </c>
      <c r="BM73" s="82">
        <f t="shared" si="26"/>
        <v>0</v>
      </c>
      <c r="BN73" s="82">
        <f t="shared" si="26"/>
        <v>0</v>
      </c>
      <c r="BO73" s="82">
        <f t="shared" si="26"/>
        <v>0</v>
      </c>
      <c r="BP73" s="82">
        <f t="shared" si="26"/>
        <v>0</v>
      </c>
      <c r="BQ73" s="82">
        <f t="shared" si="26"/>
        <v>0</v>
      </c>
      <c r="BR73" s="82">
        <f t="shared" si="26"/>
        <v>0</v>
      </c>
      <c r="BS73" s="82">
        <f t="shared" si="26"/>
        <v>0</v>
      </c>
      <c r="BT73" s="82">
        <f t="shared" si="26"/>
        <v>0</v>
      </c>
      <c r="BU73" s="82">
        <f t="shared" si="26"/>
        <v>0</v>
      </c>
      <c r="BV73" s="82">
        <f t="shared" si="26"/>
        <v>0</v>
      </c>
      <c r="BW73" s="82">
        <f t="shared" si="26"/>
        <v>0</v>
      </c>
    </row>
    <row r="74" spans="1:75" x14ac:dyDescent="0.25">
      <c r="A74" s="65" t="s">
        <v>91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66">
        <v>14.1</v>
      </c>
      <c r="AH74" s="48">
        <f t="shared" si="2"/>
        <v>0</v>
      </c>
      <c r="AI74" s="49">
        <f t="shared" si="3"/>
        <v>0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66">
        <v>14</v>
      </c>
      <c r="AH75" s="48">
        <f t="shared" ref="AH75:AH126" si="27">MAX(B75:AF75)</f>
        <v>0</v>
      </c>
      <c r="AI75" s="49">
        <f t="shared" ref="AI75:AI126" si="28">MIN(B75:AF75)</f>
        <v>0</v>
      </c>
      <c r="AK75" s="51"/>
      <c r="AZ75" s="82">
        <f t="shared" si="26"/>
        <v>0</v>
      </c>
      <c r="BA75" s="82">
        <f t="shared" si="26"/>
        <v>0</v>
      </c>
      <c r="BB75" s="82">
        <f t="shared" si="26"/>
        <v>0</v>
      </c>
      <c r="BC75" s="82">
        <f t="shared" si="26"/>
        <v>0</v>
      </c>
      <c r="BD75" s="82">
        <f t="shared" si="26"/>
        <v>0</v>
      </c>
      <c r="BE75" s="82">
        <f t="shared" si="26"/>
        <v>0</v>
      </c>
      <c r="BF75" s="82">
        <f t="shared" si="26"/>
        <v>0</v>
      </c>
      <c r="BG75" s="82">
        <f t="shared" si="26"/>
        <v>0</v>
      </c>
      <c r="BH75" s="82">
        <f t="shared" si="26"/>
        <v>0</v>
      </c>
      <c r="BI75" s="82">
        <f t="shared" si="26"/>
        <v>0</v>
      </c>
      <c r="BJ75" s="82">
        <f t="shared" si="26"/>
        <v>0</v>
      </c>
      <c r="BK75" s="82">
        <f t="shared" si="26"/>
        <v>0</v>
      </c>
      <c r="BL75" s="82">
        <f t="shared" si="26"/>
        <v>0</v>
      </c>
      <c r="BM75" s="82">
        <f t="shared" si="26"/>
        <v>0</v>
      </c>
      <c r="BN75" s="82">
        <f t="shared" si="26"/>
        <v>0</v>
      </c>
      <c r="BO75" s="82">
        <f t="shared" si="26"/>
        <v>0</v>
      </c>
      <c r="BP75" s="82">
        <f t="shared" si="26"/>
        <v>0</v>
      </c>
      <c r="BQ75" s="82">
        <f t="shared" si="26"/>
        <v>0</v>
      </c>
      <c r="BR75" s="82">
        <f t="shared" si="26"/>
        <v>0</v>
      </c>
      <c r="BS75" s="82">
        <f t="shared" si="26"/>
        <v>0</v>
      </c>
      <c r="BT75" s="82">
        <f t="shared" si="26"/>
        <v>0</v>
      </c>
      <c r="BU75" s="82">
        <f t="shared" si="26"/>
        <v>0</v>
      </c>
      <c r="BV75" s="82">
        <f t="shared" si="26"/>
        <v>0</v>
      </c>
      <c r="BW75" s="82">
        <f t="shared" si="26"/>
        <v>0</v>
      </c>
    </row>
    <row r="76" spans="1:75" x14ac:dyDescent="0.25">
      <c r="A76" s="65" t="s">
        <v>95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66">
        <v>10.050000000000001</v>
      </c>
      <c r="AH76" s="48">
        <f t="shared" si="27"/>
        <v>0</v>
      </c>
      <c r="AI76" s="49">
        <f t="shared" si="28"/>
        <v>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66">
        <v>6.2</v>
      </c>
      <c r="AH77" s="48">
        <f t="shared" si="27"/>
        <v>0</v>
      </c>
      <c r="AI77" s="49">
        <f t="shared" si="28"/>
        <v>0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 t="shared" ref="B79:AG79" si="29">SUM(B66:B78)</f>
        <v>3.54</v>
      </c>
      <c r="C79" s="71">
        <f t="shared" si="29"/>
        <v>3.54</v>
      </c>
      <c r="D79" s="71">
        <f t="shared" si="29"/>
        <v>3.54</v>
      </c>
      <c r="E79" s="71">
        <f t="shared" si="29"/>
        <v>3.54</v>
      </c>
      <c r="F79" s="71">
        <f t="shared" si="29"/>
        <v>3.54</v>
      </c>
      <c r="G79" s="71">
        <f t="shared" si="29"/>
        <v>3.54</v>
      </c>
      <c r="H79" s="71">
        <f t="shared" si="29"/>
        <v>3.54</v>
      </c>
      <c r="I79" s="71">
        <f t="shared" si="29"/>
        <v>3.54</v>
      </c>
      <c r="J79" s="71">
        <f t="shared" si="29"/>
        <v>3.54</v>
      </c>
      <c r="K79" s="71">
        <f t="shared" si="29"/>
        <v>3.54</v>
      </c>
      <c r="L79" s="71">
        <f t="shared" si="29"/>
        <v>3.54</v>
      </c>
      <c r="M79" s="71">
        <f t="shared" si="29"/>
        <v>3.54</v>
      </c>
      <c r="N79" s="71">
        <f t="shared" si="29"/>
        <v>3.54</v>
      </c>
      <c r="O79" s="71">
        <f t="shared" si="29"/>
        <v>3.54</v>
      </c>
      <c r="P79" s="71">
        <f t="shared" si="29"/>
        <v>3.54</v>
      </c>
      <c r="Q79" s="71">
        <f t="shared" si="29"/>
        <v>3.54</v>
      </c>
      <c r="R79" s="71">
        <f t="shared" si="29"/>
        <v>3.54</v>
      </c>
      <c r="S79" s="71">
        <f t="shared" si="29"/>
        <v>3.54</v>
      </c>
      <c r="T79" s="71">
        <f t="shared" si="29"/>
        <v>3.54</v>
      </c>
      <c r="U79" s="71">
        <f t="shared" si="29"/>
        <v>3.54</v>
      </c>
      <c r="V79" s="71">
        <f t="shared" si="29"/>
        <v>3.54</v>
      </c>
      <c r="W79" s="71">
        <f t="shared" si="29"/>
        <v>3.54</v>
      </c>
      <c r="X79" s="71">
        <f t="shared" si="29"/>
        <v>3.54</v>
      </c>
      <c r="Y79" s="71">
        <f t="shared" si="29"/>
        <v>3.5</v>
      </c>
      <c r="Z79" s="71">
        <f t="shared" si="29"/>
        <v>5.5</v>
      </c>
      <c r="AA79" s="71">
        <f t="shared" si="29"/>
        <v>3.54</v>
      </c>
      <c r="AB79" s="71">
        <f t="shared" si="29"/>
        <v>3.54</v>
      </c>
      <c r="AC79" s="71">
        <f t="shared" si="29"/>
        <v>3.54</v>
      </c>
      <c r="AD79" s="71">
        <f t="shared" si="29"/>
        <v>3.54</v>
      </c>
      <c r="AE79" s="71">
        <f t="shared" si="29"/>
        <v>3.54</v>
      </c>
      <c r="AF79" s="71">
        <f t="shared" si="29"/>
        <v>3.54</v>
      </c>
      <c r="AG79" s="72">
        <f t="shared" si="29"/>
        <v>489.91</v>
      </c>
      <c r="AH79" s="48">
        <f t="shared" si="27"/>
        <v>5.5</v>
      </c>
      <c r="AI79" s="49">
        <f t="shared" si="28"/>
        <v>3.5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27"/>
        <v>0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27"/>
        <v>0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27"/>
        <v>0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0</v>
      </c>
      <c r="BH82" s="82">
        <v>0</v>
      </c>
      <c r="BI82" s="82">
        <v>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0">B80+B81+B82</f>
        <v>0</v>
      </c>
      <c r="C83" s="71">
        <f t="shared" si="30"/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0</v>
      </c>
      <c r="N83" s="71">
        <f t="shared" si="30"/>
        <v>0</v>
      </c>
      <c r="O83" s="71">
        <f t="shared" si="30"/>
        <v>0</v>
      </c>
      <c r="P83" s="71">
        <f t="shared" si="30"/>
        <v>0</v>
      </c>
      <c r="Q83" s="71">
        <f t="shared" si="30"/>
        <v>0</v>
      </c>
      <c r="R83" s="71">
        <f t="shared" si="30"/>
        <v>0</v>
      </c>
      <c r="S83" s="71">
        <f t="shared" si="30"/>
        <v>0</v>
      </c>
      <c r="T83" s="71">
        <f t="shared" si="30"/>
        <v>0</v>
      </c>
      <c r="U83" s="71">
        <f t="shared" si="30"/>
        <v>0</v>
      </c>
      <c r="V83" s="71">
        <f t="shared" si="30"/>
        <v>0</v>
      </c>
      <c r="W83" s="71">
        <f t="shared" si="30"/>
        <v>0</v>
      </c>
      <c r="X83" s="71">
        <f t="shared" si="30"/>
        <v>0</v>
      </c>
      <c r="Y83" s="71">
        <f t="shared" si="30"/>
        <v>0</v>
      </c>
      <c r="Z83" s="71">
        <f t="shared" si="30"/>
        <v>0</v>
      </c>
      <c r="AA83" s="71">
        <f t="shared" si="30"/>
        <v>0</v>
      </c>
      <c r="AB83" s="71">
        <f t="shared" si="30"/>
        <v>0</v>
      </c>
      <c r="AC83" s="71">
        <f t="shared" si="30"/>
        <v>0</v>
      </c>
      <c r="AD83" s="71">
        <f t="shared" si="30"/>
        <v>0</v>
      </c>
      <c r="AE83" s="71">
        <f t="shared" si="30"/>
        <v>0</v>
      </c>
      <c r="AF83" s="71">
        <f t="shared" si="30"/>
        <v>0</v>
      </c>
      <c r="AG83" s="72">
        <f>SUM(AG80:AG82)</f>
        <v>106</v>
      </c>
      <c r="AH83" s="48">
        <f t="shared" si="27"/>
        <v>0</v>
      </c>
      <c r="AI83" s="49">
        <f t="shared" si="28"/>
        <v>0</v>
      </c>
      <c r="AK83" s="51"/>
      <c r="AY83" s="82"/>
      <c r="BF83" s="81"/>
      <c r="BG83" s="82">
        <v>0</v>
      </c>
      <c r="BH83" s="82">
        <v>0</v>
      </c>
      <c r="BI83" s="82">
        <v>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61"/>
      <c r="AH84" s="48">
        <f t="shared" si="27"/>
        <v>0</v>
      </c>
      <c r="AI84" s="49">
        <f t="shared" si="28"/>
        <v>0</v>
      </c>
      <c r="AK84" s="51"/>
      <c r="AY84" s="82"/>
      <c r="BF84" s="81"/>
      <c r="BG84" s="82">
        <v>0</v>
      </c>
      <c r="BH84" s="82">
        <v>0</v>
      </c>
      <c r="BI84" s="82">
        <v>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0</v>
      </c>
      <c r="BH85" s="82">
        <v>0</v>
      </c>
      <c r="BI85" s="82">
        <v>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88"/>
      <c r="AH86" s="48">
        <f t="shared" si="27"/>
        <v>0</v>
      </c>
      <c r="AI86" s="49">
        <f t="shared" si="28"/>
        <v>0</v>
      </c>
      <c r="AK86" s="92"/>
      <c r="AL86" s="93"/>
      <c r="AM86" s="93"/>
      <c r="AN86" s="94"/>
      <c r="AY86" s="82"/>
      <c r="BF86" s="82"/>
      <c r="BG86" s="82">
        <v>0</v>
      </c>
      <c r="BH86" s="82">
        <v>0</v>
      </c>
      <c r="BI86" s="82">
        <v>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0</v>
      </c>
      <c r="BH87" s="82">
        <v>0</v>
      </c>
      <c r="BI87" s="82">
        <v>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0</v>
      </c>
      <c r="BH88" s="82">
        <v>0</v>
      </c>
      <c r="BI88" s="82">
        <v>0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28"/>
        <v>0</v>
      </c>
      <c r="AK89" s="99"/>
      <c r="AL89" s="46"/>
      <c r="AM89" s="46"/>
      <c r="AN89" s="100"/>
      <c r="AY89" s="82"/>
      <c r="BF89" s="82"/>
      <c r="BG89" s="82">
        <v>0</v>
      </c>
      <c r="BH89" s="82">
        <v>0</v>
      </c>
      <c r="BI89" s="82">
        <v>0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4"/>
      <c r="AY90" s="82"/>
      <c r="BF90" s="82"/>
      <c r="BG90" s="82">
        <v>0</v>
      </c>
      <c r="BH90" s="82">
        <v>0</v>
      </c>
      <c r="BI90" s="82">
        <v>0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5"/>
      <c r="BF91" s="82"/>
      <c r="BG91" s="82">
        <v>0</v>
      </c>
      <c r="BH91" s="82">
        <v>0</v>
      </c>
      <c r="BI91" s="82">
        <v>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31">SUMIF(D84:D94,"&gt;0")</f>
        <v>0</v>
      </c>
      <c r="E95" s="71">
        <f t="shared" si="31"/>
        <v>0</v>
      </c>
      <c r="F95" s="71">
        <f t="shared" si="31"/>
        <v>0</v>
      </c>
      <c r="G95" s="71">
        <f t="shared" si="31"/>
        <v>0</v>
      </c>
      <c r="H95" s="71">
        <f t="shared" si="31"/>
        <v>0</v>
      </c>
      <c r="I95" s="71">
        <f t="shared" si="31"/>
        <v>0</v>
      </c>
      <c r="J95" s="71">
        <f t="shared" si="31"/>
        <v>0</v>
      </c>
      <c r="K95" s="71">
        <f t="shared" si="31"/>
        <v>0</v>
      </c>
      <c r="L95" s="71">
        <f t="shared" si="31"/>
        <v>0</v>
      </c>
      <c r="M95" s="71">
        <f t="shared" si="31"/>
        <v>0</v>
      </c>
      <c r="N95" s="71">
        <f t="shared" si="31"/>
        <v>0</v>
      </c>
      <c r="O95" s="71">
        <f t="shared" si="31"/>
        <v>0</v>
      </c>
      <c r="P95" s="71">
        <f t="shared" si="31"/>
        <v>0</v>
      </c>
      <c r="Q95" s="71">
        <f t="shared" si="31"/>
        <v>0</v>
      </c>
      <c r="R95" s="71">
        <f t="shared" si="31"/>
        <v>0</v>
      </c>
      <c r="S95" s="71">
        <f t="shared" si="31"/>
        <v>0</v>
      </c>
      <c r="T95" s="71">
        <f t="shared" si="31"/>
        <v>0</v>
      </c>
      <c r="U95" s="71">
        <f>SUMIF(U84:U94,"&gt;0")</f>
        <v>0</v>
      </c>
      <c r="V95" s="71">
        <f t="shared" si="31"/>
        <v>0</v>
      </c>
      <c r="W95" s="71">
        <f t="shared" si="31"/>
        <v>0</v>
      </c>
      <c r="X95" s="71">
        <f t="shared" si="31"/>
        <v>0</v>
      </c>
      <c r="Y95" s="71">
        <f t="shared" si="31"/>
        <v>0</v>
      </c>
      <c r="Z95" s="71">
        <f t="shared" si="31"/>
        <v>0</v>
      </c>
      <c r="AA95" s="71">
        <f t="shared" si="31"/>
        <v>0</v>
      </c>
      <c r="AB95" s="71">
        <f t="shared" si="31"/>
        <v>0</v>
      </c>
      <c r="AC95" s="71">
        <f t="shared" si="31"/>
        <v>0</v>
      </c>
      <c r="AD95" s="71">
        <f t="shared" si="31"/>
        <v>0</v>
      </c>
      <c r="AE95" s="71">
        <f t="shared" si="31"/>
        <v>0</v>
      </c>
      <c r="AF95" s="71">
        <f t="shared" si="31"/>
        <v>0</v>
      </c>
      <c r="AG95" s="101">
        <f>SUM(AG84:AG94)</f>
        <v>0</v>
      </c>
      <c r="AH95" s="48">
        <f t="shared" si="27"/>
        <v>0</v>
      </c>
      <c r="AI95" s="49">
        <f t="shared" si="28"/>
        <v>0</v>
      </c>
      <c r="BF95" s="82"/>
      <c r="BG95" s="82"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2">B61+B65+B83+B79+B95+B99</f>
        <v>303.54000000000002</v>
      </c>
      <c r="C100" s="108">
        <f t="shared" si="32"/>
        <v>303.54000000000002</v>
      </c>
      <c r="D100" s="108">
        <f t="shared" si="32"/>
        <v>303.54000000000002</v>
      </c>
      <c r="E100" s="108">
        <f t="shared" si="32"/>
        <v>303.54000000000002</v>
      </c>
      <c r="F100" s="108">
        <f t="shared" si="32"/>
        <v>303.54000000000002</v>
      </c>
      <c r="G100" s="108">
        <f t="shared" si="32"/>
        <v>303.54000000000002</v>
      </c>
      <c r="H100" s="108">
        <f t="shared" si="32"/>
        <v>303.54000000000002</v>
      </c>
      <c r="I100" s="108">
        <f t="shared" si="32"/>
        <v>303.54000000000002</v>
      </c>
      <c r="J100" s="108">
        <f t="shared" si="32"/>
        <v>303.54000000000002</v>
      </c>
      <c r="K100" s="108">
        <f t="shared" si="32"/>
        <v>303.54000000000002</v>
      </c>
      <c r="L100" s="108">
        <f t="shared" si="32"/>
        <v>303.54000000000002</v>
      </c>
      <c r="M100" s="108">
        <f t="shared" si="32"/>
        <v>303.54000000000002</v>
      </c>
      <c r="N100" s="108">
        <f t="shared" si="32"/>
        <v>303.54000000000002</v>
      </c>
      <c r="O100" s="108">
        <f t="shared" si="32"/>
        <v>303.54000000000002</v>
      </c>
      <c r="P100" s="108">
        <f t="shared" si="32"/>
        <v>303.54000000000002</v>
      </c>
      <c r="Q100" s="108">
        <f t="shared" si="32"/>
        <v>303.54000000000002</v>
      </c>
      <c r="R100" s="108">
        <f t="shared" si="32"/>
        <v>303.54000000000002</v>
      </c>
      <c r="S100" s="108">
        <f t="shared" si="32"/>
        <v>303.54000000000002</v>
      </c>
      <c r="T100" s="108">
        <f t="shared" si="32"/>
        <v>303.54000000000002</v>
      </c>
      <c r="U100" s="108">
        <f t="shared" si="32"/>
        <v>303.54000000000002</v>
      </c>
      <c r="V100" s="108">
        <f t="shared" si="32"/>
        <v>303.54000000000002</v>
      </c>
      <c r="W100" s="108">
        <f t="shared" si="32"/>
        <v>303.54000000000002</v>
      </c>
      <c r="X100" s="108">
        <f t="shared" si="32"/>
        <v>303.54000000000002</v>
      </c>
      <c r="Y100" s="108">
        <f t="shared" si="32"/>
        <v>303.5</v>
      </c>
      <c r="Z100" s="108">
        <f t="shared" si="32"/>
        <v>305.5</v>
      </c>
      <c r="AA100" s="108">
        <f t="shared" si="32"/>
        <v>303.54000000000002</v>
      </c>
      <c r="AB100" s="108">
        <f t="shared" si="32"/>
        <v>303.54000000000002</v>
      </c>
      <c r="AC100" s="108">
        <f t="shared" si="32"/>
        <v>303.54000000000002</v>
      </c>
      <c r="AD100" s="108">
        <f t="shared" si="32"/>
        <v>303.54000000000002</v>
      </c>
      <c r="AE100" s="108">
        <f t="shared" si="32"/>
        <v>303.54000000000002</v>
      </c>
      <c r="AF100" s="108">
        <f t="shared" si="32"/>
        <v>303.54000000000002</v>
      </c>
      <c r="AG100" s="72">
        <f t="shared" si="32"/>
        <v>2655.44</v>
      </c>
      <c r="AH100" s="48">
        <f t="shared" si="27"/>
        <v>305.5</v>
      </c>
      <c r="AI100" s="49">
        <f t="shared" si="28"/>
        <v>303.5</v>
      </c>
      <c r="BF100" s="81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7"/>
        <v>0</v>
      </c>
      <c r="AI101" s="49">
        <f t="shared" si="28"/>
        <v>0</v>
      </c>
      <c r="BF101" s="81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303.54000000000002</v>
      </c>
      <c r="C102" s="108">
        <f t="shared" ref="C102:AF102" si="33">C100+C101</f>
        <v>303.54000000000002</v>
      </c>
      <c r="D102" s="108">
        <f t="shared" si="33"/>
        <v>303.54000000000002</v>
      </c>
      <c r="E102" s="108">
        <f t="shared" si="33"/>
        <v>303.54000000000002</v>
      </c>
      <c r="F102" s="108">
        <f t="shared" si="33"/>
        <v>303.54000000000002</v>
      </c>
      <c r="G102" s="108">
        <f t="shared" si="33"/>
        <v>303.54000000000002</v>
      </c>
      <c r="H102" s="108">
        <f t="shared" si="33"/>
        <v>303.54000000000002</v>
      </c>
      <c r="I102" s="108">
        <f t="shared" si="33"/>
        <v>303.54000000000002</v>
      </c>
      <c r="J102" s="108">
        <f t="shared" si="33"/>
        <v>303.54000000000002</v>
      </c>
      <c r="K102" s="108">
        <f t="shared" si="33"/>
        <v>303.54000000000002</v>
      </c>
      <c r="L102" s="108">
        <f t="shared" si="33"/>
        <v>303.54000000000002</v>
      </c>
      <c r="M102" s="108">
        <f t="shared" si="33"/>
        <v>303.54000000000002</v>
      </c>
      <c r="N102" s="108">
        <f t="shared" si="33"/>
        <v>303.54000000000002</v>
      </c>
      <c r="O102" s="108">
        <f t="shared" si="33"/>
        <v>303.54000000000002</v>
      </c>
      <c r="P102" s="108">
        <f t="shared" si="33"/>
        <v>303.54000000000002</v>
      </c>
      <c r="Q102" s="108">
        <f t="shared" si="33"/>
        <v>303.54000000000002</v>
      </c>
      <c r="R102" s="108">
        <f t="shared" si="33"/>
        <v>303.54000000000002</v>
      </c>
      <c r="S102" s="108">
        <f t="shared" si="33"/>
        <v>303.54000000000002</v>
      </c>
      <c r="T102" s="108">
        <f t="shared" si="33"/>
        <v>303.54000000000002</v>
      </c>
      <c r="U102" s="108">
        <f t="shared" si="33"/>
        <v>303.54000000000002</v>
      </c>
      <c r="V102" s="108">
        <f t="shared" si="33"/>
        <v>303.54000000000002</v>
      </c>
      <c r="W102" s="108">
        <f t="shared" si="33"/>
        <v>303.54000000000002</v>
      </c>
      <c r="X102" s="108">
        <f t="shared" si="33"/>
        <v>303.54000000000002</v>
      </c>
      <c r="Y102" s="108">
        <f t="shared" si="33"/>
        <v>303.5</v>
      </c>
      <c r="Z102" s="108">
        <f t="shared" si="33"/>
        <v>305.5</v>
      </c>
      <c r="AA102" s="108">
        <f t="shared" si="33"/>
        <v>303.54000000000002</v>
      </c>
      <c r="AB102" s="108">
        <f t="shared" si="33"/>
        <v>303.54000000000002</v>
      </c>
      <c r="AC102" s="108">
        <f t="shared" si="33"/>
        <v>303.54000000000002</v>
      </c>
      <c r="AD102" s="108">
        <f t="shared" si="33"/>
        <v>303.54000000000002</v>
      </c>
      <c r="AE102" s="108">
        <f t="shared" si="33"/>
        <v>303.54000000000002</v>
      </c>
      <c r="AF102" s="108">
        <f t="shared" si="33"/>
        <v>303.54000000000002</v>
      </c>
      <c r="AG102" s="101">
        <f>AG99+AG95+AG83+AG79+AG61+AG101</f>
        <v>2117.34</v>
      </c>
      <c r="AH102" s="48">
        <f t="shared" si="27"/>
        <v>305.5</v>
      </c>
      <c r="AI102" s="49">
        <f t="shared" si="28"/>
        <v>303.5</v>
      </c>
      <c r="BF102" s="81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303.54000000000002</v>
      </c>
      <c r="C103" s="108">
        <f t="shared" ref="C103:AF103" si="34">C102-(C110)</f>
        <v>303.54000000000002</v>
      </c>
      <c r="D103" s="108">
        <f t="shared" si="34"/>
        <v>303.54000000000002</v>
      </c>
      <c r="E103" s="108">
        <f t="shared" si="34"/>
        <v>303.54000000000002</v>
      </c>
      <c r="F103" s="108">
        <f t="shared" si="34"/>
        <v>303.54000000000002</v>
      </c>
      <c r="G103" s="108">
        <f t="shared" si="34"/>
        <v>303.54000000000002</v>
      </c>
      <c r="H103" s="108">
        <f t="shared" si="34"/>
        <v>303.54000000000002</v>
      </c>
      <c r="I103" s="108">
        <f t="shared" si="34"/>
        <v>303.54000000000002</v>
      </c>
      <c r="J103" s="108">
        <f t="shared" si="34"/>
        <v>303.54000000000002</v>
      </c>
      <c r="K103" s="108">
        <f t="shared" si="34"/>
        <v>303.54000000000002</v>
      </c>
      <c r="L103" s="108">
        <f t="shared" si="34"/>
        <v>303.54000000000002</v>
      </c>
      <c r="M103" s="108">
        <f t="shared" si="34"/>
        <v>303.54000000000002</v>
      </c>
      <c r="N103" s="108">
        <f t="shared" si="34"/>
        <v>303.54000000000002</v>
      </c>
      <c r="O103" s="108">
        <f t="shared" si="34"/>
        <v>303.54000000000002</v>
      </c>
      <c r="P103" s="108">
        <f t="shared" si="34"/>
        <v>303.54000000000002</v>
      </c>
      <c r="Q103" s="108">
        <f t="shared" si="34"/>
        <v>303.54000000000002</v>
      </c>
      <c r="R103" s="108">
        <f t="shared" si="34"/>
        <v>303.54000000000002</v>
      </c>
      <c r="S103" s="108">
        <f t="shared" si="34"/>
        <v>303.54000000000002</v>
      </c>
      <c r="T103" s="108">
        <f t="shared" si="34"/>
        <v>303.54000000000002</v>
      </c>
      <c r="U103" s="108">
        <f t="shared" si="34"/>
        <v>303.54000000000002</v>
      </c>
      <c r="V103" s="108">
        <f t="shared" si="34"/>
        <v>303.54000000000002</v>
      </c>
      <c r="W103" s="108">
        <f t="shared" si="34"/>
        <v>303.54000000000002</v>
      </c>
      <c r="X103" s="108">
        <f t="shared" si="34"/>
        <v>303.54000000000002</v>
      </c>
      <c r="Y103" s="108">
        <f t="shared" si="34"/>
        <v>303.5</v>
      </c>
      <c r="Z103" s="108">
        <f t="shared" si="34"/>
        <v>305.5</v>
      </c>
      <c r="AA103" s="108">
        <f t="shared" si="34"/>
        <v>303.54000000000002</v>
      </c>
      <c r="AB103" s="108">
        <f t="shared" si="34"/>
        <v>303.54000000000002</v>
      </c>
      <c r="AC103" s="108">
        <f t="shared" si="34"/>
        <v>303.54000000000002</v>
      </c>
      <c r="AD103" s="108">
        <f t="shared" si="34"/>
        <v>303.54000000000002</v>
      </c>
      <c r="AE103" s="108">
        <f t="shared" si="34"/>
        <v>303.54000000000002</v>
      </c>
      <c r="AF103" s="108">
        <f t="shared" si="34"/>
        <v>303.54000000000002</v>
      </c>
      <c r="AG103" s="101"/>
      <c r="AH103" s="48">
        <f t="shared" si="27"/>
        <v>305.5</v>
      </c>
      <c r="AI103" s="49">
        <f t="shared" si="28"/>
        <v>303.5</v>
      </c>
      <c r="BF103" s="81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35">IF(B84&lt;0,B84*-1,0)</f>
        <v>0</v>
      </c>
      <c r="C104" s="89">
        <f t="shared" ref="C104:AF109" si="36">IF(C84&lt;0,C84*-1,0)</f>
        <v>0</v>
      </c>
      <c r="D104" s="89">
        <f t="shared" si="36"/>
        <v>0</v>
      </c>
      <c r="E104" s="89">
        <f t="shared" si="36"/>
        <v>0</v>
      </c>
      <c r="F104" s="89">
        <f t="shared" si="36"/>
        <v>0</v>
      </c>
      <c r="G104" s="89">
        <f t="shared" si="36"/>
        <v>0</v>
      </c>
      <c r="H104" s="89">
        <f t="shared" si="36"/>
        <v>0</v>
      </c>
      <c r="I104" s="89">
        <f t="shared" si="36"/>
        <v>0</v>
      </c>
      <c r="J104" s="89">
        <f t="shared" si="36"/>
        <v>0</v>
      </c>
      <c r="K104" s="89">
        <f t="shared" si="36"/>
        <v>0</v>
      </c>
      <c r="L104" s="89">
        <f t="shared" si="36"/>
        <v>0</v>
      </c>
      <c r="M104" s="89">
        <f t="shared" si="36"/>
        <v>0</v>
      </c>
      <c r="N104" s="89">
        <f t="shared" si="36"/>
        <v>0</v>
      </c>
      <c r="O104" s="89">
        <f t="shared" si="36"/>
        <v>0</v>
      </c>
      <c r="P104" s="89">
        <f t="shared" si="36"/>
        <v>0</v>
      </c>
      <c r="Q104" s="89">
        <f t="shared" si="36"/>
        <v>0</v>
      </c>
      <c r="R104" s="89">
        <f t="shared" si="36"/>
        <v>0</v>
      </c>
      <c r="S104" s="89">
        <f t="shared" si="36"/>
        <v>0</v>
      </c>
      <c r="T104" s="89">
        <f t="shared" si="36"/>
        <v>0</v>
      </c>
      <c r="U104" s="89">
        <f t="shared" si="36"/>
        <v>0</v>
      </c>
      <c r="V104" s="89">
        <f t="shared" si="36"/>
        <v>0</v>
      </c>
      <c r="W104" s="89">
        <f t="shared" si="36"/>
        <v>0</v>
      </c>
      <c r="X104" s="89">
        <f t="shared" si="36"/>
        <v>0</v>
      </c>
      <c r="Y104" s="89">
        <f t="shared" si="36"/>
        <v>0</v>
      </c>
      <c r="Z104" s="89">
        <f t="shared" si="36"/>
        <v>0</v>
      </c>
      <c r="AA104" s="89">
        <f t="shared" si="36"/>
        <v>0</v>
      </c>
      <c r="AB104" s="89">
        <f t="shared" si="36"/>
        <v>0</v>
      </c>
      <c r="AC104" s="89">
        <f t="shared" si="36"/>
        <v>0</v>
      </c>
      <c r="AD104" s="89">
        <f t="shared" si="36"/>
        <v>0</v>
      </c>
      <c r="AE104" s="89">
        <f t="shared" si="36"/>
        <v>0</v>
      </c>
      <c r="AF104" s="89">
        <f t="shared" si="36"/>
        <v>0</v>
      </c>
      <c r="AG104" s="61"/>
      <c r="AH104" s="48">
        <f t="shared" si="27"/>
        <v>0</v>
      </c>
      <c r="AI104" s="49">
        <f t="shared" si="28"/>
        <v>0</v>
      </c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35"/>
        <v>0</v>
      </c>
      <c r="C105" s="89">
        <f t="shared" ref="C105:Q105" si="37">IF(C85&lt;0,C85*-1,0)</f>
        <v>0</v>
      </c>
      <c r="D105" s="89">
        <f t="shared" si="37"/>
        <v>0</v>
      </c>
      <c r="E105" s="89">
        <f t="shared" si="37"/>
        <v>0</v>
      </c>
      <c r="F105" s="89">
        <f t="shared" si="37"/>
        <v>0</v>
      </c>
      <c r="G105" s="89">
        <f t="shared" si="37"/>
        <v>0</v>
      </c>
      <c r="H105" s="89">
        <f t="shared" si="37"/>
        <v>0</v>
      </c>
      <c r="I105" s="89">
        <f t="shared" si="37"/>
        <v>0</v>
      </c>
      <c r="J105" s="89">
        <f t="shared" si="37"/>
        <v>0</v>
      </c>
      <c r="K105" s="89">
        <f t="shared" si="37"/>
        <v>0</v>
      </c>
      <c r="L105" s="89">
        <f t="shared" si="37"/>
        <v>0</v>
      </c>
      <c r="M105" s="89">
        <f t="shared" si="37"/>
        <v>0</v>
      </c>
      <c r="N105" s="89">
        <f t="shared" si="37"/>
        <v>0</v>
      </c>
      <c r="O105" s="89">
        <f t="shared" si="37"/>
        <v>0</v>
      </c>
      <c r="P105" s="89">
        <f t="shared" si="37"/>
        <v>0</v>
      </c>
      <c r="Q105" s="89">
        <f t="shared" si="37"/>
        <v>0</v>
      </c>
      <c r="R105" s="89">
        <f t="shared" si="36"/>
        <v>0</v>
      </c>
      <c r="S105" s="89">
        <f t="shared" si="36"/>
        <v>0</v>
      </c>
      <c r="T105" s="89">
        <f t="shared" si="36"/>
        <v>0</v>
      </c>
      <c r="U105" s="89">
        <f t="shared" si="36"/>
        <v>0</v>
      </c>
      <c r="V105" s="89">
        <f t="shared" si="36"/>
        <v>0</v>
      </c>
      <c r="W105" s="89">
        <f t="shared" si="36"/>
        <v>0</v>
      </c>
      <c r="X105" s="89">
        <f t="shared" si="36"/>
        <v>0</v>
      </c>
      <c r="Y105" s="89">
        <f t="shared" si="36"/>
        <v>0</v>
      </c>
      <c r="Z105" s="89">
        <f t="shared" si="36"/>
        <v>0</v>
      </c>
      <c r="AA105" s="89">
        <f t="shared" si="36"/>
        <v>0</v>
      </c>
      <c r="AB105" s="89">
        <f t="shared" si="36"/>
        <v>0</v>
      </c>
      <c r="AC105" s="89">
        <f t="shared" si="36"/>
        <v>0</v>
      </c>
      <c r="AD105" s="89">
        <f t="shared" si="36"/>
        <v>0</v>
      </c>
      <c r="AE105" s="89">
        <f t="shared" si="36"/>
        <v>0</v>
      </c>
      <c r="AF105" s="89">
        <f t="shared" si="36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5"/>
        <v>0</v>
      </c>
      <c r="C106" s="89">
        <f t="shared" si="36"/>
        <v>0</v>
      </c>
      <c r="D106" s="89">
        <f t="shared" si="36"/>
        <v>0</v>
      </c>
      <c r="E106" s="89">
        <f t="shared" si="36"/>
        <v>0</v>
      </c>
      <c r="F106" s="89">
        <f t="shared" si="36"/>
        <v>0</v>
      </c>
      <c r="G106" s="89">
        <f t="shared" si="36"/>
        <v>0</v>
      </c>
      <c r="H106" s="89">
        <f t="shared" si="36"/>
        <v>0</v>
      </c>
      <c r="I106" s="89">
        <f t="shared" si="36"/>
        <v>0</v>
      </c>
      <c r="J106" s="89">
        <f t="shared" si="36"/>
        <v>0</v>
      </c>
      <c r="K106" s="89">
        <f t="shared" si="36"/>
        <v>0</v>
      </c>
      <c r="L106" s="89">
        <f t="shared" si="36"/>
        <v>0</v>
      </c>
      <c r="M106" s="89">
        <f t="shared" si="36"/>
        <v>0</v>
      </c>
      <c r="N106" s="89">
        <f t="shared" si="36"/>
        <v>0</v>
      </c>
      <c r="O106" s="89">
        <f t="shared" si="36"/>
        <v>0</v>
      </c>
      <c r="P106" s="89">
        <f t="shared" si="36"/>
        <v>0</v>
      </c>
      <c r="Q106" s="89">
        <f t="shared" si="36"/>
        <v>0</v>
      </c>
      <c r="R106" s="89">
        <f t="shared" si="36"/>
        <v>0</v>
      </c>
      <c r="S106" s="89">
        <f t="shared" si="36"/>
        <v>0</v>
      </c>
      <c r="T106" s="89">
        <f t="shared" si="36"/>
        <v>0</v>
      </c>
      <c r="U106" s="89">
        <f t="shared" si="36"/>
        <v>0</v>
      </c>
      <c r="V106" s="89">
        <f t="shared" si="36"/>
        <v>0</v>
      </c>
      <c r="W106" s="89">
        <f t="shared" si="36"/>
        <v>0</v>
      </c>
      <c r="X106" s="89">
        <f t="shared" si="36"/>
        <v>0</v>
      </c>
      <c r="Y106" s="89">
        <f t="shared" si="36"/>
        <v>0</v>
      </c>
      <c r="Z106" s="89">
        <f t="shared" si="36"/>
        <v>0</v>
      </c>
      <c r="AA106" s="89">
        <f t="shared" si="36"/>
        <v>0</v>
      </c>
      <c r="AB106" s="89">
        <f t="shared" si="36"/>
        <v>0</v>
      </c>
      <c r="AC106" s="89">
        <f t="shared" si="36"/>
        <v>0</v>
      </c>
      <c r="AD106" s="89">
        <f t="shared" si="36"/>
        <v>0</v>
      </c>
      <c r="AE106" s="89">
        <f t="shared" si="36"/>
        <v>0</v>
      </c>
      <c r="AF106" s="89">
        <f t="shared" si="36"/>
        <v>0</v>
      </c>
      <c r="AG106" s="111"/>
      <c r="AH106" s="48">
        <f t="shared" si="27"/>
        <v>0</v>
      </c>
      <c r="AI106" s="49">
        <f t="shared" si="28"/>
        <v>0</v>
      </c>
    </row>
    <row r="107" spans="1:64" x14ac:dyDescent="0.25">
      <c r="A107" s="97" t="s">
        <v>107</v>
      </c>
      <c r="B107" s="89">
        <f t="shared" si="35"/>
        <v>0</v>
      </c>
      <c r="C107" s="89">
        <f t="shared" si="36"/>
        <v>0</v>
      </c>
      <c r="D107" s="89">
        <f t="shared" si="36"/>
        <v>0</v>
      </c>
      <c r="E107" s="89">
        <f t="shared" si="36"/>
        <v>0</v>
      </c>
      <c r="F107" s="89">
        <f t="shared" si="36"/>
        <v>0</v>
      </c>
      <c r="G107" s="89">
        <f t="shared" si="36"/>
        <v>0</v>
      </c>
      <c r="H107" s="89">
        <f t="shared" si="36"/>
        <v>0</v>
      </c>
      <c r="I107" s="89">
        <f t="shared" si="36"/>
        <v>0</v>
      </c>
      <c r="J107" s="89">
        <f t="shared" si="36"/>
        <v>0</v>
      </c>
      <c r="K107" s="89">
        <f t="shared" si="36"/>
        <v>0</v>
      </c>
      <c r="L107" s="89">
        <f t="shared" si="36"/>
        <v>0</v>
      </c>
      <c r="M107" s="89">
        <f t="shared" si="36"/>
        <v>0</v>
      </c>
      <c r="N107" s="89">
        <f t="shared" si="36"/>
        <v>0</v>
      </c>
      <c r="O107" s="89">
        <f t="shared" si="36"/>
        <v>0</v>
      </c>
      <c r="P107" s="89">
        <f t="shared" si="36"/>
        <v>0</v>
      </c>
      <c r="Q107" s="89">
        <f t="shared" si="36"/>
        <v>0</v>
      </c>
      <c r="R107" s="89">
        <f t="shared" si="36"/>
        <v>0</v>
      </c>
      <c r="S107" s="89">
        <f t="shared" si="36"/>
        <v>0</v>
      </c>
      <c r="T107" s="89">
        <f t="shared" si="36"/>
        <v>0</v>
      </c>
      <c r="U107" s="89">
        <f t="shared" si="36"/>
        <v>0</v>
      </c>
      <c r="V107" s="89">
        <f t="shared" si="36"/>
        <v>0</v>
      </c>
      <c r="W107" s="89">
        <f t="shared" si="36"/>
        <v>0</v>
      </c>
      <c r="X107" s="89">
        <f t="shared" si="36"/>
        <v>0</v>
      </c>
      <c r="Y107" s="89">
        <f t="shared" si="36"/>
        <v>0</v>
      </c>
      <c r="Z107" s="89">
        <f t="shared" si="36"/>
        <v>0</v>
      </c>
      <c r="AA107" s="89">
        <f t="shared" si="36"/>
        <v>0</v>
      </c>
      <c r="AB107" s="89">
        <f t="shared" si="36"/>
        <v>0</v>
      </c>
      <c r="AC107" s="89">
        <f t="shared" si="36"/>
        <v>0</v>
      </c>
      <c r="AD107" s="89">
        <f t="shared" si="36"/>
        <v>0</v>
      </c>
      <c r="AE107" s="89">
        <f t="shared" si="36"/>
        <v>0</v>
      </c>
      <c r="AF107" s="89">
        <f t="shared" si="36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35"/>
        <v>0</v>
      </c>
      <c r="C108" s="89">
        <f t="shared" si="36"/>
        <v>0</v>
      </c>
      <c r="D108" s="89">
        <f t="shared" si="36"/>
        <v>0</v>
      </c>
      <c r="E108" s="89">
        <f t="shared" si="36"/>
        <v>0</v>
      </c>
      <c r="F108" s="89">
        <f t="shared" si="36"/>
        <v>0</v>
      </c>
      <c r="G108" s="89">
        <f t="shared" si="36"/>
        <v>0</v>
      </c>
      <c r="H108" s="89">
        <f t="shared" si="36"/>
        <v>0</v>
      </c>
      <c r="I108" s="89">
        <f t="shared" si="36"/>
        <v>0</v>
      </c>
      <c r="J108" s="89">
        <f t="shared" si="36"/>
        <v>0</v>
      </c>
      <c r="K108" s="89">
        <f t="shared" si="36"/>
        <v>0</v>
      </c>
      <c r="L108" s="89">
        <f t="shared" si="36"/>
        <v>0</v>
      </c>
      <c r="M108" s="89">
        <f t="shared" si="36"/>
        <v>0</v>
      </c>
      <c r="N108" s="89">
        <f t="shared" si="36"/>
        <v>0</v>
      </c>
      <c r="O108" s="89">
        <f t="shared" si="36"/>
        <v>0</v>
      </c>
      <c r="P108" s="89">
        <f t="shared" si="36"/>
        <v>0</v>
      </c>
      <c r="Q108" s="89">
        <f t="shared" si="36"/>
        <v>0</v>
      </c>
      <c r="R108" s="89">
        <f t="shared" si="36"/>
        <v>0</v>
      </c>
      <c r="S108" s="89">
        <f t="shared" si="36"/>
        <v>0</v>
      </c>
      <c r="T108" s="89">
        <f t="shared" si="36"/>
        <v>0</v>
      </c>
      <c r="U108" s="89">
        <f t="shared" si="36"/>
        <v>0</v>
      </c>
      <c r="V108" s="89">
        <f t="shared" si="36"/>
        <v>0</v>
      </c>
      <c r="W108" s="89">
        <f t="shared" si="36"/>
        <v>0</v>
      </c>
      <c r="X108" s="89">
        <f t="shared" si="36"/>
        <v>0</v>
      </c>
      <c r="Y108" s="89">
        <f t="shared" si="36"/>
        <v>0</v>
      </c>
      <c r="Z108" s="89">
        <f t="shared" si="36"/>
        <v>0</v>
      </c>
      <c r="AA108" s="89">
        <f t="shared" si="36"/>
        <v>0</v>
      </c>
      <c r="AB108" s="89">
        <f t="shared" si="36"/>
        <v>0</v>
      </c>
      <c r="AC108" s="89">
        <f t="shared" si="36"/>
        <v>0</v>
      </c>
      <c r="AD108" s="89">
        <f t="shared" si="36"/>
        <v>0</v>
      </c>
      <c r="AE108" s="89">
        <f t="shared" si="36"/>
        <v>0</v>
      </c>
      <c r="AF108" s="89">
        <f t="shared" si="36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35"/>
        <v>0</v>
      </c>
      <c r="C109" s="89">
        <f t="shared" si="36"/>
        <v>0</v>
      </c>
      <c r="D109" s="89">
        <f t="shared" si="36"/>
        <v>0</v>
      </c>
      <c r="E109" s="89">
        <f t="shared" si="36"/>
        <v>0</v>
      </c>
      <c r="F109" s="89">
        <f t="shared" si="36"/>
        <v>0</v>
      </c>
      <c r="G109" s="89">
        <f t="shared" si="36"/>
        <v>0</v>
      </c>
      <c r="H109" s="89">
        <f t="shared" si="36"/>
        <v>0</v>
      </c>
      <c r="I109" s="89">
        <f t="shared" si="36"/>
        <v>0</v>
      </c>
      <c r="J109" s="89">
        <f t="shared" si="36"/>
        <v>0</v>
      </c>
      <c r="K109" s="89">
        <f t="shared" si="36"/>
        <v>0</v>
      </c>
      <c r="L109" s="89">
        <f t="shared" si="36"/>
        <v>0</v>
      </c>
      <c r="M109" s="89">
        <f t="shared" si="36"/>
        <v>0</v>
      </c>
      <c r="N109" s="89">
        <f t="shared" si="36"/>
        <v>0</v>
      </c>
      <c r="O109" s="89">
        <f t="shared" si="36"/>
        <v>0</v>
      </c>
      <c r="P109" s="89">
        <f t="shared" si="36"/>
        <v>0</v>
      </c>
      <c r="Q109" s="89">
        <f t="shared" si="36"/>
        <v>0</v>
      </c>
      <c r="R109" s="89">
        <f t="shared" si="36"/>
        <v>0</v>
      </c>
      <c r="S109" s="89">
        <f t="shared" si="36"/>
        <v>0</v>
      </c>
      <c r="T109" s="89">
        <f t="shared" si="36"/>
        <v>0</v>
      </c>
      <c r="U109" s="89">
        <f t="shared" si="36"/>
        <v>0</v>
      </c>
      <c r="V109" s="89">
        <f t="shared" si="36"/>
        <v>0</v>
      </c>
      <c r="W109" s="89">
        <f t="shared" si="36"/>
        <v>0</v>
      </c>
      <c r="X109" s="89">
        <f t="shared" si="36"/>
        <v>0</v>
      </c>
      <c r="Y109" s="89">
        <f t="shared" si="36"/>
        <v>0</v>
      </c>
      <c r="Z109" s="89">
        <f t="shared" si="36"/>
        <v>0</v>
      </c>
      <c r="AA109" s="89">
        <f t="shared" si="36"/>
        <v>0</v>
      </c>
      <c r="AB109" s="89">
        <f t="shared" si="36"/>
        <v>0</v>
      </c>
      <c r="AC109" s="89">
        <f t="shared" si="36"/>
        <v>0</v>
      </c>
      <c r="AD109" s="89">
        <f t="shared" si="36"/>
        <v>0</v>
      </c>
      <c r="AE109" s="89">
        <f t="shared" si="36"/>
        <v>0</v>
      </c>
      <c r="AF109" s="89">
        <f t="shared" si="36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>SUM(B104:B109)</f>
        <v>0</v>
      </c>
      <c r="C110" s="71">
        <f t="shared" ref="C110:AF110" si="38">SUM(C104:C109)</f>
        <v>0</v>
      </c>
      <c r="D110" s="71">
        <f t="shared" si="38"/>
        <v>0</v>
      </c>
      <c r="E110" s="71">
        <f t="shared" si="38"/>
        <v>0</v>
      </c>
      <c r="F110" s="71">
        <f t="shared" si="38"/>
        <v>0</v>
      </c>
      <c r="G110" s="71">
        <f t="shared" si="38"/>
        <v>0</v>
      </c>
      <c r="H110" s="71">
        <f t="shared" si="38"/>
        <v>0</v>
      </c>
      <c r="I110" s="71">
        <f t="shared" si="38"/>
        <v>0</v>
      </c>
      <c r="J110" s="71">
        <f t="shared" si="38"/>
        <v>0</v>
      </c>
      <c r="K110" s="71">
        <f t="shared" si="38"/>
        <v>0</v>
      </c>
      <c r="L110" s="71">
        <f t="shared" si="38"/>
        <v>0</v>
      </c>
      <c r="M110" s="71">
        <f t="shared" si="38"/>
        <v>0</v>
      </c>
      <c r="N110" s="71">
        <f t="shared" si="38"/>
        <v>0</v>
      </c>
      <c r="O110" s="71">
        <f t="shared" si="38"/>
        <v>0</v>
      </c>
      <c r="P110" s="71">
        <f t="shared" si="38"/>
        <v>0</v>
      </c>
      <c r="Q110" s="71">
        <f t="shared" si="38"/>
        <v>0</v>
      </c>
      <c r="R110" s="71">
        <f t="shared" si="38"/>
        <v>0</v>
      </c>
      <c r="S110" s="71">
        <f t="shared" si="38"/>
        <v>0</v>
      </c>
      <c r="T110" s="71">
        <f t="shared" si="38"/>
        <v>0</v>
      </c>
      <c r="U110" s="71">
        <f t="shared" si="38"/>
        <v>0</v>
      </c>
      <c r="V110" s="71">
        <f t="shared" si="38"/>
        <v>0</v>
      </c>
      <c r="W110" s="71">
        <f t="shared" si="38"/>
        <v>0</v>
      </c>
      <c r="X110" s="71">
        <f t="shared" si="38"/>
        <v>0</v>
      </c>
      <c r="Y110" s="71">
        <f t="shared" si="38"/>
        <v>0</v>
      </c>
      <c r="Z110" s="71">
        <f t="shared" si="38"/>
        <v>0</v>
      </c>
      <c r="AA110" s="71">
        <f t="shared" si="38"/>
        <v>0</v>
      </c>
      <c r="AB110" s="71">
        <f t="shared" si="38"/>
        <v>0</v>
      </c>
      <c r="AC110" s="71">
        <f t="shared" si="38"/>
        <v>0</v>
      </c>
      <c r="AD110" s="71">
        <f t="shared" si="38"/>
        <v>0</v>
      </c>
      <c r="AE110" s="71">
        <f t="shared" si="38"/>
        <v>0</v>
      </c>
      <c r="AF110" s="71">
        <f t="shared" si="38"/>
        <v>0</v>
      </c>
      <c r="AG110" s="101"/>
      <c r="AH110" s="48">
        <f t="shared" si="27"/>
        <v>0</v>
      </c>
      <c r="AI110" s="49">
        <f t="shared" si="28"/>
        <v>0</v>
      </c>
    </row>
    <row r="111" spans="1:64" ht="15.75" thickBot="1" x14ac:dyDescent="0.3">
      <c r="A111" s="87" t="s">
        <v>131</v>
      </c>
      <c r="B111" s="71">
        <f t="shared" ref="B111:AF111" si="39">B95-B110</f>
        <v>0</v>
      </c>
      <c r="C111" s="71">
        <f t="shared" si="39"/>
        <v>0</v>
      </c>
      <c r="D111" s="71">
        <f t="shared" si="39"/>
        <v>0</v>
      </c>
      <c r="E111" s="71">
        <f t="shared" si="39"/>
        <v>0</v>
      </c>
      <c r="F111" s="71">
        <f t="shared" si="39"/>
        <v>0</v>
      </c>
      <c r="G111" s="71">
        <f t="shared" si="39"/>
        <v>0</v>
      </c>
      <c r="H111" s="71">
        <f t="shared" si="39"/>
        <v>0</v>
      </c>
      <c r="I111" s="71">
        <f t="shared" si="39"/>
        <v>0</v>
      </c>
      <c r="J111" s="71">
        <f t="shared" si="39"/>
        <v>0</v>
      </c>
      <c r="K111" s="71">
        <f t="shared" si="39"/>
        <v>0</v>
      </c>
      <c r="L111" s="71">
        <f t="shared" si="39"/>
        <v>0</v>
      </c>
      <c r="M111" s="71">
        <f t="shared" si="39"/>
        <v>0</v>
      </c>
      <c r="N111" s="71">
        <f t="shared" si="39"/>
        <v>0</v>
      </c>
      <c r="O111" s="71">
        <f t="shared" si="39"/>
        <v>0</v>
      </c>
      <c r="P111" s="71">
        <f t="shared" si="39"/>
        <v>0</v>
      </c>
      <c r="Q111" s="71">
        <f t="shared" si="39"/>
        <v>0</v>
      </c>
      <c r="R111" s="71">
        <f t="shared" si="39"/>
        <v>0</v>
      </c>
      <c r="S111" s="71">
        <f t="shared" si="39"/>
        <v>0</v>
      </c>
      <c r="T111" s="71">
        <f t="shared" si="39"/>
        <v>0</v>
      </c>
      <c r="U111" s="71">
        <f t="shared" si="39"/>
        <v>0</v>
      </c>
      <c r="V111" s="71">
        <f t="shared" si="39"/>
        <v>0</v>
      </c>
      <c r="W111" s="71">
        <f t="shared" si="39"/>
        <v>0</v>
      </c>
      <c r="X111" s="71">
        <f t="shared" si="39"/>
        <v>0</v>
      </c>
      <c r="Y111" s="71">
        <f t="shared" si="39"/>
        <v>0</v>
      </c>
      <c r="Z111" s="71">
        <f t="shared" si="39"/>
        <v>0</v>
      </c>
      <c r="AA111" s="71">
        <f t="shared" si="39"/>
        <v>0</v>
      </c>
      <c r="AB111" s="71">
        <f t="shared" si="39"/>
        <v>0</v>
      </c>
      <c r="AC111" s="71">
        <f t="shared" si="39"/>
        <v>0</v>
      </c>
      <c r="AD111" s="71">
        <f t="shared" si="39"/>
        <v>0</v>
      </c>
      <c r="AE111" s="71">
        <f t="shared" si="39"/>
        <v>0</v>
      </c>
      <c r="AF111" s="71">
        <f t="shared" si="39"/>
        <v>0</v>
      </c>
      <c r="AG111" s="101"/>
      <c r="AH111" s="48">
        <f t="shared" si="27"/>
        <v>0</v>
      </c>
      <c r="AI111" s="49">
        <f t="shared" si="28"/>
        <v>0</v>
      </c>
    </row>
    <row r="112" spans="1:64" x14ac:dyDescent="0.25">
      <c r="A112" s="113" t="s">
        <v>132</v>
      </c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5"/>
      <c r="AH112" s="48">
        <f t="shared" si="27"/>
        <v>0</v>
      </c>
      <c r="AI112" s="49">
        <f t="shared" si="28"/>
        <v>0</v>
      </c>
    </row>
    <row r="113" spans="1:35" x14ac:dyDescent="0.25">
      <c r="A113" s="116" t="s">
        <v>133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27"/>
        <v>0</v>
      </c>
      <c r="AI113" s="49">
        <f t="shared" si="28"/>
        <v>0</v>
      </c>
    </row>
    <row r="114" spans="1:35" x14ac:dyDescent="0.25">
      <c r="A114" s="116" t="s">
        <v>134</v>
      </c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117"/>
      <c r="AH114" s="48">
        <f t="shared" si="27"/>
        <v>0</v>
      </c>
      <c r="AI114" s="49">
        <f t="shared" si="28"/>
        <v>0</v>
      </c>
    </row>
    <row r="115" spans="1:35" x14ac:dyDescent="0.25">
      <c r="A115" s="116" t="s">
        <v>135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117"/>
      <c r="AH115" s="48">
        <f t="shared" si="27"/>
        <v>0</v>
      </c>
      <c r="AI115" s="49">
        <f t="shared" si="28"/>
        <v>0</v>
      </c>
    </row>
    <row r="116" spans="1:35" x14ac:dyDescent="0.25">
      <c r="A116" s="118" t="s">
        <v>136</v>
      </c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117"/>
      <c r="AH116" s="48">
        <f t="shared" si="27"/>
        <v>0</v>
      </c>
      <c r="AI116" s="49">
        <f t="shared" si="28"/>
        <v>0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0</v>
      </c>
      <c r="AI117" s="49">
        <f t="shared" si="28"/>
        <v>0</v>
      </c>
    </row>
    <row r="118" spans="1:35" x14ac:dyDescent="0.25">
      <c r="A118" s="116" t="s">
        <v>138</v>
      </c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117"/>
      <c r="AH118" s="48">
        <f t="shared" si="27"/>
        <v>0</v>
      </c>
      <c r="AI118" s="49">
        <f t="shared" si="28"/>
        <v>0</v>
      </c>
    </row>
    <row r="119" spans="1:35" ht="15.75" thickBot="1" x14ac:dyDescent="0.3">
      <c r="A119" s="116" t="s">
        <v>139</v>
      </c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21"/>
      <c r="AH119" s="48">
        <f t="shared" si="27"/>
        <v>0</v>
      </c>
      <c r="AI119" s="49">
        <f t="shared" si="28"/>
        <v>0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 t="shared" ref="B121:O121" si="40">SUM(B25,B31,B34:B35,B69,B71:B72,B74,B76,B122:B126,B158,B164,B170,B179,B181,B193,B200,B203:B204,B211,B213,B215,B219:B221,B223:B225,B230,B236:B237,B239:B241,B249,B254)</f>
        <v>0.94</v>
      </c>
      <c r="C121" s="124">
        <f t="shared" si="40"/>
        <v>0.94</v>
      </c>
      <c r="D121" s="124">
        <f t="shared" si="40"/>
        <v>0.94</v>
      </c>
      <c r="E121" s="124">
        <f t="shared" si="40"/>
        <v>0.94</v>
      </c>
      <c r="F121" s="124">
        <f t="shared" si="40"/>
        <v>0.94</v>
      </c>
      <c r="G121" s="124">
        <f t="shared" si="40"/>
        <v>0.94</v>
      </c>
      <c r="H121" s="124">
        <f t="shared" si="40"/>
        <v>0.94</v>
      </c>
      <c r="I121" s="124">
        <f t="shared" si="40"/>
        <v>0.94</v>
      </c>
      <c r="J121" s="124">
        <f t="shared" si="40"/>
        <v>0.94</v>
      </c>
      <c r="K121" s="124">
        <f t="shared" si="40"/>
        <v>0.94</v>
      </c>
      <c r="L121" s="124">
        <f t="shared" si="40"/>
        <v>0.94</v>
      </c>
      <c r="M121" s="124">
        <f t="shared" si="40"/>
        <v>0.94</v>
      </c>
      <c r="N121" s="124">
        <f t="shared" si="40"/>
        <v>0.94</v>
      </c>
      <c r="O121" s="124">
        <f t="shared" si="40"/>
        <v>0.94</v>
      </c>
      <c r="P121" s="124">
        <v>42</v>
      </c>
      <c r="Q121" s="124">
        <f t="shared" ref="Q121:X121" si="41">SUM(Q25,Q31,Q34:Q35,Q69,Q71:Q72,Q74,Q76,Q122:Q126,Q158,Q164,Q170,Q179,Q181,Q193,Q200,Q203:Q204,Q211,Q213,Q215,Q219:Q221,Q223:Q225,Q230,Q236:Q237,Q239:Q241,Q249,Q254)</f>
        <v>0.94</v>
      </c>
      <c r="R121" s="124">
        <f t="shared" si="41"/>
        <v>0.94</v>
      </c>
      <c r="S121" s="124">
        <f t="shared" si="41"/>
        <v>0.94</v>
      </c>
      <c r="T121" s="124">
        <f t="shared" si="41"/>
        <v>0.94</v>
      </c>
      <c r="U121" s="124">
        <f t="shared" si="41"/>
        <v>0.94</v>
      </c>
      <c r="V121" s="124">
        <f t="shared" si="41"/>
        <v>0.94</v>
      </c>
      <c r="W121" s="124">
        <f t="shared" si="41"/>
        <v>0.94</v>
      </c>
      <c r="X121" s="124">
        <f t="shared" si="41"/>
        <v>0.94</v>
      </c>
      <c r="Y121" s="124">
        <f>SUM(Y23,Y29,Y40:Y41,Y69,Y71:Y72,Y74,Y76,Y122:Y126,Y151,Y157,Y163,Y172,Y174,Y186,Y193,Y196:Y197,Y204,Y206,Y208,Y212:Y214,Y216:Y218,Y223,Y229:Y230,Y232:Y234,Y242,Y247)</f>
        <v>0</v>
      </c>
      <c r="Z121" s="124">
        <f>SUM(Z23,Z29,Z40:Z41,Z69,Z71:Z72,Z74,Z76,Z122:Z126,Z151,Z157,Z163,Z172,Z174,Z186,Z193,Z196:Z197,Z204,Z206,Z208,Z212:Z214,Z216:Z218,Z223,Z229:Z230,Z232:Z234,Z242,Z247)</f>
        <v>0</v>
      </c>
      <c r="AA121" s="124">
        <f t="shared" ref="AA121:AF121" si="42">SUM(AA25,AA31,AA34:AA35,AA69,AA71:AA72,AA74,AA76,AA122:AA126,AA158,AA164,AA170,AA179,AA181,AA193,AA200,AA203:AA204,AA211,AA213,AA215,AA219:AA221,AA223:AA225,AA230,AA236:AA237,AA239:AA241,AA249,AA254)</f>
        <v>0.94</v>
      </c>
      <c r="AB121" s="124">
        <f t="shared" si="42"/>
        <v>0.94</v>
      </c>
      <c r="AC121" s="124">
        <f t="shared" si="42"/>
        <v>0.94</v>
      </c>
      <c r="AD121" s="124">
        <f t="shared" si="42"/>
        <v>0.94</v>
      </c>
      <c r="AE121" s="124">
        <f t="shared" si="42"/>
        <v>0.94</v>
      </c>
      <c r="AF121" s="124">
        <f t="shared" si="42"/>
        <v>0.94</v>
      </c>
      <c r="AG121" s="125"/>
      <c r="AH121" s="48">
        <f t="shared" si="27"/>
        <v>42</v>
      </c>
      <c r="AI121" s="49">
        <f t="shared" si="28"/>
        <v>0</v>
      </c>
    </row>
    <row r="122" spans="1:35" x14ac:dyDescent="0.25">
      <c r="A122" s="126" t="s">
        <v>142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8">
        <v>75</v>
      </c>
      <c r="AH122" s="48">
        <f t="shared" si="27"/>
        <v>0</v>
      </c>
      <c r="AI122" s="49">
        <f t="shared" si="28"/>
        <v>0</v>
      </c>
    </row>
    <row r="123" spans="1:35" x14ac:dyDescent="0.25">
      <c r="A123" s="129" t="s">
        <v>143</v>
      </c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28">
        <v>240</v>
      </c>
      <c r="AH123" s="48">
        <f t="shared" si="27"/>
        <v>0</v>
      </c>
      <c r="AI123" s="49">
        <f t="shared" si="28"/>
        <v>0</v>
      </c>
    </row>
    <row r="124" spans="1:35" x14ac:dyDescent="0.25">
      <c r="A124" s="129" t="s">
        <v>144</v>
      </c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28">
        <v>240</v>
      </c>
      <c r="AH124" s="48">
        <f t="shared" si="27"/>
        <v>0</v>
      </c>
      <c r="AI124" s="49">
        <f t="shared" si="28"/>
        <v>0</v>
      </c>
    </row>
    <row r="125" spans="1:35" ht="15.75" thickBot="1" x14ac:dyDescent="0.3">
      <c r="A125" s="129" t="s">
        <v>145</v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28">
        <v>60</v>
      </c>
      <c r="AH125" s="48">
        <f t="shared" si="27"/>
        <v>0</v>
      </c>
      <c r="AI125" s="49">
        <f t="shared" si="28"/>
        <v>0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0</v>
      </c>
      <c r="AI126" s="49">
        <f t="shared" si="28"/>
        <v>0</v>
      </c>
    </row>
    <row r="127" spans="1:35" x14ac:dyDescent="0.25">
      <c r="A127" s="129" t="s">
        <v>147</v>
      </c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2"/>
      <c r="AH127" s="48"/>
      <c r="AI127" s="49"/>
    </row>
    <row r="128" spans="1:35" x14ac:dyDescent="0.25">
      <c r="A128" s="129" t="s">
        <v>148</v>
      </c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2"/>
      <c r="AH128" s="48"/>
      <c r="AI128" s="49"/>
    </row>
    <row r="129" spans="1:37" ht="15.75" thickBot="1" x14ac:dyDescent="0.3">
      <c r="A129" s="129" t="s">
        <v>149</v>
      </c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28"/>
      <c r="AH129" s="48">
        <f>MAX(B129:AF129)</f>
        <v>0</v>
      </c>
      <c r="AI129" s="49">
        <f>MIN(B129:AF129)</f>
        <v>0</v>
      </c>
    </row>
    <row r="130" spans="1:37" x14ac:dyDescent="0.25">
      <c r="A130" s="126" t="s">
        <v>150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28"/>
      <c r="AH130" s="48">
        <f>MAX(B130:AF130)</f>
        <v>0</v>
      </c>
      <c r="AI130" s="49">
        <f>MIN(B130:AF130)</f>
        <v>0</v>
      </c>
    </row>
    <row r="131" spans="1:37" x14ac:dyDescent="0.25">
      <c r="A131" s="129" t="s">
        <v>151</v>
      </c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28"/>
      <c r="AH131" s="48">
        <f>MAX(B131:AF131)</f>
        <v>0</v>
      </c>
      <c r="AI131" s="49">
        <f>MIN(B131:AF131)</f>
        <v>0</v>
      </c>
    </row>
    <row r="132" spans="1:37" x14ac:dyDescent="0.25">
      <c r="A132" s="129" t="s">
        <v>152</v>
      </c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28"/>
      <c r="AH132" s="48">
        <f>MAX(B132:AF132)</f>
        <v>0</v>
      </c>
      <c r="AI132" s="49">
        <f>MIN(B132:AF132)</f>
        <v>0</v>
      </c>
    </row>
    <row r="133" spans="1:37" ht="15.75" thickBot="1" x14ac:dyDescent="0.3">
      <c r="A133" s="129" t="s">
        <v>153</v>
      </c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28"/>
      <c r="AH133" s="48">
        <f>MAX(B133:AF133)</f>
        <v>0</v>
      </c>
      <c r="AI133" s="49">
        <f>MIN(B133:AF133)</f>
        <v>0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3">SUM(B142:B246)</f>
        <v>0</v>
      </c>
      <c r="C247" s="161">
        <f t="shared" si="43"/>
        <v>0</v>
      </c>
      <c r="D247" s="161">
        <f t="shared" si="43"/>
        <v>0</v>
      </c>
      <c r="E247" s="161">
        <f t="shared" si="43"/>
        <v>0</v>
      </c>
      <c r="F247" s="161">
        <f t="shared" si="43"/>
        <v>0</v>
      </c>
      <c r="G247" s="161">
        <f t="shared" si="43"/>
        <v>0</v>
      </c>
      <c r="H247" s="161">
        <f t="shared" si="43"/>
        <v>0</v>
      </c>
      <c r="I247" s="161">
        <f t="shared" si="43"/>
        <v>0</v>
      </c>
      <c r="J247" s="161">
        <f t="shared" si="43"/>
        <v>0</v>
      </c>
      <c r="K247" s="161">
        <f t="shared" si="43"/>
        <v>0</v>
      </c>
      <c r="L247" s="161">
        <f t="shared" si="43"/>
        <v>0</v>
      </c>
      <c r="M247" s="161">
        <f t="shared" si="43"/>
        <v>0</v>
      </c>
      <c r="N247" s="161">
        <f t="shared" si="43"/>
        <v>0</v>
      </c>
      <c r="O247" s="161">
        <f t="shared" si="43"/>
        <v>0</v>
      </c>
      <c r="P247" s="161">
        <f t="shared" si="43"/>
        <v>0</v>
      </c>
      <c r="Q247" s="161">
        <f t="shared" si="43"/>
        <v>0</v>
      </c>
      <c r="R247" s="161">
        <f t="shared" si="43"/>
        <v>0</v>
      </c>
      <c r="S247" s="161">
        <f t="shared" si="43"/>
        <v>0</v>
      </c>
      <c r="T247" s="161">
        <f t="shared" si="43"/>
        <v>0</v>
      </c>
      <c r="U247" s="161">
        <f t="shared" si="43"/>
        <v>0</v>
      </c>
      <c r="V247" s="161">
        <f t="shared" si="43"/>
        <v>0</v>
      </c>
      <c r="W247" s="161">
        <f t="shared" si="43"/>
        <v>0</v>
      </c>
      <c r="X247" s="161">
        <f t="shared" si="43"/>
        <v>0</v>
      </c>
      <c r="Y247" s="161">
        <f t="shared" si="43"/>
        <v>0</v>
      </c>
      <c r="Z247" s="161">
        <f t="shared" si="43"/>
        <v>0</v>
      </c>
      <c r="AA247" s="161">
        <f t="shared" si="43"/>
        <v>0</v>
      </c>
      <c r="AB247" s="161">
        <f t="shared" si="43"/>
        <v>0</v>
      </c>
      <c r="AC247" s="161">
        <f t="shared" si="43"/>
        <v>0</v>
      </c>
      <c r="AD247" s="161">
        <f t="shared" si="43"/>
        <v>0</v>
      </c>
      <c r="AE247" s="161">
        <f t="shared" si="43"/>
        <v>0</v>
      </c>
      <c r="AF247" s="162">
        <f t="shared" si="43"/>
        <v>0</v>
      </c>
      <c r="AG247" s="163">
        <f t="shared" si="43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4">AF249</f>
        <v>0.3</v>
      </c>
      <c r="C249" s="166">
        <v>0.3</v>
      </c>
      <c r="D249" s="166">
        <f t="shared" ref="D249:S254" si="45">C249</f>
        <v>0.3</v>
      </c>
      <c r="E249" s="166">
        <f t="shared" si="45"/>
        <v>0.3</v>
      </c>
      <c r="F249" s="166">
        <f t="shared" si="45"/>
        <v>0.3</v>
      </c>
      <c r="G249" s="166">
        <f t="shared" si="45"/>
        <v>0.3</v>
      </c>
      <c r="H249" s="166">
        <f t="shared" si="45"/>
        <v>0.3</v>
      </c>
      <c r="I249" s="166">
        <f t="shared" si="45"/>
        <v>0.3</v>
      </c>
      <c r="J249" s="166">
        <f t="shared" si="45"/>
        <v>0.3</v>
      </c>
      <c r="K249" s="166">
        <f t="shared" si="45"/>
        <v>0.3</v>
      </c>
      <c r="L249" s="166">
        <f t="shared" si="45"/>
        <v>0.3</v>
      </c>
      <c r="M249" s="166">
        <f t="shared" si="45"/>
        <v>0.3</v>
      </c>
      <c r="N249" s="166">
        <f t="shared" si="45"/>
        <v>0.3</v>
      </c>
      <c r="O249" s="166">
        <f t="shared" si="45"/>
        <v>0.3</v>
      </c>
      <c r="P249" s="166">
        <f t="shared" si="45"/>
        <v>0.3</v>
      </c>
      <c r="Q249" s="166">
        <f t="shared" si="45"/>
        <v>0.3</v>
      </c>
      <c r="R249" s="166">
        <f t="shared" si="45"/>
        <v>0.3</v>
      </c>
      <c r="S249" s="166">
        <f t="shared" si="45"/>
        <v>0.3</v>
      </c>
      <c r="T249" s="166">
        <f t="shared" ref="T249:AF254" si="46">S249</f>
        <v>0.3</v>
      </c>
      <c r="U249" s="166">
        <f t="shared" si="46"/>
        <v>0.3</v>
      </c>
      <c r="V249" s="166">
        <f t="shared" si="46"/>
        <v>0.3</v>
      </c>
      <c r="W249" s="166">
        <f t="shared" si="46"/>
        <v>0.3</v>
      </c>
      <c r="X249" s="166">
        <f t="shared" si="46"/>
        <v>0.3</v>
      </c>
      <c r="Y249" s="166">
        <f t="shared" si="46"/>
        <v>0.3</v>
      </c>
      <c r="Z249" s="166">
        <f t="shared" si="46"/>
        <v>0.3</v>
      </c>
      <c r="AA249" s="166">
        <f t="shared" si="46"/>
        <v>0.3</v>
      </c>
      <c r="AB249" s="166">
        <f t="shared" si="46"/>
        <v>0.3</v>
      </c>
      <c r="AC249" s="166">
        <f t="shared" si="46"/>
        <v>0.3</v>
      </c>
      <c r="AD249" s="166">
        <f t="shared" si="46"/>
        <v>0.3</v>
      </c>
      <c r="AE249" s="166">
        <f t="shared" si="46"/>
        <v>0.3</v>
      </c>
      <c r="AF249" s="166">
        <f t="shared" si="46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4"/>
        <v>0.4</v>
      </c>
      <c r="C250" s="152">
        <v>0.4</v>
      </c>
      <c r="D250" s="152">
        <f t="shared" si="45"/>
        <v>0.4</v>
      </c>
      <c r="E250" s="152">
        <f t="shared" si="45"/>
        <v>0.4</v>
      </c>
      <c r="F250" s="152">
        <f t="shared" si="45"/>
        <v>0.4</v>
      </c>
      <c r="G250" s="152">
        <f t="shared" si="45"/>
        <v>0.4</v>
      </c>
      <c r="H250" s="152">
        <f t="shared" si="45"/>
        <v>0.4</v>
      </c>
      <c r="I250" s="152">
        <f t="shared" si="45"/>
        <v>0.4</v>
      </c>
      <c r="J250" s="152">
        <f t="shared" si="45"/>
        <v>0.4</v>
      </c>
      <c r="K250" s="152">
        <f t="shared" si="45"/>
        <v>0.4</v>
      </c>
      <c r="L250" s="152">
        <f t="shared" si="45"/>
        <v>0.4</v>
      </c>
      <c r="M250" s="152">
        <f t="shared" si="45"/>
        <v>0.4</v>
      </c>
      <c r="N250" s="152">
        <f t="shared" si="45"/>
        <v>0.4</v>
      </c>
      <c r="O250" s="152">
        <f t="shared" si="45"/>
        <v>0.4</v>
      </c>
      <c r="P250" s="152">
        <f t="shared" si="45"/>
        <v>0.4</v>
      </c>
      <c r="Q250" s="152">
        <f t="shared" si="45"/>
        <v>0.4</v>
      </c>
      <c r="R250" s="152">
        <f t="shared" si="45"/>
        <v>0.4</v>
      </c>
      <c r="S250" s="152">
        <f t="shared" si="45"/>
        <v>0.4</v>
      </c>
      <c r="T250" s="152">
        <f t="shared" si="46"/>
        <v>0.4</v>
      </c>
      <c r="U250" s="152">
        <f t="shared" si="46"/>
        <v>0.4</v>
      </c>
      <c r="V250" s="152">
        <f t="shared" si="46"/>
        <v>0.4</v>
      </c>
      <c r="W250" s="152">
        <f t="shared" si="46"/>
        <v>0.4</v>
      </c>
      <c r="X250" s="152">
        <f t="shared" si="46"/>
        <v>0.4</v>
      </c>
      <c r="Y250" s="152">
        <f t="shared" si="46"/>
        <v>0.4</v>
      </c>
      <c r="Z250" s="152">
        <f t="shared" si="46"/>
        <v>0.4</v>
      </c>
      <c r="AA250" s="152">
        <f t="shared" si="46"/>
        <v>0.4</v>
      </c>
      <c r="AB250" s="152">
        <f t="shared" si="46"/>
        <v>0.4</v>
      </c>
      <c r="AC250" s="152">
        <f t="shared" si="46"/>
        <v>0.4</v>
      </c>
      <c r="AD250" s="152">
        <f t="shared" si="46"/>
        <v>0.4</v>
      </c>
      <c r="AE250" s="152">
        <f t="shared" si="46"/>
        <v>0.4</v>
      </c>
      <c r="AF250" s="152">
        <f t="shared" si="46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4"/>
        <v>1.5</v>
      </c>
      <c r="C251" s="152">
        <v>1.5</v>
      </c>
      <c r="D251" s="152">
        <f t="shared" si="45"/>
        <v>1.5</v>
      </c>
      <c r="E251" s="152">
        <f t="shared" si="45"/>
        <v>1.5</v>
      </c>
      <c r="F251" s="152">
        <f t="shared" si="45"/>
        <v>1.5</v>
      </c>
      <c r="G251" s="152">
        <f t="shared" si="45"/>
        <v>1.5</v>
      </c>
      <c r="H251" s="152">
        <f t="shared" si="45"/>
        <v>1.5</v>
      </c>
      <c r="I251" s="152">
        <f t="shared" si="45"/>
        <v>1.5</v>
      </c>
      <c r="J251" s="152">
        <f t="shared" si="45"/>
        <v>1.5</v>
      </c>
      <c r="K251" s="152">
        <f t="shared" si="45"/>
        <v>1.5</v>
      </c>
      <c r="L251" s="152">
        <f t="shared" si="45"/>
        <v>1.5</v>
      </c>
      <c r="M251" s="152">
        <f t="shared" si="45"/>
        <v>1.5</v>
      </c>
      <c r="N251" s="152">
        <f t="shared" si="45"/>
        <v>1.5</v>
      </c>
      <c r="O251" s="152">
        <f t="shared" si="45"/>
        <v>1.5</v>
      </c>
      <c r="P251" s="152">
        <f t="shared" si="45"/>
        <v>1.5</v>
      </c>
      <c r="Q251" s="152">
        <f t="shared" si="45"/>
        <v>1.5</v>
      </c>
      <c r="R251" s="152">
        <f t="shared" si="45"/>
        <v>1.5</v>
      </c>
      <c r="S251" s="152">
        <f t="shared" si="45"/>
        <v>1.5</v>
      </c>
      <c r="T251" s="152">
        <f t="shared" si="46"/>
        <v>1.5</v>
      </c>
      <c r="U251" s="152">
        <f t="shared" si="46"/>
        <v>1.5</v>
      </c>
      <c r="V251" s="152">
        <f t="shared" si="46"/>
        <v>1.5</v>
      </c>
      <c r="W251" s="152">
        <f t="shared" si="46"/>
        <v>1.5</v>
      </c>
      <c r="X251" s="152">
        <f t="shared" si="46"/>
        <v>1.5</v>
      </c>
      <c r="Y251" s="152">
        <f t="shared" si="46"/>
        <v>1.5</v>
      </c>
      <c r="Z251" s="152">
        <f t="shared" si="46"/>
        <v>1.5</v>
      </c>
      <c r="AA251" s="152">
        <f t="shared" si="46"/>
        <v>1.5</v>
      </c>
      <c r="AB251" s="152">
        <f t="shared" si="46"/>
        <v>1.5</v>
      </c>
      <c r="AC251" s="152">
        <f t="shared" si="46"/>
        <v>1.5</v>
      </c>
      <c r="AD251" s="152">
        <f t="shared" si="46"/>
        <v>1.5</v>
      </c>
      <c r="AE251" s="152">
        <f t="shared" si="46"/>
        <v>1.5</v>
      </c>
      <c r="AF251" s="152">
        <f t="shared" si="46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4"/>
        <v>0.3</v>
      </c>
      <c r="C252" s="152">
        <v>0.3</v>
      </c>
      <c r="D252" s="152">
        <f t="shared" si="45"/>
        <v>0.3</v>
      </c>
      <c r="E252" s="152">
        <f t="shared" si="45"/>
        <v>0.3</v>
      </c>
      <c r="F252" s="152">
        <f t="shared" si="45"/>
        <v>0.3</v>
      </c>
      <c r="G252" s="152">
        <f t="shared" si="45"/>
        <v>0.3</v>
      </c>
      <c r="H252" s="152">
        <f t="shared" si="45"/>
        <v>0.3</v>
      </c>
      <c r="I252" s="152">
        <f t="shared" si="45"/>
        <v>0.3</v>
      </c>
      <c r="J252" s="152">
        <f t="shared" si="45"/>
        <v>0.3</v>
      </c>
      <c r="K252" s="152">
        <f t="shared" si="45"/>
        <v>0.3</v>
      </c>
      <c r="L252" s="152">
        <f t="shared" si="45"/>
        <v>0.3</v>
      </c>
      <c r="M252" s="152">
        <f t="shared" si="45"/>
        <v>0.3</v>
      </c>
      <c r="N252" s="152">
        <f t="shared" si="45"/>
        <v>0.3</v>
      </c>
      <c r="O252" s="152">
        <f t="shared" si="45"/>
        <v>0.3</v>
      </c>
      <c r="P252" s="152">
        <f t="shared" si="45"/>
        <v>0.3</v>
      </c>
      <c r="Q252" s="152">
        <f t="shared" si="45"/>
        <v>0.3</v>
      </c>
      <c r="R252" s="152">
        <f t="shared" si="45"/>
        <v>0.3</v>
      </c>
      <c r="S252" s="152">
        <f t="shared" si="45"/>
        <v>0.3</v>
      </c>
      <c r="T252" s="152">
        <f t="shared" si="46"/>
        <v>0.3</v>
      </c>
      <c r="U252" s="152">
        <f t="shared" si="46"/>
        <v>0.3</v>
      </c>
      <c r="V252" s="152">
        <f t="shared" si="46"/>
        <v>0.3</v>
      </c>
      <c r="W252" s="152">
        <f t="shared" si="46"/>
        <v>0.3</v>
      </c>
      <c r="X252" s="152">
        <f t="shared" si="46"/>
        <v>0.3</v>
      </c>
      <c r="Y252" s="152">
        <f t="shared" si="46"/>
        <v>0.3</v>
      </c>
      <c r="Z252" s="152">
        <f t="shared" si="46"/>
        <v>0.3</v>
      </c>
      <c r="AA252" s="152">
        <f t="shared" si="46"/>
        <v>0.3</v>
      </c>
      <c r="AB252" s="152">
        <f t="shared" si="46"/>
        <v>0.3</v>
      </c>
      <c r="AC252" s="152">
        <f t="shared" si="46"/>
        <v>0.3</v>
      </c>
      <c r="AD252" s="152">
        <f t="shared" si="46"/>
        <v>0.3</v>
      </c>
      <c r="AE252" s="152">
        <f t="shared" si="46"/>
        <v>0.3</v>
      </c>
      <c r="AF252" s="152">
        <f t="shared" si="46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4"/>
        <v>0.4</v>
      </c>
      <c r="C253" s="152">
        <v>0.4</v>
      </c>
      <c r="D253" s="152">
        <f t="shared" si="45"/>
        <v>0.4</v>
      </c>
      <c r="E253" s="152">
        <f t="shared" si="45"/>
        <v>0.4</v>
      </c>
      <c r="F253" s="152">
        <f t="shared" si="45"/>
        <v>0.4</v>
      </c>
      <c r="G253" s="152">
        <f t="shared" si="45"/>
        <v>0.4</v>
      </c>
      <c r="H253" s="152">
        <f t="shared" si="45"/>
        <v>0.4</v>
      </c>
      <c r="I253" s="152">
        <f t="shared" si="45"/>
        <v>0.4</v>
      </c>
      <c r="J253" s="152">
        <f t="shared" si="45"/>
        <v>0.4</v>
      </c>
      <c r="K253" s="152">
        <f t="shared" si="45"/>
        <v>0.4</v>
      </c>
      <c r="L253" s="152">
        <f t="shared" si="45"/>
        <v>0.4</v>
      </c>
      <c r="M253" s="152">
        <f t="shared" si="45"/>
        <v>0.4</v>
      </c>
      <c r="N253" s="152">
        <f t="shared" si="45"/>
        <v>0.4</v>
      </c>
      <c r="O253" s="152">
        <f t="shared" si="45"/>
        <v>0.4</v>
      </c>
      <c r="P253" s="152">
        <f t="shared" si="45"/>
        <v>0.4</v>
      </c>
      <c r="Q253" s="152">
        <f t="shared" si="45"/>
        <v>0.4</v>
      </c>
      <c r="R253" s="152">
        <f t="shared" si="45"/>
        <v>0.4</v>
      </c>
      <c r="S253" s="152">
        <f t="shared" si="45"/>
        <v>0.4</v>
      </c>
      <c r="T253" s="152">
        <f t="shared" si="46"/>
        <v>0.4</v>
      </c>
      <c r="U253" s="152">
        <f t="shared" si="46"/>
        <v>0.4</v>
      </c>
      <c r="V253" s="152">
        <f t="shared" si="46"/>
        <v>0.4</v>
      </c>
      <c r="W253" s="152">
        <f t="shared" si="46"/>
        <v>0.4</v>
      </c>
      <c r="X253" s="152">
        <f t="shared" si="46"/>
        <v>0.4</v>
      </c>
      <c r="Y253" s="152">
        <f t="shared" si="46"/>
        <v>0.4</v>
      </c>
      <c r="Z253" s="152">
        <f t="shared" si="46"/>
        <v>0.4</v>
      </c>
      <c r="AA253" s="152">
        <f t="shared" si="46"/>
        <v>0.4</v>
      </c>
      <c r="AB253" s="152">
        <f t="shared" si="46"/>
        <v>0.4</v>
      </c>
      <c r="AC253" s="152">
        <f t="shared" si="46"/>
        <v>0.4</v>
      </c>
      <c r="AD253" s="152">
        <f t="shared" si="46"/>
        <v>0.4</v>
      </c>
      <c r="AE253" s="152">
        <f t="shared" si="46"/>
        <v>0.4</v>
      </c>
      <c r="AF253" s="152">
        <f t="shared" si="46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4"/>
        <v>0.64</v>
      </c>
      <c r="C254" s="157">
        <v>0.64</v>
      </c>
      <c r="D254" s="157">
        <f t="shared" si="45"/>
        <v>0.64</v>
      </c>
      <c r="E254" s="157">
        <f t="shared" si="45"/>
        <v>0.64</v>
      </c>
      <c r="F254" s="157">
        <f t="shared" si="45"/>
        <v>0.64</v>
      </c>
      <c r="G254" s="157">
        <f t="shared" si="45"/>
        <v>0.64</v>
      </c>
      <c r="H254" s="157">
        <f t="shared" si="45"/>
        <v>0.64</v>
      </c>
      <c r="I254" s="157">
        <f t="shared" si="45"/>
        <v>0.64</v>
      </c>
      <c r="J254" s="157">
        <f t="shared" si="45"/>
        <v>0.64</v>
      </c>
      <c r="K254" s="157">
        <f t="shared" si="45"/>
        <v>0.64</v>
      </c>
      <c r="L254" s="157">
        <f t="shared" si="45"/>
        <v>0.64</v>
      </c>
      <c r="M254" s="157">
        <f t="shared" si="45"/>
        <v>0.64</v>
      </c>
      <c r="N254" s="157">
        <f t="shared" si="45"/>
        <v>0.64</v>
      </c>
      <c r="O254" s="157">
        <f t="shared" si="45"/>
        <v>0.64</v>
      </c>
      <c r="P254" s="157">
        <f t="shared" si="45"/>
        <v>0.64</v>
      </c>
      <c r="Q254" s="157">
        <f t="shared" si="45"/>
        <v>0.64</v>
      </c>
      <c r="R254" s="157">
        <f t="shared" si="45"/>
        <v>0.64</v>
      </c>
      <c r="S254" s="157">
        <f t="shared" si="45"/>
        <v>0.64</v>
      </c>
      <c r="T254" s="157">
        <f t="shared" si="46"/>
        <v>0.64</v>
      </c>
      <c r="U254" s="157">
        <f t="shared" si="46"/>
        <v>0.64</v>
      </c>
      <c r="V254" s="157">
        <f t="shared" si="46"/>
        <v>0.64</v>
      </c>
      <c r="W254" s="157">
        <f t="shared" si="46"/>
        <v>0.64</v>
      </c>
      <c r="X254" s="157">
        <f t="shared" si="46"/>
        <v>0.64</v>
      </c>
      <c r="Y254" s="157">
        <f t="shared" si="46"/>
        <v>0.64</v>
      </c>
      <c r="Z254" s="157">
        <f t="shared" si="46"/>
        <v>0.64</v>
      </c>
      <c r="AA254" s="157">
        <f t="shared" si="46"/>
        <v>0.64</v>
      </c>
      <c r="AB254" s="157">
        <f t="shared" si="46"/>
        <v>0.64</v>
      </c>
      <c r="AC254" s="157">
        <f t="shared" si="46"/>
        <v>0.64</v>
      </c>
      <c r="AD254" s="157">
        <f t="shared" si="46"/>
        <v>0.64</v>
      </c>
      <c r="AE254" s="157">
        <f t="shared" si="46"/>
        <v>0.64</v>
      </c>
      <c r="AF254" s="157">
        <f t="shared" si="46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7">SUM(B249:B254)</f>
        <v>3.54</v>
      </c>
      <c r="C255" s="161">
        <f t="shared" si="47"/>
        <v>3.54</v>
      </c>
      <c r="D255" s="161">
        <f t="shared" si="47"/>
        <v>3.54</v>
      </c>
      <c r="E255" s="161">
        <f t="shared" si="47"/>
        <v>3.54</v>
      </c>
      <c r="F255" s="161">
        <f t="shared" si="47"/>
        <v>3.54</v>
      </c>
      <c r="G255" s="161">
        <f t="shared" si="47"/>
        <v>3.54</v>
      </c>
      <c r="H255" s="161">
        <f t="shared" si="47"/>
        <v>3.54</v>
      </c>
      <c r="I255" s="161">
        <f t="shared" si="47"/>
        <v>3.54</v>
      </c>
      <c r="J255" s="161">
        <f t="shared" si="47"/>
        <v>3.54</v>
      </c>
      <c r="K255" s="161">
        <f t="shared" si="47"/>
        <v>3.54</v>
      </c>
      <c r="L255" s="161">
        <f t="shared" si="47"/>
        <v>3.54</v>
      </c>
      <c r="M255" s="161">
        <f t="shared" si="47"/>
        <v>3.54</v>
      </c>
      <c r="N255" s="161">
        <f t="shared" si="47"/>
        <v>3.54</v>
      </c>
      <c r="O255" s="161">
        <f t="shared" si="47"/>
        <v>3.54</v>
      </c>
      <c r="P255" s="161">
        <f t="shared" si="47"/>
        <v>3.54</v>
      </c>
      <c r="Q255" s="161">
        <f t="shared" si="47"/>
        <v>3.54</v>
      </c>
      <c r="R255" s="161">
        <f t="shared" si="47"/>
        <v>3.54</v>
      </c>
      <c r="S255" s="161">
        <f t="shared" si="47"/>
        <v>3.54</v>
      </c>
      <c r="T255" s="161">
        <f t="shared" si="47"/>
        <v>3.54</v>
      </c>
      <c r="U255" s="161">
        <f t="shared" si="47"/>
        <v>3.54</v>
      </c>
      <c r="V255" s="161">
        <f t="shared" si="47"/>
        <v>3.54</v>
      </c>
      <c r="W255" s="161">
        <f t="shared" si="47"/>
        <v>3.54</v>
      </c>
      <c r="X255" s="161">
        <f t="shared" si="47"/>
        <v>3.54</v>
      </c>
      <c r="Y255" s="161">
        <f t="shared" si="47"/>
        <v>3.54</v>
      </c>
      <c r="Z255" s="161">
        <f t="shared" si="47"/>
        <v>3.54</v>
      </c>
      <c r="AA255" s="161">
        <f t="shared" si="47"/>
        <v>3.54</v>
      </c>
      <c r="AB255" s="161">
        <f t="shared" si="47"/>
        <v>3.54</v>
      </c>
      <c r="AC255" s="161">
        <f t="shared" si="47"/>
        <v>3.54</v>
      </c>
      <c r="AD255" s="161">
        <f t="shared" si="47"/>
        <v>3.54</v>
      </c>
      <c r="AE255" s="161">
        <f t="shared" si="47"/>
        <v>3.54</v>
      </c>
      <c r="AF255" s="161">
        <f t="shared" si="47"/>
        <v>3.54</v>
      </c>
      <c r="AG255" s="171">
        <f t="shared" si="47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303.54000000000002</v>
      </c>
      <c r="C259" s="174">
        <f>INDEX(G9:N9,1,MATCH(MAX(G102:N102),G102:N102,0))</f>
        <v>0.20833333333333301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8" t="s">
        <v>276</v>
      </c>
      <c r="B261" s="178"/>
      <c r="C261" s="44"/>
      <c r="D261" s="52" t="e">
        <f ca="1">"Pie Chart of Daily Peak Demand(Inclusive of Export) of Nepal ("&amp;A4&amp;" "&amp;B4&amp;")"</f>
        <v>#VALUE!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W9:W10"/>
    <mergeCell ref="X9:X10"/>
    <mergeCell ref="Y9:Y10"/>
    <mergeCell ref="Z9:Z10"/>
    <mergeCell ref="V9:V10"/>
    <mergeCell ref="A9:A10"/>
    <mergeCell ref="B9:B10"/>
    <mergeCell ref="C9:C10"/>
    <mergeCell ref="D9:D10"/>
    <mergeCell ref="E9:E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</mergeCells>
  <conditionalFormatting sqref="A11:A89 A95:A133 A135:A256">
    <cfRule type="expression" dxfId="262" priority="80">
      <formula>$AH11=0</formula>
    </cfRule>
  </conditionalFormatting>
  <conditionalFormatting sqref="A89">
    <cfRule type="expression" dxfId="261" priority="138">
      <formula>$AH94=0</formula>
    </cfRule>
  </conditionalFormatting>
  <conditionalFormatting sqref="A90:A94">
    <cfRule type="expression" dxfId="260" priority="81">
      <formula>$AH89=0</formula>
    </cfRule>
  </conditionalFormatting>
  <conditionalFormatting sqref="B8">
    <cfRule type="expression" dxfId="259" priority="134">
      <formula>AND(C$9&gt;=14/24,C$9&lt;20/24)</formula>
    </cfRule>
    <cfRule type="expression" dxfId="258" priority="135">
      <formula>AND(C$9&gt;=8/24,C$9&lt;14/24)</formula>
    </cfRule>
    <cfRule type="expression" dxfId="257" priority="136">
      <formula>C$9&lt;8/24</formula>
    </cfRule>
    <cfRule type="expression" dxfId="256" priority="137">
      <formula>C$9&gt;=20/24</formula>
    </cfRule>
  </conditionalFormatting>
  <conditionalFormatting sqref="B11:E11 B12:J42 K15:X42 B43:X57 B62:D71 B72:AF77 B80:AF102 B9:AF10 B104:AF120 B122:AF140 B247:AF247 B249:B255">
    <cfRule type="expression" dxfId="255" priority="41">
      <formula>B$9&gt;=20/24</formula>
    </cfRule>
  </conditionalFormatting>
  <conditionalFormatting sqref="B9:AF10 B11:E11 B12:J42 K15:X42 B43:X57 B62:D71 B72:AF77 B80:AF102 B104:AF120 B122:AF140 B247:AF247 B249:B255">
    <cfRule type="expression" dxfId="254" priority="42">
      <formula>AND(B$9&gt;=14/24,B$9&lt;20/24)</formula>
    </cfRule>
    <cfRule type="expression" dxfId="253" priority="43">
      <formula>AND(B$9&gt;=8/24,B$9&lt;14/24)</formula>
    </cfRule>
    <cfRule type="expression" dxfId="252" priority="44">
      <formula>B$9&lt;8/24</formula>
    </cfRule>
  </conditionalFormatting>
  <conditionalFormatting sqref="B58:AF60">
    <cfRule type="expression" dxfId="251" priority="37">
      <formula>B$9&gt;=20/24</formula>
    </cfRule>
    <cfRule type="expression" dxfId="250" priority="38">
      <formula>AND(B$9&gt;=14/24,B$9&lt;20/24)</formula>
    </cfRule>
    <cfRule type="expression" dxfId="249" priority="39">
      <formula>AND(B$9&gt;=8/24,B$9&lt;14/24)</formula>
    </cfRule>
    <cfRule type="expression" dxfId="248" priority="49">
      <formula>B$9&lt;8/24</formula>
    </cfRule>
  </conditionalFormatting>
  <conditionalFormatting sqref="D249:AF255">
    <cfRule type="expression" dxfId="247" priority="119">
      <formula>D$9&gt;=20/24</formula>
    </cfRule>
    <cfRule type="expression" dxfId="246" priority="120">
      <formula>AND(D$9&gt;=14/24,D$9&lt;20/24)</formula>
    </cfRule>
    <cfRule type="expression" dxfId="245" priority="121">
      <formula>AND(D$9&gt;=8/24,D$9&lt;14/24)</formula>
    </cfRule>
    <cfRule type="expression" dxfId="244" priority="122">
      <formula>D$9&lt;8/24</formula>
    </cfRule>
  </conditionalFormatting>
  <conditionalFormatting sqref="E66:I70 J67:J70 K70">
    <cfRule type="expression" dxfId="243" priority="50">
      <formula>E$9&gt;=20/24</formula>
    </cfRule>
    <cfRule type="expression" dxfId="242" priority="51">
      <formula>AND(E$9&gt;=14/24,E$9&lt;20/24)</formula>
    </cfRule>
    <cfRule type="expression" dxfId="241" priority="52">
      <formula>AND(E$9&gt;=8/24,E$9&lt;14/24)</formula>
    </cfRule>
    <cfRule type="expression" dxfId="240" priority="53">
      <formula>E$9&lt;8/24</formula>
    </cfRule>
  </conditionalFormatting>
  <conditionalFormatting sqref="E71:K71">
    <cfRule type="expression" dxfId="239" priority="45">
      <formula>E$9&gt;=20/24</formula>
    </cfRule>
    <cfRule type="expression" dxfId="238" priority="46">
      <formula>AND(E$9&gt;=14/24,E$9&lt;20/24)</formula>
    </cfRule>
    <cfRule type="expression" dxfId="237" priority="47">
      <formula>AND(E$9&gt;=8/24,E$9&lt;14/24)</formula>
    </cfRule>
    <cfRule type="expression" dxfId="236" priority="48">
      <formula>E$9&lt;8/24</formula>
    </cfRule>
  </conditionalFormatting>
  <conditionalFormatting sqref="E11:AF11 K12:AF14 Y15:AF57">
    <cfRule type="expression" dxfId="235" priority="55">
      <formula>E$9&gt;=20/24</formula>
    </cfRule>
    <cfRule type="expression" dxfId="234" priority="56">
      <formula>AND(E$9&gt;=14/24,E$9&lt;20/24)</formula>
    </cfRule>
    <cfRule type="expression" dxfId="233" priority="57">
      <formula>AND(E$9&gt;=8/24,E$9&lt;14/24)</formula>
    </cfRule>
    <cfRule type="expression" dxfId="232" priority="58">
      <formula>E$9&lt;8/24</formula>
    </cfRule>
  </conditionalFormatting>
  <conditionalFormatting sqref="E11:AF11 K12:AF14">
    <cfRule type="expression" dxfId="231" priority="54">
      <formula>E11&gt;$AG11</formula>
    </cfRule>
  </conditionalFormatting>
  <conditionalFormatting sqref="E62:AF65">
    <cfRule type="expression" dxfId="230" priority="60">
      <formula>E$9&gt;=20/24</formula>
    </cfRule>
    <cfRule type="expression" dxfId="229" priority="61">
      <formula>AND(E$9&gt;=14/24,E$9&lt;20/24)</formula>
    </cfRule>
    <cfRule type="expression" dxfId="228" priority="62">
      <formula>AND(E$9&gt;=8/24,E$9&lt;14/24)</formula>
    </cfRule>
    <cfRule type="expression" dxfId="227" priority="63">
      <formula>E$9&lt;8/24</formula>
    </cfRule>
  </conditionalFormatting>
  <conditionalFormatting sqref="F66:L68">
    <cfRule type="expression" dxfId="226" priority="72">
      <formula>F$9&gt;=20/24</formula>
    </cfRule>
    <cfRule type="expression" dxfId="225" priority="73">
      <formula>AND(F$9&gt;=14/24,F$9&lt;20/24)</formula>
    </cfRule>
    <cfRule type="expression" dxfId="224" priority="74">
      <formula>AND(F$9&gt;=8/24,F$9&lt;14/24)</formula>
    </cfRule>
    <cfRule type="expression" dxfId="223" priority="75">
      <formula>F$9&lt;8/24</formula>
    </cfRule>
  </conditionalFormatting>
  <conditionalFormatting sqref="L71:V71">
    <cfRule type="expression" dxfId="222" priority="68">
      <formula>L$9&gt;=20/24</formula>
    </cfRule>
    <cfRule type="expression" dxfId="221" priority="69">
      <formula>AND(L$9&gt;=14/24,L$9&lt;20/24)</formula>
    </cfRule>
    <cfRule type="expression" dxfId="220" priority="70">
      <formula>AND(L$9&gt;=8/24,L$9&lt;14/24)</formula>
    </cfRule>
    <cfRule type="expression" dxfId="219" priority="71">
      <formula>L$9&lt;8/24</formula>
    </cfRule>
  </conditionalFormatting>
  <conditionalFormatting sqref="M8 S8 AB8">
    <cfRule type="expression" dxfId="218" priority="126">
      <formula>AND(N$9&gt;=14/24,N$9&lt;20/24)</formula>
    </cfRule>
    <cfRule type="expression" dxfId="217" priority="127">
      <formula>AND(N$9&gt;=8/24,N$9&lt;14/24)</formula>
    </cfRule>
    <cfRule type="expression" dxfId="216" priority="128">
      <formula>N$9&lt;8/24</formula>
    </cfRule>
  </conditionalFormatting>
  <conditionalFormatting sqref="M66:V70">
    <cfRule type="expression" dxfId="215" priority="76">
      <formula>M$9&gt;=20/24</formula>
    </cfRule>
    <cfRule type="expression" dxfId="214" priority="77">
      <formula>AND(M$9&gt;=14/24,M$9&lt;20/24)</formula>
    </cfRule>
    <cfRule type="expression" dxfId="213" priority="78">
      <formula>AND(M$9&gt;=8/24,M$9&lt;14/24)</formula>
    </cfRule>
    <cfRule type="expression" dxfId="212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1" priority="125">
      <formula>N$9&gt;=20/24</formula>
    </cfRule>
  </conditionalFormatting>
  <conditionalFormatting sqref="S8">
    <cfRule type="expression" dxfId="210" priority="112">
      <formula>U$9&gt;=20/24</formula>
    </cfRule>
    <cfRule type="expression" dxfId="209" priority="113">
      <formula>AND(U$9&gt;=14/24,U$9&lt;20/24)</formula>
    </cfRule>
    <cfRule type="expression" dxfId="208" priority="114">
      <formula>AND(U$9&gt;=8/24,U$9&lt;14/24)</formula>
    </cfRule>
    <cfRule type="expression" dxfId="207" priority="115">
      <formula>U$9&lt;8/24</formula>
    </cfRule>
  </conditionalFormatting>
  <conditionalFormatting sqref="T66:AF71">
    <cfRule type="expression" dxfId="206" priority="64">
      <formula>T$9&gt;=20/24</formula>
    </cfRule>
    <cfRule type="expression" dxfId="205" priority="65">
      <formula>AND(T$9&gt;=14/24,T$9&lt;20/24)</formula>
    </cfRule>
    <cfRule type="expression" dxfId="204" priority="66">
      <formula>AND(T$9&gt;=8/24,T$9&lt;14/24)</formula>
    </cfRule>
    <cfRule type="expression" dxfId="203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59:Z60">
    <cfRule type="expression" dxfId="202" priority="59">
      <formula>Y59&gt;$AG59</formula>
    </cfRule>
  </conditionalFormatting>
  <conditionalFormatting sqref="Y15:AF58 B43:X60 C59:AF59 AA59:AF60 B11:E11 B12:J21 K15:V21 W15:X42 B22:V42 B61:AG61 B62:AF64 B65:AG65 B66:AF83 AG83">
    <cfRule type="expression" dxfId="201" priority="40">
      <formula>B11&gt;$AG11</formula>
    </cfRule>
  </conditionalFormatting>
  <conditionalFormatting sqref="AB8">
    <cfRule type="expression" dxfId="200" priority="108">
      <formula>AD$9&gt;=20/24</formula>
    </cfRule>
    <cfRule type="expression" dxfId="199" priority="109">
      <formula>AND(AD$9&gt;=14/24,AD$9&lt;20/24)</formula>
    </cfRule>
    <cfRule type="expression" dxfId="198" priority="110">
      <formula>AND(AD$9&gt;=8/24,AD$9&lt;14/24)</formula>
    </cfRule>
    <cfRule type="expression" dxfId="197" priority="111">
      <formula>AD$9&lt;8/24</formula>
    </cfRule>
  </conditionalFormatting>
  <conditionalFormatting sqref="AG65">
    <cfRule type="expression" dxfId="196" priority="87">
      <formula>AG$9&gt;=20/24</formula>
    </cfRule>
    <cfRule type="expression" dxfId="195" priority="88">
      <formula>AND(AG$9&gt;=14/24,AG$9&lt;20/24)</formula>
    </cfRule>
    <cfRule type="expression" dxfId="194" priority="89">
      <formula>AND(AG$9&gt;=8/24,AG$9&lt;14/24)</formula>
    </cfRule>
    <cfRule type="expression" dxfId="193" priority="90">
      <formula>AG$9&lt;8/24</formula>
    </cfRule>
  </conditionalFormatting>
  <conditionalFormatting sqref="AG78:AG79">
    <cfRule type="expression" dxfId="192" priority="82">
      <formula>AG78&gt;$AG78</formula>
    </cfRule>
  </conditionalFormatting>
  <conditionalFormatting sqref="AG83">
    <cfRule type="expression" dxfId="191" priority="83">
      <formula>AG$9&gt;=20/24</formula>
    </cfRule>
    <cfRule type="expression" dxfId="190" priority="84">
      <formula>AND(AG$9&gt;=14/24,AG$9&lt;20/24)</formula>
    </cfRule>
    <cfRule type="expression" dxfId="189" priority="85">
      <formula>AND(AG$9&gt;=8/24,AG$9&lt;14/24)</formula>
    </cfRule>
    <cfRule type="expression" dxfId="188" priority="86">
      <formula>AG$9&lt;8/24</formula>
    </cfRule>
  </conditionalFormatting>
  <conditionalFormatting sqref="AG100">
    <cfRule type="expression" dxfId="187" priority="104">
      <formula>AG$9&gt;=20/24</formula>
    </cfRule>
    <cfRule type="expression" dxfId="186" priority="105">
      <formula>AND(AG$9&gt;=14/24,AG$9&lt;20/24)</formula>
    </cfRule>
    <cfRule type="expression" dxfId="185" priority="106">
      <formula>AND(AG$9&gt;=8/24,AG$9&lt;14/24)</formula>
    </cfRule>
    <cfRule type="expression" dxfId="18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83" priority="129">
      <formula>AJ$9&gt;=20/24</formula>
    </cfRule>
    <cfRule type="expression" dxfId="182" priority="130">
      <formula>AND(AJ$9&gt;=14/24,AJ$9&lt;20/24)</formula>
    </cfRule>
    <cfRule type="expression" dxfId="181" priority="131">
      <formula>AND(AJ$9&gt;=8/24,AJ$9&lt;14/24)</formula>
    </cfRule>
    <cfRule type="expression" dxfId="180" priority="132">
      <formula>AJ$9&lt;8/24</formula>
    </cfRule>
  </conditionalFormatting>
  <conditionalFormatting sqref="AL86:AN86 AL92:AN92">
    <cfRule type="expression" dxfId="179" priority="97">
      <formula>AL$9&gt;=20/24</formula>
    </cfRule>
    <cfRule type="expression" dxfId="178" priority="98">
      <formula>AND(AL$9&gt;=14/24,AL$9&lt;20/24)</formula>
    </cfRule>
    <cfRule type="expression" dxfId="177" priority="99">
      <formula>AND(AL$9&gt;=8/24,AL$9&lt;14/24)</formula>
    </cfRule>
    <cfRule type="expression" dxfId="176" priority="100">
      <formula>AL$9&lt;8/24</formula>
    </cfRule>
  </conditionalFormatting>
  <conditionalFormatting sqref="AM15:AM21 AN16:AR21">
    <cfRule type="expression" dxfId="175" priority="13">
      <formula>AX$9&gt;=20/24</formula>
    </cfRule>
    <cfRule type="expression" dxfId="174" priority="14">
      <formula>AND(AX$9&gt;=14/24,AX$9&lt;20/24)</formula>
    </cfRule>
    <cfRule type="expression" dxfId="173" priority="15">
      <formula>AND(AX$9&gt;=8/24,AX$9&lt;14/24)</formula>
    </cfRule>
    <cfRule type="expression" dxfId="172" priority="16">
      <formula>AX$9&lt;8/24</formula>
    </cfRule>
  </conditionalFormatting>
  <conditionalFormatting sqref="AN87:AN90">
    <cfRule type="expression" dxfId="171" priority="93">
      <formula>AN$9&gt;=20/24</formula>
    </cfRule>
    <cfRule type="expression" dxfId="170" priority="94">
      <formula>AND(AN$9&gt;=14/24,AN$9&lt;20/24)</formula>
    </cfRule>
    <cfRule type="expression" dxfId="169" priority="95">
      <formula>AND(AN$9&gt;=8/24,AN$9&lt;14/24)</formula>
    </cfRule>
    <cfRule type="expression" dxfId="168" priority="96">
      <formula>AN$9&lt;8/24</formula>
    </cfRule>
  </conditionalFormatting>
  <conditionalFormatting sqref="AN15:AR15">
    <cfRule type="expression" dxfId="167" priority="1">
      <formula>U$9&gt;=20/24</formula>
    </cfRule>
    <cfRule type="expression" dxfId="166" priority="2">
      <formula>AND(U$9&gt;=14/24,U$9&lt;20/24)</formula>
    </cfRule>
    <cfRule type="expression" dxfId="165" priority="3">
      <formula>AND(U$9&gt;=8/24,U$9&lt;14/24)</formula>
    </cfRule>
    <cfRule type="expression" dxfId="164" priority="4">
      <formula>U$9&lt;8/24</formula>
    </cfRule>
  </conditionalFormatting>
  <conditionalFormatting sqref="AS15">
    <cfRule type="expression" dxfId="163" priority="9">
      <formula>AA$9&gt;=20/24</formula>
    </cfRule>
    <cfRule type="expression" dxfId="162" priority="10">
      <formula>AND(AA$9&gt;=14/24,AA$9&lt;20/24)</formula>
    </cfRule>
    <cfRule type="expression" dxfId="161" priority="11">
      <formula>AND(AA$9&gt;=8/24,AA$9&lt;14/24)</formula>
    </cfRule>
    <cfRule type="expression" dxfId="160" priority="12">
      <formula>AA$9&lt;8/24</formula>
    </cfRule>
  </conditionalFormatting>
  <conditionalFormatting sqref="AS16:AS21">
    <cfRule type="expression" dxfId="159" priority="17">
      <formula>BE$9&gt;=20/24</formula>
    </cfRule>
    <cfRule type="expression" dxfId="158" priority="18">
      <formula>AND(BE$9&gt;=14/24,BE$9&lt;20/24)</formula>
    </cfRule>
    <cfRule type="expression" dxfId="157" priority="19">
      <formula>AND(BE$9&gt;=8/24,BE$9&lt;14/24)</formula>
    </cfRule>
    <cfRule type="expression" dxfId="156" priority="20">
      <formula>BE$9&lt;8/24</formula>
    </cfRule>
  </conditionalFormatting>
  <conditionalFormatting sqref="AT15 AX15:BJ15">
    <cfRule type="expression" dxfId="155" priority="21">
      <formula>AC$9&gt;=20/24</formula>
    </cfRule>
    <cfRule type="expression" dxfId="154" priority="22">
      <formula>AND(AC$9&gt;=14/24,AC$9&lt;20/24)</formula>
    </cfRule>
    <cfRule type="expression" dxfId="153" priority="23">
      <formula>AND(AC$9&gt;=8/24,AC$9&lt;14/24)</formula>
    </cfRule>
    <cfRule type="expression" dxfId="152" priority="24">
      <formula>AC$9&lt;8/24</formula>
    </cfRule>
  </conditionalFormatting>
  <conditionalFormatting sqref="AT16:AT21">
    <cfRule type="expression" dxfId="151" priority="25">
      <formula>BG$9&gt;=20/24</formula>
    </cfRule>
    <cfRule type="expression" dxfId="150" priority="26">
      <formula>AND(BG$9&gt;=14/24,BG$9&lt;20/24)</formula>
    </cfRule>
    <cfRule type="expression" dxfId="149" priority="27">
      <formula>AND(BG$9&gt;=8/24,BG$9&lt;14/24)</formula>
    </cfRule>
    <cfRule type="expression" dxfId="148" priority="28">
      <formula>BG$9&lt;8/24</formula>
    </cfRule>
  </conditionalFormatting>
  <conditionalFormatting sqref="AU15:AV15">
    <cfRule type="expression" dxfId="147" priority="29">
      <formula>AE$9&gt;=20/24</formula>
    </cfRule>
    <cfRule type="expression" dxfId="146" priority="30">
      <formula>AND(AE$9&gt;=14/24,AE$9&lt;20/24)</formula>
    </cfRule>
    <cfRule type="expression" dxfId="145" priority="31">
      <formula>AND(AE$9&gt;=8/24,AE$9&lt;14/24)</formula>
    </cfRule>
    <cfRule type="expression" dxfId="144" priority="32">
      <formula>AE$9&lt;8/24</formula>
    </cfRule>
  </conditionalFormatting>
  <conditionalFormatting sqref="AU16:BJ21">
    <cfRule type="expression" dxfId="143" priority="33">
      <formula>BI$9&gt;=20/24</formula>
    </cfRule>
    <cfRule type="expression" dxfId="142" priority="34">
      <formula>AND(BI$9&gt;=14/24,BI$9&lt;20/24)</formula>
    </cfRule>
    <cfRule type="expression" dxfId="141" priority="35">
      <formula>AND(BI$9&gt;=8/24,BI$9&lt;14/24)</formula>
    </cfRule>
    <cfRule type="expression" dxfId="140" priority="36">
      <formula>BI$9&lt;8/24</formula>
    </cfRule>
  </conditionalFormatting>
  <conditionalFormatting sqref="AW15">
    <cfRule type="expression" dxfId="139" priority="5">
      <formula>B$9&gt;=20/24</formula>
    </cfRule>
    <cfRule type="expression" dxfId="138" priority="6">
      <formula>AND(B$9&gt;=14/24,B$9&lt;20/24)</formula>
    </cfRule>
    <cfRule type="expression" dxfId="137" priority="7">
      <formula>AND(B$9&gt;=8/24,B$9&lt;14/24)</formula>
    </cfRule>
    <cfRule type="expression" dxfId="13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4431-2AD0-4BAA-A952-BDC3A9B4BA29}">
  <dimension ref="B1:H35"/>
  <sheetViews>
    <sheetView workbookViewId="0">
      <selection activeCell="K14" sqref="K14"/>
    </sheetView>
  </sheetViews>
  <sheetFormatPr defaultRowHeight="15" x14ac:dyDescent="0.25"/>
  <cols>
    <col min="2" max="2" width="25.28515625" bestFit="1" customWidth="1"/>
    <col min="3" max="4" width="17.28515625" customWidth="1"/>
    <col min="5" max="5" width="17.42578125" customWidth="1"/>
  </cols>
  <sheetData>
    <row r="1" spans="2:8" x14ac:dyDescent="0.25">
      <c r="B1" s="179" t="s">
        <v>355</v>
      </c>
    </row>
    <row r="2" spans="2:8" x14ac:dyDescent="0.25">
      <c r="D2" s="208" t="s">
        <v>346</v>
      </c>
      <c r="E2" s="208" t="s">
        <v>345</v>
      </c>
      <c r="H2" s="180">
        <v>0.63888888888888884</v>
      </c>
    </row>
    <row r="3" spans="2:8" x14ac:dyDescent="0.25">
      <c r="C3" t="s">
        <v>344</v>
      </c>
      <c r="D3" s="208"/>
      <c r="E3" s="208"/>
    </row>
    <row r="4" spans="2:8" x14ac:dyDescent="0.25">
      <c r="B4" t="s">
        <v>155</v>
      </c>
      <c r="C4">
        <v>456</v>
      </c>
      <c r="D4">
        <v>456</v>
      </c>
      <c r="E4">
        <v>456</v>
      </c>
    </row>
    <row r="5" spans="2:8" x14ac:dyDescent="0.25">
      <c r="B5" t="s">
        <v>156</v>
      </c>
      <c r="C5">
        <v>144</v>
      </c>
      <c r="D5">
        <v>144</v>
      </c>
      <c r="E5">
        <v>144</v>
      </c>
    </row>
    <row r="6" spans="2:8" x14ac:dyDescent="0.25">
      <c r="B6" t="s">
        <v>329</v>
      </c>
      <c r="C6">
        <v>40</v>
      </c>
      <c r="D6">
        <v>40</v>
      </c>
      <c r="E6">
        <v>40</v>
      </c>
    </row>
    <row r="7" spans="2:8" x14ac:dyDescent="0.25">
      <c r="B7" t="s">
        <v>330</v>
      </c>
      <c r="C7">
        <v>30</v>
      </c>
      <c r="D7">
        <v>30</v>
      </c>
      <c r="E7">
        <v>30</v>
      </c>
    </row>
    <row r="8" spans="2:8" x14ac:dyDescent="0.25">
      <c r="B8" t="s">
        <v>331</v>
      </c>
      <c r="C8">
        <v>44</v>
      </c>
      <c r="D8">
        <v>44</v>
      </c>
      <c r="E8">
        <v>44</v>
      </c>
    </row>
    <row r="9" spans="2:8" x14ac:dyDescent="0.25">
      <c r="B9" t="s">
        <v>332</v>
      </c>
      <c r="C9">
        <v>18</v>
      </c>
      <c r="D9">
        <v>18</v>
      </c>
      <c r="E9">
        <v>18</v>
      </c>
    </row>
    <row r="10" spans="2:8" x14ac:dyDescent="0.25">
      <c r="B10" t="s">
        <v>333</v>
      </c>
      <c r="C10">
        <v>20</v>
      </c>
      <c r="D10">
        <v>20</v>
      </c>
      <c r="E10">
        <v>20</v>
      </c>
    </row>
    <row r="11" spans="2:8" x14ac:dyDescent="0.25">
      <c r="B11" t="s">
        <v>334</v>
      </c>
      <c r="C11">
        <v>14</v>
      </c>
      <c r="D11">
        <v>14</v>
      </c>
      <c r="E11">
        <v>14</v>
      </c>
    </row>
    <row r="12" spans="2:8" x14ac:dyDescent="0.25">
      <c r="B12" t="s">
        <v>335</v>
      </c>
      <c r="C12">
        <v>14</v>
      </c>
      <c r="D12">
        <v>14</v>
      </c>
      <c r="E12">
        <v>14</v>
      </c>
    </row>
    <row r="13" spans="2:8" x14ac:dyDescent="0.25">
      <c r="B13" t="s">
        <v>336</v>
      </c>
      <c r="C13">
        <v>50</v>
      </c>
      <c r="D13">
        <v>50</v>
      </c>
      <c r="E13">
        <v>50</v>
      </c>
    </row>
    <row r="14" spans="2:8" x14ac:dyDescent="0.25">
      <c r="B14" t="s">
        <v>337</v>
      </c>
      <c r="C14">
        <v>54</v>
      </c>
      <c r="D14">
        <v>27</v>
      </c>
      <c r="E14">
        <v>27</v>
      </c>
    </row>
    <row r="15" spans="2:8" x14ac:dyDescent="0.25">
      <c r="B15" t="s">
        <v>338</v>
      </c>
      <c r="C15">
        <v>12</v>
      </c>
      <c r="D15">
        <v>12</v>
      </c>
      <c r="E15">
        <v>12</v>
      </c>
    </row>
    <row r="16" spans="2:8" x14ac:dyDescent="0.25">
      <c r="B16" t="s">
        <v>342</v>
      </c>
      <c r="C16">
        <v>24</v>
      </c>
      <c r="D16">
        <v>18</v>
      </c>
      <c r="E16">
        <v>18</v>
      </c>
    </row>
    <row r="17" spans="2:5" x14ac:dyDescent="0.25">
      <c r="B17" t="s">
        <v>343</v>
      </c>
      <c r="C17">
        <v>14.1</v>
      </c>
      <c r="D17">
        <v>10</v>
      </c>
      <c r="E17">
        <v>10</v>
      </c>
    </row>
    <row r="18" spans="2:5" x14ac:dyDescent="0.25">
      <c r="B18" t="s">
        <v>347</v>
      </c>
      <c r="C18">
        <v>36</v>
      </c>
      <c r="D18">
        <v>36</v>
      </c>
      <c r="E18">
        <v>36</v>
      </c>
    </row>
    <row r="19" spans="2:5" x14ac:dyDescent="0.25">
      <c r="B19" t="s">
        <v>348</v>
      </c>
      <c r="C19">
        <v>12</v>
      </c>
      <c r="D19">
        <v>12</v>
      </c>
      <c r="E19">
        <v>12</v>
      </c>
    </row>
    <row r="20" spans="2:5" x14ac:dyDescent="0.25">
      <c r="B20" t="s">
        <v>349</v>
      </c>
      <c r="C20">
        <v>22</v>
      </c>
      <c r="D20">
        <v>22</v>
      </c>
      <c r="E20">
        <v>22</v>
      </c>
    </row>
    <row r="21" spans="2:5" x14ac:dyDescent="0.25">
      <c r="B21" t="s">
        <v>339</v>
      </c>
      <c r="C21">
        <v>27</v>
      </c>
      <c r="D21">
        <v>27</v>
      </c>
      <c r="E21">
        <v>27</v>
      </c>
    </row>
    <row r="22" spans="2:5" x14ac:dyDescent="0.25">
      <c r="D22" t="s">
        <v>356</v>
      </c>
      <c r="E22">
        <f>SUM(E4:E21)</f>
        <v>994</v>
      </c>
    </row>
    <row r="25" spans="2:5" x14ac:dyDescent="0.25">
      <c r="B25" s="179" t="s">
        <v>354</v>
      </c>
    </row>
    <row r="26" spans="2:5" x14ac:dyDescent="0.25">
      <c r="B26" t="s">
        <v>340</v>
      </c>
      <c r="C26">
        <v>70</v>
      </c>
      <c r="D26">
        <v>70</v>
      </c>
      <c r="E26">
        <v>6</v>
      </c>
    </row>
    <row r="27" spans="2:5" x14ac:dyDescent="0.25">
      <c r="B27" t="s">
        <v>341</v>
      </c>
      <c r="C27">
        <v>69</v>
      </c>
      <c r="D27">
        <v>69</v>
      </c>
      <c r="E27">
        <v>15</v>
      </c>
    </row>
    <row r="28" spans="2:5" x14ac:dyDescent="0.25">
      <c r="D28" t="s">
        <v>356</v>
      </c>
      <c r="E28">
        <f>SUM(E26:E27)</f>
        <v>21</v>
      </c>
    </row>
    <row r="29" spans="2:5" x14ac:dyDescent="0.25">
      <c r="B29" s="179" t="s">
        <v>353</v>
      </c>
    </row>
    <row r="30" spans="2:5" x14ac:dyDescent="0.25">
      <c r="B30" t="s">
        <v>350</v>
      </c>
      <c r="E30">
        <v>42</v>
      </c>
    </row>
    <row r="31" spans="2:5" x14ac:dyDescent="0.25">
      <c r="B31" t="s">
        <v>351</v>
      </c>
      <c r="E31">
        <v>14.9</v>
      </c>
    </row>
    <row r="32" spans="2:5" x14ac:dyDescent="0.25">
      <c r="B32" t="s">
        <v>352</v>
      </c>
      <c r="E32">
        <v>27</v>
      </c>
    </row>
    <row r="33" spans="4:5" x14ac:dyDescent="0.25">
      <c r="D33" t="s">
        <v>356</v>
      </c>
      <c r="E33">
        <f>SUM(E30:E32)</f>
        <v>83.9</v>
      </c>
    </row>
    <row r="35" spans="4:5" x14ac:dyDescent="0.25">
      <c r="D35" t="s">
        <v>357</v>
      </c>
      <c r="E35">
        <f>E22+E28+E33</f>
        <v>1098.9000000000001</v>
      </c>
    </row>
  </sheetData>
  <mergeCells count="2">
    <mergeCell ref="E2:E3"/>
    <mergeCell ref="D2:D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F9C4-250F-4627-AD00-E40A14FE63F0}">
  <dimension ref="A1"/>
  <sheetViews>
    <sheetView workbookViewId="0">
      <selection activeCell="D15" sqref="D15"/>
    </sheetView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3678-2F1B-4080-BF7A-795AA2FC6B51}">
  <sheetPr codeName="Sheet32"/>
  <dimension ref="A1:CJ294"/>
  <sheetViews>
    <sheetView zoomScale="106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V22" sqref="V2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 t="s">
        <v>1</v>
      </c>
      <c r="AH1" s="183"/>
      <c r="AI1" s="183"/>
      <c r="AL1" s="2"/>
    </row>
    <row r="2" spans="1:88" ht="20.25" hidden="1" x14ac:dyDescent="0.25">
      <c r="A2" s="3"/>
      <c r="B2" s="184" t="s">
        <v>2</v>
      </c>
      <c r="C2" s="4"/>
      <c r="D2" s="186" t="s">
        <v>3</v>
      </c>
      <c r="E2" s="4"/>
      <c r="F2" s="186" t="s">
        <v>4</v>
      </c>
      <c r="G2" s="4"/>
      <c r="H2" s="186" t="s">
        <v>5</v>
      </c>
      <c r="I2" s="5"/>
      <c r="J2" s="188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5"/>
      <c r="C3" s="16"/>
      <c r="D3" s="187"/>
      <c r="E3" s="16"/>
      <c r="F3" s="187"/>
      <c r="G3" s="16"/>
      <c r="H3" s="187"/>
      <c r="I3" s="17"/>
      <c r="J3" s="188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9" t="e">
        <f ca="1">"2080/"&amp;"10/"&amp;INT(MID(CELL("filename",D6),FIND("]",CELL("filename",D6))+1,200))</f>
        <v>#VALUE!</v>
      </c>
      <c r="C4" s="189"/>
      <c r="D4" s="189"/>
      <c r="E4" s="190" t="e">
        <f ca="1">"2080/"&amp;"10/"&amp;INT(MID(CELL("filename",G6),FIND("]",CELL("filename",G6))+1,200))</f>
        <v>#VALUE!</v>
      </c>
      <c r="F4" s="190"/>
      <c r="G4" s="190"/>
      <c r="H4" s="190" t="e">
        <f ca="1">TEXT(E4,"dddd")</f>
        <v>#VALUE!</v>
      </c>
      <c r="I4" s="190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B100</f>
        <v>153.54</v>
      </c>
      <c r="C7" s="35">
        <f t="shared" si="1"/>
        <v>153.54</v>
      </c>
      <c r="D7" s="35">
        <f t="shared" si="1"/>
        <v>153.54</v>
      </c>
      <c r="E7" s="35">
        <f t="shared" si="1"/>
        <v>153.54</v>
      </c>
      <c r="F7" s="35">
        <f t="shared" si="1"/>
        <v>153.54</v>
      </c>
      <c r="G7" s="35">
        <f t="shared" si="1"/>
        <v>153.54</v>
      </c>
      <c r="H7" s="35">
        <f t="shared" si="1"/>
        <v>153.54</v>
      </c>
      <c r="I7" s="35">
        <f t="shared" si="1"/>
        <v>153.54</v>
      </c>
      <c r="J7" s="35">
        <f t="shared" si="1"/>
        <v>153.54</v>
      </c>
      <c r="K7" s="35">
        <f t="shared" si="1"/>
        <v>153.54</v>
      </c>
      <c r="L7" s="35">
        <f t="shared" si="1"/>
        <v>153.54</v>
      </c>
      <c r="M7" s="35">
        <f t="shared" si="1"/>
        <v>153.54</v>
      </c>
      <c r="N7" s="35">
        <f t="shared" si="1"/>
        <v>153.54</v>
      </c>
      <c r="O7" s="35">
        <f t="shared" si="1"/>
        <v>153.54</v>
      </c>
      <c r="P7" s="35">
        <f t="shared" si="1"/>
        <v>153.54</v>
      </c>
      <c r="Q7" s="35">
        <f t="shared" si="1"/>
        <v>153.54</v>
      </c>
      <c r="R7" s="35">
        <f t="shared" si="1"/>
        <v>153.54</v>
      </c>
      <c r="S7" s="35">
        <f t="shared" si="1"/>
        <v>153.54</v>
      </c>
      <c r="T7" s="35">
        <f t="shared" si="1"/>
        <v>153.54</v>
      </c>
      <c r="U7" s="35">
        <f t="shared" si="1"/>
        <v>153.54</v>
      </c>
      <c r="V7" s="35">
        <f t="shared" si="1"/>
        <v>153.54</v>
      </c>
      <c r="W7" s="35">
        <f t="shared" si="1"/>
        <v>153.54</v>
      </c>
      <c r="X7" s="35">
        <f t="shared" si="1"/>
        <v>153.54</v>
      </c>
      <c r="Y7" s="35">
        <f t="shared" si="1"/>
        <v>153.5</v>
      </c>
      <c r="Z7" s="35">
        <f t="shared" si="1"/>
        <v>155.5</v>
      </c>
      <c r="AA7" s="35">
        <f t="shared" si="1"/>
        <v>153.54</v>
      </c>
      <c r="AB7" s="35">
        <f t="shared" si="1"/>
        <v>153.54</v>
      </c>
      <c r="AC7" s="35">
        <f t="shared" si="1"/>
        <v>153.54</v>
      </c>
      <c r="AD7" s="35">
        <f t="shared" si="1"/>
        <v>153.54</v>
      </c>
      <c r="AE7" s="35">
        <f t="shared" si="1"/>
        <v>153.54</v>
      </c>
      <c r="AF7" s="35">
        <f t="shared" si="1"/>
        <v>153.54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1" t="s">
        <v>14</v>
      </c>
      <c r="C8" s="192"/>
      <c r="D8" s="192"/>
      <c r="E8" s="192"/>
      <c r="F8" s="192"/>
      <c r="G8" s="192"/>
      <c r="H8" s="192"/>
      <c r="I8" s="192"/>
      <c r="J8" s="192"/>
      <c r="K8" s="192"/>
      <c r="L8" s="193"/>
      <c r="M8" s="194" t="s">
        <v>15</v>
      </c>
      <c r="N8" s="195"/>
      <c r="O8" s="195"/>
      <c r="P8" s="195"/>
      <c r="Q8" s="195"/>
      <c r="R8" s="196"/>
      <c r="S8" s="194" t="s">
        <v>16</v>
      </c>
      <c r="T8" s="195"/>
      <c r="U8" s="195"/>
      <c r="V8" s="195"/>
      <c r="W8" s="195"/>
      <c r="X8" s="195"/>
      <c r="Y8" s="195"/>
      <c r="Z8" s="195"/>
      <c r="AA8" s="196"/>
      <c r="AB8" s="194" t="s">
        <v>17</v>
      </c>
      <c r="AC8" s="195"/>
      <c r="AD8" s="195"/>
      <c r="AE8" s="195"/>
      <c r="AF8" s="196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155.5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2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6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155.5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3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7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86</v>
      </c>
      <c r="AH11" s="48">
        <f t="shared" ref="AH11:AH16" si="2">MAX(B11:AF11)</f>
        <v>0</v>
      </c>
      <c r="AI11" s="49">
        <f t="shared" ref="AI11:AI1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50">
        <v>54</v>
      </c>
      <c r="AH12" s="48">
        <f t="shared" si="2"/>
        <v>0</v>
      </c>
      <c r="AI12" s="49">
        <f t="shared" si="3"/>
        <v>0</v>
      </c>
      <c r="AK12" s="51"/>
      <c r="AL12" s="52" t="str">
        <f ca="1">MID(CELL("filename",C7),FIND("]",CELL("filename",C7))+1,600)</f>
        <v>OSample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50">
        <v>54</v>
      </c>
      <c r="AH13" s="48">
        <f t="shared" si="2"/>
        <v>0</v>
      </c>
      <c r="AI13" s="49">
        <f t="shared" si="3"/>
        <v>0</v>
      </c>
      <c r="AK13" s="51"/>
      <c r="AL13" s="52" t="e">
        <f ca="1">"Daily Load Curve(Excluding of Export) of Nepal ("&amp;A4&amp;" "&amp;B4&amp;")"</f>
        <v>#VALUE!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0">
        <v>50</v>
      </c>
      <c r="AH15" s="48">
        <f t="shared" si="2"/>
        <v>0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50">
        <v>45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B58</f>
        <v>150</v>
      </c>
      <c r="AN16" s="59">
        <f t="shared" si="4"/>
        <v>150</v>
      </c>
      <c r="AO16" s="59">
        <f t="shared" si="4"/>
        <v>150</v>
      </c>
      <c r="AP16" s="59">
        <f t="shared" si="4"/>
        <v>150</v>
      </c>
      <c r="AQ16" s="59">
        <f t="shared" si="4"/>
        <v>150</v>
      </c>
      <c r="AR16" s="59">
        <f t="shared" si="4"/>
        <v>150</v>
      </c>
      <c r="AS16" s="59">
        <f>I58</f>
        <v>150</v>
      </c>
      <c r="AT16" s="59">
        <f>K58</f>
        <v>150</v>
      </c>
      <c r="AU16" s="59">
        <f t="shared" ref="AU16:BD16" si="5">M58</f>
        <v>150</v>
      </c>
      <c r="AV16" s="59">
        <f t="shared" si="5"/>
        <v>150</v>
      </c>
      <c r="AW16" s="59">
        <f t="shared" si="5"/>
        <v>150</v>
      </c>
      <c r="AX16" s="59">
        <f t="shared" si="5"/>
        <v>150</v>
      </c>
      <c r="AY16" s="59">
        <f t="shared" si="5"/>
        <v>150</v>
      </c>
      <c r="AZ16" s="59">
        <f t="shared" si="5"/>
        <v>150</v>
      </c>
      <c r="BA16" s="59">
        <f t="shared" si="5"/>
        <v>150</v>
      </c>
      <c r="BB16" s="59">
        <f t="shared" si="5"/>
        <v>150</v>
      </c>
      <c r="BC16" s="59">
        <f t="shared" si="5"/>
        <v>150</v>
      </c>
      <c r="BD16" s="59">
        <f t="shared" si="5"/>
        <v>150</v>
      </c>
      <c r="BE16" s="60">
        <f>X58</f>
        <v>150</v>
      </c>
      <c r="BF16" s="60">
        <f>Z58</f>
        <v>150</v>
      </c>
      <c r="BG16" s="60">
        <f>AB58</f>
        <v>150</v>
      </c>
      <c r="BH16" s="60">
        <f>AD58</f>
        <v>150</v>
      </c>
      <c r="BI16" s="60">
        <f>AE58</f>
        <v>150</v>
      </c>
      <c r="BJ16" s="60">
        <f>AF58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50">
        <v>44</v>
      </c>
      <c r="AH17" s="48">
        <f>MAX(B17:AG17)</f>
        <v>44</v>
      </c>
      <c r="AI17" s="49">
        <f>MIN(B17:AG17)</f>
        <v>44</v>
      </c>
      <c r="AK17" s="51"/>
      <c r="AL17" s="54" t="s">
        <v>27</v>
      </c>
      <c r="AM17" s="59">
        <f t="shared" ref="AM17:AR17" si="6">B62</f>
        <v>0</v>
      </c>
      <c r="AN17" s="59">
        <f t="shared" si="6"/>
        <v>0</v>
      </c>
      <c r="AO17" s="59">
        <f t="shared" si="6"/>
        <v>0</v>
      </c>
      <c r="AP17" s="59">
        <f t="shared" si="6"/>
        <v>0</v>
      </c>
      <c r="AQ17" s="59">
        <f t="shared" si="6"/>
        <v>0</v>
      </c>
      <c r="AR17" s="59">
        <f t="shared" si="6"/>
        <v>0</v>
      </c>
      <c r="AS17" s="59">
        <f>I62</f>
        <v>0</v>
      </c>
      <c r="AT17" s="59">
        <f>K62</f>
        <v>0</v>
      </c>
      <c r="AU17" s="59">
        <f t="shared" ref="AU17:BD17" si="7">M62</f>
        <v>0</v>
      </c>
      <c r="AV17" s="59">
        <f t="shared" si="7"/>
        <v>0</v>
      </c>
      <c r="AW17" s="59">
        <f t="shared" si="7"/>
        <v>0</v>
      </c>
      <c r="AX17" s="59">
        <f t="shared" si="7"/>
        <v>0</v>
      </c>
      <c r="AY17" s="59">
        <f t="shared" si="7"/>
        <v>0</v>
      </c>
      <c r="AZ17" s="59">
        <f t="shared" si="7"/>
        <v>0</v>
      </c>
      <c r="BA17" s="59">
        <f t="shared" si="7"/>
        <v>0</v>
      </c>
      <c r="BB17" s="59">
        <f t="shared" si="7"/>
        <v>0</v>
      </c>
      <c r="BC17" s="59">
        <f t="shared" si="7"/>
        <v>0</v>
      </c>
      <c r="BD17" s="59">
        <f t="shared" si="7"/>
        <v>0</v>
      </c>
      <c r="BE17" s="60">
        <f>X62</f>
        <v>0</v>
      </c>
      <c r="BF17" s="60">
        <f>Z62</f>
        <v>0</v>
      </c>
      <c r="BG17" s="60">
        <f>AB62</f>
        <v>0</v>
      </c>
      <c r="BH17" s="60">
        <f>AD62</f>
        <v>0</v>
      </c>
      <c r="BI17" s="60">
        <f>AE62</f>
        <v>0</v>
      </c>
      <c r="BJ17" s="60">
        <f>AF62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50">
        <v>42</v>
      </c>
      <c r="AH18" s="48">
        <f t="shared" ref="AH18:AH81" si="8">MAX(B18:AF18)</f>
        <v>0</v>
      </c>
      <c r="AI18" s="49">
        <f t="shared" ref="AI18:AI81" si="9">MIN(B18:AF18)</f>
        <v>0</v>
      </c>
      <c r="AK18" s="51"/>
      <c r="AL18" s="54" t="s">
        <v>29</v>
      </c>
      <c r="AM18" s="59">
        <f t="shared" ref="AM18:AR18" si="10">B76</f>
        <v>3.54</v>
      </c>
      <c r="AN18" s="59">
        <f t="shared" si="10"/>
        <v>3.54</v>
      </c>
      <c r="AO18" s="59">
        <f t="shared" si="10"/>
        <v>3.54</v>
      </c>
      <c r="AP18" s="59">
        <f t="shared" si="10"/>
        <v>3.54</v>
      </c>
      <c r="AQ18" s="59">
        <f t="shared" si="10"/>
        <v>3.54</v>
      </c>
      <c r="AR18" s="59">
        <f t="shared" si="10"/>
        <v>3.54</v>
      </c>
      <c r="AS18" s="59">
        <f>I76</f>
        <v>3.54</v>
      </c>
      <c r="AT18" s="59">
        <f>K76</f>
        <v>3.54</v>
      </c>
      <c r="AU18" s="59">
        <f t="shared" ref="AU18:BD18" si="11">M76</f>
        <v>3.54</v>
      </c>
      <c r="AV18" s="59">
        <f t="shared" si="11"/>
        <v>3.54</v>
      </c>
      <c r="AW18" s="59">
        <f t="shared" si="11"/>
        <v>3.54</v>
      </c>
      <c r="AX18" s="59">
        <f t="shared" si="11"/>
        <v>3.54</v>
      </c>
      <c r="AY18" s="59">
        <f t="shared" si="11"/>
        <v>3.54</v>
      </c>
      <c r="AZ18" s="59">
        <f t="shared" si="11"/>
        <v>3.54</v>
      </c>
      <c r="BA18" s="59">
        <f t="shared" si="11"/>
        <v>3.54</v>
      </c>
      <c r="BB18" s="59">
        <f t="shared" si="11"/>
        <v>3.54</v>
      </c>
      <c r="BC18" s="59">
        <f t="shared" si="11"/>
        <v>3.54</v>
      </c>
      <c r="BD18" s="59">
        <f t="shared" si="11"/>
        <v>3.54</v>
      </c>
      <c r="BE18" s="60">
        <f>X76</f>
        <v>3.54</v>
      </c>
      <c r="BF18" s="60">
        <f>Z76</f>
        <v>5.5</v>
      </c>
      <c r="BG18" s="60">
        <f>AB76</f>
        <v>3.54</v>
      </c>
      <c r="BH18" s="60">
        <f>AD76</f>
        <v>3.54</v>
      </c>
      <c r="BI18" s="60">
        <f>AE76</f>
        <v>3.54</v>
      </c>
      <c r="BJ18" s="60">
        <f>AF76</f>
        <v>3.54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50">
        <v>38.46</v>
      </c>
      <c r="AH19" s="48">
        <f t="shared" si="8"/>
        <v>0</v>
      </c>
      <c r="AI19" s="49">
        <f t="shared" si="9"/>
        <v>0</v>
      </c>
      <c r="AK19" s="51"/>
      <c r="AL19" s="54" t="s">
        <v>31</v>
      </c>
      <c r="AM19" s="59">
        <f t="shared" ref="AM19:AR19" si="12">B92</f>
        <v>0</v>
      </c>
      <c r="AN19" s="59">
        <f t="shared" si="12"/>
        <v>0</v>
      </c>
      <c r="AO19" s="59">
        <f t="shared" si="12"/>
        <v>0</v>
      </c>
      <c r="AP19" s="59">
        <f t="shared" si="12"/>
        <v>0</v>
      </c>
      <c r="AQ19" s="59">
        <f t="shared" si="12"/>
        <v>0</v>
      </c>
      <c r="AR19" s="59">
        <f t="shared" si="12"/>
        <v>0</v>
      </c>
      <c r="AS19" s="59">
        <f>I92</f>
        <v>0</v>
      </c>
      <c r="AT19" s="59">
        <f>K92</f>
        <v>0</v>
      </c>
      <c r="AU19" s="59">
        <f t="shared" ref="AU19:BD19" si="13">M92</f>
        <v>0</v>
      </c>
      <c r="AV19" s="59">
        <f t="shared" si="13"/>
        <v>0</v>
      </c>
      <c r="AW19" s="59">
        <f t="shared" si="13"/>
        <v>0</v>
      </c>
      <c r="AX19" s="59">
        <f t="shared" si="13"/>
        <v>0</v>
      </c>
      <c r="AY19" s="59">
        <f t="shared" si="13"/>
        <v>0</v>
      </c>
      <c r="AZ19" s="59">
        <f t="shared" si="13"/>
        <v>0</v>
      </c>
      <c r="BA19" s="59">
        <f t="shared" si="13"/>
        <v>0</v>
      </c>
      <c r="BB19" s="59">
        <f t="shared" si="13"/>
        <v>0</v>
      </c>
      <c r="BC19" s="59">
        <f t="shared" si="13"/>
        <v>0</v>
      </c>
      <c r="BD19" s="59">
        <f t="shared" si="13"/>
        <v>0</v>
      </c>
      <c r="BE19" s="60">
        <f>X92</f>
        <v>0</v>
      </c>
      <c r="BF19" s="60">
        <f>Z92</f>
        <v>0</v>
      </c>
      <c r="BG19" s="60">
        <f>AB92</f>
        <v>0</v>
      </c>
      <c r="BH19" s="60">
        <f>AD92</f>
        <v>0</v>
      </c>
      <c r="BI19" s="60">
        <f>AE92</f>
        <v>0</v>
      </c>
      <c r="BJ19" s="60">
        <f>AF92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50">
        <v>38.46</v>
      </c>
      <c r="AH20" s="48">
        <f t="shared" si="8"/>
        <v>0</v>
      </c>
      <c r="AI20" s="49">
        <f t="shared" si="9"/>
        <v>0</v>
      </c>
      <c r="AK20" s="51"/>
      <c r="AL20" s="54" t="s">
        <v>33</v>
      </c>
      <c r="AM20" s="59">
        <f t="shared" ref="AM20:AR20" si="14">B80</f>
        <v>0</v>
      </c>
      <c r="AN20" s="59">
        <f t="shared" si="14"/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D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60">
        <f>X80</f>
        <v>0</v>
      </c>
      <c r="BF20" s="60">
        <f>Z80</f>
        <v>0</v>
      </c>
      <c r="BG20" s="60">
        <f>AB80</f>
        <v>0</v>
      </c>
      <c r="BH20" s="60">
        <f>AD80</f>
        <v>0</v>
      </c>
      <c r="BI20" s="60">
        <f>AE80</f>
        <v>0</v>
      </c>
      <c r="BJ20" s="60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50">
        <v>36</v>
      </c>
      <c r="AH21" s="48">
        <f t="shared" si="8"/>
        <v>0</v>
      </c>
      <c r="AI21" s="49">
        <f t="shared" si="9"/>
        <v>0</v>
      </c>
      <c r="AK21" s="51"/>
      <c r="AL21" s="54" t="s">
        <v>35</v>
      </c>
      <c r="AM21" s="59">
        <f t="shared" ref="AM21:AR21" si="16">B98</f>
        <v>0</v>
      </c>
      <c r="AN21" s="59">
        <f t="shared" si="16"/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0</v>
      </c>
      <c r="BG21" s="60">
        <f>AB98</f>
        <v>0</v>
      </c>
      <c r="BH21" s="60">
        <f>AD98</f>
        <v>0</v>
      </c>
      <c r="BI21" s="60">
        <f>AE98</f>
        <v>0</v>
      </c>
      <c r="BJ21" s="60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61">
        <v>30</v>
      </c>
      <c r="AH22" s="48">
        <f t="shared" si="8"/>
        <v>0</v>
      </c>
      <c r="AI22" s="49">
        <f t="shared" si="9"/>
        <v>0</v>
      </c>
      <c r="AK22" s="51"/>
      <c r="AL22" s="62" t="s">
        <v>37</v>
      </c>
      <c r="AM22" s="63">
        <f t="shared" ref="AM22:BJ22" si="18">SUM(AM16:AM21)</f>
        <v>153.54</v>
      </c>
      <c r="AN22" s="63">
        <f t="shared" si="18"/>
        <v>153.54</v>
      </c>
      <c r="AO22" s="63">
        <f t="shared" si="18"/>
        <v>153.54</v>
      </c>
      <c r="AP22" s="63">
        <f t="shared" si="18"/>
        <v>153.54</v>
      </c>
      <c r="AQ22" s="63">
        <f t="shared" si="18"/>
        <v>153.54</v>
      </c>
      <c r="AR22" s="63">
        <f t="shared" si="18"/>
        <v>153.54</v>
      </c>
      <c r="AS22" s="63">
        <f t="shared" si="18"/>
        <v>153.54</v>
      </c>
      <c r="AT22" s="63">
        <f t="shared" si="18"/>
        <v>153.54</v>
      </c>
      <c r="AU22" s="63">
        <f t="shared" si="18"/>
        <v>153.54</v>
      </c>
      <c r="AV22" s="63">
        <f t="shared" si="18"/>
        <v>153.54</v>
      </c>
      <c r="AW22" s="63">
        <f t="shared" si="18"/>
        <v>153.54</v>
      </c>
      <c r="AX22" s="63">
        <f t="shared" si="18"/>
        <v>153.54</v>
      </c>
      <c r="AY22" s="63">
        <f t="shared" si="18"/>
        <v>153.54</v>
      </c>
      <c r="AZ22" s="63">
        <f t="shared" si="18"/>
        <v>153.54</v>
      </c>
      <c r="BA22" s="63">
        <f t="shared" si="18"/>
        <v>153.54</v>
      </c>
      <c r="BB22" s="63">
        <f t="shared" si="18"/>
        <v>153.54</v>
      </c>
      <c r="BC22" s="63">
        <f t="shared" si="18"/>
        <v>153.54</v>
      </c>
      <c r="BD22" s="63">
        <f t="shared" si="18"/>
        <v>153.54</v>
      </c>
      <c r="BE22" s="63">
        <f t="shared" si="18"/>
        <v>153.54</v>
      </c>
      <c r="BF22" s="63">
        <f t="shared" si="18"/>
        <v>155.5</v>
      </c>
      <c r="BG22" s="63">
        <f t="shared" si="18"/>
        <v>153.54</v>
      </c>
      <c r="BH22" s="63">
        <f t="shared" si="18"/>
        <v>153.54</v>
      </c>
      <c r="BI22" s="63">
        <f t="shared" si="18"/>
        <v>153.54</v>
      </c>
      <c r="BJ22" s="63">
        <f t="shared" si="18"/>
        <v>153.54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50">
        <v>24.2</v>
      </c>
      <c r="AH23" s="48">
        <f t="shared" si="8"/>
        <v>0</v>
      </c>
      <c r="AI23" s="49">
        <f t="shared" si="9"/>
        <v>0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50">
        <v>28</v>
      </c>
      <c r="AH24" s="48">
        <f t="shared" si="8"/>
        <v>0</v>
      </c>
      <c r="AI24" s="49">
        <f t="shared" si="9"/>
        <v>0</v>
      </c>
      <c r="AK24" s="51"/>
      <c r="AL24" s="62" t="s">
        <v>41</v>
      </c>
      <c r="AM24" s="63">
        <f t="shared" ref="AM24:BJ24" si="21">AM22+AM23</f>
        <v>153.54</v>
      </c>
      <c r="AN24" s="63">
        <f t="shared" si="21"/>
        <v>153.54</v>
      </c>
      <c r="AO24" s="63">
        <f t="shared" si="21"/>
        <v>153.54</v>
      </c>
      <c r="AP24" s="63">
        <f t="shared" si="21"/>
        <v>153.54</v>
      </c>
      <c r="AQ24" s="63">
        <f t="shared" si="21"/>
        <v>153.54</v>
      </c>
      <c r="AR24" s="63">
        <f t="shared" si="21"/>
        <v>153.54</v>
      </c>
      <c r="AS24" s="63">
        <f t="shared" si="21"/>
        <v>153.54</v>
      </c>
      <c r="AT24" s="63">
        <f t="shared" si="21"/>
        <v>153.54</v>
      </c>
      <c r="AU24" s="63">
        <f t="shared" si="21"/>
        <v>153.54</v>
      </c>
      <c r="AV24" s="63">
        <f t="shared" si="21"/>
        <v>153.54</v>
      </c>
      <c r="AW24" s="63">
        <f t="shared" si="21"/>
        <v>153.54</v>
      </c>
      <c r="AX24" s="63">
        <f t="shared" si="21"/>
        <v>153.54</v>
      </c>
      <c r="AY24" s="63">
        <f t="shared" si="21"/>
        <v>153.54</v>
      </c>
      <c r="AZ24" s="63">
        <f t="shared" si="21"/>
        <v>153.54</v>
      </c>
      <c r="BA24" s="63">
        <f t="shared" si="21"/>
        <v>153.54</v>
      </c>
      <c r="BB24" s="63">
        <f t="shared" si="21"/>
        <v>153.54</v>
      </c>
      <c r="BC24" s="63">
        <f t="shared" si="21"/>
        <v>153.54</v>
      </c>
      <c r="BD24" s="63">
        <f t="shared" si="21"/>
        <v>153.54</v>
      </c>
      <c r="BE24" s="63">
        <f t="shared" si="21"/>
        <v>153.54</v>
      </c>
      <c r="BF24" s="63">
        <f t="shared" si="21"/>
        <v>155.5</v>
      </c>
      <c r="BG24" s="63">
        <f t="shared" si="21"/>
        <v>153.54</v>
      </c>
      <c r="BH24" s="63">
        <f t="shared" si="21"/>
        <v>153.54</v>
      </c>
      <c r="BI24" s="63">
        <f t="shared" si="21"/>
        <v>153.54</v>
      </c>
      <c r="BJ24" s="63">
        <f t="shared" si="21"/>
        <v>153.54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61">
        <v>30</v>
      </c>
      <c r="AH25" s="48">
        <f t="shared" si="8"/>
        <v>0</v>
      </c>
      <c r="AI25" s="49">
        <f t="shared" si="9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50">
        <v>25</v>
      </c>
      <c r="AH26" s="48">
        <f t="shared" si="8"/>
        <v>0</v>
      </c>
      <c r="AI26" s="49">
        <f t="shared" si="9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50">
        <v>25</v>
      </c>
      <c r="AH27" s="48">
        <f t="shared" si="8"/>
        <v>0</v>
      </c>
      <c r="AI27" s="49">
        <f t="shared" si="9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50">
        <v>25</v>
      </c>
      <c r="AH28" s="48">
        <f t="shared" si="8"/>
        <v>0</v>
      </c>
      <c r="AI28" s="49">
        <f t="shared" si="9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50">
        <v>25</v>
      </c>
      <c r="AH29" s="48">
        <f t="shared" si="8"/>
        <v>0</v>
      </c>
      <c r="AI29" s="49">
        <f t="shared" si="9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50">
        <v>23.5</v>
      </c>
      <c r="AH30" s="48">
        <f t="shared" si="8"/>
        <v>0</v>
      </c>
      <c r="AI30" s="49">
        <f t="shared" si="9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>
        <v>22.2</v>
      </c>
      <c r="AH31" s="48">
        <f t="shared" si="8"/>
        <v>0</v>
      </c>
      <c r="AI31" s="49">
        <f t="shared" si="9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50">
        <v>22.1</v>
      </c>
      <c r="AH32" s="48">
        <f t="shared" si="8"/>
        <v>0</v>
      </c>
      <c r="AI32" s="49">
        <f t="shared" si="9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50">
        <v>22</v>
      </c>
      <c r="AH33" s="48">
        <f t="shared" si="8"/>
        <v>0</v>
      </c>
      <c r="AI33" s="49">
        <f t="shared" si="9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50">
        <v>22</v>
      </c>
      <c r="AH34" s="48">
        <f t="shared" si="8"/>
        <v>0</v>
      </c>
      <c r="AI34" s="49">
        <f t="shared" si="9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50">
        <v>20</v>
      </c>
      <c r="AH35" s="48">
        <f t="shared" si="8"/>
        <v>0</v>
      </c>
      <c r="AI35" s="49">
        <f t="shared" si="9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50">
        <v>20</v>
      </c>
      <c r="AH36" s="48">
        <f t="shared" si="8"/>
        <v>0</v>
      </c>
      <c r="AI36" s="49">
        <f t="shared" si="9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50">
        <v>18</v>
      </c>
      <c r="AH37" s="48">
        <f t="shared" si="8"/>
        <v>0</v>
      </c>
      <c r="AI37" s="49">
        <f t="shared" si="9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50">
        <v>14.9</v>
      </c>
      <c r="AH38" s="48">
        <f t="shared" si="8"/>
        <v>0</v>
      </c>
      <c r="AI38" s="49">
        <f t="shared" si="9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50">
        <v>14.9</v>
      </c>
      <c r="AH41" s="48">
        <f t="shared" si="8"/>
        <v>0</v>
      </c>
      <c r="AI41" s="49">
        <f t="shared" si="9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50">
        <v>13.6</v>
      </c>
      <c r="AH42" s="48">
        <f t="shared" si="8"/>
        <v>0</v>
      </c>
      <c r="AI42" s="49">
        <f t="shared" si="9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50">
        <v>13</v>
      </c>
      <c r="AH43" s="48">
        <f t="shared" si="8"/>
        <v>0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50">
        <v>12</v>
      </c>
      <c r="AH44" s="48">
        <f t="shared" si="8"/>
        <v>0</v>
      </c>
      <c r="AI44" s="49">
        <f t="shared" si="9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12</v>
      </c>
      <c r="AH45" s="48">
        <f t="shared" si="8"/>
        <v>0</v>
      </c>
      <c r="AI45" s="49">
        <f t="shared" si="9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50">
        <v>12</v>
      </c>
      <c r="AH46" s="48">
        <f t="shared" si="8"/>
        <v>0</v>
      </c>
      <c r="AI46" s="49">
        <f t="shared" si="9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64">
        <v>22</v>
      </c>
      <c r="AH47" s="48">
        <f t="shared" si="8"/>
        <v>0</v>
      </c>
      <c r="AI47" s="49">
        <f t="shared" si="9"/>
        <v>0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66">
        <v>11</v>
      </c>
      <c r="AH49" s="48">
        <f t="shared" si="8"/>
        <v>0</v>
      </c>
      <c r="AI49" s="49">
        <f t="shared" si="9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66">
        <v>11</v>
      </c>
      <c r="AH50" s="48">
        <f t="shared" si="8"/>
        <v>0</v>
      </c>
      <c r="AI50" s="49">
        <f t="shared" si="9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66">
        <v>11</v>
      </c>
      <c r="AH51" s="48">
        <f t="shared" si="8"/>
        <v>0</v>
      </c>
      <c r="AI51" s="49">
        <f t="shared" si="9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66">
        <v>10</v>
      </c>
      <c r="AH52" s="48">
        <f t="shared" si="8"/>
        <v>0</v>
      </c>
      <c r="AI52" s="49">
        <f t="shared" si="9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66">
        <v>10</v>
      </c>
      <c r="AH53" s="48">
        <f t="shared" si="8"/>
        <v>0</v>
      </c>
      <c r="AI53" s="49">
        <f t="shared" si="9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/>
      <c r="C57" s="68"/>
      <c r="D57" s="68"/>
      <c r="E57" s="68"/>
      <c r="F57" s="68"/>
      <c r="G57" s="68"/>
      <c r="H57" s="68"/>
      <c r="I57" s="68"/>
      <c r="J57" s="68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68"/>
      <c r="Z57" s="68"/>
      <c r="AA57" s="68"/>
      <c r="AB57" s="68"/>
      <c r="AC57" s="68"/>
      <c r="AD57" s="68"/>
      <c r="AE57" s="68"/>
      <c r="AF57" s="68"/>
      <c r="AG57" s="66">
        <v>240</v>
      </c>
      <c r="AH57" s="48">
        <f t="shared" si="8"/>
        <v>0</v>
      </c>
      <c r="AI57" s="49">
        <f t="shared" si="9"/>
        <v>0</v>
      </c>
      <c r="AK57" s="51"/>
    </row>
    <row r="58" spans="1:88" ht="15.75" thickBot="1" x14ac:dyDescent="0.3">
      <c r="A58" s="70" t="s">
        <v>75</v>
      </c>
      <c r="B58" s="71">
        <f t="shared" ref="B58:AF58" si="22">SUM(B11:B56)</f>
        <v>150</v>
      </c>
      <c r="C58" s="71">
        <f t="shared" si="22"/>
        <v>150</v>
      </c>
      <c r="D58" s="71">
        <f t="shared" si="22"/>
        <v>150</v>
      </c>
      <c r="E58" s="71">
        <f t="shared" si="22"/>
        <v>150</v>
      </c>
      <c r="F58" s="71">
        <f t="shared" si="22"/>
        <v>150</v>
      </c>
      <c r="G58" s="71">
        <f t="shared" si="22"/>
        <v>150</v>
      </c>
      <c r="H58" s="71">
        <f t="shared" si="22"/>
        <v>150</v>
      </c>
      <c r="I58" s="71">
        <f t="shared" si="22"/>
        <v>150</v>
      </c>
      <c r="J58" s="71">
        <f t="shared" si="22"/>
        <v>150</v>
      </c>
      <c r="K58" s="71">
        <f t="shared" si="22"/>
        <v>150</v>
      </c>
      <c r="L58" s="71">
        <f t="shared" si="22"/>
        <v>150</v>
      </c>
      <c r="M58" s="71">
        <f t="shared" si="22"/>
        <v>150</v>
      </c>
      <c r="N58" s="71">
        <f t="shared" si="22"/>
        <v>150</v>
      </c>
      <c r="O58" s="71">
        <f t="shared" si="22"/>
        <v>150</v>
      </c>
      <c r="P58" s="71">
        <f t="shared" si="22"/>
        <v>150</v>
      </c>
      <c r="Q58" s="71">
        <f t="shared" si="22"/>
        <v>150</v>
      </c>
      <c r="R58" s="71">
        <f t="shared" si="22"/>
        <v>150</v>
      </c>
      <c r="S58" s="71">
        <f t="shared" si="22"/>
        <v>150</v>
      </c>
      <c r="T58" s="71">
        <f t="shared" si="22"/>
        <v>150</v>
      </c>
      <c r="U58" s="71">
        <f t="shared" si="22"/>
        <v>150</v>
      </c>
      <c r="V58" s="71">
        <f t="shared" si="22"/>
        <v>150</v>
      </c>
      <c r="W58" s="71">
        <f t="shared" si="22"/>
        <v>150</v>
      </c>
      <c r="X58" s="71">
        <f t="shared" si="22"/>
        <v>150</v>
      </c>
      <c r="Y58" s="71">
        <f t="shared" si="22"/>
        <v>150</v>
      </c>
      <c r="Z58" s="71">
        <f t="shared" si="22"/>
        <v>150</v>
      </c>
      <c r="AA58" s="71">
        <f t="shared" si="22"/>
        <v>150</v>
      </c>
      <c r="AB58" s="71">
        <f t="shared" si="22"/>
        <v>150</v>
      </c>
      <c r="AC58" s="71">
        <f t="shared" si="22"/>
        <v>150</v>
      </c>
      <c r="AD58" s="71">
        <f t="shared" si="22"/>
        <v>150</v>
      </c>
      <c r="AE58" s="71">
        <f t="shared" si="22"/>
        <v>150</v>
      </c>
      <c r="AF58" s="71">
        <f t="shared" si="22"/>
        <v>150</v>
      </c>
      <c r="AG58" s="72">
        <f>SUM(AG14:AG56)</f>
        <v>1042.4000000000001</v>
      </c>
      <c r="AH58" s="48">
        <f t="shared" si="8"/>
        <v>150</v>
      </c>
      <c r="AI58" s="49">
        <f t="shared" si="9"/>
        <v>150</v>
      </c>
      <c r="AK58" s="51"/>
    </row>
    <row r="59" spans="1:88" x14ac:dyDescent="0.25">
      <c r="A59" s="73" t="s">
        <v>76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74"/>
      <c r="O59" s="74"/>
      <c r="P59" s="74"/>
      <c r="Q59" s="74"/>
      <c r="R59" s="74"/>
      <c r="S59" s="74"/>
      <c r="T59" s="74"/>
      <c r="U59" s="74"/>
      <c r="V59" s="74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61">
        <v>456</v>
      </c>
      <c r="AH59" s="48">
        <f t="shared" si="8"/>
        <v>0</v>
      </c>
      <c r="AI59" s="49">
        <f t="shared" si="9"/>
        <v>0</v>
      </c>
      <c r="AK59" s="51"/>
    </row>
    <row r="60" spans="1:88" x14ac:dyDescent="0.25">
      <c r="A60" s="75" t="s">
        <v>77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66">
        <v>60</v>
      </c>
      <c r="AH60" s="48">
        <f t="shared" si="8"/>
        <v>0</v>
      </c>
      <c r="AI60" s="49">
        <f t="shared" si="9"/>
        <v>0</v>
      </c>
      <c r="AK60" s="51"/>
    </row>
    <row r="61" spans="1:88" ht="15.75" thickBot="1" x14ac:dyDescent="0.3">
      <c r="A61" s="77" t="s">
        <v>78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9">
        <v>22.1</v>
      </c>
      <c r="AH61" s="48">
        <f t="shared" si="8"/>
        <v>0</v>
      </c>
      <c r="AI61" s="49">
        <f t="shared" si="9"/>
        <v>0</v>
      </c>
      <c r="AK61" s="51"/>
    </row>
    <row r="62" spans="1:88" ht="15.75" thickBot="1" x14ac:dyDescent="0.3">
      <c r="A62" s="80" t="s">
        <v>79</v>
      </c>
      <c r="B62" s="71">
        <f t="shared" ref="B62:AG62" si="23">SUM(B59:B61)</f>
        <v>0</v>
      </c>
      <c r="C62" s="71">
        <f t="shared" si="23"/>
        <v>0</v>
      </c>
      <c r="D62" s="71">
        <f t="shared" si="23"/>
        <v>0</v>
      </c>
      <c r="E62" s="71">
        <f t="shared" si="23"/>
        <v>0</v>
      </c>
      <c r="F62" s="71">
        <f t="shared" si="23"/>
        <v>0</v>
      </c>
      <c r="G62" s="71">
        <f t="shared" si="23"/>
        <v>0</v>
      </c>
      <c r="H62" s="71">
        <f t="shared" si="23"/>
        <v>0</v>
      </c>
      <c r="I62" s="71">
        <f t="shared" si="23"/>
        <v>0</v>
      </c>
      <c r="J62" s="71">
        <f t="shared" si="23"/>
        <v>0</v>
      </c>
      <c r="K62" s="71">
        <f t="shared" si="23"/>
        <v>0</v>
      </c>
      <c r="L62" s="71">
        <f t="shared" si="23"/>
        <v>0</v>
      </c>
      <c r="M62" s="71">
        <f t="shared" si="23"/>
        <v>0</v>
      </c>
      <c r="N62" s="71">
        <f t="shared" si="23"/>
        <v>0</v>
      </c>
      <c r="O62" s="71">
        <f t="shared" si="23"/>
        <v>0</v>
      </c>
      <c r="P62" s="71">
        <f t="shared" si="23"/>
        <v>0</v>
      </c>
      <c r="Q62" s="71">
        <f t="shared" si="23"/>
        <v>0</v>
      </c>
      <c r="R62" s="71">
        <f t="shared" si="23"/>
        <v>0</v>
      </c>
      <c r="S62" s="71">
        <f t="shared" si="23"/>
        <v>0</v>
      </c>
      <c r="T62" s="71">
        <f t="shared" si="23"/>
        <v>0</v>
      </c>
      <c r="U62" s="71">
        <f t="shared" si="23"/>
        <v>0</v>
      </c>
      <c r="V62" s="71">
        <f t="shared" si="23"/>
        <v>0</v>
      </c>
      <c r="W62" s="71">
        <f t="shared" si="23"/>
        <v>0</v>
      </c>
      <c r="X62" s="71">
        <f t="shared" si="23"/>
        <v>0</v>
      </c>
      <c r="Y62" s="71">
        <f t="shared" si="23"/>
        <v>0</v>
      </c>
      <c r="Z62" s="71">
        <f t="shared" si="23"/>
        <v>0</v>
      </c>
      <c r="AA62" s="71">
        <f t="shared" si="23"/>
        <v>0</v>
      </c>
      <c r="AB62" s="71">
        <f t="shared" si="23"/>
        <v>0</v>
      </c>
      <c r="AC62" s="71">
        <f t="shared" si="23"/>
        <v>0</v>
      </c>
      <c r="AD62" s="71">
        <f t="shared" si="23"/>
        <v>0</v>
      </c>
      <c r="AE62" s="71">
        <f t="shared" si="23"/>
        <v>0</v>
      </c>
      <c r="AF62" s="71">
        <f t="shared" si="23"/>
        <v>0</v>
      </c>
      <c r="AG62" s="72">
        <f t="shared" si="23"/>
        <v>538.1</v>
      </c>
      <c r="AH62" s="48">
        <f t="shared" si="8"/>
        <v>0</v>
      </c>
      <c r="AI62" s="49">
        <f t="shared" si="9"/>
        <v>0</v>
      </c>
      <c r="AK62" s="51"/>
    </row>
    <row r="63" spans="1:88" x14ac:dyDescent="0.25">
      <c r="A63" s="45" t="s">
        <v>80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61">
        <v>144</v>
      </c>
      <c r="AH63" s="48">
        <f t="shared" si="8"/>
        <v>0</v>
      </c>
      <c r="AI63" s="49">
        <f t="shared" si="9"/>
        <v>0</v>
      </c>
      <c r="AK63" s="51"/>
    </row>
    <row r="64" spans="1:88" x14ac:dyDescent="0.25">
      <c r="A64" s="65" t="s">
        <v>81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66">
        <v>70</v>
      </c>
      <c r="AH64" s="48">
        <f t="shared" si="8"/>
        <v>0</v>
      </c>
      <c r="AI64" s="49">
        <f t="shared" si="9"/>
        <v>0</v>
      </c>
      <c r="AK64" s="51"/>
    </row>
    <row r="65" spans="1:75" x14ac:dyDescent="0.25">
      <c r="A65" s="65" t="s">
        <v>82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66">
        <v>69</v>
      </c>
      <c r="AH65" s="48">
        <f t="shared" si="8"/>
        <v>0</v>
      </c>
      <c r="AI65" s="49">
        <f t="shared" si="9"/>
        <v>0</v>
      </c>
      <c r="AK65" s="51"/>
    </row>
    <row r="66" spans="1:75" x14ac:dyDescent="0.25">
      <c r="A66" s="65" t="s">
        <v>83</v>
      </c>
      <c r="B66" s="76"/>
      <c r="C66" s="76"/>
      <c r="D66" s="76"/>
      <c r="E66" s="76"/>
      <c r="F66" s="76"/>
      <c r="G66" s="76"/>
      <c r="H66" s="76"/>
      <c r="I66" s="76"/>
      <c r="J66" s="76"/>
      <c r="K66" s="68"/>
      <c r="L66" s="68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66">
        <v>60</v>
      </c>
      <c r="AH66" s="48">
        <f t="shared" si="8"/>
        <v>0</v>
      </c>
      <c r="AI66" s="49">
        <f t="shared" si="9"/>
        <v>0</v>
      </c>
      <c r="AK66" s="51"/>
    </row>
    <row r="67" spans="1:75" x14ac:dyDescent="0.25">
      <c r="A67" s="65" t="s">
        <v>84</v>
      </c>
      <c r="B67" s="46"/>
      <c r="C67" s="46"/>
      <c r="D67" s="46"/>
      <c r="E67" s="76"/>
      <c r="F67" s="76"/>
      <c r="G67" s="76"/>
      <c r="H67" s="76"/>
      <c r="I67" s="76"/>
      <c r="J67" s="76"/>
      <c r="K67" s="76"/>
      <c r="L67" s="68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66">
        <v>30</v>
      </c>
      <c r="AH67" s="48">
        <f t="shared" si="8"/>
        <v>0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66">
        <v>25</v>
      </c>
      <c r="AH68" s="48">
        <f t="shared" si="8"/>
        <v>0</v>
      </c>
      <c r="AI68" s="49">
        <f t="shared" si="9"/>
        <v>0</v>
      </c>
      <c r="AK68" s="51"/>
      <c r="AY68" s="1" t="s">
        <v>86</v>
      </c>
      <c r="AZ68" s="82">
        <f>ROUND(C81,0)</f>
        <v>0</v>
      </c>
      <c r="BA68" s="81">
        <f t="shared" ref="BA68:BD72" si="24">D81</f>
        <v>0</v>
      </c>
      <c r="BB68" s="81">
        <f t="shared" si="24"/>
        <v>0</v>
      </c>
      <c r="BC68" s="81">
        <f t="shared" si="24"/>
        <v>0</v>
      </c>
      <c r="BD68" s="81">
        <f t="shared" si="24"/>
        <v>0</v>
      </c>
      <c r="BE68" s="82">
        <f>I81</f>
        <v>0</v>
      </c>
      <c r="BF68" s="82">
        <f>K81</f>
        <v>0</v>
      </c>
      <c r="BG68" s="82">
        <f t="shared" ref="BG68:BP72" si="25">M81</f>
        <v>0</v>
      </c>
      <c r="BH68" s="82">
        <f t="shared" si="25"/>
        <v>0</v>
      </c>
      <c r="BI68" s="82">
        <f t="shared" si="25"/>
        <v>0</v>
      </c>
      <c r="BJ68" s="82">
        <f t="shared" si="25"/>
        <v>0</v>
      </c>
      <c r="BK68" s="82">
        <f t="shared" si="25"/>
        <v>0</v>
      </c>
      <c r="BL68" s="82">
        <f t="shared" si="25"/>
        <v>0</v>
      </c>
      <c r="BM68" s="82">
        <f t="shared" si="25"/>
        <v>0</v>
      </c>
      <c r="BN68" s="82">
        <f t="shared" si="25"/>
        <v>0</v>
      </c>
      <c r="BO68" s="82">
        <f t="shared" si="25"/>
        <v>0</v>
      </c>
      <c r="BP68" s="82">
        <f t="shared" si="25"/>
        <v>0</v>
      </c>
      <c r="BQ68" s="82">
        <f>X81</f>
        <v>0</v>
      </c>
      <c r="BR68" s="82">
        <f>Z81</f>
        <v>0</v>
      </c>
      <c r="BS68" s="81">
        <f>AB81</f>
        <v>0</v>
      </c>
      <c r="BT68" s="81">
        <f t="shared" ref="BT68:BV72" si="26">AD81</f>
        <v>0</v>
      </c>
      <c r="BU68" s="81">
        <f t="shared" si="26"/>
        <v>0</v>
      </c>
      <c r="BV68" s="81">
        <f t="shared" si="26"/>
        <v>0</v>
      </c>
      <c r="BW68" s="81">
        <f>B81</f>
        <v>0</v>
      </c>
    </row>
    <row r="69" spans="1:75" x14ac:dyDescent="0.25">
      <c r="A69" s="65" t="s">
        <v>87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66">
        <v>24</v>
      </c>
      <c r="AH69" s="48">
        <f t="shared" si="8"/>
        <v>0</v>
      </c>
      <c r="AI69" s="49">
        <f t="shared" si="9"/>
        <v>0</v>
      </c>
      <c r="AK69" s="51"/>
      <c r="AY69" s="1" t="s">
        <v>88</v>
      </c>
      <c r="AZ69" s="82">
        <f>ROUND(C82,0)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I82</f>
        <v>0</v>
      </c>
      <c r="BF69" s="82">
        <f>K82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B82</f>
        <v>0</v>
      </c>
    </row>
    <row r="70" spans="1:75" x14ac:dyDescent="0.25">
      <c r="A70" s="65" t="s">
        <v>89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I83</f>
        <v>0</v>
      </c>
      <c r="BF70" s="82">
        <f>K83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X83</f>
        <v>0</v>
      </c>
      <c r="BR70" s="82">
        <f>Z83</f>
        <v>0</v>
      </c>
      <c r="BS70" s="81">
        <f>AB83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B83</f>
        <v>0</v>
      </c>
    </row>
    <row r="71" spans="1:75" s="83" customFormat="1" x14ac:dyDescent="0.25">
      <c r="A71" s="65" t="s">
        <v>91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66">
        <v>14.1</v>
      </c>
      <c r="AH71" s="48">
        <f t="shared" si="8"/>
        <v>0</v>
      </c>
      <c r="AI71" s="49">
        <f t="shared" si="9"/>
        <v>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4"/>
        <v>0</v>
      </c>
      <c r="BB71" s="81">
        <f t="shared" si="24"/>
        <v>0</v>
      </c>
      <c r="BC71" s="81">
        <f t="shared" si="24"/>
        <v>0</v>
      </c>
      <c r="BD71" s="81">
        <f t="shared" si="24"/>
        <v>0</v>
      </c>
      <c r="BE71" s="82">
        <f>I84</f>
        <v>0</v>
      </c>
      <c r="BF71" s="82">
        <f>K84</f>
        <v>0</v>
      </c>
      <c r="BG71" s="82">
        <f t="shared" si="25"/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X84</f>
        <v>0</v>
      </c>
      <c r="BR71" s="82">
        <f>Z84</f>
        <v>0</v>
      </c>
      <c r="BS71" s="81">
        <f>AB84</f>
        <v>0</v>
      </c>
      <c r="BT71" s="81">
        <f t="shared" si="26"/>
        <v>0</v>
      </c>
      <c r="BU71" s="81">
        <f t="shared" si="26"/>
        <v>0</v>
      </c>
      <c r="BV71" s="81">
        <f t="shared" si="26"/>
        <v>0</v>
      </c>
      <c r="BW71" s="81">
        <f>B84</f>
        <v>0</v>
      </c>
    </row>
    <row r="72" spans="1:75" x14ac:dyDescent="0.25">
      <c r="A72" s="84" t="s">
        <v>93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66">
        <v>14</v>
      </c>
      <c r="AH72" s="48">
        <f t="shared" si="8"/>
        <v>0</v>
      </c>
      <c r="AI72" s="49">
        <f t="shared" si="9"/>
        <v>0</v>
      </c>
      <c r="AK72" s="51"/>
      <c r="AY72" s="1" t="s">
        <v>94</v>
      </c>
      <c r="AZ72" s="82">
        <f>ROUND(C85,0)</f>
        <v>0</v>
      </c>
      <c r="BA72" s="81">
        <f t="shared" si="24"/>
        <v>0</v>
      </c>
      <c r="BB72" s="81">
        <f t="shared" si="24"/>
        <v>0</v>
      </c>
      <c r="BC72" s="81">
        <f t="shared" si="24"/>
        <v>0</v>
      </c>
      <c r="BD72" s="81">
        <f t="shared" si="24"/>
        <v>0</v>
      </c>
      <c r="BE72" s="82">
        <f>I85</f>
        <v>0</v>
      </c>
      <c r="BF72" s="82">
        <f>K85</f>
        <v>0</v>
      </c>
      <c r="BG72" s="82">
        <f t="shared" si="25"/>
        <v>0</v>
      </c>
      <c r="BH72" s="82">
        <f t="shared" si="25"/>
        <v>0</v>
      </c>
      <c r="BI72" s="82">
        <f t="shared" si="25"/>
        <v>0</v>
      </c>
      <c r="BJ72" s="82">
        <f t="shared" si="25"/>
        <v>0</v>
      </c>
      <c r="BK72" s="82">
        <f t="shared" si="25"/>
        <v>0</v>
      </c>
      <c r="BL72" s="82">
        <f t="shared" si="25"/>
        <v>0</v>
      </c>
      <c r="BM72" s="82">
        <f t="shared" si="25"/>
        <v>0</v>
      </c>
      <c r="BN72" s="82">
        <f t="shared" si="25"/>
        <v>0</v>
      </c>
      <c r="BO72" s="82">
        <f t="shared" si="25"/>
        <v>0</v>
      </c>
      <c r="BP72" s="82">
        <f t="shared" si="25"/>
        <v>0</v>
      </c>
      <c r="BQ72" s="82">
        <f>X85</f>
        <v>0</v>
      </c>
      <c r="BR72" s="82">
        <f>Z85</f>
        <v>0</v>
      </c>
      <c r="BS72" s="81">
        <f>AB85</f>
        <v>0</v>
      </c>
      <c r="BT72" s="81">
        <f t="shared" si="26"/>
        <v>0</v>
      </c>
      <c r="BU72" s="81">
        <f t="shared" si="26"/>
        <v>0</v>
      </c>
      <c r="BV72" s="81">
        <f t="shared" si="26"/>
        <v>0</v>
      </c>
      <c r="BW72" s="81">
        <f>B85</f>
        <v>0</v>
      </c>
    </row>
    <row r="73" spans="1:75" x14ac:dyDescent="0.25">
      <c r="A73" s="65" t="s">
        <v>95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66">
        <v>10.050000000000001</v>
      </c>
      <c r="AH73" s="48">
        <f t="shared" si="8"/>
        <v>0</v>
      </c>
      <c r="AI73" s="49">
        <f t="shared" si="9"/>
        <v>0</v>
      </c>
      <c r="AK73" s="51"/>
      <c r="AY73" s="1" t="s">
        <v>96</v>
      </c>
      <c r="AZ73" s="82">
        <f>ROUND(C91,0)</f>
        <v>0</v>
      </c>
      <c r="BA73" s="82">
        <f>D91</f>
        <v>0</v>
      </c>
      <c r="BB73" s="82">
        <f>E91</f>
        <v>0</v>
      </c>
      <c r="BC73" s="82">
        <f>F91</f>
        <v>0</v>
      </c>
      <c r="BD73" s="82">
        <f>G91</f>
        <v>0</v>
      </c>
      <c r="BE73" s="82">
        <f>I91</f>
        <v>0</v>
      </c>
      <c r="BF73" s="82">
        <f>K91</f>
        <v>0</v>
      </c>
      <c r="BG73" s="82">
        <f t="shared" ref="BG73:BP73" si="27">M91</f>
        <v>0</v>
      </c>
      <c r="BH73" s="82">
        <f t="shared" si="27"/>
        <v>0</v>
      </c>
      <c r="BI73" s="82">
        <f t="shared" si="27"/>
        <v>0</v>
      </c>
      <c r="BJ73" s="82">
        <f t="shared" si="27"/>
        <v>0</v>
      </c>
      <c r="BK73" s="82">
        <f t="shared" si="27"/>
        <v>0</v>
      </c>
      <c r="BL73" s="82">
        <f t="shared" si="27"/>
        <v>0</v>
      </c>
      <c r="BM73" s="82">
        <f t="shared" si="27"/>
        <v>0</v>
      </c>
      <c r="BN73" s="82">
        <f t="shared" si="27"/>
        <v>0</v>
      </c>
      <c r="BO73" s="82">
        <f t="shared" si="27"/>
        <v>0</v>
      </c>
      <c r="BP73" s="82">
        <f t="shared" si="27"/>
        <v>0</v>
      </c>
      <c r="BQ73" s="82">
        <f>X91</f>
        <v>0</v>
      </c>
      <c r="BR73" s="82">
        <f>Z91</f>
        <v>0</v>
      </c>
      <c r="BS73" s="82">
        <f>AB91</f>
        <v>0</v>
      </c>
      <c r="BT73" s="82">
        <f>AD91</f>
        <v>0</v>
      </c>
      <c r="BU73" s="82">
        <f>AE91</f>
        <v>0</v>
      </c>
      <c r="BV73" s="82">
        <f>AF91</f>
        <v>0</v>
      </c>
      <c r="BW73" s="82">
        <f>B91</f>
        <v>0</v>
      </c>
    </row>
    <row r="74" spans="1:75" x14ac:dyDescent="0.25">
      <c r="A74" s="65" t="s">
        <v>97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66">
        <v>6.2</v>
      </c>
      <c r="AH74" s="48">
        <f t="shared" si="8"/>
        <v>0</v>
      </c>
      <c r="AI74" s="49">
        <f t="shared" si="9"/>
        <v>0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8">VALUE(AZ68)</f>
        <v>0</v>
      </c>
      <c r="BA75" s="82">
        <f t="shared" si="28"/>
        <v>0</v>
      </c>
      <c r="BB75" s="82">
        <f t="shared" si="28"/>
        <v>0</v>
      </c>
      <c r="BC75" s="82">
        <f t="shared" si="28"/>
        <v>0</v>
      </c>
      <c r="BD75" s="82">
        <f t="shared" si="28"/>
        <v>0</v>
      </c>
      <c r="BE75" s="82">
        <f t="shared" si="28"/>
        <v>0</v>
      </c>
      <c r="BF75" s="82">
        <f t="shared" si="28"/>
        <v>0</v>
      </c>
      <c r="BG75" s="82">
        <f t="shared" si="28"/>
        <v>0</v>
      </c>
      <c r="BH75" s="82">
        <f t="shared" si="28"/>
        <v>0</v>
      </c>
      <c r="BI75" s="82">
        <f t="shared" si="28"/>
        <v>0</v>
      </c>
      <c r="BJ75" s="82">
        <f t="shared" si="28"/>
        <v>0</v>
      </c>
      <c r="BK75" s="82">
        <f t="shared" si="28"/>
        <v>0</v>
      </c>
      <c r="BL75" s="82">
        <f t="shared" si="28"/>
        <v>0</v>
      </c>
      <c r="BM75" s="82">
        <f t="shared" si="28"/>
        <v>0</v>
      </c>
      <c r="BN75" s="82">
        <f t="shared" si="28"/>
        <v>0</v>
      </c>
      <c r="BO75" s="82">
        <f t="shared" si="28"/>
        <v>0</v>
      </c>
      <c r="BP75" s="82">
        <f t="shared" si="28"/>
        <v>0</v>
      </c>
      <c r="BQ75" s="82">
        <f t="shared" si="28"/>
        <v>0</v>
      </c>
      <c r="BR75" s="82">
        <f t="shared" si="28"/>
        <v>0</v>
      </c>
      <c r="BS75" s="82">
        <f t="shared" si="28"/>
        <v>0</v>
      </c>
      <c r="BT75" s="82">
        <f t="shared" si="28"/>
        <v>0</v>
      </c>
      <c r="BU75" s="82">
        <f t="shared" si="28"/>
        <v>0</v>
      </c>
      <c r="BV75" s="82">
        <f t="shared" si="28"/>
        <v>0</v>
      </c>
      <c r="BW75" s="82">
        <f t="shared" si="28"/>
        <v>0</v>
      </c>
    </row>
    <row r="76" spans="1:75" ht="15.75" thickBot="1" x14ac:dyDescent="0.3">
      <c r="A76" s="87" t="s">
        <v>99</v>
      </c>
      <c r="B76" s="71">
        <f t="shared" ref="B76:AG76" si="29">SUM(B63:B75)</f>
        <v>3.54</v>
      </c>
      <c r="C76" s="71">
        <f t="shared" si="29"/>
        <v>3.54</v>
      </c>
      <c r="D76" s="71">
        <f t="shared" si="29"/>
        <v>3.54</v>
      </c>
      <c r="E76" s="71">
        <f t="shared" si="29"/>
        <v>3.54</v>
      </c>
      <c r="F76" s="71">
        <f t="shared" si="29"/>
        <v>3.54</v>
      </c>
      <c r="G76" s="71">
        <f t="shared" si="29"/>
        <v>3.54</v>
      </c>
      <c r="H76" s="71">
        <f t="shared" si="29"/>
        <v>3.54</v>
      </c>
      <c r="I76" s="71">
        <f t="shared" si="29"/>
        <v>3.54</v>
      </c>
      <c r="J76" s="71">
        <f t="shared" si="29"/>
        <v>3.54</v>
      </c>
      <c r="K76" s="71">
        <f t="shared" si="29"/>
        <v>3.54</v>
      </c>
      <c r="L76" s="71">
        <f t="shared" si="29"/>
        <v>3.54</v>
      </c>
      <c r="M76" s="71">
        <f t="shared" si="29"/>
        <v>3.54</v>
      </c>
      <c r="N76" s="71">
        <f t="shared" si="29"/>
        <v>3.54</v>
      </c>
      <c r="O76" s="71">
        <f t="shared" si="29"/>
        <v>3.54</v>
      </c>
      <c r="P76" s="71">
        <f t="shared" si="29"/>
        <v>3.54</v>
      </c>
      <c r="Q76" s="71">
        <f t="shared" si="29"/>
        <v>3.54</v>
      </c>
      <c r="R76" s="71">
        <f t="shared" si="29"/>
        <v>3.54</v>
      </c>
      <c r="S76" s="71">
        <f t="shared" si="29"/>
        <v>3.54</v>
      </c>
      <c r="T76" s="71">
        <f t="shared" si="29"/>
        <v>3.54</v>
      </c>
      <c r="U76" s="71">
        <f t="shared" si="29"/>
        <v>3.54</v>
      </c>
      <c r="V76" s="71">
        <f t="shared" si="29"/>
        <v>3.54</v>
      </c>
      <c r="W76" s="71">
        <f t="shared" si="29"/>
        <v>3.54</v>
      </c>
      <c r="X76" s="71">
        <f t="shared" si="29"/>
        <v>3.54</v>
      </c>
      <c r="Y76" s="71">
        <f t="shared" si="29"/>
        <v>3.5</v>
      </c>
      <c r="Z76" s="71">
        <f t="shared" si="29"/>
        <v>5.5</v>
      </c>
      <c r="AA76" s="71">
        <f t="shared" si="29"/>
        <v>3.54</v>
      </c>
      <c r="AB76" s="71">
        <f t="shared" si="29"/>
        <v>3.54</v>
      </c>
      <c r="AC76" s="71">
        <f t="shared" si="29"/>
        <v>3.54</v>
      </c>
      <c r="AD76" s="71">
        <f t="shared" si="29"/>
        <v>3.54</v>
      </c>
      <c r="AE76" s="71">
        <f t="shared" si="29"/>
        <v>3.54</v>
      </c>
      <c r="AF76" s="71">
        <f t="shared" si="29"/>
        <v>3.54</v>
      </c>
      <c r="AG76" s="72">
        <f t="shared" si="29"/>
        <v>489.91</v>
      </c>
      <c r="AH76" s="48">
        <f t="shared" si="8"/>
        <v>5.5</v>
      </c>
      <c r="AI76" s="49">
        <f t="shared" si="9"/>
        <v>3.5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1">
        <v>60</v>
      </c>
      <c r="AH77" s="48">
        <f t="shared" si="8"/>
        <v>0</v>
      </c>
      <c r="AI77" s="49">
        <f t="shared" si="9"/>
        <v>0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x14ac:dyDescent="0.25">
      <c r="A78" s="65" t="s">
        <v>101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66">
        <v>32</v>
      </c>
      <c r="AH78" s="48">
        <f t="shared" si="8"/>
        <v>0</v>
      </c>
      <c r="AI78" s="49">
        <f t="shared" si="9"/>
        <v>0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4" t="s">
        <v>102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9">
        <v>14</v>
      </c>
      <c r="AH79" s="48">
        <f t="shared" si="8"/>
        <v>0</v>
      </c>
      <c r="AI79" s="49">
        <f t="shared" si="9"/>
        <v>0</v>
      </c>
      <c r="AK79" s="51"/>
      <c r="AZ79" s="82">
        <f t="shared" si="28"/>
        <v>0</v>
      </c>
      <c r="BA79" s="82">
        <f t="shared" si="28"/>
        <v>0</v>
      </c>
      <c r="BB79" s="82">
        <f t="shared" si="28"/>
        <v>0</v>
      </c>
      <c r="BC79" s="82">
        <f t="shared" si="28"/>
        <v>0</v>
      </c>
      <c r="BD79" s="82">
        <f t="shared" si="28"/>
        <v>0</v>
      </c>
      <c r="BE79" s="82">
        <f t="shared" si="28"/>
        <v>0</v>
      </c>
      <c r="BF79" s="82">
        <f t="shared" si="28"/>
        <v>0</v>
      </c>
      <c r="BG79" s="82">
        <f t="shared" si="28"/>
        <v>0</v>
      </c>
      <c r="BH79" s="82">
        <f t="shared" si="28"/>
        <v>0</v>
      </c>
      <c r="BI79" s="82">
        <f t="shared" si="28"/>
        <v>0</v>
      </c>
      <c r="BJ79" s="82">
        <f t="shared" si="28"/>
        <v>0</v>
      </c>
      <c r="BK79" s="82">
        <f t="shared" si="28"/>
        <v>0</v>
      </c>
      <c r="BL79" s="82">
        <f t="shared" si="28"/>
        <v>0</v>
      </c>
      <c r="BM79" s="82">
        <f t="shared" si="28"/>
        <v>0</v>
      </c>
      <c r="BN79" s="82">
        <f t="shared" si="28"/>
        <v>0</v>
      </c>
      <c r="BO79" s="82">
        <f t="shared" si="28"/>
        <v>0</v>
      </c>
      <c r="BP79" s="82">
        <f t="shared" si="28"/>
        <v>0</v>
      </c>
      <c r="BQ79" s="82">
        <f t="shared" si="28"/>
        <v>0</v>
      </c>
      <c r="BR79" s="82">
        <f t="shared" si="28"/>
        <v>0</v>
      </c>
      <c r="BS79" s="82">
        <f t="shared" si="28"/>
        <v>0</v>
      </c>
      <c r="BT79" s="82">
        <f t="shared" si="28"/>
        <v>0</v>
      </c>
      <c r="BU79" s="82">
        <f t="shared" si="28"/>
        <v>0</v>
      </c>
      <c r="BV79" s="82">
        <f t="shared" si="28"/>
        <v>0</v>
      </c>
      <c r="BW79" s="82">
        <f t="shared" si="28"/>
        <v>0</v>
      </c>
    </row>
    <row r="80" spans="1:75" ht="15.75" thickBot="1" x14ac:dyDescent="0.3">
      <c r="A80" s="87" t="s">
        <v>103</v>
      </c>
      <c r="B80" s="71">
        <f t="shared" ref="B80:AF80" si="30">B77+B78+B79</f>
        <v>0</v>
      </c>
      <c r="C80" s="71">
        <f t="shared" si="30"/>
        <v>0</v>
      </c>
      <c r="D80" s="71">
        <f t="shared" si="30"/>
        <v>0</v>
      </c>
      <c r="E80" s="71">
        <f t="shared" si="30"/>
        <v>0</v>
      </c>
      <c r="F80" s="71">
        <f t="shared" si="30"/>
        <v>0</v>
      </c>
      <c r="G80" s="71">
        <f t="shared" si="30"/>
        <v>0</v>
      </c>
      <c r="H80" s="71">
        <f t="shared" si="30"/>
        <v>0</v>
      </c>
      <c r="I80" s="71">
        <f t="shared" si="30"/>
        <v>0</v>
      </c>
      <c r="J80" s="71">
        <f t="shared" si="30"/>
        <v>0</v>
      </c>
      <c r="K80" s="71">
        <f t="shared" si="30"/>
        <v>0</v>
      </c>
      <c r="L80" s="71">
        <f t="shared" si="30"/>
        <v>0</v>
      </c>
      <c r="M80" s="71">
        <f t="shared" si="30"/>
        <v>0</v>
      </c>
      <c r="N80" s="71">
        <f t="shared" si="30"/>
        <v>0</v>
      </c>
      <c r="O80" s="71">
        <f t="shared" si="30"/>
        <v>0</v>
      </c>
      <c r="P80" s="71">
        <f t="shared" si="30"/>
        <v>0</v>
      </c>
      <c r="Q80" s="71">
        <f t="shared" si="30"/>
        <v>0</v>
      </c>
      <c r="R80" s="71">
        <f t="shared" si="30"/>
        <v>0</v>
      </c>
      <c r="S80" s="71">
        <f t="shared" si="30"/>
        <v>0</v>
      </c>
      <c r="T80" s="71">
        <f t="shared" si="30"/>
        <v>0</v>
      </c>
      <c r="U80" s="71">
        <f t="shared" si="30"/>
        <v>0</v>
      </c>
      <c r="V80" s="71">
        <f t="shared" si="30"/>
        <v>0</v>
      </c>
      <c r="W80" s="71">
        <f t="shared" si="30"/>
        <v>0</v>
      </c>
      <c r="X80" s="71">
        <f t="shared" si="30"/>
        <v>0</v>
      </c>
      <c r="Y80" s="71">
        <f t="shared" si="30"/>
        <v>0</v>
      </c>
      <c r="Z80" s="71">
        <f t="shared" si="30"/>
        <v>0</v>
      </c>
      <c r="AA80" s="71">
        <f t="shared" si="30"/>
        <v>0</v>
      </c>
      <c r="AB80" s="71">
        <f t="shared" si="30"/>
        <v>0</v>
      </c>
      <c r="AC80" s="71">
        <f t="shared" si="30"/>
        <v>0</v>
      </c>
      <c r="AD80" s="71">
        <f t="shared" si="30"/>
        <v>0</v>
      </c>
      <c r="AE80" s="71">
        <f t="shared" si="30"/>
        <v>0</v>
      </c>
      <c r="AF80" s="71">
        <f t="shared" si="30"/>
        <v>0</v>
      </c>
      <c r="AG80" s="72">
        <f>SUM(AG77:AG79)</f>
        <v>106</v>
      </c>
      <c r="AH80" s="48">
        <f t="shared" si="8"/>
        <v>0</v>
      </c>
      <c r="AI80" s="49">
        <f t="shared" si="9"/>
        <v>0</v>
      </c>
      <c r="AK80" s="51"/>
      <c r="AZ80" s="82">
        <f t="shared" si="28"/>
        <v>0</v>
      </c>
      <c r="BA80" s="82">
        <f t="shared" si="28"/>
        <v>0</v>
      </c>
      <c r="BB80" s="82">
        <f t="shared" si="28"/>
        <v>0</v>
      </c>
      <c r="BC80" s="82">
        <f t="shared" si="28"/>
        <v>0</v>
      </c>
      <c r="BD80" s="82">
        <f t="shared" si="28"/>
        <v>0</v>
      </c>
      <c r="BE80" s="82">
        <f t="shared" si="28"/>
        <v>0</v>
      </c>
      <c r="BF80" s="82">
        <f t="shared" si="28"/>
        <v>0</v>
      </c>
      <c r="BG80" s="82">
        <f t="shared" si="28"/>
        <v>0</v>
      </c>
      <c r="BH80" s="82">
        <f t="shared" si="28"/>
        <v>0</v>
      </c>
      <c r="BI80" s="82">
        <f t="shared" si="28"/>
        <v>0</v>
      </c>
      <c r="BJ80" s="82">
        <f t="shared" si="28"/>
        <v>0</v>
      </c>
      <c r="BK80" s="82">
        <f t="shared" si="28"/>
        <v>0</v>
      </c>
      <c r="BL80" s="82">
        <f t="shared" si="28"/>
        <v>0</v>
      </c>
      <c r="BM80" s="82">
        <f t="shared" si="28"/>
        <v>0</v>
      </c>
      <c r="BN80" s="82">
        <f t="shared" si="28"/>
        <v>0</v>
      </c>
      <c r="BO80" s="82">
        <f t="shared" si="28"/>
        <v>0</v>
      </c>
      <c r="BP80" s="82">
        <f t="shared" si="28"/>
        <v>0</v>
      </c>
      <c r="BQ80" s="82">
        <f t="shared" si="28"/>
        <v>0</v>
      </c>
      <c r="BR80" s="82">
        <f t="shared" si="28"/>
        <v>0</v>
      </c>
      <c r="BS80" s="82">
        <f t="shared" si="28"/>
        <v>0</v>
      </c>
      <c r="BT80" s="82">
        <f t="shared" si="28"/>
        <v>0</v>
      </c>
      <c r="BU80" s="82">
        <f t="shared" si="28"/>
        <v>0</v>
      </c>
      <c r="BV80" s="82">
        <f t="shared" si="28"/>
        <v>0</v>
      </c>
      <c r="BW80" s="82">
        <f t="shared" si="28"/>
        <v>0</v>
      </c>
    </row>
    <row r="81" spans="1:64" x14ac:dyDescent="0.25">
      <c r="A81" s="45" t="s">
        <v>104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61"/>
      <c r="AH81" s="48">
        <f t="shared" si="8"/>
        <v>0</v>
      </c>
      <c r="AI81" s="49">
        <f t="shared" si="9"/>
        <v>0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66"/>
      <c r="AH82" s="48">
        <f t="shared" ref="AH82:AH123" si="31">MAX(B82:AF82)</f>
        <v>0</v>
      </c>
      <c r="AI82" s="49">
        <f t="shared" ref="AI82:AI123" si="32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8"/>
      <c r="AH83" s="48">
        <f t="shared" si="31"/>
        <v>0</v>
      </c>
      <c r="AI83" s="49">
        <f t="shared" si="32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/>
      <c r="C84" s="76"/>
      <c r="D84" s="76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8"/>
      <c r="AH84" s="48">
        <f t="shared" si="31"/>
        <v>0</v>
      </c>
      <c r="AI84" s="49">
        <f t="shared" si="32"/>
        <v>0</v>
      </c>
      <c r="AK84" s="51"/>
      <c r="AY84" s="82"/>
      <c r="BF84" s="81"/>
      <c r="BG84" s="82">
        <f t="array" ref="BG84:BL107">TRANSPOSE(AZ68:BW73)</f>
        <v>0</v>
      </c>
      <c r="BH84" s="82">
        <v>0</v>
      </c>
      <c r="BI84" s="82">
        <v>0</v>
      </c>
      <c r="BJ84" s="82">
        <v>0</v>
      </c>
      <c r="BK84" s="82">
        <v>0</v>
      </c>
      <c r="BL84" s="82">
        <v>0</v>
      </c>
    </row>
    <row r="85" spans="1:64" x14ac:dyDescent="0.25">
      <c r="A85" s="65" t="s">
        <v>108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88"/>
      <c r="AH85" s="48">
        <f t="shared" si="31"/>
        <v>0</v>
      </c>
      <c r="AI85" s="49">
        <f t="shared" si="32"/>
        <v>0</v>
      </c>
      <c r="AK85" s="51"/>
      <c r="AY85" s="82"/>
      <c r="BF85" s="81"/>
      <c r="BG85" s="82">
        <v>0</v>
      </c>
      <c r="BH85" s="82">
        <v>0</v>
      </c>
      <c r="BI85" s="82">
        <v>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1"/>
        <v>0</v>
      </c>
      <c r="AI86" s="49">
        <f t="shared" si="32"/>
        <v>0</v>
      </c>
      <c r="AK86" s="51"/>
      <c r="AY86" s="82"/>
      <c r="BF86" s="81"/>
      <c r="BG86" s="82">
        <v>0</v>
      </c>
      <c r="BH86" s="82">
        <v>0</v>
      </c>
      <c r="BI86" s="82">
        <v>0</v>
      </c>
      <c r="BJ86" s="82">
        <v>0</v>
      </c>
      <c r="BK86" s="82">
        <v>0</v>
      </c>
      <c r="BL86" s="82">
        <v>0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1"/>
        <v>0</v>
      </c>
      <c r="AI87" s="49">
        <f t="shared" si="32"/>
        <v>0</v>
      </c>
      <c r="AK87" s="51"/>
      <c r="AL87" s="91" t="s">
        <v>111</v>
      </c>
      <c r="AM87" s="91"/>
      <c r="AY87" s="82"/>
      <c r="BF87" s="82"/>
      <c r="BG87" s="82">
        <v>0</v>
      </c>
      <c r="BH87" s="82">
        <v>0</v>
      </c>
      <c r="BI87" s="82">
        <v>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1"/>
        <v>0</v>
      </c>
      <c r="AI88" s="49">
        <f t="shared" si="32"/>
        <v>0</v>
      </c>
      <c r="AK88" s="92"/>
      <c r="AL88" s="93"/>
      <c r="AM88" s="93"/>
      <c r="AN88" s="94"/>
      <c r="AY88" s="82"/>
      <c r="BF88" s="82"/>
      <c r="BG88" s="82">
        <v>0</v>
      </c>
      <c r="BH88" s="82">
        <v>0</v>
      </c>
      <c r="BI88" s="82">
        <v>0</v>
      </c>
      <c r="BJ88" s="82">
        <v>0</v>
      </c>
      <c r="BK88" s="82">
        <v>0</v>
      </c>
      <c r="BL88" s="82">
        <v>0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1"/>
        <v>0</v>
      </c>
      <c r="AI89" s="49">
        <f t="shared" si="32"/>
        <v>0</v>
      </c>
      <c r="AK89" s="95" t="s">
        <v>114</v>
      </c>
      <c r="AL89" s="76"/>
      <c r="AM89" s="89"/>
      <c r="AN89" s="96"/>
      <c r="AY89" s="82"/>
      <c r="BF89" s="82"/>
      <c r="BG89" s="82">
        <v>0</v>
      </c>
      <c r="BH89" s="82">
        <v>0</v>
      </c>
      <c r="BI89" s="82">
        <v>0</v>
      </c>
      <c r="BJ89" s="82">
        <v>0</v>
      </c>
      <c r="BK89" s="82">
        <v>0</v>
      </c>
      <c r="BL89" s="82">
        <v>0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1"/>
        <v>0</v>
      </c>
      <c r="AI90" s="49">
        <f t="shared" si="32"/>
        <v>0</v>
      </c>
      <c r="AK90" s="95" t="s">
        <v>116</v>
      </c>
      <c r="AL90" s="89"/>
      <c r="AM90" s="89"/>
      <c r="AN90" s="96"/>
      <c r="AY90" s="82"/>
      <c r="BF90" s="82"/>
      <c r="BG90" s="82">
        <v>0</v>
      </c>
      <c r="BH90" s="82">
        <v>0</v>
      </c>
      <c r="BI90" s="82">
        <v>0</v>
      </c>
      <c r="BJ90" s="82">
        <v>0</v>
      </c>
      <c r="BK90" s="82">
        <v>0</v>
      </c>
      <c r="BL90" s="82">
        <v>0</v>
      </c>
    </row>
    <row r="91" spans="1:64" ht="15.75" thickBot="1" x14ac:dyDescent="0.3">
      <c r="A91" s="97" t="s">
        <v>117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8"/>
      <c r="AH91" s="48">
        <f t="shared" si="31"/>
        <v>0</v>
      </c>
      <c r="AI91" s="49">
        <f t="shared" si="32"/>
        <v>0</v>
      </c>
      <c r="AK91" s="99"/>
      <c r="AL91" s="46"/>
      <c r="AM91" s="46"/>
      <c r="AN91" s="100"/>
      <c r="AY91" s="82"/>
      <c r="BF91" s="82"/>
      <c r="BG91" s="82">
        <v>0</v>
      </c>
      <c r="BH91" s="82">
        <v>0</v>
      </c>
      <c r="BI91" s="82">
        <v>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87" t="s">
        <v>118</v>
      </c>
      <c r="B92" s="71">
        <f t="shared" ref="B92:AF92" si="33">SUMIF(B81:B91,"&gt;0")</f>
        <v>0</v>
      </c>
      <c r="C92" s="71">
        <f t="shared" si="33"/>
        <v>0</v>
      </c>
      <c r="D92" s="71">
        <f t="shared" si="33"/>
        <v>0</v>
      </c>
      <c r="E92" s="71">
        <f t="shared" si="33"/>
        <v>0</v>
      </c>
      <c r="F92" s="71">
        <f t="shared" si="33"/>
        <v>0</v>
      </c>
      <c r="G92" s="71">
        <f t="shared" si="33"/>
        <v>0</v>
      </c>
      <c r="H92" s="71">
        <f t="shared" si="33"/>
        <v>0</v>
      </c>
      <c r="I92" s="71">
        <f t="shared" si="33"/>
        <v>0</v>
      </c>
      <c r="J92" s="71">
        <f t="shared" si="33"/>
        <v>0</v>
      </c>
      <c r="K92" s="71">
        <f t="shared" si="33"/>
        <v>0</v>
      </c>
      <c r="L92" s="71">
        <f t="shared" si="33"/>
        <v>0</v>
      </c>
      <c r="M92" s="71">
        <f t="shared" si="33"/>
        <v>0</v>
      </c>
      <c r="N92" s="71">
        <f t="shared" si="33"/>
        <v>0</v>
      </c>
      <c r="O92" s="71">
        <f t="shared" si="33"/>
        <v>0</v>
      </c>
      <c r="P92" s="71">
        <f t="shared" si="33"/>
        <v>0</v>
      </c>
      <c r="Q92" s="71">
        <f t="shared" si="33"/>
        <v>0</v>
      </c>
      <c r="R92" s="71">
        <f t="shared" si="33"/>
        <v>0</v>
      </c>
      <c r="S92" s="71">
        <f t="shared" si="33"/>
        <v>0</v>
      </c>
      <c r="T92" s="71">
        <f t="shared" si="33"/>
        <v>0</v>
      </c>
      <c r="U92" s="71">
        <f t="shared" si="33"/>
        <v>0</v>
      </c>
      <c r="V92" s="71">
        <f t="shared" si="33"/>
        <v>0</v>
      </c>
      <c r="W92" s="71">
        <f t="shared" si="33"/>
        <v>0</v>
      </c>
      <c r="X92" s="71">
        <f t="shared" si="33"/>
        <v>0</v>
      </c>
      <c r="Y92" s="71">
        <f t="shared" si="33"/>
        <v>0</v>
      </c>
      <c r="Z92" s="71">
        <f t="shared" si="33"/>
        <v>0</v>
      </c>
      <c r="AA92" s="71">
        <f t="shared" si="33"/>
        <v>0</v>
      </c>
      <c r="AB92" s="71">
        <f t="shared" si="33"/>
        <v>0</v>
      </c>
      <c r="AC92" s="71">
        <f t="shared" si="33"/>
        <v>0</v>
      </c>
      <c r="AD92" s="71">
        <f t="shared" si="33"/>
        <v>0</v>
      </c>
      <c r="AE92" s="71">
        <f t="shared" si="33"/>
        <v>0</v>
      </c>
      <c r="AF92" s="71">
        <f t="shared" si="33"/>
        <v>0</v>
      </c>
      <c r="AG92" s="101">
        <f>SUM(AG81:AG91)</f>
        <v>0</v>
      </c>
      <c r="AH92" s="48">
        <f t="shared" si="31"/>
        <v>0</v>
      </c>
      <c r="AI92" s="49">
        <f t="shared" si="32"/>
        <v>0</v>
      </c>
      <c r="AK92" s="99"/>
      <c r="AL92" s="90"/>
      <c r="AM92" s="102"/>
      <c r="AN92" s="204"/>
      <c r="AY92" s="82"/>
      <c r="BF92" s="82"/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1"/>
        <v>0</v>
      </c>
      <c r="AI93" s="49">
        <f t="shared" si="32"/>
        <v>0</v>
      </c>
      <c r="AK93" s="99"/>
      <c r="AL93" s="90"/>
      <c r="AM93" s="90"/>
      <c r="AN93" s="205"/>
      <c r="BF93" s="82"/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1"/>
        <v>0</v>
      </c>
      <c r="AI94" s="49">
        <f t="shared" si="32"/>
        <v>0</v>
      </c>
      <c r="AK94" s="104"/>
      <c r="AL94" s="105"/>
      <c r="AM94" s="105"/>
      <c r="AN94" s="106"/>
      <c r="BF94" s="82"/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1"/>
        <v>0</v>
      </c>
      <c r="AI95" s="49">
        <f t="shared" si="32"/>
        <v>0</v>
      </c>
      <c r="BF95" s="82"/>
      <c r="BG95" s="82"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1"/>
        <v>0</v>
      </c>
      <c r="AI96" s="49">
        <f t="shared" si="32"/>
        <v>0</v>
      </c>
      <c r="BF96" s="82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ht="15.75" thickBot="1" x14ac:dyDescent="0.3">
      <c r="A97" s="87" t="s">
        <v>123</v>
      </c>
      <c r="B97" s="108">
        <f t="shared" ref="B97:AG97" si="34">B58+B62+B80+B76+B92+B96</f>
        <v>153.54</v>
      </c>
      <c r="C97" s="108">
        <f t="shared" si="34"/>
        <v>153.54</v>
      </c>
      <c r="D97" s="108">
        <f t="shared" si="34"/>
        <v>153.54</v>
      </c>
      <c r="E97" s="108">
        <f t="shared" si="34"/>
        <v>153.54</v>
      </c>
      <c r="F97" s="108">
        <f t="shared" si="34"/>
        <v>153.54</v>
      </c>
      <c r="G97" s="108">
        <f t="shared" si="34"/>
        <v>153.54</v>
      </c>
      <c r="H97" s="108">
        <f t="shared" si="34"/>
        <v>153.54</v>
      </c>
      <c r="I97" s="108">
        <f t="shared" si="34"/>
        <v>153.54</v>
      </c>
      <c r="J97" s="108">
        <f t="shared" si="34"/>
        <v>153.54</v>
      </c>
      <c r="K97" s="108">
        <f t="shared" si="34"/>
        <v>153.54</v>
      </c>
      <c r="L97" s="108">
        <f t="shared" si="34"/>
        <v>153.54</v>
      </c>
      <c r="M97" s="108">
        <f t="shared" si="34"/>
        <v>153.54</v>
      </c>
      <c r="N97" s="108">
        <f t="shared" si="34"/>
        <v>153.54</v>
      </c>
      <c r="O97" s="108">
        <f t="shared" si="34"/>
        <v>153.54</v>
      </c>
      <c r="P97" s="108">
        <f t="shared" si="34"/>
        <v>153.54</v>
      </c>
      <c r="Q97" s="108">
        <f t="shared" si="34"/>
        <v>153.54</v>
      </c>
      <c r="R97" s="108">
        <f t="shared" si="34"/>
        <v>153.54</v>
      </c>
      <c r="S97" s="108">
        <f t="shared" si="34"/>
        <v>153.54</v>
      </c>
      <c r="T97" s="108">
        <f t="shared" si="34"/>
        <v>153.54</v>
      </c>
      <c r="U97" s="108">
        <f t="shared" si="34"/>
        <v>153.54</v>
      </c>
      <c r="V97" s="108">
        <f t="shared" si="34"/>
        <v>153.54</v>
      </c>
      <c r="W97" s="108">
        <f t="shared" si="34"/>
        <v>153.54</v>
      </c>
      <c r="X97" s="108">
        <f t="shared" si="34"/>
        <v>153.54</v>
      </c>
      <c r="Y97" s="108">
        <f t="shared" si="34"/>
        <v>153.5</v>
      </c>
      <c r="Z97" s="108">
        <f t="shared" si="34"/>
        <v>155.5</v>
      </c>
      <c r="AA97" s="108">
        <f t="shared" si="34"/>
        <v>153.54</v>
      </c>
      <c r="AB97" s="108">
        <f t="shared" si="34"/>
        <v>153.54</v>
      </c>
      <c r="AC97" s="108">
        <f t="shared" si="34"/>
        <v>153.54</v>
      </c>
      <c r="AD97" s="108">
        <f t="shared" si="34"/>
        <v>153.54</v>
      </c>
      <c r="AE97" s="108">
        <f t="shared" si="34"/>
        <v>153.54</v>
      </c>
      <c r="AF97" s="108">
        <f t="shared" si="34"/>
        <v>153.54</v>
      </c>
      <c r="AG97" s="72">
        <f t="shared" si="34"/>
        <v>2231.81</v>
      </c>
      <c r="AH97" s="48">
        <f t="shared" si="31"/>
        <v>155.5</v>
      </c>
      <c r="AI97" s="49">
        <f t="shared" si="32"/>
        <v>153.5</v>
      </c>
      <c r="BF97" s="82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109" t="s">
        <v>124</v>
      </c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01"/>
      <c r="AH98" s="48">
        <f t="shared" si="31"/>
        <v>0</v>
      </c>
      <c r="AI98" s="49">
        <f t="shared" si="32"/>
        <v>0</v>
      </c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125</v>
      </c>
      <c r="B99" s="108">
        <f t="shared" ref="B99:AF99" si="35">B97+B98</f>
        <v>153.54</v>
      </c>
      <c r="C99" s="108">
        <f t="shared" si="35"/>
        <v>153.54</v>
      </c>
      <c r="D99" s="108">
        <f t="shared" si="35"/>
        <v>153.54</v>
      </c>
      <c r="E99" s="108">
        <f t="shared" si="35"/>
        <v>153.54</v>
      </c>
      <c r="F99" s="108">
        <f t="shared" si="35"/>
        <v>153.54</v>
      </c>
      <c r="G99" s="108">
        <f t="shared" si="35"/>
        <v>153.54</v>
      </c>
      <c r="H99" s="108">
        <f t="shared" si="35"/>
        <v>153.54</v>
      </c>
      <c r="I99" s="108">
        <f t="shared" si="35"/>
        <v>153.54</v>
      </c>
      <c r="J99" s="108">
        <f t="shared" si="35"/>
        <v>153.54</v>
      </c>
      <c r="K99" s="108">
        <f t="shared" si="35"/>
        <v>153.54</v>
      </c>
      <c r="L99" s="108">
        <f t="shared" si="35"/>
        <v>153.54</v>
      </c>
      <c r="M99" s="108">
        <f t="shared" si="35"/>
        <v>153.54</v>
      </c>
      <c r="N99" s="108">
        <f t="shared" si="35"/>
        <v>153.54</v>
      </c>
      <c r="O99" s="108">
        <f t="shared" si="35"/>
        <v>153.54</v>
      </c>
      <c r="P99" s="108">
        <f t="shared" si="35"/>
        <v>153.54</v>
      </c>
      <c r="Q99" s="108">
        <f t="shared" si="35"/>
        <v>153.54</v>
      </c>
      <c r="R99" s="108">
        <f t="shared" si="35"/>
        <v>153.54</v>
      </c>
      <c r="S99" s="108">
        <f t="shared" si="35"/>
        <v>153.54</v>
      </c>
      <c r="T99" s="108">
        <f t="shared" si="35"/>
        <v>153.54</v>
      </c>
      <c r="U99" s="108">
        <f t="shared" si="35"/>
        <v>153.54</v>
      </c>
      <c r="V99" s="108">
        <f t="shared" si="35"/>
        <v>153.54</v>
      </c>
      <c r="W99" s="108">
        <f t="shared" si="35"/>
        <v>153.54</v>
      </c>
      <c r="X99" s="108">
        <f t="shared" si="35"/>
        <v>153.54</v>
      </c>
      <c r="Y99" s="108">
        <f t="shared" si="35"/>
        <v>153.5</v>
      </c>
      <c r="Z99" s="108">
        <f t="shared" si="35"/>
        <v>155.5</v>
      </c>
      <c r="AA99" s="108">
        <f t="shared" si="35"/>
        <v>153.54</v>
      </c>
      <c r="AB99" s="108">
        <f t="shared" si="35"/>
        <v>153.54</v>
      </c>
      <c r="AC99" s="108">
        <f t="shared" si="35"/>
        <v>153.54</v>
      </c>
      <c r="AD99" s="108">
        <f t="shared" si="35"/>
        <v>153.54</v>
      </c>
      <c r="AE99" s="108">
        <f t="shared" si="35"/>
        <v>153.54</v>
      </c>
      <c r="AF99" s="108">
        <f t="shared" si="35"/>
        <v>153.54</v>
      </c>
      <c r="AG99" s="101">
        <f>AG96+AG92+AG80+AG76+AG58+AG98</f>
        <v>1693.71</v>
      </c>
      <c r="AH99" s="48">
        <f t="shared" si="31"/>
        <v>155.5</v>
      </c>
      <c r="AI99" s="49">
        <f t="shared" si="32"/>
        <v>153.5</v>
      </c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126</v>
      </c>
      <c r="B100" s="108">
        <f t="shared" ref="B100:AF100" si="36">B99-(B107)</f>
        <v>153.54</v>
      </c>
      <c r="C100" s="108">
        <f t="shared" si="36"/>
        <v>153.54</v>
      </c>
      <c r="D100" s="108">
        <f t="shared" si="36"/>
        <v>153.54</v>
      </c>
      <c r="E100" s="108">
        <f t="shared" si="36"/>
        <v>153.54</v>
      </c>
      <c r="F100" s="108">
        <f t="shared" si="36"/>
        <v>153.54</v>
      </c>
      <c r="G100" s="108">
        <f t="shared" si="36"/>
        <v>153.54</v>
      </c>
      <c r="H100" s="108">
        <f t="shared" si="36"/>
        <v>153.54</v>
      </c>
      <c r="I100" s="108">
        <f t="shared" si="36"/>
        <v>153.54</v>
      </c>
      <c r="J100" s="108">
        <f t="shared" si="36"/>
        <v>153.54</v>
      </c>
      <c r="K100" s="108">
        <f t="shared" si="36"/>
        <v>153.54</v>
      </c>
      <c r="L100" s="108">
        <f t="shared" si="36"/>
        <v>153.54</v>
      </c>
      <c r="M100" s="108">
        <f t="shared" si="36"/>
        <v>153.54</v>
      </c>
      <c r="N100" s="108">
        <f t="shared" si="36"/>
        <v>153.54</v>
      </c>
      <c r="O100" s="108">
        <f t="shared" si="36"/>
        <v>153.54</v>
      </c>
      <c r="P100" s="108">
        <f t="shared" si="36"/>
        <v>153.54</v>
      </c>
      <c r="Q100" s="108">
        <f t="shared" si="36"/>
        <v>153.54</v>
      </c>
      <c r="R100" s="108">
        <f t="shared" si="36"/>
        <v>153.54</v>
      </c>
      <c r="S100" s="108">
        <f t="shared" si="36"/>
        <v>153.54</v>
      </c>
      <c r="T100" s="108">
        <f t="shared" si="36"/>
        <v>153.54</v>
      </c>
      <c r="U100" s="108">
        <f t="shared" si="36"/>
        <v>153.54</v>
      </c>
      <c r="V100" s="108">
        <f t="shared" si="36"/>
        <v>153.54</v>
      </c>
      <c r="W100" s="108">
        <f t="shared" si="36"/>
        <v>153.54</v>
      </c>
      <c r="X100" s="108">
        <f t="shared" si="36"/>
        <v>153.54</v>
      </c>
      <c r="Y100" s="108">
        <f t="shared" si="36"/>
        <v>153.5</v>
      </c>
      <c r="Z100" s="108">
        <f t="shared" si="36"/>
        <v>155.5</v>
      </c>
      <c r="AA100" s="108">
        <f t="shared" si="36"/>
        <v>153.54</v>
      </c>
      <c r="AB100" s="108">
        <f t="shared" si="36"/>
        <v>153.54</v>
      </c>
      <c r="AC100" s="108">
        <f t="shared" si="36"/>
        <v>153.54</v>
      </c>
      <c r="AD100" s="108">
        <f t="shared" si="36"/>
        <v>153.54</v>
      </c>
      <c r="AE100" s="108">
        <f t="shared" si="36"/>
        <v>153.54</v>
      </c>
      <c r="AF100" s="108">
        <f t="shared" si="36"/>
        <v>153.54</v>
      </c>
      <c r="AG100" s="101"/>
      <c r="AH100" s="48">
        <f t="shared" si="31"/>
        <v>155.5</v>
      </c>
      <c r="AI100" s="49">
        <f t="shared" si="32"/>
        <v>153.5</v>
      </c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45" t="s">
        <v>107</v>
      </c>
      <c r="B101" s="89">
        <f t="shared" ref="B101:AF101" si="37">IF(B84&lt;0,B84*-1,0)</f>
        <v>0</v>
      </c>
      <c r="C101" s="89">
        <f t="shared" si="37"/>
        <v>0</v>
      </c>
      <c r="D101" s="89">
        <f t="shared" si="37"/>
        <v>0</v>
      </c>
      <c r="E101" s="89">
        <f t="shared" si="37"/>
        <v>0</v>
      </c>
      <c r="F101" s="89">
        <f t="shared" si="37"/>
        <v>0</v>
      </c>
      <c r="G101" s="89">
        <f t="shared" si="37"/>
        <v>0</v>
      </c>
      <c r="H101" s="89">
        <f t="shared" si="37"/>
        <v>0</v>
      </c>
      <c r="I101" s="89">
        <f t="shared" si="37"/>
        <v>0</v>
      </c>
      <c r="J101" s="89">
        <f t="shared" si="37"/>
        <v>0</v>
      </c>
      <c r="K101" s="89">
        <f t="shared" si="37"/>
        <v>0</v>
      </c>
      <c r="L101" s="89">
        <f t="shared" si="37"/>
        <v>0</v>
      </c>
      <c r="M101" s="89">
        <f t="shared" si="37"/>
        <v>0</v>
      </c>
      <c r="N101" s="89">
        <f t="shared" si="37"/>
        <v>0</v>
      </c>
      <c r="O101" s="89">
        <f t="shared" si="37"/>
        <v>0</v>
      </c>
      <c r="P101" s="89">
        <f t="shared" si="37"/>
        <v>0</v>
      </c>
      <c r="Q101" s="89">
        <f t="shared" si="37"/>
        <v>0</v>
      </c>
      <c r="R101" s="89">
        <f t="shared" si="37"/>
        <v>0</v>
      </c>
      <c r="S101" s="89">
        <f t="shared" si="37"/>
        <v>0</v>
      </c>
      <c r="T101" s="89">
        <f t="shared" si="37"/>
        <v>0</v>
      </c>
      <c r="U101" s="89">
        <f t="shared" si="37"/>
        <v>0</v>
      </c>
      <c r="V101" s="89">
        <f t="shared" si="37"/>
        <v>0</v>
      </c>
      <c r="W101" s="89">
        <f t="shared" si="37"/>
        <v>0</v>
      </c>
      <c r="X101" s="89">
        <f t="shared" si="37"/>
        <v>0</v>
      </c>
      <c r="Y101" s="89">
        <f t="shared" si="37"/>
        <v>0</v>
      </c>
      <c r="Z101" s="89">
        <f t="shared" si="37"/>
        <v>0</v>
      </c>
      <c r="AA101" s="89">
        <f t="shared" si="37"/>
        <v>0</v>
      </c>
      <c r="AB101" s="89">
        <f t="shared" si="37"/>
        <v>0</v>
      </c>
      <c r="AC101" s="89">
        <f t="shared" si="37"/>
        <v>0</v>
      </c>
      <c r="AD101" s="89">
        <f t="shared" si="37"/>
        <v>0</v>
      </c>
      <c r="AE101" s="89">
        <f t="shared" si="37"/>
        <v>0</v>
      </c>
      <c r="AF101" s="89">
        <f t="shared" si="37"/>
        <v>0</v>
      </c>
      <c r="AG101" s="61"/>
      <c r="AH101" s="48">
        <f t="shared" si="31"/>
        <v>0</v>
      </c>
      <c r="AI101" s="49">
        <f t="shared" si="32"/>
        <v>0</v>
      </c>
      <c r="BF101" s="81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x14ac:dyDescent="0.25">
      <c r="A102" s="65" t="s">
        <v>105</v>
      </c>
      <c r="B102" s="89">
        <f t="shared" ref="B102:AF102" si="38">IF(B82&lt;0,B82*-1,0)</f>
        <v>0</v>
      </c>
      <c r="C102" s="89">
        <f t="shared" si="38"/>
        <v>0</v>
      </c>
      <c r="D102" s="89">
        <f t="shared" si="38"/>
        <v>0</v>
      </c>
      <c r="E102" s="89">
        <f t="shared" si="38"/>
        <v>0</v>
      </c>
      <c r="F102" s="89">
        <f t="shared" si="38"/>
        <v>0</v>
      </c>
      <c r="G102" s="89">
        <f t="shared" si="38"/>
        <v>0</v>
      </c>
      <c r="H102" s="89">
        <f t="shared" si="38"/>
        <v>0</v>
      </c>
      <c r="I102" s="89">
        <f t="shared" si="38"/>
        <v>0</v>
      </c>
      <c r="J102" s="89">
        <f t="shared" si="38"/>
        <v>0</v>
      </c>
      <c r="K102" s="89">
        <f t="shared" si="38"/>
        <v>0</v>
      </c>
      <c r="L102" s="89">
        <f t="shared" si="38"/>
        <v>0</v>
      </c>
      <c r="M102" s="89">
        <f t="shared" si="38"/>
        <v>0</v>
      </c>
      <c r="N102" s="89">
        <f t="shared" si="38"/>
        <v>0</v>
      </c>
      <c r="O102" s="89">
        <f t="shared" si="38"/>
        <v>0</v>
      </c>
      <c r="P102" s="89">
        <f t="shared" si="38"/>
        <v>0</v>
      </c>
      <c r="Q102" s="89">
        <f t="shared" si="38"/>
        <v>0</v>
      </c>
      <c r="R102" s="89">
        <f t="shared" si="38"/>
        <v>0</v>
      </c>
      <c r="S102" s="89">
        <f t="shared" si="38"/>
        <v>0</v>
      </c>
      <c r="T102" s="89">
        <f t="shared" si="38"/>
        <v>0</v>
      </c>
      <c r="U102" s="89">
        <f t="shared" si="38"/>
        <v>0</v>
      </c>
      <c r="V102" s="89">
        <f t="shared" si="38"/>
        <v>0</v>
      </c>
      <c r="W102" s="89">
        <f t="shared" si="38"/>
        <v>0</v>
      </c>
      <c r="X102" s="89">
        <f t="shared" si="38"/>
        <v>0</v>
      </c>
      <c r="Y102" s="89">
        <f t="shared" si="38"/>
        <v>0</v>
      </c>
      <c r="Z102" s="89">
        <f t="shared" si="38"/>
        <v>0</v>
      </c>
      <c r="AA102" s="89">
        <f t="shared" si="38"/>
        <v>0</v>
      </c>
      <c r="AB102" s="89">
        <f t="shared" si="38"/>
        <v>0</v>
      </c>
      <c r="AC102" s="89">
        <f t="shared" si="38"/>
        <v>0</v>
      </c>
      <c r="AD102" s="89">
        <f t="shared" si="38"/>
        <v>0</v>
      </c>
      <c r="AE102" s="89">
        <f t="shared" si="38"/>
        <v>0</v>
      </c>
      <c r="AF102" s="89">
        <f t="shared" si="38"/>
        <v>0</v>
      </c>
      <c r="AG102" s="66"/>
      <c r="AH102" s="48">
        <f t="shared" si="31"/>
        <v>0</v>
      </c>
      <c r="AI102" s="49">
        <f t="shared" si="32"/>
        <v>0</v>
      </c>
      <c r="BF102" s="81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97" t="s">
        <v>127</v>
      </c>
      <c r="B103" s="89">
        <f t="shared" ref="B103:AF103" si="39">IF(B85&lt;0,B85*-1,0)</f>
        <v>0</v>
      </c>
      <c r="C103" s="89">
        <f t="shared" si="39"/>
        <v>0</v>
      </c>
      <c r="D103" s="89">
        <f t="shared" si="39"/>
        <v>0</v>
      </c>
      <c r="E103" s="89">
        <f t="shared" si="39"/>
        <v>0</v>
      </c>
      <c r="F103" s="89">
        <f t="shared" si="39"/>
        <v>0</v>
      </c>
      <c r="G103" s="89">
        <f t="shared" si="39"/>
        <v>0</v>
      </c>
      <c r="H103" s="89">
        <f t="shared" si="39"/>
        <v>0</v>
      </c>
      <c r="I103" s="89">
        <f t="shared" si="39"/>
        <v>0</v>
      </c>
      <c r="J103" s="89">
        <f t="shared" si="39"/>
        <v>0</v>
      </c>
      <c r="K103" s="89">
        <f t="shared" si="39"/>
        <v>0</v>
      </c>
      <c r="L103" s="89">
        <f t="shared" si="39"/>
        <v>0</v>
      </c>
      <c r="M103" s="89">
        <f t="shared" si="39"/>
        <v>0</v>
      </c>
      <c r="N103" s="89">
        <f t="shared" si="39"/>
        <v>0</v>
      </c>
      <c r="O103" s="89">
        <f t="shared" si="39"/>
        <v>0</v>
      </c>
      <c r="P103" s="89">
        <f t="shared" si="39"/>
        <v>0</v>
      </c>
      <c r="Q103" s="89">
        <f t="shared" si="39"/>
        <v>0</v>
      </c>
      <c r="R103" s="89">
        <f t="shared" si="39"/>
        <v>0</v>
      </c>
      <c r="S103" s="89">
        <f t="shared" si="39"/>
        <v>0</v>
      </c>
      <c r="T103" s="89">
        <f t="shared" si="39"/>
        <v>0</v>
      </c>
      <c r="U103" s="89">
        <f t="shared" si="39"/>
        <v>0</v>
      </c>
      <c r="V103" s="89">
        <f t="shared" si="39"/>
        <v>0</v>
      </c>
      <c r="W103" s="89">
        <f t="shared" si="39"/>
        <v>0</v>
      </c>
      <c r="X103" s="89">
        <f t="shared" si="39"/>
        <v>0</v>
      </c>
      <c r="Y103" s="89">
        <f t="shared" si="39"/>
        <v>0</v>
      </c>
      <c r="Z103" s="89">
        <f t="shared" si="39"/>
        <v>0</v>
      </c>
      <c r="AA103" s="89">
        <f t="shared" si="39"/>
        <v>0</v>
      </c>
      <c r="AB103" s="89">
        <f t="shared" si="39"/>
        <v>0</v>
      </c>
      <c r="AC103" s="89">
        <f t="shared" si="39"/>
        <v>0</v>
      </c>
      <c r="AD103" s="89">
        <f t="shared" si="39"/>
        <v>0</v>
      </c>
      <c r="AE103" s="89">
        <f t="shared" si="39"/>
        <v>0</v>
      </c>
      <c r="AF103" s="89">
        <f t="shared" si="39"/>
        <v>0</v>
      </c>
      <c r="AG103" s="111"/>
      <c r="AH103" s="48">
        <f t="shared" si="31"/>
        <v>0</v>
      </c>
      <c r="AI103" s="49">
        <f t="shared" si="32"/>
        <v>0</v>
      </c>
      <c r="BF103" s="81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97" t="s">
        <v>128</v>
      </c>
      <c r="B104" s="89">
        <f t="shared" ref="B104:AF104" si="40">IF(B83&lt;0,B83*-1,0)</f>
        <v>0</v>
      </c>
      <c r="C104" s="89">
        <f t="shared" si="40"/>
        <v>0</v>
      </c>
      <c r="D104" s="89">
        <f t="shared" si="40"/>
        <v>0</v>
      </c>
      <c r="E104" s="89">
        <f t="shared" si="40"/>
        <v>0</v>
      </c>
      <c r="F104" s="89">
        <f t="shared" si="40"/>
        <v>0</v>
      </c>
      <c r="G104" s="89">
        <f t="shared" si="40"/>
        <v>0</v>
      </c>
      <c r="H104" s="89">
        <f t="shared" si="40"/>
        <v>0</v>
      </c>
      <c r="I104" s="89">
        <f t="shared" si="40"/>
        <v>0</v>
      </c>
      <c r="J104" s="89">
        <f t="shared" si="40"/>
        <v>0</v>
      </c>
      <c r="K104" s="89">
        <f t="shared" si="40"/>
        <v>0</v>
      </c>
      <c r="L104" s="89">
        <f t="shared" si="40"/>
        <v>0</v>
      </c>
      <c r="M104" s="89">
        <f t="shared" si="40"/>
        <v>0</v>
      </c>
      <c r="N104" s="89">
        <f t="shared" si="40"/>
        <v>0</v>
      </c>
      <c r="O104" s="89">
        <f t="shared" si="40"/>
        <v>0</v>
      </c>
      <c r="P104" s="89">
        <f t="shared" si="40"/>
        <v>0</v>
      </c>
      <c r="Q104" s="89">
        <f t="shared" si="40"/>
        <v>0</v>
      </c>
      <c r="R104" s="89">
        <f t="shared" si="40"/>
        <v>0</v>
      </c>
      <c r="S104" s="89">
        <f t="shared" si="40"/>
        <v>0</v>
      </c>
      <c r="T104" s="89">
        <f t="shared" si="40"/>
        <v>0</v>
      </c>
      <c r="U104" s="89">
        <f t="shared" si="40"/>
        <v>0</v>
      </c>
      <c r="V104" s="89">
        <f t="shared" si="40"/>
        <v>0</v>
      </c>
      <c r="W104" s="89">
        <f t="shared" si="40"/>
        <v>0</v>
      </c>
      <c r="X104" s="89">
        <f t="shared" si="40"/>
        <v>0</v>
      </c>
      <c r="Y104" s="89">
        <f t="shared" si="40"/>
        <v>0</v>
      </c>
      <c r="Z104" s="89">
        <f t="shared" si="40"/>
        <v>0</v>
      </c>
      <c r="AA104" s="89">
        <f t="shared" si="40"/>
        <v>0</v>
      </c>
      <c r="AB104" s="89">
        <f t="shared" si="40"/>
        <v>0</v>
      </c>
      <c r="AC104" s="89">
        <f t="shared" si="40"/>
        <v>0</v>
      </c>
      <c r="AD104" s="89">
        <f t="shared" si="40"/>
        <v>0</v>
      </c>
      <c r="AE104" s="89">
        <f t="shared" si="40"/>
        <v>0</v>
      </c>
      <c r="AF104" s="89">
        <f t="shared" si="40"/>
        <v>0</v>
      </c>
      <c r="AG104" s="111"/>
      <c r="AH104" s="48">
        <f t="shared" si="31"/>
        <v>0</v>
      </c>
      <c r="AI104" s="49">
        <f t="shared" si="32"/>
        <v>0</v>
      </c>
      <c r="BF104" s="81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97" t="s">
        <v>104</v>
      </c>
      <c r="B105" s="89">
        <f t="shared" ref="B105:AF105" si="41">IF(B81&lt;0,B81*-1,0)</f>
        <v>0</v>
      </c>
      <c r="C105" s="89">
        <f t="shared" si="41"/>
        <v>0</v>
      </c>
      <c r="D105" s="89">
        <f t="shared" si="41"/>
        <v>0</v>
      </c>
      <c r="E105" s="89">
        <f t="shared" si="41"/>
        <v>0</v>
      </c>
      <c r="F105" s="89">
        <f t="shared" si="41"/>
        <v>0</v>
      </c>
      <c r="G105" s="89">
        <f t="shared" si="41"/>
        <v>0</v>
      </c>
      <c r="H105" s="89">
        <f t="shared" si="41"/>
        <v>0</v>
      </c>
      <c r="I105" s="89">
        <f t="shared" si="41"/>
        <v>0</v>
      </c>
      <c r="J105" s="89">
        <f t="shared" si="41"/>
        <v>0</v>
      </c>
      <c r="K105" s="89">
        <f t="shared" si="41"/>
        <v>0</v>
      </c>
      <c r="L105" s="89">
        <f t="shared" si="41"/>
        <v>0</v>
      </c>
      <c r="M105" s="89">
        <f t="shared" si="41"/>
        <v>0</v>
      </c>
      <c r="N105" s="89">
        <f t="shared" si="41"/>
        <v>0</v>
      </c>
      <c r="O105" s="89">
        <f t="shared" si="41"/>
        <v>0</v>
      </c>
      <c r="P105" s="89">
        <f t="shared" si="41"/>
        <v>0</v>
      </c>
      <c r="Q105" s="89">
        <f t="shared" si="41"/>
        <v>0</v>
      </c>
      <c r="R105" s="89">
        <f t="shared" si="41"/>
        <v>0</v>
      </c>
      <c r="S105" s="89">
        <f t="shared" si="41"/>
        <v>0</v>
      </c>
      <c r="T105" s="89">
        <f t="shared" si="41"/>
        <v>0</v>
      </c>
      <c r="U105" s="89">
        <f t="shared" si="41"/>
        <v>0</v>
      </c>
      <c r="V105" s="89">
        <f t="shared" si="41"/>
        <v>0</v>
      </c>
      <c r="W105" s="89">
        <f t="shared" si="41"/>
        <v>0</v>
      </c>
      <c r="X105" s="89">
        <f t="shared" si="41"/>
        <v>0</v>
      </c>
      <c r="Y105" s="89">
        <f t="shared" si="41"/>
        <v>0</v>
      </c>
      <c r="Z105" s="89">
        <f t="shared" si="41"/>
        <v>0</v>
      </c>
      <c r="AA105" s="89">
        <f t="shared" si="41"/>
        <v>0</v>
      </c>
      <c r="AB105" s="89">
        <f t="shared" si="41"/>
        <v>0</v>
      </c>
      <c r="AC105" s="89">
        <f t="shared" si="41"/>
        <v>0</v>
      </c>
      <c r="AD105" s="89">
        <f t="shared" si="41"/>
        <v>0</v>
      </c>
      <c r="AE105" s="89">
        <f t="shared" si="41"/>
        <v>0</v>
      </c>
      <c r="AF105" s="89">
        <f t="shared" si="41"/>
        <v>0</v>
      </c>
      <c r="AG105" s="111"/>
      <c r="AH105" s="48">
        <f t="shared" si="31"/>
        <v>0</v>
      </c>
      <c r="AI105" s="49">
        <f t="shared" si="32"/>
        <v>0</v>
      </c>
      <c r="BF105" s="81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1"/>
        <v>0</v>
      </c>
      <c r="AI106" s="49">
        <f t="shared" si="32"/>
        <v>0</v>
      </c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112" t="s">
        <v>130</v>
      </c>
      <c r="B107" s="71">
        <f t="shared" ref="B107:AF107" si="42">SUM(B101:B106)</f>
        <v>0</v>
      </c>
      <c r="C107" s="71">
        <f t="shared" si="42"/>
        <v>0</v>
      </c>
      <c r="D107" s="71">
        <f t="shared" si="42"/>
        <v>0</v>
      </c>
      <c r="E107" s="71">
        <f t="shared" si="42"/>
        <v>0</v>
      </c>
      <c r="F107" s="71">
        <f t="shared" si="42"/>
        <v>0</v>
      </c>
      <c r="G107" s="71">
        <f t="shared" si="42"/>
        <v>0</v>
      </c>
      <c r="H107" s="71">
        <f t="shared" si="42"/>
        <v>0</v>
      </c>
      <c r="I107" s="71">
        <f t="shared" si="42"/>
        <v>0</v>
      </c>
      <c r="J107" s="71">
        <f t="shared" si="42"/>
        <v>0</v>
      </c>
      <c r="K107" s="71">
        <f t="shared" si="42"/>
        <v>0</v>
      </c>
      <c r="L107" s="71">
        <f t="shared" si="42"/>
        <v>0</v>
      </c>
      <c r="M107" s="71">
        <f t="shared" si="42"/>
        <v>0</v>
      </c>
      <c r="N107" s="71">
        <f t="shared" si="42"/>
        <v>0</v>
      </c>
      <c r="O107" s="71">
        <f t="shared" si="42"/>
        <v>0</v>
      </c>
      <c r="P107" s="71">
        <f t="shared" si="42"/>
        <v>0</v>
      </c>
      <c r="Q107" s="71">
        <f t="shared" si="42"/>
        <v>0</v>
      </c>
      <c r="R107" s="71">
        <f t="shared" si="42"/>
        <v>0</v>
      </c>
      <c r="S107" s="71">
        <f t="shared" si="42"/>
        <v>0</v>
      </c>
      <c r="T107" s="71">
        <f t="shared" si="42"/>
        <v>0</v>
      </c>
      <c r="U107" s="71">
        <f t="shared" si="42"/>
        <v>0</v>
      </c>
      <c r="V107" s="71">
        <f t="shared" si="42"/>
        <v>0</v>
      </c>
      <c r="W107" s="71">
        <f t="shared" si="42"/>
        <v>0</v>
      </c>
      <c r="X107" s="71">
        <f t="shared" si="42"/>
        <v>0</v>
      </c>
      <c r="Y107" s="71">
        <f t="shared" si="42"/>
        <v>0</v>
      </c>
      <c r="Z107" s="71">
        <f t="shared" si="42"/>
        <v>0</v>
      </c>
      <c r="AA107" s="71">
        <f t="shared" si="42"/>
        <v>0</v>
      </c>
      <c r="AB107" s="71">
        <f t="shared" si="42"/>
        <v>0</v>
      </c>
      <c r="AC107" s="71">
        <f t="shared" si="42"/>
        <v>0</v>
      </c>
      <c r="AD107" s="71">
        <f t="shared" si="42"/>
        <v>0</v>
      </c>
      <c r="AE107" s="71">
        <f t="shared" si="42"/>
        <v>0</v>
      </c>
      <c r="AF107" s="71">
        <f t="shared" si="42"/>
        <v>0</v>
      </c>
      <c r="AG107" s="101"/>
      <c r="AH107" s="48">
        <f t="shared" si="31"/>
        <v>0</v>
      </c>
      <c r="AI107" s="49">
        <f t="shared" si="32"/>
        <v>0</v>
      </c>
      <c r="AK107" s="51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131</v>
      </c>
      <c r="B108" s="71">
        <f t="shared" ref="B108:AF108" si="43">B92-B107</f>
        <v>0</v>
      </c>
      <c r="C108" s="71">
        <f t="shared" si="43"/>
        <v>0</v>
      </c>
      <c r="D108" s="71">
        <f t="shared" si="43"/>
        <v>0</v>
      </c>
      <c r="E108" s="71">
        <f t="shared" si="43"/>
        <v>0</v>
      </c>
      <c r="F108" s="71">
        <f t="shared" si="43"/>
        <v>0</v>
      </c>
      <c r="G108" s="71">
        <f t="shared" si="43"/>
        <v>0</v>
      </c>
      <c r="H108" s="71">
        <f t="shared" si="43"/>
        <v>0</v>
      </c>
      <c r="I108" s="71">
        <f t="shared" si="43"/>
        <v>0</v>
      </c>
      <c r="J108" s="71">
        <f t="shared" si="43"/>
        <v>0</v>
      </c>
      <c r="K108" s="71">
        <f t="shared" si="43"/>
        <v>0</v>
      </c>
      <c r="L108" s="71">
        <f t="shared" si="43"/>
        <v>0</v>
      </c>
      <c r="M108" s="71">
        <f t="shared" si="43"/>
        <v>0</v>
      </c>
      <c r="N108" s="71">
        <f t="shared" si="43"/>
        <v>0</v>
      </c>
      <c r="O108" s="71">
        <f t="shared" si="43"/>
        <v>0</v>
      </c>
      <c r="P108" s="71">
        <f t="shared" si="43"/>
        <v>0</v>
      </c>
      <c r="Q108" s="71">
        <f t="shared" si="43"/>
        <v>0</v>
      </c>
      <c r="R108" s="71">
        <f t="shared" si="43"/>
        <v>0</v>
      </c>
      <c r="S108" s="71">
        <f t="shared" si="43"/>
        <v>0</v>
      </c>
      <c r="T108" s="71">
        <f t="shared" si="43"/>
        <v>0</v>
      </c>
      <c r="U108" s="71">
        <f t="shared" si="43"/>
        <v>0</v>
      </c>
      <c r="V108" s="71">
        <f t="shared" si="43"/>
        <v>0</v>
      </c>
      <c r="W108" s="71">
        <f t="shared" si="43"/>
        <v>0</v>
      </c>
      <c r="X108" s="71">
        <f t="shared" si="43"/>
        <v>0</v>
      </c>
      <c r="Y108" s="71">
        <f t="shared" si="43"/>
        <v>0</v>
      </c>
      <c r="Z108" s="71">
        <f t="shared" si="43"/>
        <v>0</v>
      </c>
      <c r="AA108" s="71">
        <f t="shared" si="43"/>
        <v>0</v>
      </c>
      <c r="AB108" s="71">
        <f t="shared" si="43"/>
        <v>0</v>
      </c>
      <c r="AC108" s="71">
        <f t="shared" si="43"/>
        <v>0</v>
      </c>
      <c r="AD108" s="71">
        <f t="shared" si="43"/>
        <v>0</v>
      </c>
      <c r="AE108" s="71">
        <f t="shared" si="43"/>
        <v>0</v>
      </c>
      <c r="AF108" s="71">
        <f t="shared" si="43"/>
        <v>0</v>
      </c>
      <c r="AG108" s="101"/>
      <c r="AH108" s="48">
        <f t="shared" si="31"/>
        <v>0</v>
      </c>
      <c r="AI108" s="49">
        <f t="shared" si="32"/>
        <v>0</v>
      </c>
    </row>
    <row r="109" spans="1:64" x14ac:dyDescent="0.25">
      <c r="A109" s="113" t="s">
        <v>132</v>
      </c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5"/>
      <c r="AH109" s="48">
        <f t="shared" si="31"/>
        <v>0</v>
      </c>
      <c r="AI109" s="49">
        <f t="shared" si="32"/>
        <v>0</v>
      </c>
    </row>
    <row r="110" spans="1:64" x14ac:dyDescent="0.25">
      <c r="A110" s="116" t="s">
        <v>133</v>
      </c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117"/>
      <c r="AH110" s="48">
        <f t="shared" si="31"/>
        <v>0</v>
      </c>
      <c r="AI110" s="49">
        <f t="shared" si="32"/>
        <v>0</v>
      </c>
    </row>
    <row r="111" spans="1:64" x14ac:dyDescent="0.25">
      <c r="A111" s="116" t="s">
        <v>134</v>
      </c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117"/>
      <c r="AH111" s="48">
        <f t="shared" si="31"/>
        <v>0</v>
      </c>
      <c r="AI111" s="49">
        <f t="shared" si="32"/>
        <v>0</v>
      </c>
    </row>
    <row r="112" spans="1:64" x14ac:dyDescent="0.25">
      <c r="A112" s="116" t="s">
        <v>135</v>
      </c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117"/>
      <c r="AH112" s="48">
        <f t="shared" si="31"/>
        <v>0</v>
      </c>
      <c r="AI112" s="49">
        <f t="shared" si="32"/>
        <v>0</v>
      </c>
    </row>
    <row r="113" spans="1:35" x14ac:dyDescent="0.25">
      <c r="A113" s="118" t="s">
        <v>136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31"/>
        <v>0</v>
      </c>
      <c r="AI113" s="49">
        <f t="shared" si="32"/>
        <v>0</v>
      </c>
    </row>
    <row r="114" spans="1:35" x14ac:dyDescent="0.25">
      <c r="A114" s="118" t="s">
        <v>137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20"/>
      <c r="AH114" s="48">
        <f t="shared" si="31"/>
        <v>0</v>
      </c>
      <c r="AI114" s="49">
        <f t="shared" si="32"/>
        <v>0</v>
      </c>
    </row>
    <row r="115" spans="1:35" x14ac:dyDescent="0.25">
      <c r="A115" s="116" t="s">
        <v>138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117"/>
      <c r="AH115" s="48">
        <f t="shared" si="31"/>
        <v>0</v>
      </c>
      <c r="AI115" s="49">
        <f t="shared" si="32"/>
        <v>0</v>
      </c>
    </row>
    <row r="116" spans="1:35" ht="15.75" thickBot="1" x14ac:dyDescent="0.3">
      <c r="A116" s="116" t="s">
        <v>139</v>
      </c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21"/>
      <c r="AH116" s="48">
        <f t="shared" si="31"/>
        <v>0</v>
      </c>
      <c r="AI116" s="49">
        <f t="shared" si="32"/>
        <v>0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1"/>
        <v>0</v>
      </c>
      <c r="AI117" s="49">
        <f t="shared" si="32"/>
        <v>0</v>
      </c>
    </row>
    <row r="118" spans="1:35" ht="15.75" thickBot="1" x14ac:dyDescent="0.3">
      <c r="A118" s="123" t="s">
        <v>141</v>
      </c>
      <c r="B118" s="124">
        <f t="shared" ref="B118:O118" si="44">SUM(B22,B28,B31:B32,B66,B68:B69,B71,B73,B119:B123,B155,B161,B167,B176,B178,B190,B197,B200:B201,B208,B210,B212,B216:B218,B220:B222,B227,B233:B234,B236:B238,B246,B251)</f>
        <v>0.94</v>
      </c>
      <c r="C118" s="124">
        <f t="shared" si="44"/>
        <v>0.94</v>
      </c>
      <c r="D118" s="124">
        <f t="shared" si="44"/>
        <v>0.94</v>
      </c>
      <c r="E118" s="124">
        <f t="shared" si="44"/>
        <v>0.94</v>
      </c>
      <c r="F118" s="124">
        <f t="shared" si="44"/>
        <v>0.94</v>
      </c>
      <c r="G118" s="124">
        <f t="shared" si="44"/>
        <v>0.94</v>
      </c>
      <c r="H118" s="124">
        <f t="shared" si="44"/>
        <v>0.94</v>
      </c>
      <c r="I118" s="124">
        <f t="shared" si="44"/>
        <v>0.94</v>
      </c>
      <c r="J118" s="124">
        <f t="shared" si="44"/>
        <v>0.94</v>
      </c>
      <c r="K118" s="124">
        <f t="shared" si="44"/>
        <v>0.94</v>
      </c>
      <c r="L118" s="124">
        <f t="shared" si="44"/>
        <v>0.94</v>
      </c>
      <c r="M118" s="124">
        <f t="shared" si="44"/>
        <v>0.94</v>
      </c>
      <c r="N118" s="124">
        <f t="shared" si="44"/>
        <v>0.94</v>
      </c>
      <c r="O118" s="124">
        <f t="shared" si="44"/>
        <v>0.94</v>
      </c>
      <c r="P118" s="124">
        <v>42</v>
      </c>
      <c r="Q118" s="124">
        <f t="shared" ref="Q118:X118" si="45">SUM(Q22,Q28,Q31:Q32,Q66,Q68:Q69,Q71,Q73,Q119:Q123,Q155,Q161,Q167,Q176,Q178,Q190,Q197,Q200:Q201,Q208,Q210,Q212,Q216:Q218,Q220:Q222,Q227,Q233:Q234,Q236:Q238,Q246,Q251)</f>
        <v>0.94</v>
      </c>
      <c r="R118" s="124">
        <f t="shared" si="45"/>
        <v>0.94</v>
      </c>
      <c r="S118" s="124">
        <f t="shared" si="45"/>
        <v>0.94</v>
      </c>
      <c r="T118" s="124">
        <f t="shared" si="45"/>
        <v>0.94</v>
      </c>
      <c r="U118" s="124">
        <f t="shared" si="45"/>
        <v>0.94</v>
      </c>
      <c r="V118" s="124">
        <f t="shared" si="45"/>
        <v>0.94</v>
      </c>
      <c r="W118" s="124">
        <f t="shared" si="45"/>
        <v>0.94</v>
      </c>
      <c r="X118" s="124">
        <f t="shared" si="45"/>
        <v>0.94</v>
      </c>
      <c r="Y118" s="124">
        <f>SUM(Y20,Y26,Y37:Y38,Y66,Y68:Y69,Y71,Y73,Y119:Y123,Y148,Y154,Y160,Y169,Y171,Y183,Y190,Y193:Y194,Y201,Y203,Y205,Y209:Y211,Y213:Y215,Y220,Y226:Y227,Y229:Y231,Y239,Y244)</f>
        <v>0</v>
      </c>
      <c r="Z118" s="124">
        <f>SUM(Z20,Z26,Z37:Z38,Z66,Z68:Z69,Z71,Z73,Z119:Z123,Z148,Z154,Z160,Z169,Z171,Z183,Z190,Z193:Z194,Z201,Z203,Z205,Z209:Z211,Z213:Z215,Z220,Z226:Z227,Z229:Z231,Z239,Z244)</f>
        <v>0</v>
      </c>
      <c r="AA118" s="124">
        <f t="shared" ref="AA118:AF118" si="46">SUM(AA22,AA28,AA31:AA32,AA66,AA68:AA69,AA71,AA73,AA119:AA123,AA155,AA161,AA167,AA176,AA178,AA190,AA197,AA200:AA201,AA208,AA210,AA212,AA216:AA218,AA220:AA222,AA227,AA233:AA234,AA236:AA238,AA246,AA251)</f>
        <v>0.94</v>
      </c>
      <c r="AB118" s="124">
        <f t="shared" si="46"/>
        <v>0.94</v>
      </c>
      <c r="AC118" s="124">
        <f t="shared" si="46"/>
        <v>0.94</v>
      </c>
      <c r="AD118" s="124">
        <f t="shared" si="46"/>
        <v>0.94</v>
      </c>
      <c r="AE118" s="124">
        <f t="shared" si="46"/>
        <v>0.94</v>
      </c>
      <c r="AF118" s="124">
        <f t="shared" si="46"/>
        <v>0.94</v>
      </c>
      <c r="AG118" s="125"/>
      <c r="AH118" s="48">
        <f t="shared" si="31"/>
        <v>42</v>
      </c>
      <c r="AI118" s="49">
        <f t="shared" si="32"/>
        <v>0</v>
      </c>
    </row>
    <row r="119" spans="1:35" x14ac:dyDescent="0.25">
      <c r="A119" s="126" t="s">
        <v>142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8">
        <v>75</v>
      </c>
      <c r="AH119" s="48">
        <f t="shared" si="31"/>
        <v>0</v>
      </c>
      <c r="AI119" s="49">
        <f t="shared" si="32"/>
        <v>0</v>
      </c>
    </row>
    <row r="120" spans="1:35" x14ac:dyDescent="0.25">
      <c r="A120" s="129" t="s">
        <v>143</v>
      </c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28">
        <v>240</v>
      </c>
      <c r="AH120" s="48">
        <f t="shared" si="31"/>
        <v>0</v>
      </c>
      <c r="AI120" s="49">
        <f t="shared" si="32"/>
        <v>0</v>
      </c>
    </row>
    <row r="121" spans="1:35" x14ac:dyDescent="0.25">
      <c r="A121" s="129" t="s">
        <v>144</v>
      </c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28">
        <v>240</v>
      </c>
      <c r="AH121" s="48">
        <f t="shared" si="31"/>
        <v>0</v>
      </c>
      <c r="AI121" s="49">
        <f t="shared" si="32"/>
        <v>0</v>
      </c>
    </row>
    <row r="122" spans="1:35" ht="15.75" thickBot="1" x14ac:dyDescent="0.3">
      <c r="A122" s="129" t="s">
        <v>145</v>
      </c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28">
        <v>60</v>
      </c>
      <c r="AH122" s="48">
        <f t="shared" si="31"/>
        <v>0</v>
      </c>
      <c r="AI122" s="49">
        <f t="shared" si="32"/>
        <v>0</v>
      </c>
    </row>
    <row r="123" spans="1:35" x14ac:dyDescent="0.25">
      <c r="A123" s="126" t="s">
        <v>146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2">
        <v>120</v>
      </c>
      <c r="AH123" s="48">
        <f t="shared" si="31"/>
        <v>0</v>
      </c>
      <c r="AI123" s="49">
        <f t="shared" si="32"/>
        <v>0</v>
      </c>
    </row>
    <row r="124" spans="1:35" x14ac:dyDescent="0.25">
      <c r="A124" s="129" t="s">
        <v>147</v>
      </c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2"/>
      <c r="AH124" s="48"/>
      <c r="AI124" s="49"/>
    </row>
    <row r="125" spans="1:35" x14ac:dyDescent="0.25">
      <c r="A125" s="129" t="s">
        <v>148</v>
      </c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2"/>
      <c r="AH125" s="48"/>
      <c r="AI125" s="49"/>
    </row>
    <row r="126" spans="1:35" ht="15.75" thickBot="1" x14ac:dyDescent="0.3">
      <c r="A126" s="129" t="s">
        <v>149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28"/>
      <c r="AH126" s="48">
        <f>MAX(B126:AF126)</f>
        <v>0</v>
      </c>
      <c r="AI126" s="49">
        <f>MIN(B126:AF126)</f>
        <v>0</v>
      </c>
    </row>
    <row r="127" spans="1:35" x14ac:dyDescent="0.25">
      <c r="A127" s="126" t="s">
        <v>150</v>
      </c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28"/>
      <c r="AH127" s="48">
        <f>MAX(B127:AF127)</f>
        <v>0</v>
      </c>
      <c r="AI127" s="49">
        <f>MIN(B127:AF127)</f>
        <v>0</v>
      </c>
    </row>
    <row r="128" spans="1:35" x14ac:dyDescent="0.25">
      <c r="A128" s="129" t="s">
        <v>151</v>
      </c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28"/>
      <c r="AH128" s="48">
        <f>MAX(B128:AF128)</f>
        <v>0</v>
      </c>
      <c r="AI128" s="49">
        <f>MIN(B128:AF128)</f>
        <v>0</v>
      </c>
    </row>
    <row r="129" spans="1:37" x14ac:dyDescent="0.25">
      <c r="A129" s="129" t="s">
        <v>152</v>
      </c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28"/>
      <c r="AH129" s="48">
        <f>MAX(B129:AF129)</f>
        <v>0</v>
      </c>
      <c r="AI129" s="49">
        <f>MIN(B129:AF129)</f>
        <v>0</v>
      </c>
    </row>
    <row r="130" spans="1:37" ht="15.75" thickBot="1" x14ac:dyDescent="0.3">
      <c r="A130" s="129" t="s">
        <v>153</v>
      </c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28"/>
      <c r="AH130" s="48">
        <f>MAX(B130:AF130)</f>
        <v>0</v>
      </c>
      <c r="AI130" s="49">
        <f>MIN(B130:AF130)</f>
        <v>0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8"/>
      <c r="AG132" s="139"/>
      <c r="AH132" s="48"/>
      <c r="AI132" s="49"/>
    </row>
    <row r="133" spans="1:37" x14ac:dyDescent="0.25">
      <c r="A133" s="136" t="s">
        <v>156</v>
      </c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1"/>
      <c r="AG133" s="139"/>
      <c r="AH133" s="48"/>
      <c r="AI133" s="49"/>
    </row>
    <row r="134" spans="1:37" x14ac:dyDescent="0.25">
      <c r="A134" s="136" t="s">
        <v>157</v>
      </c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1"/>
      <c r="AG134" s="139"/>
      <c r="AH134" s="48"/>
      <c r="AI134" s="49"/>
    </row>
    <row r="135" spans="1:37" x14ac:dyDescent="0.25">
      <c r="A135" s="136" t="s">
        <v>158</v>
      </c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1"/>
      <c r="AG135" s="139"/>
      <c r="AH135" s="48"/>
      <c r="AI135" s="49"/>
    </row>
    <row r="136" spans="1:37" x14ac:dyDescent="0.25">
      <c r="A136" s="136" t="s">
        <v>159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7">SUM(B139:B243)</f>
        <v>0</v>
      </c>
      <c r="C244" s="161">
        <f t="shared" si="47"/>
        <v>0</v>
      </c>
      <c r="D244" s="161">
        <f t="shared" si="47"/>
        <v>0</v>
      </c>
      <c r="E244" s="161">
        <f t="shared" si="47"/>
        <v>0</v>
      </c>
      <c r="F244" s="161">
        <f t="shared" si="47"/>
        <v>0</v>
      </c>
      <c r="G244" s="161">
        <f t="shared" si="47"/>
        <v>0</v>
      </c>
      <c r="H244" s="161">
        <f t="shared" si="47"/>
        <v>0</v>
      </c>
      <c r="I244" s="161">
        <f t="shared" si="47"/>
        <v>0</v>
      </c>
      <c r="J244" s="161">
        <f t="shared" si="47"/>
        <v>0</v>
      </c>
      <c r="K244" s="161">
        <f t="shared" si="47"/>
        <v>0</v>
      </c>
      <c r="L244" s="161">
        <f t="shared" si="47"/>
        <v>0</v>
      </c>
      <c r="M244" s="161">
        <f t="shared" si="47"/>
        <v>0</v>
      </c>
      <c r="N244" s="161">
        <f t="shared" si="47"/>
        <v>0</v>
      </c>
      <c r="O244" s="161">
        <f t="shared" si="47"/>
        <v>0</v>
      </c>
      <c r="P244" s="161">
        <f t="shared" si="47"/>
        <v>0</v>
      </c>
      <c r="Q244" s="161">
        <f t="shared" si="47"/>
        <v>0</v>
      </c>
      <c r="R244" s="161">
        <f t="shared" si="47"/>
        <v>0</v>
      </c>
      <c r="S244" s="161">
        <f t="shared" si="47"/>
        <v>0</v>
      </c>
      <c r="T244" s="161">
        <f t="shared" si="47"/>
        <v>0</v>
      </c>
      <c r="U244" s="161">
        <f t="shared" si="47"/>
        <v>0</v>
      </c>
      <c r="V244" s="161">
        <f t="shared" si="47"/>
        <v>0</v>
      </c>
      <c r="W244" s="161">
        <f t="shared" si="47"/>
        <v>0</v>
      </c>
      <c r="X244" s="161">
        <f t="shared" si="47"/>
        <v>0</v>
      </c>
      <c r="Y244" s="161">
        <f t="shared" si="47"/>
        <v>0</v>
      </c>
      <c r="Z244" s="161">
        <f t="shared" si="47"/>
        <v>0</v>
      </c>
      <c r="AA244" s="161">
        <f t="shared" si="47"/>
        <v>0</v>
      </c>
      <c r="AB244" s="161">
        <f t="shared" si="47"/>
        <v>0</v>
      </c>
      <c r="AC244" s="161">
        <f t="shared" si="47"/>
        <v>0</v>
      </c>
      <c r="AD244" s="161">
        <f t="shared" si="47"/>
        <v>0</v>
      </c>
      <c r="AE244" s="161">
        <f t="shared" si="47"/>
        <v>0</v>
      </c>
      <c r="AF244" s="162">
        <f t="shared" si="47"/>
        <v>0</v>
      </c>
      <c r="AG244" s="163">
        <f t="shared" si="4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8">AF246</f>
        <v>0.3</v>
      </c>
      <c r="C246" s="166">
        <v>0.3</v>
      </c>
      <c r="D246" s="166">
        <f t="shared" ref="D246:AF251" si="49">C246</f>
        <v>0.3</v>
      </c>
      <c r="E246" s="166">
        <f t="shared" si="49"/>
        <v>0.3</v>
      </c>
      <c r="F246" s="166">
        <f t="shared" si="49"/>
        <v>0.3</v>
      </c>
      <c r="G246" s="166">
        <f t="shared" si="49"/>
        <v>0.3</v>
      </c>
      <c r="H246" s="166">
        <f t="shared" si="49"/>
        <v>0.3</v>
      </c>
      <c r="I246" s="166">
        <f t="shared" si="49"/>
        <v>0.3</v>
      </c>
      <c r="J246" s="166">
        <f t="shared" si="49"/>
        <v>0.3</v>
      </c>
      <c r="K246" s="166">
        <f t="shared" si="49"/>
        <v>0.3</v>
      </c>
      <c r="L246" s="166">
        <f t="shared" si="49"/>
        <v>0.3</v>
      </c>
      <c r="M246" s="166">
        <f t="shared" si="49"/>
        <v>0.3</v>
      </c>
      <c r="N246" s="166">
        <f t="shared" si="49"/>
        <v>0.3</v>
      </c>
      <c r="O246" s="166">
        <f t="shared" si="49"/>
        <v>0.3</v>
      </c>
      <c r="P246" s="166">
        <f t="shared" si="49"/>
        <v>0.3</v>
      </c>
      <c r="Q246" s="166">
        <f t="shared" si="49"/>
        <v>0.3</v>
      </c>
      <c r="R246" s="166">
        <f t="shared" si="49"/>
        <v>0.3</v>
      </c>
      <c r="S246" s="166">
        <f t="shared" si="49"/>
        <v>0.3</v>
      </c>
      <c r="T246" s="166">
        <f t="shared" si="49"/>
        <v>0.3</v>
      </c>
      <c r="U246" s="166">
        <f t="shared" si="49"/>
        <v>0.3</v>
      </c>
      <c r="V246" s="166">
        <f t="shared" si="49"/>
        <v>0.3</v>
      </c>
      <c r="W246" s="166">
        <f t="shared" si="49"/>
        <v>0.3</v>
      </c>
      <c r="X246" s="166">
        <f t="shared" si="49"/>
        <v>0.3</v>
      </c>
      <c r="Y246" s="166">
        <f t="shared" si="49"/>
        <v>0.3</v>
      </c>
      <c r="Z246" s="166">
        <f t="shared" si="49"/>
        <v>0.3</v>
      </c>
      <c r="AA246" s="166">
        <f t="shared" si="49"/>
        <v>0.3</v>
      </c>
      <c r="AB246" s="166">
        <f t="shared" si="49"/>
        <v>0.3</v>
      </c>
      <c r="AC246" s="166">
        <f t="shared" si="49"/>
        <v>0.3</v>
      </c>
      <c r="AD246" s="166">
        <f t="shared" si="49"/>
        <v>0.3</v>
      </c>
      <c r="AE246" s="166">
        <f t="shared" si="49"/>
        <v>0.3</v>
      </c>
      <c r="AF246" s="166">
        <f t="shared" si="49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8"/>
        <v>0.4</v>
      </c>
      <c r="C247" s="152">
        <v>0.4</v>
      </c>
      <c r="D247" s="152">
        <f t="shared" si="49"/>
        <v>0.4</v>
      </c>
      <c r="E247" s="152">
        <f t="shared" si="49"/>
        <v>0.4</v>
      </c>
      <c r="F247" s="152">
        <f t="shared" si="49"/>
        <v>0.4</v>
      </c>
      <c r="G247" s="152">
        <f t="shared" si="49"/>
        <v>0.4</v>
      </c>
      <c r="H247" s="152">
        <f t="shared" si="49"/>
        <v>0.4</v>
      </c>
      <c r="I247" s="152">
        <f t="shared" si="49"/>
        <v>0.4</v>
      </c>
      <c r="J247" s="152">
        <f t="shared" si="49"/>
        <v>0.4</v>
      </c>
      <c r="K247" s="152">
        <f t="shared" si="49"/>
        <v>0.4</v>
      </c>
      <c r="L247" s="152">
        <f t="shared" si="49"/>
        <v>0.4</v>
      </c>
      <c r="M247" s="152">
        <f t="shared" si="49"/>
        <v>0.4</v>
      </c>
      <c r="N247" s="152">
        <f t="shared" si="49"/>
        <v>0.4</v>
      </c>
      <c r="O247" s="152">
        <f t="shared" si="49"/>
        <v>0.4</v>
      </c>
      <c r="P247" s="152">
        <f t="shared" si="49"/>
        <v>0.4</v>
      </c>
      <c r="Q247" s="152">
        <f t="shared" si="49"/>
        <v>0.4</v>
      </c>
      <c r="R247" s="152">
        <f t="shared" si="49"/>
        <v>0.4</v>
      </c>
      <c r="S247" s="152">
        <f t="shared" si="49"/>
        <v>0.4</v>
      </c>
      <c r="T247" s="152">
        <f t="shared" si="49"/>
        <v>0.4</v>
      </c>
      <c r="U247" s="152">
        <f t="shared" si="49"/>
        <v>0.4</v>
      </c>
      <c r="V247" s="152">
        <f t="shared" si="49"/>
        <v>0.4</v>
      </c>
      <c r="W247" s="152">
        <f t="shared" si="49"/>
        <v>0.4</v>
      </c>
      <c r="X247" s="152">
        <f t="shared" si="49"/>
        <v>0.4</v>
      </c>
      <c r="Y247" s="152">
        <f t="shared" si="49"/>
        <v>0.4</v>
      </c>
      <c r="Z247" s="152">
        <f t="shared" si="49"/>
        <v>0.4</v>
      </c>
      <c r="AA247" s="152">
        <f t="shared" si="49"/>
        <v>0.4</v>
      </c>
      <c r="AB247" s="152">
        <f t="shared" si="49"/>
        <v>0.4</v>
      </c>
      <c r="AC247" s="152">
        <f t="shared" si="49"/>
        <v>0.4</v>
      </c>
      <c r="AD247" s="152">
        <f t="shared" si="49"/>
        <v>0.4</v>
      </c>
      <c r="AE247" s="152">
        <f t="shared" si="49"/>
        <v>0.4</v>
      </c>
      <c r="AF247" s="152">
        <f t="shared" si="49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8"/>
        <v>1.5</v>
      </c>
      <c r="C248" s="152">
        <v>1.5</v>
      </c>
      <c r="D248" s="152">
        <f t="shared" si="49"/>
        <v>1.5</v>
      </c>
      <c r="E248" s="152">
        <f t="shared" si="49"/>
        <v>1.5</v>
      </c>
      <c r="F248" s="152">
        <f t="shared" si="49"/>
        <v>1.5</v>
      </c>
      <c r="G248" s="152">
        <f t="shared" si="49"/>
        <v>1.5</v>
      </c>
      <c r="H248" s="152">
        <f t="shared" si="49"/>
        <v>1.5</v>
      </c>
      <c r="I248" s="152">
        <f t="shared" si="49"/>
        <v>1.5</v>
      </c>
      <c r="J248" s="152">
        <f t="shared" si="49"/>
        <v>1.5</v>
      </c>
      <c r="K248" s="152">
        <f t="shared" si="49"/>
        <v>1.5</v>
      </c>
      <c r="L248" s="152">
        <f t="shared" si="49"/>
        <v>1.5</v>
      </c>
      <c r="M248" s="152">
        <f t="shared" si="49"/>
        <v>1.5</v>
      </c>
      <c r="N248" s="152">
        <f t="shared" si="49"/>
        <v>1.5</v>
      </c>
      <c r="O248" s="152">
        <f t="shared" si="49"/>
        <v>1.5</v>
      </c>
      <c r="P248" s="152">
        <f t="shared" si="49"/>
        <v>1.5</v>
      </c>
      <c r="Q248" s="152">
        <f t="shared" si="49"/>
        <v>1.5</v>
      </c>
      <c r="R248" s="152">
        <f t="shared" si="49"/>
        <v>1.5</v>
      </c>
      <c r="S248" s="152">
        <f t="shared" si="49"/>
        <v>1.5</v>
      </c>
      <c r="T248" s="152">
        <f t="shared" si="49"/>
        <v>1.5</v>
      </c>
      <c r="U248" s="152">
        <f t="shared" si="49"/>
        <v>1.5</v>
      </c>
      <c r="V248" s="152">
        <f t="shared" si="49"/>
        <v>1.5</v>
      </c>
      <c r="W248" s="152">
        <f t="shared" si="49"/>
        <v>1.5</v>
      </c>
      <c r="X248" s="152">
        <f t="shared" si="49"/>
        <v>1.5</v>
      </c>
      <c r="Y248" s="152">
        <f t="shared" si="49"/>
        <v>1.5</v>
      </c>
      <c r="Z248" s="152">
        <f t="shared" si="49"/>
        <v>1.5</v>
      </c>
      <c r="AA248" s="152">
        <f t="shared" si="49"/>
        <v>1.5</v>
      </c>
      <c r="AB248" s="152">
        <f t="shared" si="49"/>
        <v>1.5</v>
      </c>
      <c r="AC248" s="152">
        <f t="shared" si="49"/>
        <v>1.5</v>
      </c>
      <c r="AD248" s="152">
        <f t="shared" si="49"/>
        <v>1.5</v>
      </c>
      <c r="AE248" s="152">
        <f t="shared" si="49"/>
        <v>1.5</v>
      </c>
      <c r="AF248" s="152">
        <f t="shared" si="49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8"/>
        <v>0.3</v>
      </c>
      <c r="C249" s="152">
        <v>0.3</v>
      </c>
      <c r="D249" s="152">
        <f t="shared" si="49"/>
        <v>0.3</v>
      </c>
      <c r="E249" s="152">
        <f t="shared" si="49"/>
        <v>0.3</v>
      </c>
      <c r="F249" s="152">
        <f t="shared" si="49"/>
        <v>0.3</v>
      </c>
      <c r="G249" s="152">
        <f t="shared" si="49"/>
        <v>0.3</v>
      </c>
      <c r="H249" s="152">
        <f t="shared" si="49"/>
        <v>0.3</v>
      </c>
      <c r="I249" s="152">
        <f t="shared" si="49"/>
        <v>0.3</v>
      </c>
      <c r="J249" s="152">
        <f t="shared" si="49"/>
        <v>0.3</v>
      </c>
      <c r="K249" s="152">
        <f t="shared" si="49"/>
        <v>0.3</v>
      </c>
      <c r="L249" s="152">
        <f t="shared" si="49"/>
        <v>0.3</v>
      </c>
      <c r="M249" s="152">
        <f t="shared" si="49"/>
        <v>0.3</v>
      </c>
      <c r="N249" s="152">
        <f t="shared" si="49"/>
        <v>0.3</v>
      </c>
      <c r="O249" s="152">
        <f t="shared" si="49"/>
        <v>0.3</v>
      </c>
      <c r="P249" s="152">
        <f t="shared" si="49"/>
        <v>0.3</v>
      </c>
      <c r="Q249" s="152">
        <f t="shared" si="49"/>
        <v>0.3</v>
      </c>
      <c r="R249" s="152">
        <f t="shared" si="49"/>
        <v>0.3</v>
      </c>
      <c r="S249" s="152">
        <f t="shared" si="49"/>
        <v>0.3</v>
      </c>
      <c r="T249" s="152">
        <f t="shared" si="49"/>
        <v>0.3</v>
      </c>
      <c r="U249" s="152">
        <f t="shared" si="49"/>
        <v>0.3</v>
      </c>
      <c r="V249" s="152">
        <f t="shared" si="49"/>
        <v>0.3</v>
      </c>
      <c r="W249" s="152">
        <f t="shared" si="49"/>
        <v>0.3</v>
      </c>
      <c r="X249" s="152">
        <f t="shared" si="49"/>
        <v>0.3</v>
      </c>
      <c r="Y249" s="152">
        <f t="shared" si="49"/>
        <v>0.3</v>
      </c>
      <c r="Z249" s="152">
        <f t="shared" si="49"/>
        <v>0.3</v>
      </c>
      <c r="AA249" s="152">
        <f t="shared" si="49"/>
        <v>0.3</v>
      </c>
      <c r="AB249" s="152">
        <f t="shared" si="49"/>
        <v>0.3</v>
      </c>
      <c r="AC249" s="152">
        <f t="shared" si="49"/>
        <v>0.3</v>
      </c>
      <c r="AD249" s="152">
        <f t="shared" si="49"/>
        <v>0.3</v>
      </c>
      <c r="AE249" s="152">
        <f t="shared" si="49"/>
        <v>0.3</v>
      </c>
      <c r="AF249" s="152">
        <f t="shared" si="49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8"/>
        <v>0.4</v>
      </c>
      <c r="C250" s="152">
        <v>0.4</v>
      </c>
      <c r="D250" s="152">
        <f t="shared" si="49"/>
        <v>0.4</v>
      </c>
      <c r="E250" s="152">
        <f t="shared" si="49"/>
        <v>0.4</v>
      </c>
      <c r="F250" s="152">
        <f t="shared" si="49"/>
        <v>0.4</v>
      </c>
      <c r="G250" s="152">
        <f t="shared" si="49"/>
        <v>0.4</v>
      </c>
      <c r="H250" s="152">
        <f t="shared" si="49"/>
        <v>0.4</v>
      </c>
      <c r="I250" s="152">
        <f t="shared" si="49"/>
        <v>0.4</v>
      </c>
      <c r="J250" s="152">
        <f t="shared" si="49"/>
        <v>0.4</v>
      </c>
      <c r="K250" s="152">
        <f t="shared" si="49"/>
        <v>0.4</v>
      </c>
      <c r="L250" s="152">
        <f t="shared" si="49"/>
        <v>0.4</v>
      </c>
      <c r="M250" s="152">
        <f t="shared" si="49"/>
        <v>0.4</v>
      </c>
      <c r="N250" s="152">
        <f t="shared" si="49"/>
        <v>0.4</v>
      </c>
      <c r="O250" s="152">
        <f t="shared" si="49"/>
        <v>0.4</v>
      </c>
      <c r="P250" s="152">
        <f t="shared" si="49"/>
        <v>0.4</v>
      </c>
      <c r="Q250" s="152">
        <f t="shared" si="49"/>
        <v>0.4</v>
      </c>
      <c r="R250" s="152">
        <f t="shared" si="49"/>
        <v>0.4</v>
      </c>
      <c r="S250" s="152">
        <f t="shared" si="49"/>
        <v>0.4</v>
      </c>
      <c r="T250" s="152">
        <f t="shared" si="49"/>
        <v>0.4</v>
      </c>
      <c r="U250" s="152">
        <f t="shared" si="49"/>
        <v>0.4</v>
      </c>
      <c r="V250" s="152">
        <f t="shared" si="49"/>
        <v>0.4</v>
      </c>
      <c r="W250" s="152">
        <f t="shared" si="49"/>
        <v>0.4</v>
      </c>
      <c r="X250" s="152">
        <f t="shared" si="49"/>
        <v>0.4</v>
      </c>
      <c r="Y250" s="152">
        <f t="shared" si="49"/>
        <v>0.4</v>
      </c>
      <c r="Z250" s="152">
        <f t="shared" si="49"/>
        <v>0.4</v>
      </c>
      <c r="AA250" s="152">
        <f t="shared" si="49"/>
        <v>0.4</v>
      </c>
      <c r="AB250" s="152">
        <f t="shared" si="49"/>
        <v>0.4</v>
      </c>
      <c r="AC250" s="152">
        <f t="shared" si="49"/>
        <v>0.4</v>
      </c>
      <c r="AD250" s="152">
        <f t="shared" si="49"/>
        <v>0.4</v>
      </c>
      <c r="AE250" s="152">
        <f t="shared" si="49"/>
        <v>0.4</v>
      </c>
      <c r="AF250" s="152">
        <f t="shared" si="49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8"/>
        <v>0.64</v>
      </c>
      <c r="C251" s="157">
        <v>0.64</v>
      </c>
      <c r="D251" s="157">
        <f t="shared" si="49"/>
        <v>0.64</v>
      </c>
      <c r="E251" s="157">
        <f t="shared" si="49"/>
        <v>0.64</v>
      </c>
      <c r="F251" s="157">
        <f t="shared" si="49"/>
        <v>0.64</v>
      </c>
      <c r="G251" s="157">
        <f t="shared" si="49"/>
        <v>0.64</v>
      </c>
      <c r="H251" s="157">
        <f t="shared" si="49"/>
        <v>0.64</v>
      </c>
      <c r="I251" s="157">
        <f t="shared" si="49"/>
        <v>0.64</v>
      </c>
      <c r="J251" s="157">
        <f t="shared" si="49"/>
        <v>0.64</v>
      </c>
      <c r="K251" s="157">
        <f t="shared" si="49"/>
        <v>0.64</v>
      </c>
      <c r="L251" s="157">
        <f t="shared" si="49"/>
        <v>0.64</v>
      </c>
      <c r="M251" s="157">
        <f t="shared" si="49"/>
        <v>0.64</v>
      </c>
      <c r="N251" s="157">
        <f t="shared" si="49"/>
        <v>0.64</v>
      </c>
      <c r="O251" s="157">
        <f t="shared" si="49"/>
        <v>0.64</v>
      </c>
      <c r="P251" s="157">
        <f t="shared" si="49"/>
        <v>0.64</v>
      </c>
      <c r="Q251" s="157">
        <f t="shared" si="49"/>
        <v>0.64</v>
      </c>
      <c r="R251" s="157">
        <f t="shared" si="49"/>
        <v>0.64</v>
      </c>
      <c r="S251" s="157">
        <f t="shared" si="49"/>
        <v>0.64</v>
      </c>
      <c r="T251" s="157">
        <f t="shared" si="49"/>
        <v>0.64</v>
      </c>
      <c r="U251" s="157">
        <f t="shared" si="49"/>
        <v>0.64</v>
      </c>
      <c r="V251" s="157">
        <f t="shared" si="49"/>
        <v>0.64</v>
      </c>
      <c r="W251" s="157">
        <f t="shared" si="49"/>
        <v>0.64</v>
      </c>
      <c r="X251" s="157">
        <f t="shared" si="49"/>
        <v>0.64</v>
      </c>
      <c r="Y251" s="157">
        <f t="shared" si="49"/>
        <v>0.64</v>
      </c>
      <c r="Z251" s="157">
        <f t="shared" si="49"/>
        <v>0.64</v>
      </c>
      <c r="AA251" s="157">
        <f t="shared" si="49"/>
        <v>0.64</v>
      </c>
      <c r="AB251" s="157">
        <f t="shared" si="49"/>
        <v>0.64</v>
      </c>
      <c r="AC251" s="157">
        <f t="shared" si="49"/>
        <v>0.64</v>
      </c>
      <c r="AD251" s="157">
        <f t="shared" si="49"/>
        <v>0.64</v>
      </c>
      <c r="AE251" s="157">
        <f t="shared" si="49"/>
        <v>0.64</v>
      </c>
      <c r="AF251" s="157">
        <f t="shared" si="49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0">SUM(B246:B251)</f>
        <v>3.54</v>
      </c>
      <c r="C252" s="161">
        <f t="shared" si="50"/>
        <v>3.54</v>
      </c>
      <c r="D252" s="161">
        <f t="shared" si="50"/>
        <v>3.54</v>
      </c>
      <c r="E252" s="161">
        <f t="shared" si="50"/>
        <v>3.54</v>
      </c>
      <c r="F252" s="161">
        <f t="shared" si="50"/>
        <v>3.54</v>
      </c>
      <c r="G252" s="161">
        <f t="shared" si="50"/>
        <v>3.54</v>
      </c>
      <c r="H252" s="161">
        <f t="shared" si="50"/>
        <v>3.54</v>
      </c>
      <c r="I252" s="161">
        <f t="shared" si="50"/>
        <v>3.54</v>
      </c>
      <c r="J252" s="161">
        <f t="shared" si="50"/>
        <v>3.54</v>
      </c>
      <c r="K252" s="161">
        <f t="shared" si="50"/>
        <v>3.54</v>
      </c>
      <c r="L252" s="161">
        <f t="shared" si="50"/>
        <v>3.54</v>
      </c>
      <c r="M252" s="161">
        <f t="shared" si="50"/>
        <v>3.54</v>
      </c>
      <c r="N252" s="161">
        <f t="shared" si="50"/>
        <v>3.54</v>
      </c>
      <c r="O252" s="161">
        <f t="shared" si="50"/>
        <v>3.54</v>
      </c>
      <c r="P252" s="161">
        <f t="shared" si="50"/>
        <v>3.54</v>
      </c>
      <c r="Q252" s="161">
        <f t="shared" si="50"/>
        <v>3.54</v>
      </c>
      <c r="R252" s="161">
        <f t="shared" si="50"/>
        <v>3.54</v>
      </c>
      <c r="S252" s="161">
        <f t="shared" si="50"/>
        <v>3.54</v>
      </c>
      <c r="T252" s="161">
        <f t="shared" si="50"/>
        <v>3.54</v>
      </c>
      <c r="U252" s="161">
        <f t="shared" si="50"/>
        <v>3.54</v>
      </c>
      <c r="V252" s="161">
        <f t="shared" si="50"/>
        <v>3.54</v>
      </c>
      <c r="W252" s="161">
        <f t="shared" si="50"/>
        <v>3.54</v>
      </c>
      <c r="X252" s="161">
        <f t="shared" si="50"/>
        <v>3.54</v>
      </c>
      <c r="Y252" s="161">
        <f t="shared" si="50"/>
        <v>3.54</v>
      </c>
      <c r="Z252" s="161">
        <f t="shared" si="50"/>
        <v>3.54</v>
      </c>
      <c r="AA252" s="161">
        <f t="shared" si="50"/>
        <v>3.54</v>
      </c>
      <c r="AB252" s="161">
        <f t="shared" si="50"/>
        <v>3.54</v>
      </c>
      <c r="AC252" s="161">
        <f t="shared" si="50"/>
        <v>3.54</v>
      </c>
      <c r="AD252" s="161">
        <f t="shared" si="50"/>
        <v>3.54</v>
      </c>
      <c r="AE252" s="161">
        <f t="shared" si="50"/>
        <v>3.54</v>
      </c>
      <c r="AF252" s="161">
        <f t="shared" si="50"/>
        <v>3.54</v>
      </c>
      <c r="AG252" s="171">
        <f t="shared" si="5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153.54</v>
      </c>
      <c r="C256" s="174">
        <f>INDEX(G9:N9,1,MATCH(MAX(G99:N99),G99:N99,0))</f>
        <v>0.20833333333333301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9" t="s">
        <v>276</v>
      </c>
      <c r="B258" s="209"/>
      <c r="C258" s="44"/>
      <c r="D258" s="52" t="e">
        <f ca="1">"Pie Chart of Daily Peak Demand(Inclusive of Export) of Nepal ("&amp;A4&amp;" "&amp;B4&amp;")"</f>
        <v>#VALUE!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35" priority="89">
      <formula>$AH11=0</formula>
    </cfRule>
  </conditionalFormatting>
  <conditionalFormatting sqref="A132:A253">
    <cfRule type="expression" dxfId="134" priority="90">
      <formula>$AH132=0</formula>
    </cfRule>
  </conditionalFormatting>
  <conditionalFormatting sqref="B8">
    <cfRule type="expression" dxfId="133" priority="144">
      <formula>AND(C$9&gt;=14/24,C$9&lt;20/24)</formula>
    </cfRule>
    <cfRule type="expression" dxfId="132" priority="145">
      <formula>AND(C$9&gt;=8/24,C$9&lt;14/24)</formula>
    </cfRule>
    <cfRule type="expression" dxfId="131" priority="146">
      <formula>C$9&lt;8/24</formula>
    </cfRule>
    <cfRule type="expression" dxfId="130" priority="147">
      <formula>C$9&gt;=20/24</formula>
    </cfRule>
  </conditionalFormatting>
  <conditionalFormatting sqref="B11:E11 B12:J52 K13:V52 W20:X52 B59:D68 B69:AF74 B77:AF99 B9:AF10 B101:AF117 B119:AF137 B244:AF244 B246:B252">
    <cfRule type="expression" dxfId="129" priority="41">
      <formula>B$9&gt;=20/24</formula>
    </cfRule>
  </conditionalFormatting>
  <conditionalFormatting sqref="B19:V54 W20:X54 B55:X55 B56:D61 B11:E11 B12:J18 K13:V18 AA56:AF61 W57:X57 E57:V61 W58:Z61 B62:AG62 B63:AF80 AG80">
    <cfRule type="expression" dxfId="128" priority="40">
      <formula>B11&gt;$AG11</formula>
    </cfRule>
  </conditionalFormatting>
  <conditionalFormatting sqref="B53:X57">
    <cfRule type="expression" dxfId="127" priority="53">
      <formula>B$9&lt;8/24</formula>
    </cfRule>
  </conditionalFormatting>
  <conditionalFormatting sqref="B9:AF10 B11:E11 B12:J52 K13:V52 W20:X52 B59:D68 B69:AF74 B77:AF99 B101:AF117 B119:AF137 B244:AF244 B246:B252">
    <cfRule type="expression" dxfId="126" priority="42">
      <formula>AND(B$9&gt;=14/24,B$9&lt;20/24)</formula>
    </cfRule>
    <cfRule type="expression" dxfId="125" priority="43">
      <formula>AND(B$9&gt;=8/24,B$9&lt;14/24)</formula>
    </cfRule>
    <cfRule type="expression" dxfId="124" priority="44">
      <formula>B$9&lt;8/24</formula>
    </cfRule>
  </conditionalFormatting>
  <conditionalFormatting sqref="B53:AF54 B55:D57">
    <cfRule type="expression" dxfId="123" priority="37">
      <formula>B$9&gt;=20/24</formula>
    </cfRule>
    <cfRule type="expression" dxfId="122" priority="38">
      <formula>AND(B$9&gt;=14/24,B$9&lt;20/24)</formula>
    </cfRule>
    <cfRule type="expression" dxfId="121" priority="39">
      <formula>AND(B$9&gt;=8/24,B$9&lt;14/24)</formula>
    </cfRule>
  </conditionalFormatting>
  <conditionalFormatting sqref="D246:AF252">
    <cfRule type="expression" dxfId="120" priority="129">
      <formula>D$9&gt;=20/24</formula>
    </cfRule>
    <cfRule type="expression" dxfId="119" priority="130">
      <formula>AND(D$9&gt;=14/24,D$9&lt;20/24)</formula>
    </cfRule>
    <cfRule type="expression" dxfId="118" priority="131">
      <formula>AND(D$9&gt;=8/24,D$9&lt;14/24)</formula>
    </cfRule>
    <cfRule type="expression" dxfId="117" priority="132">
      <formula>D$9&lt;8/24</formula>
    </cfRule>
  </conditionalFormatting>
  <conditionalFormatting sqref="E63:I67 J64:J67 K67">
    <cfRule type="expression" dxfId="116" priority="54">
      <formula>E$9&gt;=20/24</formula>
    </cfRule>
    <cfRule type="expression" dxfId="115" priority="55">
      <formula>AND(E$9&gt;=14/24,E$9&lt;20/24)</formula>
    </cfRule>
    <cfRule type="expression" dxfId="114" priority="56">
      <formula>AND(E$9&gt;=8/24,E$9&lt;14/24)</formula>
    </cfRule>
    <cfRule type="expression" dxfId="113" priority="57">
      <formula>E$9&lt;8/24</formula>
    </cfRule>
  </conditionalFormatting>
  <conditionalFormatting sqref="E68:K68">
    <cfRule type="expression" dxfId="112" priority="49">
      <formula>E$9&gt;=20/24</formula>
    </cfRule>
    <cfRule type="expression" dxfId="111" priority="50">
      <formula>AND(E$9&gt;=14/24,E$9&lt;20/24)</formula>
    </cfRule>
    <cfRule type="expression" dxfId="110" priority="51">
      <formula>AND(E$9&gt;=8/24,E$9&lt;14/24)</formula>
    </cfRule>
    <cfRule type="expression" dxfId="109" priority="52">
      <formula>E$9&lt;8/24</formula>
    </cfRule>
  </conditionalFormatting>
  <conditionalFormatting sqref="E11:L11 V11:W11 M11:U12 X11:X19 Y11:AF52 K12:L12 V12 W12:W19">
    <cfRule type="expression" dxfId="108" priority="58">
      <formula>E11&gt;$AG11</formula>
    </cfRule>
    <cfRule type="expression" dxfId="107" priority="59">
      <formula>E$9&gt;=20/24</formula>
    </cfRule>
    <cfRule type="expression" dxfId="106" priority="60">
      <formula>AND(E$9&gt;=14/24,E$9&lt;20/24)</formula>
    </cfRule>
    <cfRule type="expression" dxfId="105" priority="61">
      <formula>AND(E$9&gt;=8/24,E$9&lt;14/24)</formula>
    </cfRule>
    <cfRule type="expression" dxfId="104" priority="62">
      <formula>E$9&lt;8/24</formula>
    </cfRule>
  </conditionalFormatting>
  <conditionalFormatting sqref="E55:X57">
    <cfRule type="expression" dxfId="103" priority="46">
      <formula>E$9&gt;=20/24</formula>
    </cfRule>
    <cfRule type="expression" dxfId="102" priority="47">
      <formula>AND(E$9&gt;=14/24,E$9&lt;20/24)</formula>
    </cfRule>
    <cfRule type="expression" dxfId="101" priority="48">
      <formula>AND(E$9&gt;=8/24,E$9&lt;14/24)</formula>
    </cfRule>
  </conditionalFormatting>
  <conditionalFormatting sqref="E56:X56">
    <cfRule type="expression" dxfId="100" priority="45">
      <formula>E56&gt;$AG56</formula>
    </cfRule>
  </conditionalFormatting>
  <conditionalFormatting sqref="E59:AF62">
    <cfRule type="expression" dxfId="99" priority="67">
      <formula>E$9&gt;=20/24</formula>
    </cfRule>
    <cfRule type="expression" dxfId="98" priority="68">
      <formula>AND(E$9&gt;=14/24,E$9&lt;20/24)</formula>
    </cfRule>
    <cfRule type="expression" dxfId="97" priority="69">
      <formula>AND(E$9&gt;=8/24,E$9&lt;14/24)</formula>
    </cfRule>
    <cfRule type="expression" dxfId="96" priority="70">
      <formula>E$9&lt;8/24</formula>
    </cfRule>
  </conditionalFormatting>
  <conditionalFormatting sqref="F63:L65">
    <cfRule type="expression" dxfId="95" priority="81">
      <formula>F$9&gt;=20/24</formula>
    </cfRule>
    <cfRule type="expression" dxfId="94" priority="82">
      <formula>AND(F$9&gt;=14/24,F$9&lt;20/24)</formula>
    </cfRule>
    <cfRule type="expression" dxfId="93" priority="83">
      <formula>AND(F$9&gt;=8/24,F$9&lt;14/24)</formula>
    </cfRule>
    <cfRule type="expression" dxfId="92" priority="84">
      <formula>F$9&lt;8/24</formula>
    </cfRule>
  </conditionalFormatting>
  <conditionalFormatting sqref="L68:V68">
    <cfRule type="expression" dxfId="91" priority="77">
      <formula>L$9&gt;=20/24</formula>
    </cfRule>
    <cfRule type="expression" dxfId="90" priority="78">
      <formula>AND(L$9&gt;=14/24,L$9&lt;20/24)</formula>
    </cfRule>
    <cfRule type="expression" dxfId="89" priority="79">
      <formula>AND(L$9&gt;=8/24,L$9&lt;14/24)</formula>
    </cfRule>
    <cfRule type="expression" dxfId="88" priority="80">
      <formula>L$9&lt;8/24</formula>
    </cfRule>
  </conditionalFormatting>
  <conditionalFormatting sqref="M8 S8 AB8">
    <cfRule type="expression" dxfId="87" priority="136">
      <formula>AND(N$9&gt;=14/24,N$9&lt;20/24)</formula>
    </cfRule>
    <cfRule type="expression" dxfId="86" priority="137">
      <formula>AND(N$9&gt;=8/24,N$9&lt;14/24)</formula>
    </cfRule>
    <cfRule type="expression" dxfId="85" priority="138">
      <formula>N$9&lt;8/24</formula>
    </cfRule>
  </conditionalFormatting>
  <conditionalFormatting sqref="M63:V67">
    <cfRule type="expression" dxfId="84" priority="85">
      <formula>M$9&gt;=20/24</formula>
    </cfRule>
    <cfRule type="expression" dxfId="83" priority="86">
      <formula>AND(M$9&gt;=14/24,M$9&lt;20/24)</formula>
    </cfRule>
    <cfRule type="expression" dxfId="82" priority="87">
      <formula>AND(M$9&gt;=8/24,M$9&lt;14/24)</formula>
    </cfRule>
    <cfRule type="expression" dxfId="81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0" priority="135">
      <formula>N$9&gt;=20/24</formula>
    </cfRule>
  </conditionalFormatting>
  <conditionalFormatting sqref="S8">
    <cfRule type="expression" dxfId="79" priority="122">
      <formula>U$9&gt;=20/24</formula>
    </cfRule>
    <cfRule type="expression" dxfId="78" priority="123">
      <formula>AND(U$9&gt;=14/24,U$9&lt;20/24)</formula>
    </cfRule>
    <cfRule type="expression" dxfId="77" priority="124">
      <formula>AND(U$9&gt;=8/24,U$9&lt;14/24)</formula>
    </cfRule>
    <cfRule type="expression" dxfId="76" priority="125">
      <formula>U$9&lt;8/24</formula>
    </cfRule>
  </conditionalFormatting>
  <conditionalFormatting sqref="T63:AF68">
    <cfRule type="expression" dxfId="75" priority="71">
      <formula>T$9&gt;=20/24</formula>
    </cfRule>
    <cfRule type="expression" dxfId="74" priority="72">
      <formula>AND(T$9&gt;=14/24,T$9&lt;20/24)</formula>
    </cfRule>
    <cfRule type="expression" dxfId="73" priority="73">
      <formula>AND(T$9&gt;=8/24,T$9&lt;14/24)</formula>
    </cfRule>
    <cfRule type="expression" dxfId="72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6:Z57">
    <cfRule type="expression" dxfId="71" priority="63">
      <formula>Y56&gt;$AG56</formula>
    </cfRule>
  </conditionalFormatting>
  <conditionalFormatting sqref="Y53:AF55">
    <cfRule type="expression" dxfId="70" priority="76">
      <formula>Y53&gt;$AG53</formula>
    </cfRule>
  </conditionalFormatting>
  <conditionalFormatting sqref="Y53:AF57">
    <cfRule type="expression" dxfId="69" priority="75">
      <formula>Y$9&lt;8/24</formula>
    </cfRule>
  </conditionalFormatting>
  <conditionalFormatting sqref="Y55:AF57">
    <cfRule type="expression" dxfId="68" priority="64">
      <formula>Y$9&gt;=20/24</formula>
    </cfRule>
    <cfRule type="expression" dxfId="67" priority="65">
      <formula>AND(Y$9&gt;=14/24,Y$9&lt;20/24)</formula>
    </cfRule>
    <cfRule type="expression" dxfId="66" priority="66">
      <formula>AND(Y$9&gt;=8/24,Y$9&lt;14/24)</formula>
    </cfRule>
  </conditionalFormatting>
  <conditionalFormatting sqref="AB8">
    <cfRule type="expression" dxfId="65" priority="118">
      <formula>AD$9&gt;=20/24</formula>
    </cfRule>
    <cfRule type="expression" dxfId="64" priority="119">
      <formula>AND(AD$9&gt;=14/24,AD$9&lt;20/24)</formula>
    </cfRule>
    <cfRule type="expression" dxfId="63" priority="120">
      <formula>AND(AD$9&gt;=8/24,AD$9&lt;14/24)</formula>
    </cfRule>
    <cfRule type="expression" dxfId="62" priority="121">
      <formula>AD$9&lt;8/24</formula>
    </cfRule>
  </conditionalFormatting>
  <conditionalFormatting sqref="AG58">
    <cfRule type="expression" dxfId="61" priority="113">
      <formula>AG58&gt;$AG58</formula>
    </cfRule>
  </conditionalFormatting>
  <conditionalFormatting sqref="AG62">
    <cfRule type="expression" dxfId="60" priority="96">
      <formula>AG$9&gt;=20/24</formula>
    </cfRule>
    <cfRule type="expression" dxfId="59" priority="97">
      <formula>AND(AG$9&gt;=14/24,AG$9&lt;20/24)</formula>
    </cfRule>
    <cfRule type="expression" dxfId="58" priority="98">
      <formula>AND(AG$9&gt;=8/24,AG$9&lt;14/24)</formula>
    </cfRule>
    <cfRule type="expression" dxfId="57" priority="99">
      <formula>AG$9&lt;8/24</formula>
    </cfRule>
  </conditionalFormatting>
  <conditionalFormatting sqref="AG75:AG76">
    <cfRule type="expression" dxfId="56" priority="91">
      <formula>AG75&gt;$AG75</formula>
    </cfRule>
  </conditionalFormatting>
  <conditionalFormatting sqref="AG80">
    <cfRule type="expression" dxfId="55" priority="92">
      <formula>AG$9&gt;=20/24</formula>
    </cfRule>
    <cfRule type="expression" dxfId="54" priority="93">
      <formula>AND(AG$9&gt;=14/24,AG$9&lt;20/24)</formula>
    </cfRule>
    <cfRule type="expression" dxfId="53" priority="94">
      <formula>AND(AG$9&gt;=8/24,AG$9&lt;14/24)</formula>
    </cfRule>
    <cfRule type="expression" dxfId="52" priority="95">
      <formula>AG$9&lt;8/24</formula>
    </cfRule>
  </conditionalFormatting>
  <conditionalFormatting sqref="AG97">
    <cfRule type="expression" dxfId="51" priority="114">
      <formula>AG$9&gt;=20/24</formula>
    </cfRule>
    <cfRule type="expression" dxfId="50" priority="115">
      <formula>AND(AG$9&gt;=14/24,AG$9&lt;20/24)</formula>
    </cfRule>
    <cfRule type="expression" dxfId="49" priority="116">
      <formula>AND(AG$9&gt;=8/24,AG$9&lt;14/24)</formula>
    </cfRule>
    <cfRule type="expression" dxfId="48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7" priority="139">
      <formula>AJ$9&gt;=20/24</formula>
    </cfRule>
    <cfRule type="expression" dxfId="46" priority="140">
      <formula>AND(AJ$9&gt;=14/24,AJ$9&lt;20/24)</formula>
    </cfRule>
    <cfRule type="expression" dxfId="45" priority="141">
      <formula>AND(AJ$9&gt;=8/24,AJ$9&lt;14/24)</formula>
    </cfRule>
    <cfRule type="expression" dxfId="44" priority="142">
      <formula>AJ$9&lt;8/24</formula>
    </cfRule>
  </conditionalFormatting>
  <conditionalFormatting sqref="AL88:AN88 AL94:AN94">
    <cfRule type="expression" dxfId="43" priority="106">
      <formula>AL$9&gt;=20/24</formula>
    </cfRule>
    <cfRule type="expression" dxfId="42" priority="107">
      <formula>AND(AL$9&gt;=14/24,AL$9&lt;20/24)</formula>
    </cfRule>
    <cfRule type="expression" dxfId="41" priority="108">
      <formula>AND(AL$9&gt;=8/24,AL$9&lt;14/24)</formula>
    </cfRule>
    <cfRule type="expression" dxfId="40" priority="109">
      <formula>AL$9&lt;8/24</formula>
    </cfRule>
  </conditionalFormatting>
  <conditionalFormatting sqref="AM15:AM21 AN16:AR21">
    <cfRule type="expression" dxfId="39" priority="13">
      <formula>AX$9&gt;=20/24</formula>
    </cfRule>
    <cfRule type="expression" dxfId="38" priority="14">
      <formula>AND(AX$9&gt;=14/24,AX$9&lt;20/24)</formula>
    </cfRule>
    <cfRule type="expression" dxfId="37" priority="15">
      <formula>AND(AX$9&gt;=8/24,AX$9&lt;14/24)</formula>
    </cfRule>
    <cfRule type="expression" dxfId="36" priority="16">
      <formula>AX$9&lt;8/24</formula>
    </cfRule>
  </conditionalFormatting>
  <conditionalFormatting sqref="AN89:AN92">
    <cfRule type="expression" dxfId="35" priority="102">
      <formula>AN$9&gt;=20/24</formula>
    </cfRule>
    <cfRule type="expression" dxfId="34" priority="103">
      <formula>AND(AN$9&gt;=14/24,AN$9&lt;20/24)</formula>
    </cfRule>
    <cfRule type="expression" dxfId="33" priority="104">
      <formula>AND(AN$9&gt;=8/24,AN$9&lt;14/24)</formula>
    </cfRule>
    <cfRule type="expression" dxfId="32" priority="105">
      <formula>AN$9&lt;8/24</formula>
    </cfRule>
  </conditionalFormatting>
  <conditionalFormatting sqref="AN15:AR15">
    <cfRule type="expression" dxfId="31" priority="1">
      <formula>U$9&gt;=20/24</formula>
    </cfRule>
    <cfRule type="expression" dxfId="30" priority="2">
      <formula>AND(U$9&gt;=14/24,U$9&lt;20/24)</formula>
    </cfRule>
    <cfRule type="expression" dxfId="29" priority="3">
      <formula>AND(U$9&gt;=8/24,U$9&lt;14/24)</formula>
    </cfRule>
    <cfRule type="expression" dxfId="28" priority="4">
      <formula>U$9&lt;8/24</formula>
    </cfRule>
  </conditionalFormatting>
  <conditionalFormatting sqref="AS15">
    <cfRule type="expression" dxfId="27" priority="9">
      <formula>AA$9&gt;=20/24</formula>
    </cfRule>
    <cfRule type="expression" dxfId="26" priority="10">
      <formula>AND(AA$9&gt;=14/24,AA$9&lt;20/24)</formula>
    </cfRule>
    <cfRule type="expression" dxfId="25" priority="11">
      <formula>AND(AA$9&gt;=8/24,AA$9&lt;14/24)</formula>
    </cfRule>
    <cfRule type="expression" dxfId="24" priority="12">
      <formula>AA$9&lt;8/24</formula>
    </cfRule>
  </conditionalFormatting>
  <conditionalFormatting sqref="AS16:AS21">
    <cfRule type="expression" dxfId="23" priority="17">
      <formula>BE$9&gt;=20/24</formula>
    </cfRule>
    <cfRule type="expression" dxfId="22" priority="18">
      <formula>AND(BE$9&gt;=14/24,BE$9&lt;20/24)</formula>
    </cfRule>
    <cfRule type="expression" dxfId="21" priority="19">
      <formula>AND(BE$9&gt;=8/24,BE$9&lt;14/24)</formula>
    </cfRule>
    <cfRule type="expression" dxfId="20" priority="20">
      <formula>BE$9&lt;8/24</formula>
    </cfRule>
  </conditionalFormatting>
  <conditionalFormatting sqref="AT15 AX15:BJ15">
    <cfRule type="expression" dxfId="19" priority="21">
      <formula>AC$9&gt;=20/24</formula>
    </cfRule>
    <cfRule type="expression" dxfId="18" priority="22">
      <formula>AND(AC$9&gt;=14/24,AC$9&lt;20/24)</formula>
    </cfRule>
    <cfRule type="expression" dxfId="17" priority="23">
      <formula>AND(AC$9&gt;=8/24,AC$9&lt;14/24)</formula>
    </cfRule>
    <cfRule type="expression" dxfId="16" priority="24">
      <formula>AC$9&lt;8/24</formula>
    </cfRule>
  </conditionalFormatting>
  <conditionalFormatting sqref="AT16:AT21">
    <cfRule type="expression" dxfId="15" priority="25">
      <formula>BG$9&gt;=20/24</formula>
    </cfRule>
    <cfRule type="expression" dxfId="14" priority="26">
      <formula>AND(BG$9&gt;=14/24,BG$9&lt;20/24)</formula>
    </cfRule>
    <cfRule type="expression" dxfId="13" priority="27">
      <formula>AND(BG$9&gt;=8/24,BG$9&lt;14/24)</formula>
    </cfRule>
    <cfRule type="expression" dxfId="12" priority="28">
      <formula>BG$9&lt;8/24</formula>
    </cfRule>
  </conditionalFormatting>
  <conditionalFormatting sqref="AU15:AV15">
    <cfRule type="expression" dxfId="11" priority="29">
      <formula>AE$9&gt;=20/24</formula>
    </cfRule>
    <cfRule type="expression" dxfId="10" priority="30">
      <formula>AND(AE$9&gt;=14/24,AE$9&lt;20/24)</formula>
    </cfRule>
    <cfRule type="expression" dxfId="9" priority="31">
      <formula>AND(AE$9&gt;=8/24,AE$9&lt;14/24)</formula>
    </cfRule>
    <cfRule type="expression" dxfId="8" priority="32">
      <formula>AE$9&lt;8/24</formula>
    </cfRule>
  </conditionalFormatting>
  <conditionalFormatting sqref="AU16:BJ21">
    <cfRule type="expression" dxfId="7" priority="33">
      <formula>BI$9&gt;=20/24</formula>
    </cfRule>
    <cfRule type="expression" dxfId="6" priority="34">
      <formula>AND(BI$9&gt;=14/24,BI$9&lt;20/24)</formula>
    </cfRule>
    <cfRule type="expression" dxfId="5" priority="35">
      <formula>AND(BI$9&gt;=8/24,BI$9&lt;14/24)</formula>
    </cfRule>
    <cfRule type="expression" dxfId="4" priority="36">
      <formula>BI$9&lt;8/24</formula>
    </cfRule>
  </conditionalFormatting>
  <conditionalFormatting sqref="AW15">
    <cfRule type="expression" dxfId="3" priority="5">
      <formula>B$9&gt;=20/24</formula>
    </cfRule>
    <cfRule type="expression" dxfId="2" priority="6">
      <formula>AND(B$9&gt;=14/24,B$9&lt;20/24)</formula>
    </cfRule>
    <cfRule type="expression" dxfId="1" priority="7">
      <formula>AND(B$9&gt;=8/24,B$9&lt;14/24)</formula>
    </cfRule>
    <cfRule type="expression" dxfId="0" priority="8">
      <formula>B$9&lt;8/24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4-01</vt:lpstr>
      <vt:lpstr>NewSample</vt:lpstr>
      <vt:lpstr>Sheet7</vt:lpstr>
      <vt:lpstr>Sheet4</vt:lpstr>
      <vt:lpstr>OSample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Control Room LDC  System Operation Department</cp:lastModifiedBy>
  <cp:lastPrinted>2024-05-24T07:21:11Z</cp:lastPrinted>
  <dcterms:created xsi:type="dcterms:W3CDTF">2015-06-05T18:17:20Z</dcterms:created>
  <dcterms:modified xsi:type="dcterms:W3CDTF">2024-07-21T04:19:52Z</dcterms:modified>
</cp:coreProperties>
</file>